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sdrascd7-IEHAZMA130276" sheetId="1" r:id="rId1"/>
  </sheets>
  <calcPr calcId="145621"/>
</workbook>
</file>

<file path=xl/calcChain.xml><?xml version="1.0" encoding="utf-8"?>
<calcChain xmlns="http://schemas.openxmlformats.org/spreadsheetml/2006/main">
  <c r="P3417" i="1" l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<sst xmlns="http://schemas.openxmlformats.org/spreadsheetml/2006/main" count="68331" uniqueCount="2999">
  <si>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</si>
  <si>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</si>
  <si>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</si>
  <si>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</si>
  <si>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</si>
  <si>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</si>
  <si>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</si>
  <si>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</si>
  <si>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</si>
  <si>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</si>
  <si>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</si>
  <si>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</si>
  <si>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</si>
  <si>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</si>
  <si>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</si>
  <si>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</si>
  <si>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</si>
  <si>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</si>
  <si>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</si>
  <si>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</si>
  <si>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</si>
  <si>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</si>
  <si>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</si>
  <si>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</si>
  <si>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</si>
  <si>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</si>
  <si>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</si>
  <si>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</si>
  <si>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</si>
  <si>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</si>
  <si>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</si>
  <si>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</si>
  <si>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</si>
  <si>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</si>
  <si>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</si>
  <si>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</si>
  <si>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</si>
  <si>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</si>
  <si>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</si>
  <si>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</si>
  <si>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</si>
  <si>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</si>
  <si>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</si>
  <si>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</si>
  <si>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</si>
  <si>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</si>
  <si>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</si>
  <si>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</si>
  <si>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</si>
  <si>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</si>
  <si>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</si>
  <si>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</si>
  <si>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</si>
  <si>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</si>
  <si>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</si>
  <si>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</si>
  <si>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</si>
  <si>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</si>
  <si>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</si>
  <si>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</si>
  <si>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</si>
  <si>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</si>
  <si>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</si>
  <si>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</si>
  <si>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</si>
  <si>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</si>
  <si>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</si>
  <si>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</si>
  <si>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</si>
  <si>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</si>
  <si>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</si>
  <si>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</si>
  <si>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</si>
  <si>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</si>
  <si>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</si>
  <si>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</si>
  <si>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</si>
  <si>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</si>
  <si>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</si>
  <si>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PRETO</t>
  </si>
  <si>
    <t>PRETORIA</t>
  </si>
  <si>
    <t xml:space="preserve">EMENEM INDUSTRIAL CC               </t>
  </si>
  <si>
    <t>ON1</t>
  </si>
  <si>
    <t>RECEIVING</t>
  </si>
  <si>
    <t>Leonard Petersen</t>
  </si>
  <si>
    <t>?</t>
  </si>
  <si>
    <t>PARCEL</t>
  </si>
  <si>
    <t>no</t>
  </si>
  <si>
    <t xml:space="preserve">VENTURE DIVERSIFIED PRODUCTS(P     </t>
  </si>
  <si>
    <t>Receiving</t>
  </si>
  <si>
    <t>CAPET</t>
  </si>
  <si>
    <t>CAPE TOWN</t>
  </si>
  <si>
    <t xml:space="preserve">CONSOL GLASS (PTY) LTD             </t>
  </si>
  <si>
    <t>Flyer</t>
  </si>
  <si>
    <t>PIET1</t>
  </si>
  <si>
    <t>PIETERMARITZBURG</t>
  </si>
  <si>
    <t xml:space="preserve">CLIFFORD MACHINES   TECHNOLOGY     </t>
  </si>
  <si>
    <t>JOHAN</t>
  </si>
  <si>
    <t>JOHANNESBURG</t>
  </si>
  <si>
    <t xml:space="preserve">COLUMBIT PTY  T A INDUSTRIES       </t>
  </si>
  <si>
    <t>ALBERT RANDALL</t>
  </si>
  <si>
    <t>DURBA</t>
  </si>
  <si>
    <t>DURBAN</t>
  </si>
  <si>
    <t xml:space="preserve">BAGTECH INTERNATIONAL (PTY)LTD     </t>
  </si>
  <si>
    <t xml:space="preserve">jarrad                        </t>
  </si>
  <si>
    <t>yes</t>
  </si>
  <si>
    <t xml:space="preserve">POD received from cell 0733966806 M     </t>
  </si>
  <si>
    <t>WORCE</t>
  </si>
  <si>
    <t>WORCESTER</t>
  </si>
  <si>
    <t xml:space="preserve">A.P.L. CARTONS (PTY) LTD           </t>
  </si>
  <si>
    <t>PAARL</t>
  </si>
  <si>
    <t xml:space="preserve">FILMATIC PACKAGING SYSTEM (PTY     </t>
  </si>
  <si>
    <t xml:space="preserve">SUPERIOR PACKAGING INDUSTRIES      </t>
  </si>
  <si>
    <t>MIKE</t>
  </si>
  <si>
    <t xml:space="preserve">CIM AUTOMATION SYSTEMS(PTY)LTD     </t>
  </si>
  <si>
    <t>SPRI3</t>
  </si>
  <si>
    <t>SPRINGS</t>
  </si>
  <si>
    <t xml:space="preserve">PFG BUILDING GLASS                 </t>
  </si>
  <si>
    <t>Freddy</t>
  </si>
  <si>
    <t>POD received from cell 0715155602 M</t>
  </si>
  <si>
    <t>UITEN</t>
  </si>
  <si>
    <t>UITENHAGE</t>
  </si>
  <si>
    <t xml:space="preserve">BENTELER AUTOMOTIVE SA (PTY) L     </t>
  </si>
  <si>
    <t>ROODE</t>
  </si>
  <si>
    <t>ROODEPOORT</t>
  </si>
  <si>
    <t xml:space="preserve">MILL TECHNICAL SERVICE             </t>
  </si>
  <si>
    <t>RECIEVING</t>
  </si>
  <si>
    <t xml:space="preserve">SCOTT BADER                        </t>
  </si>
  <si>
    <t>RECIEVER</t>
  </si>
  <si>
    <t>LADYS</t>
  </si>
  <si>
    <t>LADYSMITH (NTL)</t>
  </si>
  <si>
    <t xml:space="preserve">DEFY APPLIANCES (PTY)LTD           </t>
  </si>
  <si>
    <t xml:space="preserve">PRO PROJECT MACHINERY (PTY) LT     </t>
  </si>
  <si>
    <t>VANDE</t>
  </si>
  <si>
    <t>VANDERBIJLPARK</t>
  </si>
  <si>
    <t xml:space="preserve">DIVFOOD A DIV OF NAMPAK PRODUC     </t>
  </si>
  <si>
    <t xml:space="preserve">COCA COLA BEVERAGES S.A(PTY)LT     </t>
  </si>
  <si>
    <t xml:space="preserve">NUKOR (PTY)LTD                     </t>
  </si>
  <si>
    <t>PINET</t>
  </si>
  <si>
    <t>PINETOWN</t>
  </si>
  <si>
    <t xml:space="preserve">NATIONAL PACKAGING SYSTEMS         </t>
  </si>
  <si>
    <t>.</t>
  </si>
  <si>
    <t>ALBE2</t>
  </si>
  <si>
    <t>ALBERTON</t>
  </si>
  <si>
    <t xml:space="preserve">BENTELER SA                        </t>
  </si>
  <si>
    <t>RECEIVER</t>
  </si>
  <si>
    <t xml:space="preserve">H.G MOLENAAR (PTY) LTD             </t>
  </si>
  <si>
    <t xml:space="preserve">AECI MINING SERVICES LIMITED       </t>
  </si>
  <si>
    <t>DBC</t>
  </si>
  <si>
    <t>SOME1</t>
  </si>
  <si>
    <t>SOMERSET EAST</t>
  </si>
  <si>
    <t xml:space="preserve">PJ ENGINEERING                     </t>
  </si>
  <si>
    <t xml:space="preserve">PAILPAC PTY LTD                    </t>
  </si>
  <si>
    <t xml:space="preserve">BMG ISANDO 0165                    </t>
  </si>
  <si>
    <t>MIDRA</t>
  </si>
  <si>
    <t>MIDRAND</t>
  </si>
  <si>
    <t xml:space="preserve">COLLABORATIVE PACKING SOLUTION     </t>
  </si>
  <si>
    <t xml:space="preserve">VICTORY ELECTRICAL CC              </t>
  </si>
  <si>
    <t>BOKSB</t>
  </si>
  <si>
    <t>BOKSBURG</t>
  </si>
  <si>
    <t xml:space="preserve">NUKOR (PTY) LTD                    </t>
  </si>
  <si>
    <t xml:space="preserve">ALPHA HYDRAULICS                   </t>
  </si>
  <si>
    <t>GERMI</t>
  </si>
  <si>
    <t>GERMISTON</t>
  </si>
  <si>
    <t xml:space="preserve">DISTELL                            </t>
  </si>
  <si>
    <t>FUE / DOC</t>
  </si>
  <si>
    <t xml:space="preserve">COCA COLA BEVERAGES SA             </t>
  </si>
  <si>
    <t>DESPA</t>
  </si>
  <si>
    <t>DESPATCH</t>
  </si>
  <si>
    <t xml:space="preserve">DKT   PARTNERS                     </t>
  </si>
  <si>
    <t xml:space="preserve">NR EXTREME ENGINEERING   PIPIN     </t>
  </si>
  <si>
    <t>PORT3</t>
  </si>
  <si>
    <t>PORT ELIZABETH</t>
  </si>
  <si>
    <t xml:space="preserve">ASPEN OPERATIONS (PTY) LTD         </t>
  </si>
  <si>
    <t xml:space="preserve">GRANROTH (PTY)LTD                  </t>
  </si>
  <si>
    <t xml:space="preserve">BREWBEV                            </t>
  </si>
  <si>
    <t>JACO1</t>
  </si>
  <si>
    <t>JACOBS</t>
  </si>
  <si>
    <t xml:space="preserve">AMSN INDUSTRIAL SUPPLIES (PTY)     </t>
  </si>
  <si>
    <t xml:space="preserve">DIYA VALVES INTERNATIONALS CC      </t>
  </si>
  <si>
    <t>VEREE</t>
  </si>
  <si>
    <t>VEREENIGING</t>
  </si>
  <si>
    <t xml:space="preserve">KHP HYDRAULICS   PNEUMATICS (P     </t>
  </si>
  <si>
    <t xml:space="preserve">DG IMPEX CC                        </t>
  </si>
  <si>
    <t>EAST</t>
  </si>
  <si>
    <t>EAST LONDON</t>
  </si>
  <si>
    <t xml:space="preserve">HACKMACK ENTERPRISES               </t>
  </si>
  <si>
    <t>MALME</t>
  </si>
  <si>
    <t>MALMESBURY</t>
  </si>
  <si>
    <t xml:space="preserve">HYDROMATIC                         </t>
  </si>
  <si>
    <t>MIDD2</t>
  </si>
  <si>
    <t>MIDDELBURG (Mpumalanga)</t>
  </si>
  <si>
    <t xml:space="preserve">DES AUTO REPAIRS   HOME SECURI     </t>
  </si>
  <si>
    <t xml:space="preserve">HARVARD PROJECTS                   </t>
  </si>
  <si>
    <t xml:space="preserve">ANALOG   DIGITAL POWER ELECTRO     </t>
  </si>
  <si>
    <t>UMHLA</t>
  </si>
  <si>
    <t>UMHLANGA ROCKS</t>
  </si>
  <si>
    <t xml:space="preserve">FILTEC AUTOMATION PTY LTD          </t>
  </si>
  <si>
    <t>stewart</t>
  </si>
  <si>
    <t xml:space="preserve">DURR AFRICA                        </t>
  </si>
  <si>
    <t xml:space="preserve">S4 INTEGRATION (PTY) LTD           </t>
  </si>
  <si>
    <t xml:space="preserve">Hyrdromatic                        </t>
  </si>
  <si>
    <t>CERES</t>
  </si>
  <si>
    <t xml:space="preserve">Ceres Fruit Processors             </t>
  </si>
  <si>
    <t>Stores Manager</t>
  </si>
  <si>
    <t>Anzellle</t>
  </si>
  <si>
    <t>KRUGE</t>
  </si>
  <si>
    <t>KRUGERSDORP</t>
  </si>
  <si>
    <t xml:space="preserve">RCL FOODS CONSUMER                 </t>
  </si>
  <si>
    <t xml:space="preserve">AIR PRODUCTS                       </t>
  </si>
  <si>
    <t xml:space="preserve">ACEPAK PACKAGING SYSTEMS           </t>
  </si>
  <si>
    <t>RANDB</t>
  </si>
  <si>
    <t>RANDBURG</t>
  </si>
  <si>
    <t xml:space="preserve">KRONES SA PTY LTD                  </t>
  </si>
  <si>
    <t xml:space="preserve">WINTERTIDE TRADING 69 CC           </t>
  </si>
  <si>
    <t xml:space="preserve">BIG OR SMALL PROJECTS ENG          </t>
  </si>
  <si>
    <t>STEPHAN</t>
  </si>
  <si>
    <t xml:space="preserve">MECHATRONICS                       </t>
  </si>
  <si>
    <t>VERWO</t>
  </si>
  <si>
    <t>CENTURION</t>
  </si>
  <si>
    <t xml:space="preserve">AVENG MANUFACTURING INFRASET       </t>
  </si>
  <si>
    <t>PARCEL PARCEL</t>
  </si>
  <si>
    <t>PARCEL PARCEL PARCEL</t>
  </si>
  <si>
    <t xml:space="preserve">CULINARY A DIV OF TIGER CONSUM     </t>
  </si>
  <si>
    <t xml:space="preserve">AUTO INDUSTRIAL MACHINING          </t>
  </si>
  <si>
    <t xml:space="preserve">RAND BUILDING HYDRAULICS PTY L     </t>
  </si>
  <si>
    <t>Mpetle</t>
  </si>
  <si>
    <t>POD received from cell 0837323487 M</t>
  </si>
  <si>
    <t>PORT4</t>
  </si>
  <si>
    <t>PORT SHEPSTONE</t>
  </si>
  <si>
    <t xml:space="preserve">HYDROMATIC ENTERPRISES PTY LTD     </t>
  </si>
  <si>
    <t>Sharishna</t>
  </si>
  <si>
    <t xml:space="preserve">UV + IR ENGINEERING PTY LTD        </t>
  </si>
  <si>
    <t xml:space="preserve">LODICON CC                         </t>
  </si>
  <si>
    <t xml:space="preserve">MERCEDES BENZ SOUTH AFRICA LIM     </t>
  </si>
  <si>
    <t xml:space="preserve">FORD MOTOR CO. SA MANUFACTURIN     </t>
  </si>
  <si>
    <t xml:space="preserve">NAS GLOBAL                         </t>
  </si>
  <si>
    <t xml:space="preserve">PROMAX                             </t>
  </si>
  <si>
    <t xml:space="preserve">PNEUMATIC AID                      </t>
  </si>
  <si>
    <t xml:space="preserve">Audrey                        </t>
  </si>
  <si>
    <t xml:space="preserve">POD received from cell 0814795132 M     </t>
  </si>
  <si>
    <t>STEL2</t>
  </si>
  <si>
    <t>STELLENBOSCH</t>
  </si>
  <si>
    <t xml:space="preserve">TF DESIGN (PTY) LTD                </t>
  </si>
  <si>
    <t>SASOL</t>
  </si>
  <si>
    <t>SASOLBURG</t>
  </si>
  <si>
    <t xml:space="preserve">SASOL CHEMICALS SA                 </t>
  </si>
  <si>
    <t xml:space="preserve">GOODYEAR SOUTH AFRICA PTY LTD      </t>
  </si>
  <si>
    <t xml:space="preserve">CSM BEARING AND PNEUMATIC SUPP     </t>
  </si>
  <si>
    <t xml:space="preserve">CONTINENTAL TYRE SA                </t>
  </si>
  <si>
    <t>HUMAN</t>
  </si>
  <si>
    <t>HUMANSDORP</t>
  </si>
  <si>
    <t xml:space="preserve">WOODLANDS DAIRY (PTY) LTD          </t>
  </si>
  <si>
    <t>ARNOLD KHOROMMBI</t>
  </si>
  <si>
    <t>GEORG</t>
  </si>
  <si>
    <t>GEORGE</t>
  </si>
  <si>
    <t xml:space="preserve">SANMIK AGENCIES CC                 </t>
  </si>
  <si>
    <t xml:space="preserve">TM ENGINEERING                     </t>
  </si>
  <si>
    <t>SECUN</t>
  </si>
  <si>
    <t>SECUNDA</t>
  </si>
  <si>
    <t xml:space="preserve">AFRICA CONTROL   INSTRUMATATIO     </t>
  </si>
  <si>
    <t xml:space="preserve">DAIRY FARMERS OF SOUTH AFRICA(     </t>
  </si>
  <si>
    <t>nash</t>
  </si>
  <si>
    <t>POD received from cell 0685031074 M</t>
  </si>
  <si>
    <t xml:space="preserve">JF EQUIPMENT                       </t>
  </si>
  <si>
    <t>bester</t>
  </si>
  <si>
    <t>POD received from cell 0680548394 M</t>
  </si>
  <si>
    <t>danny</t>
  </si>
  <si>
    <t>POD received from cell 0844549356 M</t>
  </si>
  <si>
    <t xml:space="preserve">PROPET S.A (PTY) LTD               </t>
  </si>
  <si>
    <t>shireEn</t>
  </si>
  <si>
    <t>POD received from cell 0626229785 M</t>
  </si>
  <si>
    <t xml:space="preserve">COMPRESSED AIR EQUIPMENT           </t>
  </si>
  <si>
    <t>Recieving</t>
  </si>
  <si>
    <t>noma</t>
  </si>
  <si>
    <t>POD received from cell 0848255037 M</t>
  </si>
  <si>
    <t xml:space="preserve">PREMIER BAKERY                     </t>
  </si>
  <si>
    <t>N Mvubu</t>
  </si>
  <si>
    <t>Appointment required</t>
  </si>
  <si>
    <t>lep</t>
  </si>
  <si>
    <t>POD received from cell 0764962951 M</t>
  </si>
  <si>
    <t>GREYT</t>
  </si>
  <si>
    <t>GREYTOWN</t>
  </si>
  <si>
    <t xml:space="preserve">UCL COMPANY (PTY)LTD               </t>
  </si>
  <si>
    <t>MLU</t>
  </si>
  <si>
    <t xml:space="preserve">VERTEX AUTOMATION PTY LTD          </t>
  </si>
  <si>
    <t>EUgene</t>
  </si>
  <si>
    <t>POD received from cell 0723623160 M</t>
  </si>
  <si>
    <t>marius</t>
  </si>
  <si>
    <t>POD received from cell 0738058187 M</t>
  </si>
  <si>
    <t xml:space="preserve">MACSTEEL COIL PROCESSING           </t>
  </si>
  <si>
    <t>HENRICH VAN DEN BERG</t>
  </si>
  <si>
    <t xml:space="preserve">Sherley                       </t>
  </si>
  <si>
    <t xml:space="preserve">POD received from cell 0676928033 M     </t>
  </si>
  <si>
    <t>khulani</t>
  </si>
  <si>
    <t xml:space="preserve">RFG FOODS (PTY) LTD                </t>
  </si>
  <si>
    <t>ntsako</t>
  </si>
  <si>
    <t>POD received from cell 0665730748 M</t>
  </si>
  <si>
    <t>ATLAN</t>
  </si>
  <si>
    <t>ATLANTIS</t>
  </si>
  <si>
    <t xml:space="preserve">ZF PASSIVE SAFETY SOUTH AFRICA     </t>
  </si>
  <si>
    <t>SIHLE</t>
  </si>
  <si>
    <t>Doreen</t>
  </si>
  <si>
    <t>POD received from cell 0814795132 M</t>
  </si>
  <si>
    <t xml:space="preserve">AUTOTRONIX PTY LTD                 </t>
  </si>
  <si>
    <t>Zinhle</t>
  </si>
  <si>
    <t xml:space="preserve">SMITHS PLASTICS PTY LTD            </t>
  </si>
  <si>
    <t>STOCK CORECTION</t>
  </si>
  <si>
    <t>LEONARD PETERSEN.</t>
  </si>
  <si>
    <t>CHRIS BOTHA</t>
  </si>
  <si>
    <t xml:space="preserve">ethios                        </t>
  </si>
  <si>
    <t xml:space="preserve">POD received from cell 0648984486 M     </t>
  </si>
  <si>
    <t>WHITE</t>
  </si>
  <si>
    <t>WHITE RIVER</t>
  </si>
  <si>
    <t xml:space="preserve">BRENLEY ENGINEERING                </t>
  </si>
  <si>
    <t>Henry</t>
  </si>
  <si>
    <t>POD received from cell 0677183488 M</t>
  </si>
  <si>
    <t xml:space="preserve">CAXTON WORKS                       </t>
  </si>
  <si>
    <t>JOHANNA SEKABATE</t>
  </si>
  <si>
    <t>Johanna</t>
  </si>
  <si>
    <t>POD received from cell 0783350261 M</t>
  </si>
  <si>
    <t xml:space="preserve">NESTLE SOUTH AFRICA (PTY) LTD      </t>
  </si>
  <si>
    <t>TREVOR GROENEWALD</t>
  </si>
  <si>
    <t>Rene</t>
  </si>
  <si>
    <t>POD received from cell 0631024628 M</t>
  </si>
  <si>
    <t xml:space="preserve">SPECIALISED SKILLED SERVICES       </t>
  </si>
  <si>
    <t xml:space="preserve">NICK                          </t>
  </si>
  <si>
    <t>FUE / doc</t>
  </si>
  <si>
    <t xml:space="preserve">                                        </t>
  </si>
  <si>
    <t xml:space="preserve">JENDAMARK AUTOMATION PTY LTD       </t>
  </si>
  <si>
    <t>shaakir</t>
  </si>
  <si>
    <t>POD received from cell 0614332835 M</t>
  </si>
  <si>
    <t xml:space="preserve">BBF SAFETY GROUP PTY LTD           </t>
  </si>
  <si>
    <t>Sybili</t>
  </si>
  <si>
    <t>POD received from cell 0733966806 M</t>
  </si>
  <si>
    <t>ISIPI</t>
  </si>
  <si>
    <t>ISIPINGO</t>
  </si>
  <si>
    <t xml:space="preserve">THE SOUTH AFRICAN BREWERIES LT     </t>
  </si>
  <si>
    <t xml:space="preserve">Vishnu                        </t>
  </si>
  <si>
    <t xml:space="preserve">POD received from cell 0682948962 M     </t>
  </si>
  <si>
    <t xml:space="preserve">UNILEVER SOUTH AFRICA (PTY) LT     </t>
  </si>
  <si>
    <t>RECEVING   STORE</t>
  </si>
  <si>
    <t>leee</t>
  </si>
  <si>
    <t>POD received from cell 0748817308 M</t>
  </si>
  <si>
    <t>Tshepo</t>
  </si>
  <si>
    <t>POD received from cell 0742059629 M</t>
  </si>
  <si>
    <t>MARK</t>
  </si>
  <si>
    <t>Nelly</t>
  </si>
  <si>
    <t xml:space="preserve">NEVILLE CAMAY CC                   </t>
  </si>
  <si>
    <t>NEVILLE</t>
  </si>
  <si>
    <t>Timothy</t>
  </si>
  <si>
    <t>POD received from cell 0643226593 M</t>
  </si>
  <si>
    <t>Cecelia</t>
  </si>
  <si>
    <t>Driver late</t>
  </si>
  <si>
    <t>jam</t>
  </si>
  <si>
    <t xml:space="preserve">ELECTRONIC   POWER                 </t>
  </si>
  <si>
    <t>SUANNE</t>
  </si>
  <si>
    <t>POD received from cell 0823917554 M</t>
  </si>
  <si>
    <t xml:space="preserve">DIVFOOD   NAMPAK                   </t>
  </si>
  <si>
    <t>Lionel</t>
  </si>
  <si>
    <t>POD received from cell 0730260841 M</t>
  </si>
  <si>
    <t>Tanoa</t>
  </si>
  <si>
    <t>POD received from cell 0725230163 M</t>
  </si>
  <si>
    <t xml:space="preserve">BEVCAN A DIV OF NAMPAK PRODUCT     </t>
  </si>
  <si>
    <t>MPHO MALLELA</t>
  </si>
  <si>
    <t>KARABO</t>
  </si>
  <si>
    <t>POD received from cell 0729919507 M</t>
  </si>
  <si>
    <t>clementa</t>
  </si>
  <si>
    <t>POD received from cell 0815893777 M</t>
  </si>
  <si>
    <t>Nicholas</t>
  </si>
  <si>
    <t>Me Sam</t>
  </si>
  <si>
    <t xml:space="preserve">SINGISI FOREST                     </t>
  </si>
  <si>
    <t>Dean</t>
  </si>
  <si>
    <t>POD received from cell 0639164839 M</t>
  </si>
  <si>
    <t xml:space="preserve">AFS - SEBENZA                      </t>
  </si>
  <si>
    <t>moses</t>
  </si>
  <si>
    <t>Consignee not available)</t>
  </si>
  <si>
    <t>TES</t>
  </si>
  <si>
    <t>POD received from cell 0648984486 M</t>
  </si>
  <si>
    <t xml:space="preserve">ATELIER SA PTY LTD                 </t>
  </si>
  <si>
    <t>CATHRINE SMITH</t>
  </si>
  <si>
    <t>Nadine</t>
  </si>
  <si>
    <t>POD received from cell 0810248653 M</t>
  </si>
  <si>
    <t>STILF</t>
  </si>
  <si>
    <t>STILFONTEIN</t>
  </si>
  <si>
    <t xml:space="preserve">STAR MINING SUPPLIES               </t>
  </si>
  <si>
    <t>ILLEG</t>
  </si>
  <si>
    <t>asm</t>
  </si>
  <si>
    <t>j breedt</t>
  </si>
  <si>
    <t>POD received from cell 0671056183 M</t>
  </si>
  <si>
    <t xml:space="preserve">NISSAN SUID-AFRIKA (EDMS)BPK       </t>
  </si>
  <si>
    <t>HENRY</t>
  </si>
  <si>
    <t xml:space="preserve">GRW ENGINERING                     </t>
  </si>
  <si>
    <t>cherman</t>
  </si>
  <si>
    <t>POD received from cell 0651489956 M</t>
  </si>
  <si>
    <t xml:space="preserve">ELECTRO FIELD SERVICES             </t>
  </si>
  <si>
    <t xml:space="preserve">Louise                        </t>
  </si>
  <si>
    <t xml:space="preserve">POD received from cell 0722601650 M     </t>
  </si>
  <si>
    <t xml:space="preserve">FRESENIUS KABI MANUFACTURING       </t>
  </si>
  <si>
    <t>H BROWN</t>
  </si>
  <si>
    <t xml:space="preserve">COREL INSTRUMENTATION   CONTRO     </t>
  </si>
  <si>
    <t>marizelle</t>
  </si>
  <si>
    <t>POD received from cell 0782597533 M</t>
  </si>
  <si>
    <t>Jayson</t>
  </si>
  <si>
    <t xml:space="preserve">LADYSMITH TRADING CO.              </t>
  </si>
  <si>
    <t>REVISHKA</t>
  </si>
  <si>
    <t>POD received from cell 0733056816 M</t>
  </si>
  <si>
    <t>peet</t>
  </si>
  <si>
    <t>POD received from cell 0843582707 M</t>
  </si>
  <si>
    <t xml:space="preserve">T3 PLASTIC PACKAGING               </t>
  </si>
  <si>
    <t xml:space="preserve">CROWN CHICKENS                     </t>
  </si>
  <si>
    <t>NICK JACOBS</t>
  </si>
  <si>
    <t xml:space="preserve">SASOL SYNFUELS                     </t>
  </si>
  <si>
    <t xml:space="preserve">EFAMATIC MACHINE TOOLS             </t>
  </si>
  <si>
    <t xml:space="preserve">BAKHRESA SA (PTY) LTD              </t>
  </si>
  <si>
    <t xml:space="preserve">RCL GROUP SERVICES (PTY) LTD       </t>
  </si>
  <si>
    <t xml:space="preserve">DALEIN AGRI PLAN PTY LTD           </t>
  </si>
  <si>
    <t xml:space="preserve">FLSMIDTH SOUTH AFRICA (PTY)LTD     </t>
  </si>
  <si>
    <t xml:space="preserve">PROGETTO INTERNATIONAL             </t>
  </si>
  <si>
    <t xml:space="preserve">BEVCAN                             </t>
  </si>
  <si>
    <t>SWELL</t>
  </si>
  <si>
    <t>SWELLENDAM</t>
  </si>
  <si>
    <t xml:space="preserve">AUTOMATION WORKS CAPE              </t>
  </si>
  <si>
    <t xml:space="preserve">DR OETKER SOUTH AFRICA (PTY) L     </t>
  </si>
  <si>
    <t xml:space="preserve">DIAGEO SA                          </t>
  </si>
  <si>
    <t>Diageo security</t>
  </si>
  <si>
    <t>HND / FUE / doc</t>
  </si>
  <si>
    <t>SOME2</t>
  </si>
  <si>
    <t>SOMERSET WEST</t>
  </si>
  <si>
    <t xml:space="preserve">SOUTHERN PULP MACHINERY            </t>
  </si>
  <si>
    <t xml:space="preserve">DICKIE   STOCKLER                  </t>
  </si>
  <si>
    <t>MIKE BAROMEN</t>
  </si>
  <si>
    <t>francis</t>
  </si>
  <si>
    <t xml:space="preserve">THOROUGHTEC SIMULATION (PTY)LT     </t>
  </si>
  <si>
    <t xml:space="preserve">Luke                          </t>
  </si>
  <si>
    <t xml:space="preserve">POD received from cell 0834941426 M     </t>
  </si>
  <si>
    <t xml:space="preserve">FUSE - A - TRON CC                 </t>
  </si>
  <si>
    <t xml:space="preserve">COBRA PETRO PROJECTS               </t>
  </si>
  <si>
    <t>AMANZ</t>
  </si>
  <si>
    <t>AMANZIMTOTI</t>
  </si>
  <si>
    <t xml:space="preserve">TI GROUP AUTOMATION SYSTEMS        </t>
  </si>
  <si>
    <t>KEITH FUNNELL</t>
  </si>
  <si>
    <t xml:space="preserve">RESCUE TECHNOLOGY CC               </t>
  </si>
  <si>
    <t xml:space="preserve">EGLI PRECISION ENGENNERING PTY     </t>
  </si>
  <si>
    <t xml:space="preserve">PAARL PNEUMATICS CC                </t>
  </si>
  <si>
    <t xml:space="preserve">AUTOLIV SA                         </t>
  </si>
  <si>
    <t>HND / FUE / DOC</t>
  </si>
  <si>
    <t xml:space="preserve">GOSSAMER STRUCTURES CC             </t>
  </si>
  <si>
    <t xml:space="preserve">SMITHS MANUFACTURING PTY LTD       </t>
  </si>
  <si>
    <t xml:space="preserve">GLEDHOW SUGAR CO. PTY LTD          </t>
  </si>
  <si>
    <t>PATRICK NTULI</t>
  </si>
  <si>
    <t xml:space="preserve">ANDERSON ENGINEERING               </t>
  </si>
  <si>
    <t xml:space="preserve">YUGESH                        </t>
  </si>
  <si>
    <t>Outlying delivery location</t>
  </si>
  <si>
    <t xml:space="preserve">CLURE PROJECTS CC                  </t>
  </si>
  <si>
    <t>SHANE</t>
  </si>
  <si>
    <t>GAYDON</t>
  </si>
  <si>
    <t>Late Linehaul Delayed Beyond Skynet Control</t>
  </si>
  <si>
    <t>UAT</t>
  </si>
  <si>
    <t xml:space="preserve">METROCAS CC                        </t>
  </si>
  <si>
    <t xml:space="preserve">RYMCO PTY LTD T A ANCHOR YEAST     </t>
  </si>
  <si>
    <t>MIA</t>
  </si>
  <si>
    <t>Candice</t>
  </si>
  <si>
    <t>jarrad</t>
  </si>
  <si>
    <t>BENON</t>
  </si>
  <si>
    <t>BENONI</t>
  </si>
  <si>
    <t xml:space="preserve">CONTROL SOLUTIONS INSTRUMENTAT     </t>
  </si>
  <si>
    <t>Pauline</t>
  </si>
  <si>
    <t>POD received from cell 0682118246 M</t>
  </si>
  <si>
    <t>Audrey</t>
  </si>
  <si>
    <t>lindani</t>
  </si>
  <si>
    <t>POD received from cell 0782023821 M</t>
  </si>
  <si>
    <t>GONUB</t>
  </si>
  <si>
    <t>GONUBIE</t>
  </si>
  <si>
    <t xml:space="preserve">TITUS CONSULTING CC                </t>
  </si>
  <si>
    <t>Taryn</t>
  </si>
  <si>
    <t>francina</t>
  </si>
  <si>
    <t>POD received from cell 0766412100 M</t>
  </si>
  <si>
    <t xml:space="preserve">SMITHS MANUFACTURING               </t>
  </si>
  <si>
    <t>Eunice</t>
  </si>
  <si>
    <t>Marenique</t>
  </si>
  <si>
    <t>POD received from cell 0780245853 M</t>
  </si>
  <si>
    <t xml:space="preserve">QUALITECHS                         </t>
  </si>
  <si>
    <t>SAM</t>
  </si>
  <si>
    <t>Larissa</t>
  </si>
  <si>
    <t>nadine</t>
  </si>
  <si>
    <t>uat</t>
  </si>
  <si>
    <t>Jurie</t>
  </si>
  <si>
    <t>POD received from cell 0671592648 M</t>
  </si>
  <si>
    <t>BRIT1</t>
  </si>
  <si>
    <t>BRITS</t>
  </si>
  <si>
    <t xml:space="preserve">BRIDGESTONE FIRESTONE SA PTY L     </t>
  </si>
  <si>
    <t>Esther</t>
  </si>
  <si>
    <t>Company Closed</t>
  </si>
  <si>
    <t>PAD</t>
  </si>
  <si>
    <t>POD received from cell 0646961472 M</t>
  </si>
  <si>
    <t xml:space="preserve">DALE SPIRAL SYSTEMS   BAKERY A     </t>
  </si>
  <si>
    <t>Sipho</t>
  </si>
  <si>
    <t>BETHA</t>
  </si>
  <si>
    <t>BETHAL</t>
  </si>
  <si>
    <t xml:space="preserve">HARTMAN INDUST EQUIPMENT C.C       </t>
  </si>
  <si>
    <t>Ebedneso</t>
  </si>
  <si>
    <t>POD received from cell 0649605980 M</t>
  </si>
  <si>
    <t xml:space="preserve">BMG EAST LONDON                    </t>
  </si>
  <si>
    <t>SHELDON</t>
  </si>
  <si>
    <t xml:space="preserve">SNEAKER SNACKS CC                  </t>
  </si>
  <si>
    <t>SIPHO</t>
  </si>
  <si>
    <t>J C</t>
  </si>
  <si>
    <t>Clifford</t>
  </si>
  <si>
    <t>POD received from cell 0639727870 M</t>
  </si>
  <si>
    <t>BRAKP</t>
  </si>
  <si>
    <t>BRAKPAN</t>
  </si>
  <si>
    <t xml:space="preserve">GFE-MIR                            </t>
  </si>
  <si>
    <t>Gugulethu</t>
  </si>
  <si>
    <t>POD received from cell 0769249034 M</t>
  </si>
  <si>
    <t>Nico</t>
  </si>
  <si>
    <t xml:space="preserve">PYROTECHNICAL MARKETING            </t>
  </si>
  <si>
    <t xml:space="preserve">Joanne                        </t>
  </si>
  <si>
    <t xml:space="preserve">POD received from cell 0736814363 M     </t>
  </si>
  <si>
    <t xml:space="preserve">NEW ERA CHICKENS                   </t>
  </si>
  <si>
    <t>andrea</t>
  </si>
  <si>
    <t xml:space="preserve">LACTALIS SOUTH AFRICA (PTY) LT     </t>
  </si>
  <si>
    <t>frida</t>
  </si>
  <si>
    <t>POD received from cell 0630509171 M</t>
  </si>
  <si>
    <t xml:space="preserve">TOYOTA SA MOTORS                   </t>
  </si>
  <si>
    <t>eric</t>
  </si>
  <si>
    <t xml:space="preserve">GUD HOLDINGS (PTY)LTD              </t>
  </si>
  <si>
    <t>Michael</t>
  </si>
  <si>
    <t>POD received from cell 0682948962 M</t>
  </si>
  <si>
    <t>MOSSE</t>
  </si>
  <si>
    <t>MOSSEL BAY</t>
  </si>
  <si>
    <t xml:space="preserve">CSM BEARING   PNEUMATICS           </t>
  </si>
  <si>
    <t xml:space="preserve">Santie                        </t>
  </si>
  <si>
    <t xml:space="preserve">COCA-COLA BEVERAGES S.A            </t>
  </si>
  <si>
    <t xml:space="preserve">nomthumzi                     </t>
  </si>
  <si>
    <t xml:space="preserve">POD received from cell 0614332835 M     </t>
  </si>
  <si>
    <t>sindiswa</t>
  </si>
  <si>
    <t xml:space="preserve">FUEL INDUSTRY SERVICES PTY LTD     </t>
  </si>
  <si>
    <t>Trevor</t>
  </si>
  <si>
    <t xml:space="preserve">PUREM PORT ELIZABETH               </t>
  </si>
  <si>
    <t>victor</t>
  </si>
  <si>
    <t xml:space="preserve">ROBOTIC HANDLING SYSTEM Cc         </t>
  </si>
  <si>
    <t>Debbie</t>
  </si>
  <si>
    <t>POD received from cell 0746644640 M</t>
  </si>
  <si>
    <t xml:space="preserve">m du toit                     </t>
  </si>
  <si>
    <t>mpho</t>
  </si>
  <si>
    <t xml:space="preserve">BEIER ENVIROTEC                    </t>
  </si>
  <si>
    <t>Sybil</t>
  </si>
  <si>
    <t xml:space="preserve">REPUTECH (PTY)LTD                  </t>
  </si>
  <si>
    <t>johan</t>
  </si>
  <si>
    <t>nic</t>
  </si>
  <si>
    <t>Rani</t>
  </si>
  <si>
    <t>veli</t>
  </si>
  <si>
    <t>POD received from cell 0662667910 M</t>
  </si>
  <si>
    <t xml:space="preserve">MAINSTREET 1310                    </t>
  </si>
  <si>
    <t>RENSIA SCHOEMAN</t>
  </si>
  <si>
    <t>carel</t>
  </si>
  <si>
    <t>POD received from cell 0619232103 M</t>
  </si>
  <si>
    <t xml:space="preserve">BMG New Germany                    </t>
  </si>
  <si>
    <t>Vincent</t>
  </si>
  <si>
    <t xml:space="preserve">NATIONAL BRANDS BIS   SNK DIV      </t>
  </si>
  <si>
    <t>silas</t>
  </si>
  <si>
    <t>Werner</t>
  </si>
  <si>
    <t>POD received from cell 0765515095 M</t>
  </si>
  <si>
    <t xml:space="preserve">TRUDA FOODS (PTY)LTD               </t>
  </si>
  <si>
    <t>voko</t>
  </si>
  <si>
    <t>POD received from cell 0683536748 M</t>
  </si>
  <si>
    <t xml:space="preserve">shaakir                       </t>
  </si>
  <si>
    <t>Blessing</t>
  </si>
  <si>
    <t xml:space="preserve">JAPPIE                        </t>
  </si>
  <si>
    <t>vinesh</t>
  </si>
  <si>
    <t>POD received from cell 0744435413 M</t>
  </si>
  <si>
    <t>BLOE1</t>
  </si>
  <si>
    <t>BLOEMFONTEIN</t>
  </si>
  <si>
    <t xml:space="preserve">HARTMANS INDUTRIAL EQUIPMENT       </t>
  </si>
  <si>
    <t>MICHELLE</t>
  </si>
  <si>
    <t>POD received from cell 0718513053 M</t>
  </si>
  <si>
    <t xml:space="preserve">FAIR CAPE DAIRIES (PTY) LTD        </t>
  </si>
  <si>
    <t>kaylen</t>
  </si>
  <si>
    <t>Late linehaul</t>
  </si>
  <si>
    <t>juh</t>
  </si>
  <si>
    <t xml:space="preserve">COCA - COLA PE                     </t>
  </si>
  <si>
    <t xml:space="preserve">RCL FOODS CONSUMER PTY             </t>
  </si>
  <si>
    <t>igshaan</t>
  </si>
  <si>
    <t xml:space="preserve">BMG BELLVILLE (PTY)LTD             </t>
  </si>
  <si>
    <t>Ronaldo</t>
  </si>
  <si>
    <t xml:space="preserve">ISANTI GLASS 1 (PTY) LTD           </t>
  </si>
  <si>
    <t>Delani</t>
  </si>
  <si>
    <t>POD received from cell 0614699179 M</t>
  </si>
  <si>
    <t xml:space="preserve">PIONEER FOODS GROCERIES (PTY)      </t>
  </si>
  <si>
    <t>Mthandeni</t>
  </si>
  <si>
    <t>POD received from cell 0676928033 M</t>
  </si>
  <si>
    <t>randall</t>
  </si>
  <si>
    <t xml:space="preserve">BEARING MAN GROUP                  </t>
  </si>
  <si>
    <t>TEBOGO</t>
  </si>
  <si>
    <t>graham</t>
  </si>
  <si>
    <t>POD received from cell 0848100592 M</t>
  </si>
  <si>
    <t xml:space="preserve">PRODUCTIVE ENGINEERING CC          </t>
  </si>
  <si>
    <t>SEAN IRWIN</t>
  </si>
  <si>
    <t xml:space="preserve">nikky                         </t>
  </si>
  <si>
    <t xml:space="preserve">WASSERTEC OZONE SYSTEMS            </t>
  </si>
  <si>
    <t>GEHARD</t>
  </si>
  <si>
    <t>NGF</t>
  </si>
  <si>
    <t>POD received from cell 0736814363 M</t>
  </si>
  <si>
    <t>JEFF</t>
  </si>
  <si>
    <t>AVW</t>
  </si>
  <si>
    <t>delia</t>
  </si>
  <si>
    <t>POD received from cell 0833616148 M</t>
  </si>
  <si>
    <t xml:space="preserve">NTIRISANO MINING SUPPLIES CC       </t>
  </si>
  <si>
    <t>Monique</t>
  </si>
  <si>
    <t xml:space="preserve">TI AUTOMOTIVE FUEL SYSTEMS         </t>
  </si>
  <si>
    <t>Russel</t>
  </si>
  <si>
    <t>POD received from cell 0724946102 M</t>
  </si>
  <si>
    <t xml:space="preserve">TRUDA SNACKS                       </t>
  </si>
  <si>
    <t>STANTON</t>
  </si>
  <si>
    <t>POD received from cell 0655575292 M</t>
  </si>
  <si>
    <t>kabelo</t>
  </si>
  <si>
    <t>Missed cutoff</t>
  </si>
  <si>
    <t>cch</t>
  </si>
  <si>
    <t>POD received from cell 0727881903 M</t>
  </si>
  <si>
    <t>Gary</t>
  </si>
  <si>
    <t xml:space="preserve">POLYOAK PACKAGING (PTY) LTD        </t>
  </si>
  <si>
    <t>evette</t>
  </si>
  <si>
    <t>POD received from cell 0760754539 M</t>
  </si>
  <si>
    <t xml:space="preserve">EXCEL TOOLING                      </t>
  </si>
  <si>
    <t>Gwen</t>
  </si>
  <si>
    <t xml:space="preserve">LBE LIGHTING AND ELECTRICAL PT     </t>
  </si>
  <si>
    <t>Francois</t>
  </si>
  <si>
    <t xml:space="preserve">FELTEX AUTOMOTIVE DIVISION         </t>
  </si>
  <si>
    <t>Mendy</t>
  </si>
  <si>
    <t xml:space="preserve">A C PNEUMATICS                     </t>
  </si>
  <si>
    <t>Sarah</t>
  </si>
  <si>
    <t xml:space="preserve">Ilze                          </t>
  </si>
  <si>
    <t xml:space="preserve">MATZONOX (PTY)LTD                  </t>
  </si>
  <si>
    <t>Returned to sender on waybill</t>
  </si>
  <si>
    <t>Returned to sender on waybill number RFE</t>
  </si>
  <si>
    <t xml:space="preserve">DE BEERS CONSOLIDATE MINES LTD     </t>
  </si>
  <si>
    <t>AMANDA LIEBENBERG</t>
  </si>
  <si>
    <t>RFES1162844508</t>
  </si>
  <si>
    <t>Client refused delivery</t>
  </si>
  <si>
    <t xml:space="preserve">NIORO PLASTICS                     </t>
  </si>
  <si>
    <t>POD received from cell 0734641150 M</t>
  </si>
  <si>
    <t xml:space="preserve">ACCUTECH WEIGHING SERVICES         </t>
  </si>
  <si>
    <t>sandra</t>
  </si>
  <si>
    <t xml:space="preserve">ADCOCK INGRAM CRITICAL CARE PT     </t>
  </si>
  <si>
    <t>Mhlanga</t>
  </si>
  <si>
    <t>ANDILE</t>
  </si>
  <si>
    <t>Hold for Collection</t>
  </si>
  <si>
    <t>avw</t>
  </si>
  <si>
    <t>POD received from cell 0734775152 M</t>
  </si>
  <si>
    <t>chaz</t>
  </si>
  <si>
    <t xml:space="preserve">H.G MOLENAAR (PTY)LTD              </t>
  </si>
  <si>
    <t>Moses</t>
  </si>
  <si>
    <t>POD received from cell 0837842726 M</t>
  </si>
  <si>
    <t>Khaya</t>
  </si>
  <si>
    <t>Msah</t>
  </si>
  <si>
    <t>sello</t>
  </si>
  <si>
    <t xml:space="preserve">Jurie                         </t>
  </si>
  <si>
    <t>illeg</t>
  </si>
  <si>
    <t>SHERIFF</t>
  </si>
  <si>
    <t>mayika</t>
  </si>
  <si>
    <t>PARCLE</t>
  </si>
  <si>
    <t>jade</t>
  </si>
  <si>
    <t xml:space="preserve">TECHNOGRAN                         </t>
  </si>
  <si>
    <t>VICKY</t>
  </si>
  <si>
    <t>POD received from cell 0795555671 M</t>
  </si>
  <si>
    <t xml:space="preserve">ARREAU INDUSTRIES PTY LTD          </t>
  </si>
  <si>
    <t>LINDY LEE BEYERS</t>
  </si>
  <si>
    <t>ALLAN</t>
  </si>
  <si>
    <t>POD received from cell 0748410312 M</t>
  </si>
  <si>
    <t xml:space="preserve">MITTAL STEEL SOUTH AFRICA LIMI     </t>
  </si>
  <si>
    <t>COLLIN - CENTRAL RECEIVING</t>
  </si>
  <si>
    <t>Mbalentle</t>
  </si>
  <si>
    <t>POD received from cell 0726258782 M</t>
  </si>
  <si>
    <t xml:space="preserve">j breedt                      </t>
  </si>
  <si>
    <t xml:space="preserve">POD received from cell 0671056183 M     </t>
  </si>
  <si>
    <t xml:space="preserve">PRIMA INDUSTRIAL HOLDINGS          </t>
  </si>
  <si>
    <t>ISHMAEL</t>
  </si>
  <si>
    <t>POD received from cell 0839573774 M</t>
  </si>
  <si>
    <t>MTUBA</t>
  </si>
  <si>
    <t>MTUBATUBA</t>
  </si>
  <si>
    <t xml:space="preserve">UMFOLOZI SUGAR MILL PTY LTD        </t>
  </si>
  <si>
    <t>VUSI</t>
  </si>
  <si>
    <t xml:space="preserve">DRYTECH INTERNATIONAL PTY LTD      </t>
  </si>
  <si>
    <t>TREVIN KUPPUSAMI</t>
  </si>
  <si>
    <t>CHRISSIE</t>
  </si>
  <si>
    <t xml:space="preserve">PREMIER FMCG (PTY) LTD             </t>
  </si>
  <si>
    <t>gumede</t>
  </si>
  <si>
    <t xml:space="preserve">ANG INDUSTRIAL SOLUTIONS (PTY)     </t>
  </si>
  <si>
    <t>Micaela</t>
  </si>
  <si>
    <t>Bheki</t>
  </si>
  <si>
    <t xml:space="preserve">Kathleen                      </t>
  </si>
  <si>
    <t xml:space="preserve">POD received from cell 0738058187 M     </t>
  </si>
  <si>
    <t>Kathleen</t>
  </si>
  <si>
    <t>STANG</t>
  </si>
  <si>
    <t>STANGER</t>
  </si>
  <si>
    <t xml:space="preserve">PIONEER FOOD PTY LTD               </t>
  </si>
  <si>
    <t>thavi</t>
  </si>
  <si>
    <t>POD received from cell 076995128 M</t>
  </si>
  <si>
    <t xml:space="preserve">SAPPI SA LTD                       </t>
  </si>
  <si>
    <t>d pillay</t>
  </si>
  <si>
    <t xml:space="preserve">CSIR PRETORIA                      </t>
  </si>
  <si>
    <t xml:space="preserve">grace                         </t>
  </si>
  <si>
    <t xml:space="preserve">POD received from cell 0723623160 M     </t>
  </si>
  <si>
    <t xml:space="preserve">NON FERROUS METAL WORKS SA PTY     </t>
  </si>
  <si>
    <t>SHARMALA LACHMAN</t>
  </si>
  <si>
    <t xml:space="preserve">SPECPHARM HOLDINGS (PTY)LTD        </t>
  </si>
  <si>
    <t>Lindiwe</t>
  </si>
  <si>
    <t>POD received from cell 0607554553 M</t>
  </si>
  <si>
    <t xml:space="preserve">ASSA ABLOY (SA)(PTY) LTD           </t>
  </si>
  <si>
    <t>johannes</t>
  </si>
  <si>
    <t xml:space="preserve">CINEFX CC                          </t>
  </si>
  <si>
    <t xml:space="preserve">sian                          </t>
  </si>
  <si>
    <t xml:space="preserve">POD received from cell 0683536748 M     </t>
  </si>
  <si>
    <t xml:space="preserve">TROPICAL PLASTICS   PACKAGING      </t>
  </si>
  <si>
    <t>Faeez</t>
  </si>
  <si>
    <t>BRONK</t>
  </si>
  <si>
    <t>BRONKHORSTSPRUIT</t>
  </si>
  <si>
    <t xml:space="preserve">SASOL DYNO NOBEL PTY LTD           </t>
  </si>
  <si>
    <t>Koos</t>
  </si>
  <si>
    <t>POD received from cell 0835292772 M</t>
  </si>
  <si>
    <t>MICAELA</t>
  </si>
  <si>
    <t>Abigail</t>
  </si>
  <si>
    <t>mmd</t>
  </si>
  <si>
    <t>POD received from cell 0684995190 M</t>
  </si>
  <si>
    <t xml:space="preserve">MSG SYSTEMS                        </t>
  </si>
  <si>
    <t>nonceba</t>
  </si>
  <si>
    <t xml:space="preserve">MAVTECH                            </t>
  </si>
  <si>
    <t>Suwellen</t>
  </si>
  <si>
    <t xml:space="preserve">FEDERAL MOGUL ENGINE BEARINGS      </t>
  </si>
  <si>
    <t>Bonny</t>
  </si>
  <si>
    <t>HOWIC</t>
  </si>
  <si>
    <t>HOWICK</t>
  </si>
  <si>
    <t xml:space="preserve">FAIRFIELD DAIRY PTY LTD            </t>
  </si>
  <si>
    <t>ndumido</t>
  </si>
  <si>
    <t xml:space="preserve">KIMBERLEY-CLARK S.A                </t>
  </si>
  <si>
    <t>mbonomtsha</t>
  </si>
  <si>
    <t xml:space="preserve">WESSERTEC O ZONE                   </t>
  </si>
  <si>
    <t>STEVEN FRY</t>
  </si>
  <si>
    <t>ELIA</t>
  </si>
  <si>
    <t xml:space="preserve">MARCOM PLASTICS CC                 </t>
  </si>
  <si>
    <t xml:space="preserve">Respect                       </t>
  </si>
  <si>
    <t xml:space="preserve">POD received from cell 0729919507 M     </t>
  </si>
  <si>
    <t xml:space="preserve">NIVESH                        </t>
  </si>
  <si>
    <t xml:space="preserve">COEGA DAIRY (PTY) LTD              </t>
  </si>
  <si>
    <t>KIRSTEN LEE DEARY</t>
  </si>
  <si>
    <t>anuerine</t>
  </si>
  <si>
    <t xml:space="preserve">anwar                         </t>
  </si>
  <si>
    <t xml:space="preserve">POD received from cell 0625964993 M     </t>
  </si>
  <si>
    <t xml:space="preserve">TIGER CONSUMER BRANDS              </t>
  </si>
  <si>
    <t>Engineering Stores</t>
  </si>
  <si>
    <t>s mhkize</t>
  </si>
  <si>
    <t>william</t>
  </si>
  <si>
    <t xml:space="preserve">ZETES (PTY)LTD                     </t>
  </si>
  <si>
    <t>thabang</t>
  </si>
  <si>
    <t xml:space="preserve">THERMTRON SCIENTIFIC CC            </t>
  </si>
  <si>
    <t>Megan</t>
  </si>
  <si>
    <t>Bad address</t>
  </si>
  <si>
    <t>SYSTEM</t>
  </si>
  <si>
    <t>POD received from cell 0726813383 M</t>
  </si>
  <si>
    <t xml:space="preserve">LAUB ENGIEERING PTY LTD            </t>
  </si>
  <si>
    <t>gerald</t>
  </si>
  <si>
    <t>t roux</t>
  </si>
  <si>
    <t>POD received from cell 0711696181 M</t>
  </si>
  <si>
    <t xml:space="preserve">VANNPAX PTYLTD                     </t>
  </si>
  <si>
    <t>NTUTHUZELO</t>
  </si>
  <si>
    <t xml:space="preserve">PRODUCTIVE SYSTEMS CC              </t>
  </si>
  <si>
    <t>Arno</t>
  </si>
  <si>
    <t xml:space="preserve">BRANDLINE PACKAGING (PTY)LTD       </t>
  </si>
  <si>
    <t>charity</t>
  </si>
  <si>
    <t>Angeline</t>
  </si>
  <si>
    <t xml:space="preserve">FOODCORP PTY LTD                   </t>
  </si>
  <si>
    <t xml:space="preserve">adenende                      </t>
  </si>
  <si>
    <t xml:space="preserve">POD received from cell 0619232103 M     </t>
  </si>
  <si>
    <t xml:space="preserve">UNILEVER SA                        </t>
  </si>
  <si>
    <t>MALAN</t>
  </si>
  <si>
    <t xml:space="preserve">FOXOLUTION SYSTEMS ENG CC          </t>
  </si>
  <si>
    <t>roshuni</t>
  </si>
  <si>
    <t>sidwell</t>
  </si>
  <si>
    <t>POD received from cell 0715270557 M</t>
  </si>
  <si>
    <t>thulani</t>
  </si>
  <si>
    <t xml:space="preserve">HALL LONGMORE HOLDINGS PTY LTD     </t>
  </si>
  <si>
    <t>PENIEL MARX</t>
  </si>
  <si>
    <t xml:space="preserve">Matillda                      </t>
  </si>
  <si>
    <t xml:space="preserve">TOYOTA SA MOTORS (PTY) LTD         </t>
  </si>
  <si>
    <t xml:space="preserve">S Munsumi                     </t>
  </si>
  <si>
    <t>BALF2</t>
  </si>
  <si>
    <t>BALFOUR (TVL)</t>
  </si>
  <si>
    <t xml:space="preserve">KARAN BEEF (PTY) LTD               </t>
  </si>
  <si>
    <t>anold</t>
  </si>
  <si>
    <t>POD received from cell 0716086241 M</t>
  </si>
  <si>
    <t xml:space="preserve">FLS TECHNICAL SERVICE              </t>
  </si>
  <si>
    <t>Rob camp</t>
  </si>
  <si>
    <t xml:space="preserve">NESTLE SOUTH AFRICA (PTY) L.T.     </t>
  </si>
  <si>
    <t xml:space="preserve">kavenesh                      </t>
  </si>
  <si>
    <t xml:space="preserve">OUTOTEC (RSA) PTY (PTY)            </t>
  </si>
  <si>
    <t xml:space="preserve">KAVENESH                      </t>
  </si>
  <si>
    <t xml:space="preserve">TINY KEG CAN                       </t>
  </si>
  <si>
    <t>Sandra</t>
  </si>
  <si>
    <t>DELMA</t>
  </si>
  <si>
    <t>DELMAS</t>
  </si>
  <si>
    <t xml:space="preserve">MCCAIN FOOD SOUTH AFRICA PTY L     </t>
  </si>
  <si>
    <t>Mduu</t>
  </si>
  <si>
    <t>POD received from cell 0787999195 M</t>
  </si>
  <si>
    <t>Emmanuel</t>
  </si>
  <si>
    <t>TONGA</t>
  </si>
  <si>
    <t>TONGAAT</t>
  </si>
  <si>
    <t xml:space="preserve">TONGAAT HULETTS GROUP LIMITED      </t>
  </si>
  <si>
    <t>Trevor Moodley</t>
  </si>
  <si>
    <t>POD received from cell 0732603055 M</t>
  </si>
  <si>
    <t>MANZEL</t>
  </si>
  <si>
    <t>CCH</t>
  </si>
  <si>
    <t>SHEKDON</t>
  </si>
  <si>
    <t>fanie</t>
  </si>
  <si>
    <t>POD received from cell 0795886601 M</t>
  </si>
  <si>
    <t xml:space="preserve">NUHR FREIGHT IMPORTERS   EPORT     </t>
  </si>
  <si>
    <t>Returned to sender on waybill number R00</t>
  </si>
  <si>
    <t>pree</t>
  </si>
  <si>
    <t>KATHLEEN</t>
  </si>
  <si>
    <t>g lundall</t>
  </si>
  <si>
    <t>caleb</t>
  </si>
  <si>
    <t>JABULANI</t>
  </si>
  <si>
    <t>RANI</t>
  </si>
  <si>
    <t xml:space="preserve">REEF CONSTRUCTION MACHINERY        </t>
  </si>
  <si>
    <t xml:space="preserve">Andre                         </t>
  </si>
  <si>
    <t xml:space="preserve">POD received from cell 0837842726 M     </t>
  </si>
  <si>
    <t xml:space="preserve">Waldo                         </t>
  </si>
  <si>
    <t xml:space="preserve">SP AUTOMOTIVE PROFILE SCALING      </t>
  </si>
  <si>
    <t>Lefe</t>
  </si>
  <si>
    <t>POD received from cell 0625964993 M</t>
  </si>
  <si>
    <t xml:space="preserve">Taryn                         </t>
  </si>
  <si>
    <t xml:space="preserve">POD received from cell 0631024628 M     </t>
  </si>
  <si>
    <t xml:space="preserve">RAPID INDUSTRIAL SUPPLIES (PTY     </t>
  </si>
  <si>
    <t>wez wez</t>
  </si>
  <si>
    <t xml:space="preserve">BUHLER PTY LTD                     </t>
  </si>
  <si>
    <t>MOSES MATHE</t>
  </si>
  <si>
    <t>xolani</t>
  </si>
  <si>
    <t>POD received from cell 0789676329 M</t>
  </si>
  <si>
    <t xml:space="preserve">FAURECIA EMISSIONS CONTROL         </t>
  </si>
  <si>
    <t xml:space="preserve">nomvuyo                       </t>
  </si>
  <si>
    <t>mbali</t>
  </si>
  <si>
    <t>jap</t>
  </si>
  <si>
    <t xml:space="preserve">HERAEUS ELECTRO NITE               </t>
  </si>
  <si>
    <t>ROCHELLE</t>
  </si>
  <si>
    <t>Priscilla</t>
  </si>
  <si>
    <t xml:space="preserve">BEARINGS ON CC                     </t>
  </si>
  <si>
    <t xml:space="preserve">chadd                         </t>
  </si>
  <si>
    <t xml:space="preserve">POD received from cell 0825419099 M     </t>
  </si>
  <si>
    <t>mikael</t>
  </si>
  <si>
    <t>thobejane</t>
  </si>
  <si>
    <t xml:space="preserve">ESSILOR SOUTH AFRICA (PTY)LTD      </t>
  </si>
  <si>
    <t xml:space="preserve">marguel                       </t>
  </si>
  <si>
    <t xml:space="preserve">TURNCO ENGINEERING CC              </t>
  </si>
  <si>
    <t>grant</t>
  </si>
  <si>
    <t>Danny</t>
  </si>
  <si>
    <t>baij</t>
  </si>
  <si>
    <t>J WALLER</t>
  </si>
  <si>
    <t xml:space="preserve">NATIONAL BRAND                     </t>
  </si>
  <si>
    <t>sfiso</t>
  </si>
  <si>
    <t xml:space="preserve">CTP PRINTERS CPT                   </t>
  </si>
  <si>
    <t>n africa</t>
  </si>
  <si>
    <t>Paul</t>
  </si>
  <si>
    <t xml:space="preserve">FAURENTIA INTERIOR SYSTEMS         </t>
  </si>
  <si>
    <t>CLINTON</t>
  </si>
  <si>
    <t>KATHY</t>
  </si>
  <si>
    <t>ryan</t>
  </si>
  <si>
    <t>SEB</t>
  </si>
  <si>
    <t>UMKOM</t>
  </si>
  <si>
    <t>UMKOMAAS</t>
  </si>
  <si>
    <t xml:space="preserve">SAPPI GLOBAL BUSINESS SERVICES     </t>
  </si>
  <si>
    <t>KHETHINKOSI</t>
  </si>
  <si>
    <t>LEP</t>
  </si>
  <si>
    <t>J WALLEN</t>
  </si>
  <si>
    <t>Ben</t>
  </si>
  <si>
    <t>JEANETTE</t>
  </si>
  <si>
    <t xml:space="preserve">ELBCON PROPRIEATRY                 </t>
  </si>
  <si>
    <t>thabitha</t>
  </si>
  <si>
    <t xml:space="preserve">ELEMENT SIX PRODUCTION             </t>
  </si>
  <si>
    <t>ESETU</t>
  </si>
  <si>
    <t>NEVILLE CAMAY</t>
  </si>
  <si>
    <t>JUREL</t>
  </si>
  <si>
    <t>JAMES</t>
  </si>
  <si>
    <t>bonny</t>
  </si>
  <si>
    <t xml:space="preserve">SPRING MEADOW DAIRY FARM (PTY)     </t>
  </si>
  <si>
    <t>JABU</t>
  </si>
  <si>
    <t xml:space="preserve">BLISS BRANDS (PTY)LTD              </t>
  </si>
  <si>
    <t>Yasin</t>
  </si>
  <si>
    <t xml:space="preserve">STRIDENT ENGINEERING CC            </t>
  </si>
  <si>
    <t>Renaldo October</t>
  </si>
  <si>
    <t>Renaldo</t>
  </si>
  <si>
    <t xml:space="preserve">MAIN STREET 1310(PTY) L.T.D        </t>
  </si>
  <si>
    <t>Modise</t>
  </si>
  <si>
    <t>cebo</t>
  </si>
  <si>
    <t>Surine</t>
  </si>
  <si>
    <t xml:space="preserve">THYSSENKRUPP SOUTH AFRICA          </t>
  </si>
  <si>
    <t>Lisbeth</t>
  </si>
  <si>
    <t>POD received from cell 0720457394 M</t>
  </si>
  <si>
    <t>NIVESH</t>
  </si>
  <si>
    <t>richard</t>
  </si>
  <si>
    <t>RESEND</t>
  </si>
  <si>
    <t>r009942045051</t>
  </si>
  <si>
    <t>bem</t>
  </si>
  <si>
    <t xml:space="preserve">KELLOGGS CO OF SA                  </t>
  </si>
  <si>
    <t>ISAAC</t>
  </si>
  <si>
    <t xml:space="preserve">nandipha                      </t>
  </si>
  <si>
    <t xml:space="preserve">BRADCHER INDUSTRIAL WHOLESALER     </t>
  </si>
  <si>
    <t xml:space="preserve">Julie                         </t>
  </si>
  <si>
    <t xml:space="preserve">POD received from cell 0682118246 M     </t>
  </si>
  <si>
    <t>ayanda</t>
  </si>
  <si>
    <t xml:space="preserve">MARY                          </t>
  </si>
  <si>
    <t xml:space="preserve">DISTELL (PTY) LTD                  </t>
  </si>
  <si>
    <t>s thompson</t>
  </si>
  <si>
    <t xml:space="preserve">MICROMATH TRADING 168 CC           </t>
  </si>
  <si>
    <t>THEUNIS TALJAARD</t>
  </si>
  <si>
    <t>Leo</t>
  </si>
  <si>
    <t xml:space="preserve">TRITON PHARMACRE CORPORATE         </t>
  </si>
  <si>
    <t>ivone</t>
  </si>
  <si>
    <t xml:space="preserve">ILLOVO SUGAR                       </t>
  </si>
  <si>
    <t xml:space="preserve">illeg                         </t>
  </si>
  <si>
    <t>shireen</t>
  </si>
  <si>
    <t>BETHL</t>
  </si>
  <si>
    <t>BETHLEHEM</t>
  </si>
  <si>
    <t xml:space="preserve">BUILD IT BETLHEHEM                 </t>
  </si>
  <si>
    <t>GAIA</t>
  </si>
  <si>
    <t>POD received from cell 0721927500 M</t>
  </si>
  <si>
    <t>Peter</t>
  </si>
  <si>
    <t>Sibin</t>
  </si>
  <si>
    <t xml:space="preserve">UCL COMPANY                        </t>
  </si>
  <si>
    <t xml:space="preserve">cecilia                       </t>
  </si>
  <si>
    <t>Vehicle breakdown</t>
  </si>
  <si>
    <t xml:space="preserve">POD received from cell 0680123070 M     </t>
  </si>
  <si>
    <t xml:space="preserve">VOLKSWAGEN OF SA (VC 3055)         </t>
  </si>
  <si>
    <t>andiswa</t>
  </si>
  <si>
    <t>Stanton</t>
  </si>
  <si>
    <t>VIshnu</t>
  </si>
  <si>
    <t xml:space="preserve">UNILEVER SA PTY LTD                </t>
  </si>
  <si>
    <t>NUH</t>
  </si>
  <si>
    <t>NDUMISO</t>
  </si>
  <si>
    <t xml:space="preserve">TOPLINE TOOLING (PTY) LTD          </t>
  </si>
  <si>
    <t>Jerry</t>
  </si>
  <si>
    <t xml:space="preserve">CB PNEUMATICS PTY LTD              </t>
  </si>
  <si>
    <t>ELMARIE</t>
  </si>
  <si>
    <t>Gino</t>
  </si>
  <si>
    <t xml:space="preserve">POLYOAK PACKAGING PTY LTD          </t>
  </si>
  <si>
    <t>mbeytel</t>
  </si>
  <si>
    <t xml:space="preserve">SENIOR FLEXONICS (SA) (PTY) LT     </t>
  </si>
  <si>
    <t>Wendy</t>
  </si>
  <si>
    <t>nikky</t>
  </si>
  <si>
    <t>RANDF</t>
  </si>
  <si>
    <t>RANDFONTEIN</t>
  </si>
  <si>
    <t xml:space="preserve">RCL FOODCORP (PTY) LTD             </t>
  </si>
  <si>
    <t>Gent</t>
  </si>
  <si>
    <t>POD received from cell 0616244616 M</t>
  </si>
  <si>
    <t xml:space="preserve">Rfes1162844772                </t>
  </si>
  <si>
    <t xml:space="preserve">MED ENGINEERING (PTY) LTD          </t>
  </si>
  <si>
    <t>Randal</t>
  </si>
  <si>
    <t xml:space="preserve">PETER MILLER   DAD                 </t>
  </si>
  <si>
    <t>CONNIE MILLER</t>
  </si>
  <si>
    <t xml:space="preserve">Astan                         </t>
  </si>
  <si>
    <t>Ntembeko</t>
  </si>
  <si>
    <t xml:space="preserve">normad                        </t>
  </si>
  <si>
    <t xml:space="preserve">HYDRAQUIP                          </t>
  </si>
  <si>
    <t>L LE RICHE</t>
  </si>
  <si>
    <t xml:space="preserve">FAMOUS BRANDS MANAGEMENT           </t>
  </si>
  <si>
    <t>curs</t>
  </si>
  <si>
    <t>POD received from cell 0825055794 M</t>
  </si>
  <si>
    <t xml:space="preserve">FESTO                              </t>
  </si>
  <si>
    <t>PIERRE</t>
  </si>
  <si>
    <t>MARK THOMPSON</t>
  </si>
  <si>
    <t>POD received from cell 0764958693 M</t>
  </si>
  <si>
    <t xml:space="preserve">ELECTRO MECH SERVICES Cc           </t>
  </si>
  <si>
    <t xml:space="preserve">Gavin                         </t>
  </si>
  <si>
    <t>GOSSAMER STRUCTURES CC</t>
  </si>
  <si>
    <t xml:space="preserve">FESTO PLZ                          </t>
  </si>
  <si>
    <t>BARRY JANE</t>
  </si>
  <si>
    <t>Berdus</t>
  </si>
  <si>
    <t xml:space="preserve">THE HYDRAULIC CONNECTION           </t>
  </si>
  <si>
    <t>SABELO</t>
  </si>
  <si>
    <t>wossey</t>
  </si>
  <si>
    <t xml:space="preserve">SMA ENGINEERING S.A. (PTY) LTD     </t>
  </si>
  <si>
    <t>LEON</t>
  </si>
  <si>
    <t xml:space="preserve">QUANTUM MECHANICAL CC              </t>
  </si>
  <si>
    <t>justine</t>
  </si>
  <si>
    <t xml:space="preserve">PATERSON HUGHES ENGINEERING        </t>
  </si>
  <si>
    <t>Samuel</t>
  </si>
  <si>
    <t xml:space="preserve">SCHULLPAK GAUTENG (PTY)LTD         </t>
  </si>
  <si>
    <t>rfes1162844526 as per siyabong</t>
  </si>
  <si>
    <t>sam</t>
  </si>
  <si>
    <t xml:space="preserve">NIREN                         </t>
  </si>
  <si>
    <t>PIET2</t>
  </si>
  <si>
    <t>PIETERSBURG</t>
  </si>
  <si>
    <t>Tebogo</t>
  </si>
  <si>
    <t>POD received from cell 0795513816 M</t>
  </si>
  <si>
    <t>TZANE</t>
  </si>
  <si>
    <t>TZANEEN</t>
  </si>
  <si>
    <t xml:space="preserve">MERENSKY THIMBER (PTY)LTD          </t>
  </si>
  <si>
    <t>doris</t>
  </si>
  <si>
    <t>POD received from cell 0766992819 M</t>
  </si>
  <si>
    <t>Sandisile</t>
  </si>
  <si>
    <t xml:space="preserve">ILLOVO SUGAR LTD-ESTON MILL        </t>
  </si>
  <si>
    <t>PRUNEL REDDY</t>
  </si>
  <si>
    <t>senzo</t>
  </si>
  <si>
    <t xml:space="preserve">CTP WEB PRINTERS JOHANNESBURG      </t>
  </si>
  <si>
    <t>hecter</t>
  </si>
  <si>
    <t xml:space="preserve">COCA-COLA BEVERAGES SOUTH AFRI     </t>
  </si>
  <si>
    <t>Gounden</t>
  </si>
  <si>
    <t>POD received from cell 0783170256 M</t>
  </si>
  <si>
    <t>Alfred</t>
  </si>
  <si>
    <t>Dewald</t>
  </si>
  <si>
    <t>Flyer PARCEL</t>
  </si>
  <si>
    <t xml:space="preserve">Marvin                        </t>
  </si>
  <si>
    <t xml:space="preserve">POD received from cell 0765515095 M     </t>
  </si>
  <si>
    <t>Sheldon</t>
  </si>
  <si>
    <t>POD received from cell 0728723884 M</t>
  </si>
  <si>
    <t xml:space="preserve">Marry                         </t>
  </si>
  <si>
    <t xml:space="preserve">POD received from cell 0726258782 M     </t>
  </si>
  <si>
    <t>Mev Lea</t>
  </si>
  <si>
    <t>MERVIN</t>
  </si>
  <si>
    <t xml:space="preserve">GATEWAY TECHNICAL CC               </t>
  </si>
  <si>
    <t xml:space="preserve">E  Dias                       </t>
  </si>
  <si>
    <t xml:space="preserve">POD received from cell 0735259618 M     </t>
  </si>
  <si>
    <t>nuraan</t>
  </si>
  <si>
    <t xml:space="preserve">ACTIVE ENTERPRISES CC              </t>
  </si>
  <si>
    <t>Quinton</t>
  </si>
  <si>
    <t>Theo</t>
  </si>
  <si>
    <t xml:space="preserve">CONTINENTAL CHINA (PTY)LTD         </t>
  </si>
  <si>
    <t>Andrea</t>
  </si>
  <si>
    <t>Nelly and Kala</t>
  </si>
  <si>
    <t>Shane</t>
  </si>
  <si>
    <t>avi</t>
  </si>
  <si>
    <t>POD received from cell 0849819699 M</t>
  </si>
  <si>
    <t>Vishnu</t>
  </si>
  <si>
    <t xml:space="preserve">EVEREST EQUIPMENT AND CONTROL      </t>
  </si>
  <si>
    <t>tisha</t>
  </si>
  <si>
    <t xml:space="preserve">NAMPAK CLOSURES                    </t>
  </si>
  <si>
    <t>nathan</t>
  </si>
  <si>
    <t xml:space="preserve">TRANSNET ENGINEERING               </t>
  </si>
  <si>
    <t xml:space="preserve">Pneu Automation (Pty) Ltd          </t>
  </si>
  <si>
    <t>HOLD FOR COLLECTION</t>
  </si>
  <si>
    <t xml:space="preserve">FRIEDA                        </t>
  </si>
  <si>
    <t xml:space="preserve">POD received from cell 0655575292 M     </t>
  </si>
  <si>
    <t xml:space="preserve">MAXION WHEELS SA                   </t>
  </si>
  <si>
    <t>ERNEST MOREMEDI</t>
  </si>
  <si>
    <t>sibongile</t>
  </si>
  <si>
    <t>saba</t>
  </si>
  <si>
    <t>Alan</t>
  </si>
  <si>
    <t>POD received from cell 0607360100 M</t>
  </si>
  <si>
    <t>khumutso</t>
  </si>
  <si>
    <t xml:space="preserve">PREMIER FMCG                       </t>
  </si>
  <si>
    <t>JABULANI MAKAMU</t>
  </si>
  <si>
    <t>Belinda</t>
  </si>
  <si>
    <t>POD received from cell 0611615708 M</t>
  </si>
  <si>
    <t xml:space="preserve">EGLI PRECISION ENGINEERING PTY     </t>
  </si>
  <si>
    <t>VUKILE</t>
  </si>
  <si>
    <t xml:space="preserve">wesley                        </t>
  </si>
  <si>
    <t xml:space="preserve">EXPLOSION PROTECTED                </t>
  </si>
  <si>
    <t>Benn</t>
  </si>
  <si>
    <t>POD received from cell 0713017212 M</t>
  </si>
  <si>
    <t>Louise</t>
  </si>
  <si>
    <t>POD received from cell 0722601650 M</t>
  </si>
  <si>
    <t xml:space="preserve">reggie                        </t>
  </si>
  <si>
    <t xml:space="preserve">POD received from cell 0746644640 M     </t>
  </si>
  <si>
    <t xml:space="preserve">Randal                        </t>
  </si>
  <si>
    <t xml:space="preserve">HIGH TECH PROCESSING PTY LTD       </t>
  </si>
  <si>
    <t xml:space="preserve">Innocentia                    </t>
  </si>
  <si>
    <t xml:space="preserve">POD received from cell 0607554553 M     </t>
  </si>
  <si>
    <t>David</t>
  </si>
  <si>
    <t>ntembeko</t>
  </si>
  <si>
    <t xml:space="preserve">POLYOAK PACKAGING                  </t>
  </si>
  <si>
    <t>baytel</t>
  </si>
  <si>
    <t>constance</t>
  </si>
  <si>
    <t xml:space="preserve">TONGAAT HULLETTS GROUP LTD         </t>
  </si>
  <si>
    <t>cheryl</t>
  </si>
  <si>
    <t xml:space="preserve">MAHLE BEHR SOUTH AFRCA (PTY) L     </t>
  </si>
  <si>
    <t>Nokuthula</t>
  </si>
  <si>
    <t>NICHOLUS</t>
  </si>
  <si>
    <t>DOC / FUE</t>
  </si>
  <si>
    <t xml:space="preserve">HYDRAULIC COMPONENTS CC            </t>
  </si>
  <si>
    <t>BHARESH POONEE</t>
  </si>
  <si>
    <t>Shaun</t>
  </si>
  <si>
    <t>POD received from cell 0728883541 M</t>
  </si>
  <si>
    <t xml:space="preserve">HEAT AND CONTROL (PTY) LTD         </t>
  </si>
  <si>
    <t>Sarel</t>
  </si>
  <si>
    <t>katia</t>
  </si>
  <si>
    <t>henry</t>
  </si>
  <si>
    <t>Caroline</t>
  </si>
  <si>
    <t xml:space="preserve">abigail                       </t>
  </si>
  <si>
    <t xml:space="preserve">POLYOAK PACKAGING (PTY)LTD         </t>
  </si>
  <si>
    <t>anrich</t>
  </si>
  <si>
    <t>KARAN BEEF  PTY  LTD</t>
  </si>
  <si>
    <t>sipho</t>
  </si>
  <si>
    <t>POD received from cell 0723551445 M</t>
  </si>
  <si>
    <t xml:space="preserve">LIQUI BOX                          </t>
  </si>
  <si>
    <t>A Sars</t>
  </si>
  <si>
    <t>POD received from cell 0833656676 M</t>
  </si>
  <si>
    <t xml:space="preserve">MECHANICAL CONCEPTS CC             </t>
  </si>
  <si>
    <t xml:space="preserve">Trevor                        </t>
  </si>
  <si>
    <t xml:space="preserve">Gary                          </t>
  </si>
  <si>
    <t>Cindy</t>
  </si>
  <si>
    <t xml:space="preserve">SHONES AUTOMATION                  </t>
  </si>
  <si>
    <t>Musa</t>
  </si>
  <si>
    <t>Msizi</t>
  </si>
  <si>
    <t>Jack</t>
  </si>
  <si>
    <t>sanrietha</t>
  </si>
  <si>
    <t>Neville</t>
  </si>
  <si>
    <t>joice</t>
  </si>
  <si>
    <t>Richard</t>
  </si>
  <si>
    <t>super</t>
  </si>
  <si>
    <t xml:space="preserve">collie                        </t>
  </si>
  <si>
    <t xml:space="preserve">POD received from cell 0678407293 M     </t>
  </si>
  <si>
    <t>CECIL</t>
  </si>
  <si>
    <t>fodo</t>
  </si>
  <si>
    <t>POD received from cell 0624916044 M</t>
  </si>
  <si>
    <t xml:space="preserve">ISEGEN S. A                        </t>
  </si>
  <si>
    <t>Marcia</t>
  </si>
  <si>
    <t xml:space="preserve">CAPE GATE                          </t>
  </si>
  <si>
    <t>Leshoro</t>
  </si>
  <si>
    <t>Maila</t>
  </si>
  <si>
    <t>let</t>
  </si>
  <si>
    <t>VERUL</t>
  </si>
  <si>
    <t>VERULAM</t>
  </si>
  <si>
    <t xml:space="preserve">TONGAAT HULETTS GROUP              </t>
  </si>
  <si>
    <t xml:space="preserve">PROCTER   GAMBLE MANUFACTURING     </t>
  </si>
  <si>
    <t>Joseph</t>
  </si>
  <si>
    <t xml:space="preserve">Ctp Flexibles                      </t>
  </si>
  <si>
    <t>Libaz</t>
  </si>
  <si>
    <t xml:space="preserve">THE SAB BREWERIES PTY LTD          </t>
  </si>
  <si>
    <t>MABILI LUCAS TEMBE</t>
  </si>
  <si>
    <t>RFES1162845165</t>
  </si>
  <si>
    <t xml:space="preserve">BMG PORT ELIZABETH 0142            </t>
  </si>
  <si>
    <t>khanyisa</t>
  </si>
  <si>
    <t>pemu</t>
  </si>
  <si>
    <t xml:space="preserve">IPACKCHEM PTY LTD                  </t>
  </si>
  <si>
    <t>segametsi</t>
  </si>
  <si>
    <t>NKHANYISO</t>
  </si>
  <si>
    <t xml:space="preserve">STANTON                       </t>
  </si>
  <si>
    <t xml:space="preserve">CLOVER SA (PTY) LTD                </t>
  </si>
  <si>
    <t>mynhadt</t>
  </si>
  <si>
    <t>RESHIK</t>
  </si>
  <si>
    <t>ramotsela</t>
  </si>
  <si>
    <t xml:space="preserve">SUNNY MACHINE AND MAINTENANCE      </t>
  </si>
  <si>
    <t>Porsia</t>
  </si>
  <si>
    <t xml:space="preserve">DE BEERS GROUP SERVICES            </t>
  </si>
  <si>
    <t>Simon</t>
  </si>
  <si>
    <t xml:space="preserve">DFS PROCESS SOLUTION PTY LTD       </t>
  </si>
  <si>
    <t>Brendan</t>
  </si>
  <si>
    <t>POD received from cell 0672010416 M</t>
  </si>
  <si>
    <t>SANDT</t>
  </si>
  <si>
    <t>SANDTON</t>
  </si>
  <si>
    <t xml:space="preserve">SAIYL                              </t>
  </si>
  <si>
    <t>rgs</t>
  </si>
  <si>
    <t>POD received from cell 0815375050 M</t>
  </si>
  <si>
    <t xml:space="preserve">MAKSAL TUBE PTY LTD                </t>
  </si>
  <si>
    <t>beverly</t>
  </si>
  <si>
    <t>Yvonne</t>
  </si>
  <si>
    <t>chris</t>
  </si>
  <si>
    <t xml:space="preserve">DANONE SA PTY LTD                  </t>
  </si>
  <si>
    <t>A STEYN</t>
  </si>
  <si>
    <t>joseph</t>
  </si>
  <si>
    <t xml:space="preserve">DFS PROCESS SOLUTIONS (PTY0 LT     </t>
  </si>
  <si>
    <t>J P</t>
  </si>
  <si>
    <t>bobo</t>
  </si>
  <si>
    <t xml:space="preserve">INNOVATIVE WATER CARE S.A (PTY     </t>
  </si>
  <si>
    <t>Sizwe</t>
  </si>
  <si>
    <t xml:space="preserve">STAR HYDRAULICS   PNEUMATICS       </t>
  </si>
  <si>
    <t>Olifant</t>
  </si>
  <si>
    <t>POD received from cell 0825995905 M</t>
  </si>
  <si>
    <t>FELIX</t>
  </si>
  <si>
    <t>FELIXTON</t>
  </si>
  <si>
    <t xml:space="preserve">MPACT FELIXTON                     </t>
  </si>
  <si>
    <t>t mthethwa</t>
  </si>
  <si>
    <t>POD received from cell 0823513575 M</t>
  </si>
  <si>
    <t>Muzi</t>
  </si>
  <si>
    <t>Mrs Lea</t>
  </si>
  <si>
    <t xml:space="preserve">CSM ENGINEERING CC                 </t>
  </si>
  <si>
    <t>Marco</t>
  </si>
  <si>
    <t>Christiaan</t>
  </si>
  <si>
    <t>Marvin</t>
  </si>
  <si>
    <t>gift</t>
  </si>
  <si>
    <t>HAMMA</t>
  </si>
  <si>
    <t>HAMMANSKRAAL</t>
  </si>
  <si>
    <t xml:space="preserve">UNIVERSAL PAPER   PLASTIC          </t>
  </si>
  <si>
    <t>ESTHER</t>
  </si>
  <si>
    <t>POD received from cell 0769126100 M</t>
  </si>
  <si>
    <t>mduu</t>
  </si>
  <si>
    <t xml:space="preserve">JOHNSON MATTHEY PTY LTD            </t>
  </si>
  <si>
    <t>gert</t>
  </si>
  <si>
    <t xml:space="preserve">DSN BEARINGS AND INDUSTRIAL SU     </t>
  </si>
  <si>
    <t>kevin</t>
  </si>
  <si>
    <t>POD received from cell 0825419099 M</t>
  </si>
  <si>
    <t>Thomas</t>
  </si>
  <si>
    <t>Isaac</t>
  </si>
  <si>
    <t>webster</t>
  </si>
  <si>
    <t>nolita</t>
  </si>
  <si>
    <t xml:space="preserve">C   M HYDRAULIC SERVICES           </t>
  </si>
  <si>
    <t xml:space="preserve">Dillon                        </t>
  </si>
  <si>
    <t xml:space="preserve">POD received from cell 0662667910 M     </t>
  </si>
  <si>
    <t xml:space="preserve">TOYOTA SA MOTORS (PTY)LTD          </t>
  </si>
  <si>
    <t>S Munsami</t>
  </si>
  <si>
    <t xml:space="preserve">IMANA FOODS SA (PTY) LTD           </t>
  </si>
  <si>
    <t>ben</t>
  </si>
  <si>
    <t>HARRI</t>
  </si>
  <si>
    <t>HARRISMITH</t>
  </si>
  <si>
    <t>NTOMBI</t>
  </si>
  <si>
    <t>POD received from cell 0833135866 M</t>
  </si>
  <si>
    <t>jarelle</t>
  </si>
  <si>
    <t xml:space="preserve">BMG PINETOWN                       </t>
  </si>
  <si>
    <t>Kuben</t>
  </si>
  <si>
    <t>kaylem</t>
  </si>
  <si>
    <t xml:space="preserve">REVISKHA                      </t>
  </si>
  <si>
    <t xml:space="preserve">POD received from cell 0733056816 M     </t>
  </si>
  <si>
    <t>Lethu</t>
  </si>
  <si>
    <t>Joshua</t>
  </si>
  <si>
    <t>GREG KESSLER</t>
  </si>
  <si>
    <t>Mavis</t>
  </si>
  <si>
    <t xml:space="preserve">AC PNEUMATICS                      </t>
  </si>
  <si>
    <t>DENVER</t>
  </si>
  <si>
    <t>Denver</t>
  </si>
  <si>
    <t>James</t>
  </si>
  <si>
    <t>ISITH</t>
  </si>
  <si>
    <t>ISITHEBE</t>
  </si>
  <si>
    <t xml:space="preserve">NAMPAK LIQUID PACKAGING            </t>
  </si>
  <si>
    <t>SFISO</t>
  </si>
  <si>
    <t xml:space="preserve">CIM AUTOMATION (PTY)LTD            </t>
  </si>
  <si>
    <t xml:space="preserve">ANCHOR YEAST JHB                   </t>
  </si>
  <si>
    <t>jabulani</t>
  </si>
  <si>
    <t xml:space="preserve">HI  CALIBRE ENGINEERING (PTY)L     </t>
  </si>
  <si>
    <t xml:space="preserve">Delia                         </t>
  </si>
  <si>
    <t xml:space="preserve">POD received from cell 0641377685 M     </t>
  </si>
  <si>
    <t xml:space="preserve">Malatji                       </t>
  </si>
  <si>
    <t>fazel</t>
  </si>
  <si>
    <t>LINDANI</t>
  </si>
  <si>
    <t xml:space="preserve">SPIRAX SARCO SA                    </t>
  </si>
  <si>
    <t>ZONIKA JACOBS</t>
  </si>
  <si>
    <t>Sylvester</t>
  </si>
  <si>
    <t>LAUREFF</t>
  </si>
  <si>
    <t>Samson</t>
  </si>
  <si>
    <t>ON2</t>
  </si>
  <si>
    <t>lucky</t>
  </si>
  <si>
    <t xml:space="preserve">BMW ROSSLYN                        </t>
  </si>
  <si>
    <t>surprise</t>
  </si>
  <si>
    <t>RUSTE</t>
  </si>
  <si>
    <t>RUSTENBURG</t>
  </si>
  <si>
    <t xml:space="preserve">CONTROL SYSTEMS                    </t>
  </si>
  <si>
    <t>MAGDA DU PLESSIS</t>
  </si>
  <si>
    <t>Rikus</t>
  </si>
  <si>
    <t>POD received from cell 0761607739 M</t>
  </si>
  <si>
    <t xml:space="preserve">METSO OUTOTEC SOUTH AFRICA         </t>
  </si>
  <si>
    <t>Elizabeth</t>
  </si>
  <si>
    <t>POD received from cell 0842709527 M</t>
  </si>
  <si>
    <t xml:space="preserve">CEMPACK                            </t>
  </si>
  <si>
    <t>amor</t>
  </si>
  <si>
    <t>tshepo</t>
  </si>
  <si>
    <t xml:space="preserve">FILTAQUIP (PTY)LTD                 </t>
  </si>
  <si>
    <t>Angelique</t>
  </si>
  <si>
    <t xml:space="preserve">ALBANY BAKERIES                    </t>
  </si>
  <si>
    <t>jeanette</t>
  </si>
  <si>
    <t>goodman</t>
  </si>
  <si>
    <t>Lindy</t>
  </si>
  <si>
    <t xml:space="preserve">SAR ELECTRONIC SA (PTY) LTD        </t>
  </si>
  <si>
    <t>Kevin</t>
  </si>
  <si>
    <t>POD received from cell 0724326506 M</t>
  </si>
  <si>
    <t>Louis</t>
  </si>
  <si>
    <t>POD received from cell 0606617333 M</t>
  </si>
  <si>
    <t xml:space="preserve">NEW STYLE PORK                     </t>
  </si>
  <si>
    <t>zurina</t>
  </si>
  <si>
    <t xml:space="preserve">HYDRAULIC AND PNEUMATIC HUB        </t>
  </si>
  <si>
    <t>Mohammed</t>
  </si>
  <si>
    <t>LEONARD PETERSEN</t>
  </si>
  <si>
    <t>win</t>
  </si>
  <si>
    <t xml:space="preserve">Mohammed                      </t>
  </si>
  <si>
    <t>HEID2</t>
  </si>
  <si>
    <t>HEIDELBERG (TVL)</t>
  </si>
  <si>
    <t xml:space="preserve">KARAN BEEF FEEDLOT                 </t>
  </si>
  <si>
    <t>Thabo</t>
  </si>
  <si>
    <t xml:space="preserve">NEWCO INSTRUMENTS                  </t>
  </si>
  <si>
    <t>jaco</t>
  </si>
  <si>
    <t>Amandi</t>
  </si>
  <si>
    <t xml:space="preserve">ALDOR AFRICA                       </t>
  </si>
  <si>
    <t>Pias</t>
  </si>
  <si>
    <t>Morenique</t>
  </si>
  <si>
    <t>POD received from cell 0607774851 M</t>
  </si>
  <si>
    <t xml:space="preserve">SHATTERPRUFE TRADING               </t>
  </si>
  <si>
    <t>JANN SCHNEPEL</t>
  </si>
  <si>
    <t>PK MOGOMOTSI</t>
  </si>
  <si>
    <t>POD received from cell 0659979587 M</t>
  </si>
  <si>
    <t>cape gate</t>
  </si>
  <si>
    <t>Asif</t>
  </si>
  <si>
    <t xml:space="preserve">FERRERO SOUTH AFRICA (PTY) LTD     </t>
  </si>
  <si>
    <t>gladys</t>
  </si>
  <si>
    <t xml:space="preserve">LION MATCH PRODUCTS                </t>
  </si>
  <si>
    <t>Vivo</t>
  </si>
  <si>
    <t xml:space="preserve">sello                         </t>
  </si>
  <si>
    <t xml:space="preserve">POD received from cell 0766412100 M     </t>
  </si>
  <si>
    <t xml:space="preserve">RCL GROUP SERVICES (PTY)LTD        </t>
  </si>
  <si>
    <t xml:space="preserve">MDW PNEUMATIC TRADING (PTY)LTD     </t>
  </si>
  <si>
    <t xml:space="preserve">dulton                        </t>
  </si>
  <si>
    <t xml:space="preserve">AFGRI POULTRY                      </t>
  </si>
  <si>
    <t>ELIAS PITJADI</t>
  </si>
  <si>
    <t>COLLIN - CENTRAL RECEIVIN</t>
  </si>
  <si>
    <t>Mbalenhle</t>
  </si>
  <si>
    <t xml:space="preserve">INGRAIN SA (PTY)LTD                </t>
  </si>
  <si>
    <t xml:space="preserve">Ndube                         </t>
  </si>
  <si>
    <t xml:space="preserve">POD received from cell 0639164839 M     </t>
  </si>
  <si>
    <t xml:space="preserve">tumelo                        </t>
  </si>
  <si>
    <t xml:space="preserve">POD received from cell 0711696181 M     </t>
  </si>
  <si>
    <t xml:space="preserve">Samson                        </t>
  </si>
  <si>
    <t>NIGEL</t>
  </si>
  <si>
    <t xml:space="preserve">SUPREME SPRING                     </t>
  </si>
  <si>
    <t>MUHAMMED MOOLLA</t>
  </si>
  <si>
    <t>jostios</t>
  </si>
  <si>
    <t>POD received from cell 0796115799 M</t>
  </si>
  <si>
    <t xml:space="preserve">NATIONAL GENERAL                   </t>
  </si>
  <si>
    <t xml:space="preserve">Thembi                        </t>
  </si>
  <si>
    <t>POD received from cell 0627181294 M</t>
  </si>
  <si>
    <t xml:space="preserve">JADEC STEEL PROJECT CC             </t>
  </si>
  <si>
    <t>frans</t>
  </si>
  <si>
    <t xml:space="preserve">kevin                         </t>
  </si>
  <si>
    <t xml:space="preserve">POD received from cell 0748817308 M     </t>
  </si>
  <si>
    <t>Cidney</t>
  </si>
  <si>
    <t xml:space="preserve">MICAELA                       </t>
  </si>
  <si>
    <t xml:space="preserve">NAUTILUS PROJECTS   DESIGN         </t>
  </si>
  <si>
    <t>BRENT</t>
  </si>
  <si>
    <t>c j nautilus</t>
  </si>
  <si>
    <t>Ather</t>
  </si>
  <si>
    <t xml:space="preserve">QUALIPAK (PTY) LTD                 </t>
  </si>
  <si>
    <t>Jamie</t>
  </si>
  <si>
    <t>keert</t>
  </si>
  <si>
    <t xml:space="preserve">UNILEVER S.A (PTY)LTD              </t>
  </si>
  <si>
    <t xml:space="preserve">EUGENE                        </t>
  </si>
  <si>
    <t>Amyy</t>
  </si>
  <si>
    <t>NEWCA</t>
  </si>
  <si>
    <t>NEWCASTLE</t>
  </si>
  <si>
    <t xml:space="preserve">MITTAL STEEL SA                    </t>
  </si>
  <si>
    <t>REY</t>
  </si>
  <si>
    <t>min</t>
  </si>
  <si>
    <t>POD received from cell 0832048163 M</t>
  </si>
  <si>
    <t>fenaudo</t>
  </si>
  <si>
    <t>POTCH</t>
  </si>
  <si>
    <t>POTCHEFSTROOM</t>
  </si>
  <si>
    <t xml:space="preserve">VESCOTECH                          </t>
  </si>
  <si>
    <t>Kgosi</t>
  </si>
  <si>
    <t>POD received from cell 0783054958 M</t>
  </si>
  <si>
    <t xml:space="preserve">BORBET SA (PTY) LTD                </t>
  </si>
  <si>
    <t>Mario</t>
  </si>
  <si>
    <t xml:space="preserve">ICEBA VINCO (PTY)LTD               </t>
  </si>
  <si>
    <t>POD received from cell 0720482210 M</t>
  </si>
  <si>
    <t>C Kruger</t>
  </si>
  <si>
    <t xml:space="preserve">ALBERT                        </t>
  </si>
  <si>
    <t xml:space="preserve">XOLI                          </t>
  </si>
  <si>
    <t xml:space="preserve">POD received from cell 0715155602 M     </t>
  </si>
  <si>
    <t>cris</t>
  </si>
  <si>
    <t xml:space="preserve">FOODSERV SOLUTIONS                 </t>
  </si>
  <si>
    <t>TIAAN</t>
  </si>
  <si>
    <t xml:space="preserve">DOMINIC                       </t>
  </si>
  <si>
    <t>CADIE</t>
  </si>
  <si>
    <t>janet</t>
  </si>
  <si>
    <t>PHINDA</t>
  </si>
  <si>
    <t>POD received from cell 0827418949 M</t>
  </si>
  <si>
    <t xml:space="preserve">mzukisi                       </t>
  </si>
  <si>
    <t>v govender</t>
  </si>
  <si>
    <t xml:space="preserve">KWANDA RESOURCES                   </t>
  </si>
  <si>
    <t xml:space="preserve">AUTO X PTY LTD                     </t>
  </si>
  <si>
    <t>Godfrey</t>
  </si>
  <si>
    <t xml:space="preserve">Rebuff (Pty)Ltd                    </t>
  </si>
  <si>
    <t>musa</t>
  </si>
  <si>
    <t>edwin</t>
  </si>
  <si>
    <t>Dani</t>
  </si>
  <si>
    <t xml:space="preserve">UMOYA AUTOMATION CC                </t>
  </si>
  <si>
    <t>mina</t>
  </si>
  <si>
    <t>POD received from cell 0723863877 M</t>
  </si>
  <si>
    <t>CADDIE</t>
  </si>
  <si>
    <t xml:space="preserve">TIGER BRANDS SNACKS   TREATS       </t>
  </si>
  <si>
    <t xml:space="preserve">kreolin                       </t>
  </si>
  <si>
    <t>beytel</t>
  </si>
  <si>
    <t>Roy</t>
  </si>
  <si>
    <t xml:space="preserve">mandla                        </t>
  </si>
  <si>
    <t xml:space="preserve">POD received from cell 0616244616 M     </t>
  </si>
  <si>
    <t>Christopher</t>
  </si>
  <si>
    <t xml:space="preserve">MICRODENT TECHOLOGY                </t>
  </si>
  <si>
    <t>Sam</t>
  </si>
  <si>
    <t>POD received from cell 0736327910 M</t>
  </si>
  <si>
    <t xml:space="preserve">VANSTONE PRECAST (PTY)LTD          </t>
  </si>
  <si>
    <t>Pieter</t>
  </si>
  <si>
    <t>BONGO</t>
  </si>
  <si>
    <t>orae</t>
  </si>
  <si>
    <t xml:space="preserve">Francina                      </t>
  </si>
  <si>
    <t xml:space="preserve">BLENDCOR (PTY) LTD                 </t>
  </si>
  <si>
    <t>LINDI MZILA</t>
  </si>
  <si>
    <t>p wadart</t>
  </si>
  <si>
    <t>REUBEN</t>
  </si>
  <si>
    <t>SHAUN</t>
  </si>
  <si>
    <t>Paris</t>
  </si>
  <si>
    <t xml:space="preserve">CONSOL GLASS                       </t>
  </si>
  <si>
    <t>cecil</t>
  </si>
  <si>
    <t xml:space="preserve">ENVISION AFRICA (PTY)LTD           </t>
  </si>
  <si>
    <t>jonas</t>
  </si>
  <si>
    <t xml:space="preserve">g lundall                     </t>
  </si>
  <si>
    <t>Amon</t>
  </si>
  <si>
    <t xml:space="preserve">RAMSAY ENGINEERING PTY LTD         </t>
  </si>
  <si>
    <t>MARTIN RAPHUNGA</t>
  </si>
  <si>
    <t>WAYNE</t>
  </si>
  <si>
    <t xml:space="preserve">ADVANCED FASTENING SYSTEM          </t>
  </si>
  <si>
    <t>POD received from cell 0614969417 M</t>
  </si>
  <si>
    <t>Monere</t>
  </si>
  <si>
    <t>POD received from cell 0659348365 M</t>
  </si>
  <si>
    <t xml:space="preserve">THE SIMBA GROUP                    </t>
  </si>
  <si>
    <t>Peace</t>
  </si>
  <si>
    <t xml:space="preserve">CATER CHAIN FOOD SERVICES          </t>
  </si>
  <si>
    <t xml:space="preserve">D ARMSTRONG                   </t>
  </si>
  <si>
    <t>POD received from cell 0732547403 M</t>
  </si>
  <si>
    <t xml:space="preserve">RCL FOODS CONSUMER (PTY)LTD        </t>
  </si>
  <si>
    <t>NQOBA</t>
  </si>
  <si>
    <t>Mina</t>
  </si>
  <si>
    <t>letta</t>
  </si>
  <si>
    <t xml:space="preserve">werner                        </t>
  </si>
  <si>
    <t xml:space="preserve">POD received from cell 0640882767 M     </t>
  </si>
  <si>
    <t>Teboho</t>
  </si>
  <si>
    <t>Paul du plessi</t>
  </si>
  <si>
    <t xml:space="preserve">TIGER BRANDS SNACKS   TREANTS      </t>
  </si>
  <si>
    <t>Thabile</t>
  </si>
  <si>
    <t>paulos</t>
  </si>
  <si>
    <t xml:space="preserve">CONSUPAQ (PTY) LTD                 </t>
  </si>
  <si>
    <t>Shivesh Sohawan</t>
  </si>
  <si>
    <t xml:space="preserve">lungi                         </t>
  </si>
  <si>
    <t xml:space="preserve">JM FREE   ASSOCIATES C C           </t>
  </si>
  <si>
    <t>Doctor</t>
  </si>
  <si>
    <t>sammy</t>
  </si>
  <si>
    <t xml:space="preserve">paulos                        </t>
  </si>
  <si>
    <t xml:space="preserve">bashir                        </t>
  </si>
  <si>
    <t>vukile</t>
  </si>
  <si>
    <t>Sphiwe</t>
  </si>
  <si>
    <t>sizhwe</t>
  </si>
  <si>
    <t xml:space="preserve">MPACT PLASTICS WADEVILLE CLOSU     </t>
  </si>
  <si>
    <t>Tony</t>
  </si>
  <si>
    <t>GERT</t>
  </si>
  <si>
    <t>Otto</t>
  </si>
  <si>
    <t xml:space="preserve">PRESSURE DIE CASTINGS PTY LTD      </t>
  </si>
  <si>
    <t>THOBILE</t>
  </si>
  <si>
    <t>thomas</t>
  </si>
  <si>
    <t xml:space="preserve">sizie                         </t>
  </si>
  <si>
    <t xml:space="preserve">vinesh                        </t>
  </si>
  <si>
    <t xml:space="preserve">POD received from cell 0744435413 M     </t>
  </si>
  <si>
    <t xml:space="preserve">G.U.D HOLDINGS                     </t>
  </si>
  <si>
    <t>amitha</t>
  </si>
  <si>
    <t>Tinashe</t>
  </si>
  <si>
    <t>VUKILR</t>
  </si>
  <si>
    <t>lelakhe</t>
  </si>
  <si>
    <t>Jeanette</t>
  </si>
  <si>
    <t>ISABELLA ROUX</t>
  </si>
  <si>
    <t>Phillip</t>
  </si>
  <si>
    <t xml:space="preserve">TIGER GLOBERL LOGISTICS            </t>
  </si>
  <si>
    <t>TOM</t>
  </si>
  <si>
    <t xml:space="preserve">RISHABA TRADING CC                 </t>
  </si>
  <si>
    <t>ARNEAL RAMJAS</t>
  </si>
  <si>
    <t>lerato</t>
  </si>
  <si>
    <t xml:space="preserve">R SINGH                       </t>
  </si>
  <si>
    <t xml:space="preserve">SIQALO FOODS (PTY)LTD              </t>
  </si>
  <si>
    <t>nduduzo</t>
  </si>
  <si>
    <t>Athor</t>
  </si>
  <si>
    <t xml:space="preserve">TRANSVAAL HYDRAULICS               </t>
  </si>
  <si>
    <t>N Deysel</t>
  </si>
  <si>
    <t>CHLEDZA</t>
  </si>
  <si>
    <t xml:space="preserve">FESTO DUR OFFICE                   </t>
  </si>
  <si>
    <t>Nickolas Tinkler</t>
  </si>
  <si>
    <t>lawrenxce</t>
  </si>
  <si>
    <t>nqoba</t>
  </si>
  <si>
    <t>BURG1</t>
  </si>
  <si>
    <t>BURGERSFORT</t>
  </si>
  <si>
    <t xml:space="preserve">GLENCORE OPERATION SA(PTY)LTD      </t>
  </si>
  <si>
    <t>isaacson</t>
  </si>
  <si>
    <t>POD received from cell 0762402177 M</t>
  </si>
  <si>
    <t>Siyabonga</t>
  </si>
  <si>
    <t xml:space="preserve">CBI ELECTRIC TELECOM CABLES        </t>
  </si>
  <si>
    <t>NARISKA EVELEIGH</t>
  </si>
  <si>
    <t>marcus</t>
  </si>
  <si>
    <t xml:space="preserve">TIGER BRANDS                       </t>
  </si>
  <si>
    <t>Mduduzi</t>
  </si>
  <si>
    <t xml:space="preserve">SAREPCO INVEST HOLD PTY LTD        </t>
  </si>
  <si>
    <t>dylan</t>
  </si>
  <si>
    <t>M NAIDOO</t>
  </si>
  <si>
    <t xml:space="preserve">CBI ELECTRIC AFRICAN CABLES        </t>
  </si>
  <si>
    <t xml:space="preserve">igshaan                       </t>
  </si>
  <si>
    <t xml:space="preserve">POD received from cell 0651489956 M     </t>
  </si>
  <si>
    <t>RICHARD</t>
  </si>
  <si>
    <t>christiaan</t>
  </si>
  <si>
    <t>SURPRISE</t>
  </si>
  <si>
    <t xml:space="preserve">anver                         </t>
  </si>
  <si>
    <t>kurt</t>
  </si>
  <si>
    <t>linda</t>
  </si>
  <si>
    <t>Rufus</t>
  </si>
  <si>
    <t>UMBOG</t>
  </si>
  <si>
    <t>UMBOGINTWINI</t>
  </si>
  <si>
    <t xml:space="preserve">TOYOTA BOSHOKU SA PTY LTD          </t>
  </si>
  <si>
    <t>MZWANDILE MAZIBUKO</t>
  </si>
  <si>
    <t>Ndumiso</t>
  </si>
  <si>
    <t>POD received from cell 0638667139 M</t>
  </si>
  <si>
    <t xml:space="preserve">NESTLE SA                          </t>
  </si>
  <si>
    <t>vusimuzi</t>
  </si>
  <si>
    <t>POD received from cell 0729152915 M</t>
  </si>
  <si>
    <t>ykader</t>
  </si>
  <si>
    <t xml:space="preserve">COCA -COLA BEVERAGES SOUTH AFR     </t>
  </si>
  <si>
    <t>sugen stamped</t>
  </si>
  <si>
    <t>POD received from cell 0787386154 M</t>
  </si>
  <si>
    <t>MANDLA</t>
  </si>
  <si>
    <t xml:space="preserve">PG BISON A DIV OF KAP DIVERSIF     </t>
  </si>
  <si>
    <t>Mpilo</t>
  </si>
  <si>
    <t>LET</t>
  </si>
  <si>
    <t>NOMVUYO</t>
  </si>
  <si>
    <t xml:space="preserve">RCL FOODS CONSUMER PTY LTD         </t>
  </si>
  <si>
    <t xml:space="preserve">qondi                         </t>
  </si>
  <si>
    <t xml:space="preserve">POD received from cell 0827418949 M     </t>
  </si>
  <si>
    <t xml:space="preserve">Robby                         </t>
  </si>
  <si>
    <t>Flyer Flyer</t>
  </si>
  <si>
    <t xml:space="preserve">randal                        </t>
  </si>
  <si>
    <t xml:space="preserve">FESTO ISANDO                       </t>
  </si>
  <si>
    <t>ROBBY ABRAM</t>
  </si>
  <si>
    <t>Robby</t>
  </si>
  <si>
    <t>mapaseka</t>
  </si>
  <si>
    <t>BEM</t>
  </si>
  <si>
    <t>Kruger</t>
  </si>
  <si>
    <t>RFES1162845594</t>
  </si>
  <si>
    <t>REVISKHA</t>
  </si>
  <si>
    <t xml:space="preserve">BUILD IT HARRISMITH                </t>
  </si>
  <si>
    <t>THOMAS</t>
  </si>
  <si>
    <t xml:space="preserve">POLAR ICE CREAM CO                 </t>
  </si>
  <si>
    <t>JACOB</t>
  </si>
  <si>
    <t>Fatima</t>
  </si>
  <si>
    <t>POD received from cell 0844132340 M</t>
  </si>
  <si>
    <t>Eric</t>
  </si>
  <si>
    <t xml:space="preserve">PIONEER FOODS (PTY) LTD            </t>
  </si>
  <si>
    <t xml:space="preserve">ELIGIBLE                      </t>
  </si>
  <si>
    <t xml:space="preserve">VOLKSWAGEN OF SA                   </t>
  </si>
  <si>
    <t>Ashwin</t>
  </si>
  <si>
    <t>Arnold</t>
  </si>
  <si>
    <t>L Le Riche</t>
  </si>
  <si>
    <t>MABEL</t>
  </si>
  <si>
    <t>ELELWANI</t>
  </si>
  <si>
    <t xml:space="preserve">nathan                        </t>
  </si>
  <si>
    <t xml:space="preserve">YANFENG SA AUTOMOTIVE              </t>
  </si>
  <si>
    <t xml:space="preserve">VANESSA                       </t>
  </si>
  <si>
    <t xml:space="preserve">POD received from cell 0823917554 M     </t>
  </si>
  <si>
    <t>THEO</t>
  </si>
  <si>
    <t>PATRICIA</t>
  </si>
  <si>
    <t>annie</t>
  </si>
  <si>
    <t>POD received from cell 0732125467 M</t>
  </si>
  <si>
    <t xml:space="preserve">WOODTECH                           </t>
  </si>
  <si>
    <t>Tracy   Heather</t>
  </si>
  <si>
    <t>Michele</t>
  </si>
  <si>
    <t>Chris</t>
  </si>
  <si>
    <t xml:space="preserve">CONRO PRECISION                    </t>
  </si>
  <si>
    <t>filies</t>
  </si>
  <si>
    <t>riaz</t>
  </si>
  <si>
    <t>Edwin</t>
  </si>
  <si>
    <t xml:space="preserve">Dani                          </t>
  </si>
  <si>
    <t>JOHN</t>
  </si>
  <si>
    <t xml:space="preserve">SEALED AIR AFRICA (PTY) LTD        </t>
  </si>
  <si>
    <t>Mr Kurt</t>
  </si>
  <si>
    <t xml:space="preserve">RAPPA RESOURCES                    </t>
  </si>
  <si>
    <t xml:space="preserve">Neil                          </t>
  </si>
  <si>
    <t xml:space="preserve">POD received from cell 0728883541 M     </t>
  </si>
  <si>
    <t xml:space="preserve">ROBOTIC INNOVATIONS PTY            </t>
  </si>
  <si>
    <t>Chantell</t>
  </si>
  <si>
    <t>RENALD</t>
  </si>
  <si>
    <t>Kurt</t>
  </si>
  <si>
    <t xml:space="preserve">DELLTRA SOLUTIONS (PTY)LTD         </t>
  </si>
  <si>
    <t xml:space="preserve">kuben                         </t>
  </si>
  <si>
    <t xml:space="preserve">ATLANTIS FOUNDRY                   </t>
  </si>
  <si>
    <t xml:space="preserve">BANDINI CHEESE PTY LTD             </t>
  </si>
  <si>
    <t>PINKY</t>
  </si>
  <si>
    <t>F Sibata</t>
  </si>
  <si>
    <t xml:space="preserve">SPRINGS BEE GEE ELECT WHOLE CC     </t>
  </si>
  <si>
    <t>KEIN</t>
  </si>
  <si>
    <t xml:space="preserve">SEECOR BLOW MOULDERS               </t>
  </si>
  <si>
    <t>wendy</t>
  </si>
  <si>
    <t>PEARL</t>
  </si>
  <si>
    <t>PHAPHAMA</t>
  </si>
  <si>
    <t xml:space="preserve">CHEMPLUS CC                        </t>
  </si>
  <si>
    <t>gregg</t>
  </si>
  <si>
    <t>Desmond</t>
  </si>
  <si>
    <t>POD received from cell 0726203296 M</t>
  </si>
  <si>
    <t>Santie</t>
  </si>
  <si>
    <t>paul</t>
  </si>
  <si>
    <t>TREVOR</t>
  </si>
  <si>
    <t>Lillian</t>
  </si>
  <si>
    <t>Mapetle</t>
  </si>
  <si>
    <t xml:space="preserve">UMGENI WATER PINETOWN              </t>
  </si>
  <si>
    <t>ZODWA</t>
  </si>
  <si>
    <t>TSITS</t>
  </si>
  <si>
    <t>TSITSIKAMMA</t>
  </si>
  <si>
    <t xml:space="preserve">TSITSIKAMMA CRYSTAL WATER          </t>
  </si>
  <si>
    <t>John</t>
  </si>
  <si>
    <t>DAVID</t>
  </si>
  <si>
    <t>POD received from cell 0710000309 M</t>
  </si>
  <si>
    <t>charmaine</t>
  </si>
  <si>
    <t xml:space="preserve">GREIF SA PTY LTD                   </t>
  </si>
  <si>
    <t>Dibuseng</t>
  </si>
  <si>
    <t>louis</t>
  </si>
  <si>
    <t>DOERIEYAH</t>
  </si>
  <si>
    <t xml:space="preserve">NOVUS PRINT (PTY)LTD               </t>
  </si>
  <si>
    <t>kavenesh</t>
  </si>
  <si>
    <t>Herman</t>
  </si>
  <si>
    <t xml:space="preserve">TETRA PAK SOUTH AFRICA (PTY) L     </t>
  </si>
  <si>
    <t>Deon</t>
  </si>
  <si>
    <t xml:space="preserve">sakkie                        </t>
  </si>
  <si>
    <t xml:space="preserve">POD received from cell 0769126100 M     </t>
  </si>
  <si>
    <t xml:space="preserve">KLIP CONTROL                       </t>
  </si>
  <si>
    <t xml:space="preserve">Maureen                       </t>
  </si>
  <si>
    <t xml:space="preserve">POD received from cell 0825995905 M     </t>
  </si>
  <si>
    <t xml:space="preserve">M   C BEARINGS   TRANSMISSION      </t>
  </si>
  <si>
    <t xml:space="preserve">Priscilla                     </t>
  </si>
  <si>
    <t xml:space="preserve">POD received from cell 0815199139 M     </t>
  </si>
  <si>
    <t xml:space="preserve">PREMIER FOODS (PTY) LTD            </t>
  </si>
  <si>
    <t xml:space="preserve">Nelson Dlnlo                  </t>
  </si>
  <si>
    <t xml:space="preserve">hayley                        </t>
  </si>
  <si>
    <t>Christo</t>
  </si>
  <si>
    <t xml:space="preserve">NATIONAL BRANDS BUSCUITS   SNA     </t>
  </si>
  <si>
    <t>prospeck</t>
  </si>
  <si>
    <t>sig</t>
  </si>
  <si>
    <t xml:space="preserve">SOUTH AFRICAN BANK NOTE CO.        </t>
  </si>
  <si>
    <t>JACOB BAHOLO</t>
  </si>
  <si>
    <t>Solly</t>
  </si>
  <si>
    <t>POD received from cell 0720506267 M</t>
  </si>
  <si>
    <t xml:space="preserve">clearance                     </t>
  </si>
  <si>
    <t xml:space="preserve">POD received from cell 0782023821 M     </t>
  </si>
  <si>
    <t xml:space="preserve">EAST RAND PLASTIC (PTY)L T D       </t>
  </si>
  <si>
    <t>KABELO MOJELA</t>
  </si>
  <si>
    <t>Brian</t>
  </si>
  <si>
    <t>roshia</t>
  </si>
  <si>
    <t>wiseman</t>
  </si>
  <si>
    <t xml:space="preserve">UNIVERSITY OF CAPE TOWN            </t>
  </si>
  <si>
    <t>Ashleen</t>
  </si>
  <si>
    <t>POD received from cell 0642876976 M</t>
  </si>
  <si>
    <t>POD received from cell 0717429658 M</t>
  </si>
  <si>
    <t>SUDITH</t>
  </si>
  <si>
    <t>JOSLENE</t>
  </si>
  <si>
    <t>SAKHILE</t>
  </si>
  <si>
    <t>ciska</t>
  </si>
  <si>
    <t xml:space="preserve">IMARA AUTOMATION                   </t>
  </si>
  <si>
    <t>NICOLA BOTHA</t>
  </si>
  <si>
    <t xml:space="preserve">FOSECO                             </t>
  </si>
  <si>
    <t xml:space="preserve">jarnine                       </t>
  </si>
  <si>
    <t xml:space="preserve">HULAMIN OPERATIONS PTY LTD         </t>
  </si>
  <si>
    <t>HLONIPHILE</t>
  </si>
  <si>
    <t xml:space="preserve">Hubert                        </t>
  </si>
  <si>
    <t>GEORGE ANDERSON</t>
  </si>
  <si>
    <t>THEMBA</t>
  </si>
  <si>
    <t>NJABULO</t>
  </si>
  <si>
    <t>selby</t>
  </si>
  <si>
    <t xml:space="preserve">PPC CEMENT SA (PTY)LTD             </t>
  </si>
  <si>
    <t xml:space="preserve">morris                        </t>
  </si>
  <si>
    <t xml:space="preserve">POD received from cell 0610992550 M     </t>
  </si>
  <si>
    <t>sifiso</t>
  </si>
  <si>
    <t xml:space="preserve">vuyo                          </t>
  </si>
  <si>
    <t xml:space="preserve">POD received from cell 0653239800 M     </t>
  </si>
  <si>
    <t xml:space="preserve">voko                          </t>
  </si>
  <si>
    <t>Arthur</t>
  </si>
  <si>
    <t xml:space="preserve">VEOLIA WATER SOLUTIONS             </t>
  </si>
  <si>
    <t>Jane</t>
  </si>
  <si>
    <t xml:space="preserve">AUTOMA MULTI STYRENE PTY LTD       </t>
  </si>
  <si>
    <t>MICHELLE COETZEE</t>
  </si>
  <si>
    <t xml:space="preserve">debra                         </t>
  </si>
  <si>
    <t xml:space="preserve">KIC SA PTY LTD                     </t>
  </si>
  <si>
    <t xml:space="preserve">MOSES                         </t>
  </si>
  <si>
    <t>Alex</t>
  </si>
  <si>
    <t>tefo</t>
  </si>
  <si>
    <t xml:space="preserve">UNILEVER SOUTH AFRICA PTY LTD      </t>
  </si>
  <si>
    <t>PRAYIM</t>
  </si>
  <si>
    <t xml:space="preserve">sipho                         </t>
  </si>
  <si>
    <t>Langa</t>
  </si>
  <si>
    <t>DONALD</t>
  </si>
  <si>
    <t>emma</t>
  </si>
  <si>
    <t>POD received from cell 0780979368 M</t>
  </si>
  <si>
    <t xml:space="preserve">TECHQUIP DEVELOPMENTS CC           </t>
  </si>
  <si>
    <t>mario</t>
  </si>
  <si>
    <t>Patrick</t>
  </si>
  <si>
    <t xml:space="preserve">ENTYCE BEVERAGES                   </t>
  </si>
  <si>
    <t>sakhile</t>
  </si>
  <si>
    <t>POD received from cell 0731123851 M</t>
  </si>
  <si>
    <t>neulands</t>
  </si>
  <si>
    <t>afrika</t>
  </si>
  <si>
    <t>POD received from cell 0661144688 M</t>
  </si>
  <si>
    <t xml:space="preserve">AVION EAST RAND PTY LTD            </t>
  </si>
  <si>
    <t>morne</t>
  </si>
  <si>
    <t>POD received from cell 0729630904 M</t>
  </si>
  <si>
    <t>KANYANE</t>
  </si>
  <si>
    <t>DANIE</t>
  </si>
  <si>
    <t>DANIELSKUIL</t>
  </si>
  <si>
    <t xml:space="preserve">IDWALA INDUSTRIAL HOLDINGS LTD     </t>
  </si>
  <si>
    <t xml:space="preserve">MONDI LIMITED                      </t>
  </si>
  <si>
    <t>Kwazi</t>
  </si>
  <si>
    <t xml:space="preserve">CAPITAL MAITANACE                  </t>
  </si>
  <si>
    <t xml:space="preserve">james                         </t>
  </si>
  <si>
    <t xml:space="preserve">matilda                       </t>
  </si>
  <si>
    <t xml:space="preserve">WOOL TESTING BUREAU SA             </t>
  </si>
  <si>
    <t>Janine</t>
  </si>
  <si>
    <t>POD received from cell 0644881838 M</t>
  </si>
  <si>
    <t>CHEZZA</t>
  </si>
  <si>
    <t>Isaacs</t>
  </si>
  <si>
    <t xml:space="preserve">INTAKA TECH (PTY)LTD               </t>
  </si>
  <si>
    <t>diego</t>
  </si>
  <si>
    <t xml:space="preserve">linda                         </t>
  </si>
  <si>
    <t xml:space="preserve">SIPHO                         </t>
  </si>
  <si>
    <t xml:space="preserve">POD received from cell 0783350261 M     </t>
  </si>
  <si>
    <t>Philip</t>
  </si>
  <si>
    <t xml:space="preserve">VAD                                </t>
  </si>
  <si>
    <t>billy -jean</t>
  </si>
  <si>
    <t xml:space="preserve">TELPLAST PTY LTD                   </t>
  </si>
  <si>
    <t xml:space="preserve">Peter                         </t>
  </si>
  <si>
    <t xml:space="preserve">COCA - COLA FORTUNE (PTY) LTD      </t>
  </si>
  <si>
    <t>nomthumzi</t>
  </si>
  <si>
    <t xml:space="preserve">CYCLONE INDUSTRIES PTY LTD         </t>
  </si>
  <si>
    <t>CHARLENE</t>
  </si>
  <si>
    <t>Allen</t>
  </si>
  <si>
    <t xml:space="preserve">FORD MOTORING CO OF SA             </t>
  </si>
  <si>
    <t>KA MOLOTO</t>
  </si>
  <si>
    <t>MST3009862</t>
  </si>
  <si>
    <t xml:space="preserve">ENPROTEC ENVIROMENTAL   PROCES     </t>
  </si>
  <si>
    <t xml:space="preserve">Phillip                       </t>
  </si>
  <si>
    <t xml:space="preserve">NEOPAK                             </t>
  </si>
  <si>
    <t>WILLEM</t>
  </si>
  <si>
    <t>Mabunda</t>
  </si>
  <si>
    <t>amt</t>
  </si>
  <si>
    <t>david</t>
  </si>
  <si>
    <t xml:space="preserve">MECALC (PTY) L.T D                 </t>
  </si>
  <si>
    <t xml:space="preserve">mcdavey                       </t>
  </si>
  <si>
    <t>LAL</t>
  </si>
  <si>
    <t xml:space="preserve">POD received from cell 0842709527 M     </t>
  </si>
  <si>
    <t>tsonope</t>
  </si>
  <si>
    <t xml:space="preserve">MAVTECH TECHNOLOGIES LTD           </t>
  </si>
  <si>
    <t xml:space="preserve">GRAVMAX AFRICA (PTY)LTD            </t>
  </si>
  <si>
    <t>C Fletcher</t>
  </si>
  <si>
    <t>POD received from cell 0658919743 M</t>
  </si>
  <si>
    <t>J HEYL</t>
  </si>
  <si>
    <t>mlouw</t>
  </si>
  <si>
    <t xml:space="preserve">MSD (PTY)LTD                       </t>
  </si>
  <si>
    <t>Arthur Maramba</t>
  </si>
  <si>
    <t xml:space="preserve">N4 GATEWAY INDUSTRIAL PARK WES     </t>
  </si>
  <si>
    <t>SAKHEPHI</t>
  </si>
  <si>
    <t>manzelle</t>
  </si>
  <si>
    <t>mkullerko</t>
  </si>
  <si>
    <t xml:space="preserve">PRETORIA METAL PRESSINGS           </t>
  </si>
  <si>
    <t>ANDRIES MAIFO</t>
  </si>
  <si>
    <t>bothma</t>
  </si>
  <si>
    <t>zakhele</t>
  </si>
  <si>
    <t xml:space="preserve">S.A. MINT                          </t>
  </si>
  <si>
    <t xml:space="preserve">George                        </t>
  </si>
  <si>
    <t>Split shipment</t>
  </si>
  <si>
    <t>lal</t>
  </si>
  <si>
    <t xml:space="preserve">POD received from cell 0769790129 M     </t>
  </si>
  <si>
    <t>SIPHIWE</t>
  </si>
  <si>
    <t>POD received from cell 0783507016 M</t>
  </si>
  <si>
    <t>gitf</t>
  </si>
  <si>
    <t xml:space="preserve">JUREL                         </t>
  </si>
  <si>
    <t>Themba</t>
  </si>
  <si>
    <t xml:space="preserve">MODERN PREOCESSSING EQUIPMENT      </t>
  </si>
  <si>
    <t>leon</t>
  </si>
  <si>
    <t>nivesh</t>
  </si>
  <si>
    <t>POD received from cell 0727287520 M</t>
  </si>
  <si>
    <t>Gerhard</t>
  </si>
  <si>
    <t>KABELO</t>
  </si>
  <si>
    <t>STUTT</t>
  </si>
  <si>
    <t>STUTTERHEIM</t>
  </si>
  <si>
    <t xml:space="preserve">BOARDMAN BROS PTY LTD              </t>
  </si>
  <si>
    <t xml:space="preserve">ELOISE                        </t>
  </si>
  <si>
    <t xml:space="preserve">CROWN CHICKENS T A SOVEREIGNFO     </t>
  </si>
  <si>
    <t>peter</t>
  </si>
  <si>
    <t xml:space="preserve">REEF ENGINEERING   MNFG CO.        </t>
  </si>
  <si>
    <t xml:space="preserve">Joee                          </t>
  </si>
  <si>
    <t>tarryn</t>
  </si>
  <si>
    <t xml:space="preserve">COCA COLA  BEVERANGE S.A           </t>
  </si>
  <si>
    <t>Nauleni</t>
  </si>
  <si>
    <t xml:space="preserve">ABACUS AUTOMATION CC               </t>
  </si>
  <si>
    <t>B SCOTT</t>
  </si>
  <si>
    <t>trevor</t>
  </si>
  <si>
    <t>Cina</t>
  </si>
  <si>
    <t>Raymond</t>
  </si>
  <si>
    <t>BERNIE</t>
  </si>
  <si>
    <t xml:space="preserve">thulani                       </t>
  </si>
  <si>
    <t xml:space="preserve">POD received from cell 0833616148 M     </t>
  </si>
  <si>
    <t xml:space="preserve">Yvonne                        </t>
  </si>
  <si>
    <t xml:space="preserve">POD received from cell 0780245853 M     </t>
  </si>
  <si>
    <t>GRAIG   A</t>
  </si>
  <si>
    <t xml:space="preserve">DES GROUP (PTY)LTD                 </t>
  </si>
  <si>
    <t>vuyo</t>
  </si>
  <si>
    <t>POD received from cell 0653239800 M</t>
  </si>
  <si>
    <t xml:space="preserve">shaun                         </t>
  </si>
  <si>
    <t>junna</t>
  </si>
  <si>
    <t>Nicky</t>
  </si>
  <si>
    <t>m beytel</t>
  </si>
  <si>
    <t xml:space="preserve">joyce                         </t>
  </si>
  <si>
    <t>DASHEN</t>
  </si>
  <si>
    <t>mellisa</t>
  </si>
  <si>
    <t>Mmabatho</t>
  </si>
  <si>
    <t>Morne</t>
  </si>
  <si>
    <t xml:space="preserve">charity                       </t>
  </si>
  <si>
    <t xml:space="preserve">TORRE AUTOMOTIVE (PTY) LTD         </t>
  </si>
  <si>
    <t>jackie</t>
  </si>
  <si>
    <t xml:space="preserve">TIGER CONSUMER BRANDS LTD          </t>
  </si>
  <si>
    <t>Stoltz</t>
  </si>
  <si>
    <t>Leoni</t>
  </si>
  <si>
    <t>stephan</t>
  </si>
  <si>
    <t>DUNCAN</t>
  </si>
  <si>
    <t>afriika</t>
  </si>
  <si>
    <t>ROY</t>
  </si>
  <si>
    <t>POD received from cell 0792540285 M</t>
  </si>
  <si>
    <t>anwar</t>
  </si>
  <si>
    <t>Shenan</t>
  </si>
  <si>
    <t>S Mumsami</t>
  </si>
  <si>
    <t xml:space="preserve">TONGAAT HULETT SUGAR FELIXTON      </t>
  </si>
  <si>
    <t>GRAHAM</t>
  </si>
  <si>
    <t>Colin</t>
  </si>
  <si>
    <t>mash hud</t>
  </si>
  <si>
    <t xml:space="preserve">NOVUS PRINT (PTY) LTD              </t>
  </si>
  <si>
    <t>mmakayi</t>
  </si>
  <si>
    <t xml:space="preserve">Mike                          </t>
  </si>
  <si>
    <t xml:space="preserve">MPACT OPERATIONS PTY LTD           </t>
  </si>
  <si>
    <t>serama</t>
  </si>
  <si>
    <t>AMSTE</t>
  </si>
  <si>
    <t>AMSTERDAM</t>
  </si>
  <si>
    <t xml:space="preserve">AGM 2 TRUST                        </t>
  </si>
  <si>
    <t xml:space="preserve">David                         </t>
  </si>
  <si>
    <t xml:space="preserve">POD received from cell 0812352730 M     </t>
  </si>
  <si>
    <t>Heskia I</t>
  </si>
  <si>
    <t>CHEDZA</t>
  </si>
  <si>
    <t>christo</t>
  </si>
  <si>
    <t>solly</t>
  </si>
  <si>
    <t>POD received from cell 0768287321 M</t>
  </si>
  <si>
    <t xml:space="preserve">RCL FOODS CONSUMER (PTY) LTD       </t>
  </si>
  <si>
    <t>ENGINEERING STORES</t>
  </si>
  <si>
    <t>CASSIM</t>
  </si>
  <si>
    <t xml:space="preserve">NELSON MANDELA METROPOLITAN UN     </t>
  </si>
  <si>
    <t>Aghmat</t>
  </si>
  <si>
    <t>vusie</t>
  </si>
  <si>
    <t>N palawa</t>
  </si>
  <si>
    <t>pamela</t>
  </si>
  <si>
    <t>hayley</t>
  </si>
  <si>
    <t xml:space="preserve">TFM INDUSTRIES PTY LTD             </t>
  </si>
  <si>
    <t>Elvis</t>
  </si>
  <si>
    <t>Stanley</t>
  </si>
  <si>
    <t>mpohleza</t>
  </si>
  <si>
    <t xml:space="preserve">ENAEX AFRICA (PTY) LTD             </t>
  </si>
  <si>
    <t>PRISA</t>
  </si>
  <si>
    <t>mthemby</t>
  </si>
  <si>
    <t>POD received from cell 0827869932 M</t>
  </si>
  <si>
    <t>kanyane</t>
  </si>
  <si>
    <t xml:space="preserve">ANATECH                            </t>
  </si>
  <si>
    <t>SISO</t>
  </si>
  <si>
    <t>dulton</t>
  </si>
  <si>
    <t>Patra</t>
  </si>
  <si>
    <t>Agnes</t>
  </si>
  <si>
    <t xml:space="preserve">MUDI APPLIEDTECHNOLOGY             </t>
  </si>
  <si>
    <t>DAN VON BARGEN</t>
  </si>
  <si>
    <t>Decvin</t>
  </si>
  <si>
    <t xml:space="preserve">JASCO TRADING PTY LTD              </t>
  </si>
  <si>
    <t>Prevesh</t>
  </si>
  <si>
    <t xml:space="preserve">SHATTERPRUFE TRADING AS A          </t>
  </si>
  <si>
    <t>anelisa</t>
  </si>
  <si>
    <t xml:space="preserve">VENK PAC                           </t>
  </si>
  <si>
    <t>CANDICE</t>
  </si>
  <si>
    <t>Sameer</t>
  </si>
  <si>
    <t xml:space="preserve">GEDORE TOOLS (PTY) LTD             </t>
  </si>
  <si>
    <t>Situman</t>
  </si>
  <si>
    <t>debra</t>
  </si>
  <si>
    <t>Vusi</t>
  </si>
  <si>
    <t>andries</t>
  </si>
  <si>
    <t>Waldo</t>
  </si>
  <si>
    <t xml:space="preserve">INDECON CC                         </t>
  </si>
  <si>
    <t>A NEL</t>
  </si>
  <si>
    <t xml:space="preserve">matildah                      </t>
  </si>
  <si>
    <t xml:space="preserve">PREMIER FOODS LTD                  </t>
  </si>
  <si>
    <t>Simo Qwabe</t>
  </si>
  <si>
    <t>avilash</t>
  </si>
  <si>
    <t>amanola</t>
  </si>
  <si>
    <t>SIMON</t>
  </si>
  <si>
    <t>A Kritzinger</t>
  </si>
  <si>
    <t xml:space="preserve">Martin                        </t>
  </si>
  <si>
    <t>nkululeko stamped</t>
  </si>
  <si>
    <t>les</t>
  </si>
  <si>
    <t>venessa</t>
  </si>
  <si>
    <t>ANZEL</t>
  </si>
  <si>
    <t>Phatani</t>
  </si>
  <si>
    <t>ATT:DEWALD SMITH EMMT-AS-80-LK-LS-RM-FACULTY-REGRADE</t>
  </si>
  <si>
    <t>monique</t>
  </si>
  <si>
    <t xml:space="preserve">RFG FOODS (PTY)LTD                 </t>
  </si>
  <si>
    <t>mitchell</t>
  </si>
  <si>
    <t>THABISO</t>
  </si>
  <si>
    <t xml:space="preserve">FRONERI SOUTH AFRICA (PTY)LTD      </t>
  </si>
  <si>
    <t>George</t>
  </si>
  <si>
    <t xml:space="preserve">linani                        </t>
  </si>
  <si>
    <t>POD received from cell 0763629217 M</t>
  </si>
  <si>
    <t>nandipha</t>
  </si>
  <si>
    <t xml:space="preserve">SOUTHERN SERVICES CC               </t>
  </si>
  <si>
    <t>FRANS MARE</t>
  </si>
  <si>
    <t>Alnick</t>
  </si>
  <si>
    <t xml:space="preserve">Mabunda                       </t>
  </si>
  <si>
    <t xml:space="preserve">DEAN                          </t>
  </si>
  <si>
    <t>alston</t>
  </si>
  <si>
    <t xml:space="preserve">COMPTECH ELECTRONICS               </t>
  </si>
  <si>
    <t>VELI   TANYA</t>
  </si>
  <si>
    <t xml:space="preserve">Cliford                       </t>
  </si>
  <si>
    <t>Leani</t>
  </si>
  <si>
    <t>POD received from cell 0815199139 M</t>
  </si>
  <si>
    <t xml:space="preserve">BOWLER PLASTICS (PTY) LTD          </t>
  </si>
  <si>
    <t>debbie</t>
  </si>
  <si>
    <t xml:space="preserve">DUPLEIX LIQUID METERS PTY LTD      </t>
  </si>
  <si>
    <t xml:space="preserve">sibusiso                      </t>
  </si>
  <si>
    <t>monzelle</t>
  </si>
  <si>
    <t xml:space="preserve">Tarryn                        </t>
  </si>
  <si>
    <t>qondi</t>
  </si>
  <si>
    <t xml:space="preserve">sig                           </t>
  </si>
  <si>
    <t xml:space="preserve">POD received from cell 0643226593 M     </t>
  </si>
  <si>
    <t>Rebecca</t>
  </si>
  <si>
    <t>Esthers</t>
  </si>
  <si>
    <t>mazelle</t>
  </si>
  <si>
    <t>Ras</t>
  </si>
  <si>
    <t>holihlahla</t>
  </si>
  <si>
    <t>Simphiwe</t>
  </si>
  <si>
    <t xml:space="preserve">LITTLE GREEN BEVERAGES             </t>
  </si>
  <si>
    <t>clinton</t>
  </si>
  <si>
    <t xml:space="preserve">Thomas                        </t>
  </si>
  <si>
    <t xml:space="preserve">POD received from cell 0665730748 M     </t>
  </si>
  <si>
    <t xml:space="preserve">thobejane                     </t>
  </si>
  <si>
    <t>aliston</t>
  </si>
  <si>
    <t>Ntuthanzelo</t>
  </si>
  <si>
    <t xml:space="preserve">TRM SUPPLIES CC                    </t>
  </si>
  <si>
    <t>JOAN WOLFE</t>
  </si>
  <si>
    <t>serena</t>
  </si>
  <si>
    <t xml:space="preserve">KW BREAD PACKAGING SYSTEMS CC      </t>
  </si>
  <si>
    <t>KENNETH</t>
  </si>
  <si>
    <t xml:space="preserve">PNEUSTREAM                         </t>
  </si>
  <si>
    <t>Danie</t>
  </si>
  <si>
    <t>Mareze</t>
  </si>
  <si>
    <t xml:space="preserve">ADCOCK INGRAM HEALTHCARE (PTY)     </t>
  </si>
  <si>
    <t>sibusiso</t>
  </si>
  <si>
    <t xml:space="preserve">SCOTT BRAD ENGINEERING             </t>
  </si>
  <si>
    <t>brender</t>
  </si>
  <si>
    <t>Andre</t>
  </si>
  <si>
    <t xml:space="preserve">FIRST NATIONAL BATTERY             </t>
  </si>
  <si>
    <t>p  calu</t>
  </si>
  <si>
    <t>nokwanda</t>
  </si>
  <si>
    <t>Udo</t>
  </si>
  <si>
    <t>Turie</t>
  </si>
  <si>
    <t xml:space="preserve">christo                       </t>
  </si>
  <si>
    <t>Sphamandla</t>
  </si>
  <si>
    <t xml:space="preserve">tshepang                      </t>
  </si>
  <si>
    <t>WESLEY</t>
  </si>
  <si>
    <t xml:space="preserve">lanor                         </t>
  </si>
  <si>
    <t xml:space="preserve">POD received from cell 0624916044 M     </t>
  </si>
  <si>
    <t>Mat Ditale</t>
  </si>
  <si>
    <t>pad</t>
  </si>
  <si>
    <t xml:space="preserve">AEL MINING SERVICES LTD            </t>
  </si>
  <si>
    <t>rubby</t>
  </si>
  <si>
    <t xml:space="preserve">HEWI AFRICA                        </t>
  </si>
  <si>
    <t>W Hawaad</t>
  </si>
  <si>
    <t>POD received from cell 0631352676 M</t>
  </si>
  <si>
    <t xml:space="preserve">HOLLER TRADE CC                    </t>
  </si>
  <si>
    <t xml:space="preserve">Patrick                       </t>
  </si>
  <si>
    <t xml:space="preserve">POD received from cell 0630509171 M     </t>
  </si>
  <si>
    <t>Chinels</t>
  </si>
  <si>
    <t xml:space="preserve">L OREAL MANUFACTURING (PTY)LTD     </t>
  </si>
  <si>
    <t>Justice</t>
  </si>
  <si>
    <t xml:space="preserve">QUALITEC ENGINEERING CC            </t>
  </si>
  <si>
    <t>GLYNIS</t>
  </si>
  <si>
    <t>Brenda</t>
  </si>
  <si>
    <t xml:space="preserve">Veronica  mnisi               </t>
  </si>
  <si>
    <t xml:space="preserve">POD received from cell 0833522045 M     </t>
  </si>
  <si>
    <t>p calu</t>
  </si>
  <si>
    <t>Richman</t>
  </si>
  <si>
    <t xml:space="preserve">PMS SA (PTY)LTD                    </t>
  </si>
  <si>
    <t>Lindani</t>
  </si>
  <si>
    <t>Judy</t>
  </si>
  <si>
    <t xml:space="preserve">TENNECO RIDE CONTROL SA            </t>
  </si>
  <si>
    <t>Althea</t>
  </si>
  <si>
    <t>vuyani</t>
  </si>
  <si>
    <t xml:space="preserve">Rob camp                      </t>
  </si>
  <si>
    <t xml:space="preserve">POD received from cell 0760754539 M     </t>
  </si>
  <si>
    <t xml:space="preserve">ELUMATEC SOUTH AFRICA              </t>
  </si>
  <si>
    <t>petru</t>
  </si>
  <si>
    <t>m vd nest</t>
  </si>
  <si>
    <t>NKOSINATHI</t>
  </si>
  <si>
    <t xml:space="preserve">BELSIZE PRINTING WORKS PTY LTD     </t>
  </si>
  <si>
    <t>justice</t>
  </si>
  <si>
    <t xml:space="preserve">wiseman                       </t>
  </si>
  <si>
    <t>Naidoo</t>
  </si>
  <si>
    <t xml:space="preserve">THERMITEC CC                       </t>
  </si>
  <si>
    <t xml:space="preserve">PINCLIP INDUSTRIES                 </t>
  </si>
  <si>
    <t>Charmaine</t>
  </si>
  <si>
    <t>reggie</t>
  </si>
  <si>
    <t>Keith</t>
  </si>
  <si>
    <t>Khethinkosi</t>
  </si>
  <si>
    <t>POD received from cell 0682229568 M</t>
  </si>
  <si>
    <t xml:space="preserve">Lefa                          </t>
  </si>
  <si>
    <t xml:space="preserve">POD received from cell 0810341123 M     </t>
  </si>
  <si>
    <t>FRANCINA</t>
  </si>
  <si>
    <t xml:space="preserve">marizelle                     </t>
  </si>
  <si>
    <t xml:space="preserve">POD received from cell 0782597533 M     </t>
  </si>
  <si>
    <t xml:space="preserve">DES GROUP (PTY) LTD                </t>
  </si>
  <si>
    <t>f marias</t>
  </si>
  <si>
    <t xml:space="preserve">standley                      </t>
  </si>
  <si>
    <t>Francina</t>
  </si>
  <si>
    <t xml:space="preserve">THEMBA                        </t>
  </si>
  <si>
    <t>pamala</t>
  </si>
  <si>
    <t>busiswa</t>
  </si>
  <si>
    <t>nikesh</t>
  </si>
  <si>
    <t xml:space="preserve">BANDAG SOUHT AFRICA PTY LTD        </t>
  </si>
  <si>
    <t>Gugu</t>
  </si>
  <si>
    <t>Prince</t>
  </si>
  <si>
    <t xml:space="preserve">CEcil                         </t>
  </si>
  <si>
    <t>YUGASH</t>
  </si>
  <si>
    <t xml:space="preserve">taryn                         </t>
  </si>
  <si>
    <t xml:space="preserve">POD received from cell 0670556928 M     </t>
  </si>
  <si>
    <t>Leah</t>
  </si>
  <si>
    <t>Chrissie</t>
  </si>
  <si>
    <t>Midlas</t>
  </si>
  <si>
    <t xml:space="preserve">CROWN CHICKENS (PTY) LTD           </t>
  </si>
  <si>
    <t>sipwkazi</t>
  </si>
  <si>
    <t>WASHUE</t>
  </si>
  <si>
    <t>mbonomtSHA</t>
  </si>
  <si>
    <t>ALTTNEA</t>
  </si>
  <si>
    <t xml:space="preserve">THOBILE                       </t>
  </si>
  <si>
    <t xml:space="preserve">POD received from cell 0833135866 M     </t>
  </si>
  <si>
    <t xml:space="preserve">SICK AUTOMATION S.A (PTY)LTD       </t>
  </si>
  <si>
    <t>Wayne</t>
  </si>
  <si>
    <t>Kenneth</t>
  </si>
  <si>
    <t>andile</t>
  </si>
  <si>
    <t xml:space="preserve">THOBTECH AUTOMATION (PTY)LTD       </t>
  </si>
  <si>
    <t>thembi</t>
  </si>
  <si>
    <t>POD received from cell 0686610275 M</t>
  </si>
  <si>
    <t>MARCUS G</t>
  </si>
  <si>
    <t>MATTHEW KIDGELL</t>
  </si>
  <si>
    <t>Nisi</t>
  </si>
  <si>
    <t>greg</t>
  </si>
  <si>
    <t xml:space="preserve">jarelle                       </t>
  </si>
  <si>
    <t xml:space="preserve">LUVANIZE PTY LTD                   </t>
  </si>
  <si>
    <t xml:space="preserve">MEXAN PRODUCTS                     </t>
  </si>
  <si>
    <t xml:space="preserve">mark                          </t>
  </si>
  <si>
    <t>EVAND</t>
  </si>
  <si>
    <t>EVANDER</t>
  </si>
  <si>
    <t xml:space="preserve">GROUND LINK (PTY) LTD              </t>
  </si>
  <si>
    <t>nhlakanipho</t>
  </si>
  <si>
    <t>William</t>
  </si>
  <si>
    <t>mbonomthsa</t>
  </si>
  <si>
    <t>Dulton</t>
  </si>
  <si>
    <t xml:space="preserve">RETECON SERVICES                   </t>
  </si>
  <si>
    <t>Sabelo</t>
  </si>
  <si>
    <t>m thompson</t>
  </si>
  <si>
    <t xml:space="preserve">Vusi                          </t>
  </si>
  <si>
    <t>fred</t>
  </si>
  <si>
    <t>POD received from cell 0612827599 M</t>
  </si>
  <si>
    <t xml:space="preserve">APOSTOLIDES (PTY)LTD               </t>
  </si>
  <si>
    <t>barry</t>
  </si>
  <si>
    <t>AMITH</t>
  </si>
  <si>
    <t>POD received from cell 0769790129 M</t>
  </si>
  <si>
    <t>MFUNDO</t>
  </si>
  <si>
    <t>Aubrey</t>
  </si>
  <si>
    <t xml:space="preserve">DURR SOUTH AFRICA                  </t>
  </si>
  <si>
    <t>lucy</t>
  </si>
  <si>
    <t>JOHANNES</t>
  </si>
  <si>
    <t xml:space="preserve">SILUTECH AUTOMATION                </t>
  </si>
  <si>
    <t>NOMXOLISI</t>
  </si>
  <si>
    <t>nonleba</t>
  </si>
  <si>
    <t>Amanda</t>
  </si>
  <si>
    <t xml:space="preserve">c Duploot                     </t>
  </si>
  <si>
    <t xml:space="preserve">TECTRA AUTOMATION                  </t>
  </si>
  <si>
    <t>BMG EAST LONDON</t>
  </si>
  <si>
    <t xml:space="preserve">Wald                          </t>
  </si>
  <si>
    <t xml:space="preserve">SUNNY PACKS MANUFACTURING (PTY     </t>
  </si>
  <si>
    <t xml:space="preserve">UNIVERSAL CLIPS                    </t>
  </si>
  <si>
    <t>Daniel</t>
  </si>
  <si>
    <t>mausm</t>
  </si>
  <si>
    <t>POD received from cell 0730059234 M</t>
  </si>
  <si>
    <t>mdu</t>
  </si>
  <si>
    <t xml:space="preserve">Kevin                         </t>
  </si>
  <si>
    <t xml:space="preserve">POD received from cell 0724326506 M     </t>
  </si>
  <si>
    <t>noleen</t>
  </si>
  <si>
    <t>POD received from cell 0769347056 M</t>
  </si>
  <si>
    <t xml:space="preserve">PREMIER CAPE TOWN WHEAT MILL       </t>
  </si>
  <si>
    <t>Abbas</t>
  </si>
  <si>
    <t>POD received from cell 0641377685 M</t>
  </si>
  <si>
    <t xml:space="preserve">CBZ SOLUTIONS (PTY) LTD            </t>
  </si>
  <si>
    <t>MANIE KILIAN</t>
  </si>
  <si>
    <t>IRMANEL</t>
  </si>
  <si>
    <t xml:space="preserve">SIGNAL INSTRUMENTATION CC          </t>
  </si>
  <si>
    <t>FAAN</t>
  </si>
  <si>
    <t>Jaco</t>
  </si>
  <si>
    <t>dikeledi</t>
  </si>
  <si>
    <t xml:space="preserve">Leani                         </t>
  </si>
  <si>
    <t xml:space="preserve">UNILEVER S A                       </t>
  </si>
  <si>
    <t>mbiso</t>
  </si>
  <si>
    <t xml:space="preserve">NAMPAK RIGIDS                      </t>
  </si>
  <si>
    <t xml:space="preserve">Aubrey                        </t>
  </si>
  <si>
    <t>max</t>
  </si>
  <si>
    <t>Chili s</t>
  </si>
  <si>
    <t>sheldon</t>
  </si>
  <si>
    <t xml:space="preserve">ITHEMBA LABS                       </t>
  </si>
  <si>
    <t>isaac</t>
  </si>
  <si>
    <t xml:space="preserve">CIBAPAC                            </t>
  </si>
  <si>
    <t xml:space="preserve">deseree                       </t>
  </si>
  <si>
    <t>sundra</t>
  </si>
  <si>
    <t xml:space="preserve">AFRICA SUN OIL REFINERIES (PTY     </t>
  </si>
  <si>
    <t xml:space="preserve">VUKANI                        </t>
  </si>
  <si>
    <t xml:space="preserve">New Era Packaging                  </t>
  </si>
  <si>
    <t>POD received from cell 0633530074 M</t>
  </si>
  <si>
    <t xml:space="preserve">Janine                        </t>
  </si>
  <si>
    <t xml:space="preserve">POD received from cell 0644881838 M     </t>
  </si>
  <si>
    <t>Kanyiso</t>
  </si>
  <si>
    <t xml:space="preserve">cherna                        </t>
  </si>
  <si>
    <t>Graham</t>
  </si>
  <si>
    <t xml:space="preserve">Peace                         </t>
  </si>
  <si>
    <t>C JACOBSZ</t>
  </si>
  <si>
    <t>WALTER</t>
  </si>
  <si>
    <t>Veronica</t>
  </si>
  <si>
    <t>POD received from cell 0833522045 M</t>
  </si>
  <si>
    <t xml:space="preserve">BEARING MAN GROUP (PTY) LTD        </t>
  </si>
  <si>
    <t>bertus</t>
  </si>
  <si>
    <t xml:space="preserve">FESTO CPT                          </t>
  </si>
  <si>
    <t>PIETER RAUBENHEIMER</t>
  </si>
  <si>
    <t xml:space="preserve">Pierre                        </t>
  </si>
  <si>
    <t>pl 16 htfoot</t>
  </si>
  <si>
    <t xml:space="preserve">BIZ AFRIKA                         </t>
  </si>
  <si>
    <t>POD received from cell 0793555117 M</t>
  </si>
  <si>
    <t>Mike</t>
  </si>
  <si>
    <t>Busisiwa</t>
  </si>
  <si>
    <t>veon</t>
  </si>
  <si>
    <t>POD received from cell 0678407293 M</t>
  </si>
  <si>
    <t>Nicolene</t>
  </si>
  <si>
    <t xml:space="preserve">SIME DARBY HUDSON   KINGHT         </t>
  </si>
  <si>
    <t>manthosi</t>
  </si>
  <si>
    <t>harry</t>
  </si>
  <si>
    <t>xolelani</t>
  </si>
  <si>
    <t>BENN</t>
  </si>
  <si>
    <t>j breedT</t>
  </si>
  <si>
    <t>hafeeza</t>
  </si>
  <si>
    <t>lanor</t>
  </si>
  <si>
    <t xml:space="preserve">JANINE                        </t>
  </si>
  <si>
    <t xml:space="preserve">POD received from cell 0671592648 M     </t>
  </si>
  <si>
    <t>sandsilie</t>
  </si>
  <si>
    <t>Rowan</t>
  </si>
  <si>
    <t xml:space="preserve">PBA ENGINEERING                    </t>
  </si>
  <si>
    <t>Jade</t>
  </si>
  <si>
    <t>POD received from cell 0810341123 M</t>
  </si>
  <si>
    <t xml:space="preserve">CALEDONIA MINING SOUTH AFRICA      </t>
  </si>
  <si>
    <t xml:space="preserve">NATIONAL BRANDS LTD BECKETTS       </t>
  </si>
  <si>
    <t>Bulichaels</t>
  </si>
  <si>
    <t xml:space="preserve">FAURECIA EMISSIONS CONTROL TEC     </t>
  </si>
  <si>
    <t>siphelele</t>
  </si>
  <si>
    <t xml:space="preserve">noma                          </t>
  </si>
  <si>
    <t xml:space="preserve">POD received from cell 0848255037 M     </t>
  </si>
  <si>
    <t xml:space="preserve">BPM DISTRUBUTORS                   </t>
  </si>
  <si>
    <t>lindy</t>
  </si>
  <si>
    <t>Josephine</t>
  </si>
  <si>
    <t>Respect</t>
  </si>
  <si>
    <t>a nell</t>
  </si>
  <si>
    <t xml:space="preserve">Lucy                          </t>
  </si>
  <si>
    <t xml:space="preserve">POD received from cell 0796115799 M     </t>
  </si>
  <si>
    <t>STEVE</t>
  </si>
  <si>
    <t xml:space="preserve">HP HOSE   FITTING SPECIALIST C     </t>
  </si>
  <si>
    <t>Mark</t>
  </si>
  <si>
    <t>Wesley</t>
  </si>
  <si>
    <t>Darren</t>
  </si>
  <si>
    <t>Elias</t>
  </si>
  <si>
    <t xml:space="preserve">Princess                      </t>
  </si>
  <si>
    <t>NIREN</t>
  </si>
  <si>
    <t>thulane</t>
  </si>
  <si>
    <t>Rudolph</t>
  </si>
  <si>
    <t>RAY</t>
  </si>
  <si>
    <t xml:space="preserve">ATELIER S.A (PTY)LTD               </t>
  </si>
  <si>
    <t>Sinclair</t>
  </si>
  <si>
    <t>makhola</t>
  </si>
  <si>
    <t xml:space="preserve">MA AUTOMOTIVE TOOL   DIE           </t>
  </si>
  <si>
    <t>Flyer PARCEL PARCEL Flyer PARCEL PARCEL</t>
  </si>
  <si>
    <t>rray</t>
  </si>
  <si>
    <t>Cindy Pietersen</t>
  </si>
  <si>
    <t>Benie</t>
  </si>
  <si>
    <t xml:space="preserve">REVISHKA                      </t>
  </si>
  <si>
    <t>alister</t>
  </si>
  <si>
    <t>xoli</t>
  </si>
  <si>
    <t xml:space="preserve">Ntokozo                       </t>
  </si>
  <si>
    <t xml:space="preserve">AUTOPAC MACHINERY CORPORATION      </t>
  </si>
  <si>
    <t>j eramus</t>
  </si>
  <si>
    <t xml:space="preserve">MARTIN   MARTIN (PTY) LTD          </t>
  </si>
  <si>
    <t>SONJA</t>
  </si>
  <si>
    <t>Pamela</t>
  </si>
  <si>
    <t>sabrina</t>
  </si>
  <si>
    <t>POD received from cell 0610992550 M</t>
  </si>
  <si>
    <t>joswil</t>
  </si>
  <si>
    <t xml:space="preserve">MAGNACORP 397 CC TA CONCEPT        </t>
  </si>
  <si>
    <t>JASON</t>
  </si>
  <si>
    <t>jeff</t>
  </si>
  <si>
    <t xml:space="preserve">VAAL TECH INSTRUMENTATION          </t>
  </si>
  <si>
    <t>Schariska</t>
  </si>
  <si>
    <t xml:space="preserve">CIRCUIT BREAKER INDUSTRIES PTY     </t>
  </si>
  <si>
    <t>respect</t>
  </si>
  <si>
    <t>ROBER</t>
  </si>
  <si>
    <t>ROBERTSON</t>
  </si>
  <si>
    <t xml:space="preserve">CILLIERS TECHNICAL SOLUTIONS       </t>
  </si>
  <si>
    <t>PIETER</t>
  </si>
  <si>
    <t>c baloyi</t>
  </si>
  <si>
    <t>Grydon</t>
  </si>
  <si>
    <t>AMITHA</t>
  </si>
  <si>
    <t>Norman</t>
  </si>
  <si>
    <t>EARLY DELIVERY</t>
  </si>
  <si>
    <t>Lucy</t>
  </si>
  <si>
    <t>DSD / FUE / DOC</t>
  </si>
  <si>
    <t xml:space="preserve">Kuben                         </t>
  </si>
  <si>
    <t>Pierre</t>
  </si>
  <si>
    <t>Sibosiso</t>
  </si>
  <si>
    <t>bongane</t>
  </si>
  <si>
    <t>nkule</t>
  </si>
  <si>
    <t xml:space="preserve">MCCAIN FOODS SA PTY LTD            </t>
  </si>
  <si>
    <t>REFILOE MOROPA</t>
  </si>
  <si>
    <t>Tyron</t>
  </si>
  <si>
    <t xml:space="preserve">vukile                        </t>
  </si>
  <si>
    <t xml:space="preserve">BME PACKAGING CC                   </t>
  </si>
  <si>
    <t>SARAH KGANYAGO</t>
  </si>
  <si>
    <t>Builchaels</t>
  </si>
  <si>
    <t>Buichaels</t>
  </si>
  <si>
    <t>Ruichaels</t>
  </si>
  <si>
    <t>J VAN DER NEST</t>
  </si>
  <si>
    <t xml:space="preserve">CONSUMER A DIV OF TIGER BRANDS     </t>
  </si>
  <si>
    <t>NASTASIA</t>
  </si>
  <si>
    <t>sthembiso</t>
  </si>
  <si>
    <t xml:space="preserve">ILLOVO SUGAR AFRICA                </t>
  </si>
  <si>
    <t>Melvin</t>
  </si>
  <si>
    <t>SURINE</t>
  </si>
  <si>
    <t>Sandile</t>
  </si>
  <si>
    <t xml:space="preserve">Jerry                         </t>
  </si>
  <si>
    <t xml:space="preserve">ACK SOLUTIONS (PTY) LTD            </t>
  </si>
  <si>
    <t>Riaan</t>
  </si>
  <si>
    <t xml:space="preserve">m thompson                    </t>
  </si>
  <si>
    <t>steve</t>
  </si>
  <si>
    <t>MOH0051774</t>
  </si>
  <si>
    <t xml:space="preserve">WILVIC PLASTICS CC                 </t>
  </si>
  <si>
    <t>BIANCA</t>
  </si>
  <si>
    <t>jutne</t>
  </si>
  <si>
    <t>Larry</t>
  </si>
  <si>
    <t>abby</t>
  </si>
  <si>
    <t xml:space="preserve">WILMAR CONTINENTAL EDIBLE OILS     </t>
  </si>
  <si>
    <t>Kelly</t>
  </si>
  <si>
    <t>Sthembiso</t>
  </si>
  <si>
    <t>Annlle</t>
  </si>
  <si>
    <t>DUlton</t>
  </si>
  <si>
    <t>m van der nest</t>
  </si>
  <si>
    <t xml:space="preserve">HALEWOOD INTERNATIONAL             </t>
  </si>
  <si>
    <t>enrolo</t>
  </si>
  <si>
    <t xml:space="preserve">Zinhle                        </t>
  </si>
  <si>
    <t xml:space="preserve">NTE COMPANY PTY LTD                </t>
  </si>
  <si>
    <t>CEDRIC</t>
  </si>
  <si>
    <t xml:space="preserve">PROTHERM SYSTEMS                   </t>
  </si>
  <si>
    <t>Lifay</t>
  </si>
  <si>
    <t>Buliohals</t>
  </si>
  <si>
    <t>Ashton</t>
  </si>
  <si>
    <t>Gideon</t>
  </si>
  <si>
    <t xml:space="preserve">THE SIMBA GROUP LTD                </t>
  </si>
  <si>
    <t>Dawn</t>
  </si>
  <si>
    <t xml:space="preserve">PIONEER FOODS GROCERIES (PTY)L     </t>
  </si>
  <si>
    <t>Asithandile</t>
  </si>
  <si>
    <t xml:space="preserve">PEX HYDRAULIC REPAIRS CC           </t>
  </si>
  <si>
    <t>Avie</t>
  </si>
  <si>
    <t xml:space="preserve">CITRASHINE                         </t>
  </si>
  <si>
    <t>Jason</t>
  </si>
  <si>
    <t xml:space="preserve">ACAP HYDRO PNEUMATIC SUPPLY CC     </t>
  </si>
  <si>
    <t>ATT:ROBBY ICM#:ZA1001075755</t>
  </si>
  <si>
    <t>ATT:BRUCE QUINTON</t>
  </si>
  <si>
    <t>ATT:GIFT ICM#:ZA1001077880</t>
  </si>
  <si>
    <t>ATT:ROBBY ICM#:ZA1001077759</t>
  </si>
  <si>
    <t>ATT:ROBBY ICM#:ZA1001075763</t>
  </si>
  <si>
    <t>ATT:ROBBY ICM#:ZA1001061939</t>
  </si>
  <si>
    <t xml:space="preserve">VICTORY ELECTRICAL                 </t>
  </si>
  <si>
    <t xml:space="preserve">NAMPEAK                            </t>
  </si>
  <si>
    <t>NA</t>
  </si>
  <si>
    <t>MERIAM</t>
  </si>
  <si>
    <t>delano</t>
  </si>
  <si>
    <t xml:space="preserve">CASH ACCOUNT - TECHNOGRAIN         </t>
  </si>
  <si>
    <t>RICKY</t>
  </si>
  <si>
    <t>pinki</t>
  </si>
  <si>
    <t xml:space="preserve">SHATTERPRUFE NEAVE PLANT           </t>
  </si>
  <si>
    <t>A Puwan</t>
  </si>
  <si>
    <t>Lona</t>
  </si>
  <si>
    <t>RONNIE</t>
  </si>
  <si>
    <t>MIUSH</t>
  </si>
  <si>
    <t>RAYHAAN</t>
  </si>
  <si>
    <t xml:space="preserve">ALL PRONIX                         </t>
  </si>
  <si>
    <t>Tammy</t>
  </si>
  <si>
    <t>POD received from cell 0787319713 M</t>
  </si>
  <si>
    <t xml:space="preserve">sbuziso                       </t>
  </si>
  <si>
    <t xml:space="preserve">POD received from cell 0724141270 M     </t>
  </si>
  <si>
    <t>RAYLEN</t>
  </si>
  <si>
    <t>ntsieni</t>
  </si>
  <si>
    <t xml:space="preserve">ARMCOIL                            </t>
  </si>
  <si>
    <t>Vukile</t>
  </si>
  <si>
    <t>Steve</t>
  </si>
  <si>
    <t xml:space="preserve">BOYSEN EXHAUST TECHNOLOGY RSA      </t>
  </si>
  <si>
    <t>langa</t>
  </si>
  <si>
    <t xml:space="preserve">tessa                         </t>
  </si>
  <si>
    <t xml:space="preserve">TIERVLEI ELECTRIC CC               </t>
  </si>
  <si>
    <t>T Binderker</t>
  </si>
  <si>
    <t>S Nolzeko</t>
  </si>
  <si>
    <t xml:space="preserve">ADIENT PASDEC PTY                  </t>
  </si>
  <si>
    <t>LIEZEL</t>
  </si>
  <si>
    <t>POD received from cell 0769043110 M</t>
  </si>
  <si>
    <t>DEON</t>
  </si>
  <si>
    <t>cherna</t>
  </si>
  <si>
    <t xml:space="preserve">Thabile                       </t>
  </si>
  <si>
    <t xml:space="preserve">ATLANTIS SPECIALIST                </t>
  </si>
  <si>
    <t>Lane</t>
  </si>
  <si>
    <t>POD received from cell 0615921397 M</t>
  </si>
  <si>
    <t>Nagel</t>
  </si>
  <si>
    <t xml:space="preserve">AL S PROJECTS SPECIALIZED          </t>
  </si>
  <si>
    <t>ALAN</t>
  </si>
  <si>
    <t>wanie</t>
  </si>
  <si>
    <t xml:space="preserve">IDWALA CARBONATES                  </t>
  </si>
  <si>
    <t>kerusha</t>
  </si>
  <si>
    <t>POD received from cell 0738659640 M</t>
  </si>
  <si>
    <t xml:space="preserve">CLAYVILLE NUTRIONALS (PTY)LTD      </t>
  </si>
  <si>
    <t>n fourie</t>
  </si>
  <si>
    <t>Ian vD walt</t>
  </si>
  <si>
    <t xml:space="preserve">HUHTAMAKI SOUTH AFRICA (PTY)LT     </t>
  </si>
  <si>
    <t>DANIEL</t>
  </si>
  <si>
    <t xml:space="preserve">FESTO EAST LONDON                  </t>
  </si>
  <si>
    <t>JOSHUA</t>
  </si>
  <si>
    <t>lifa</t>
  </si>
  <si>
    <t>LERATO</t>
  </si>
  <si>
    <t xml:space="preserve">CLOVER SA (PTY)LTD                 </t>
  </si>
  <si>
    <t>V POSTHUMOUS</t>
  </si>
  <si>
    <t>POD received from cell 0732237417 M</t>
  </si>
  <si>
    <t>MPHO</t>
  </si>
  <si>
    <t>ESTCO</t>
  </si>
  <si>
    <t>ESTCOURT</t>
  </si>
  <si>
    <t xml:space="preserve">NESTLE SOUTH AFRICA PTY LTD        </t>
  </si>
  <si>
    <t>MRS AN ZWANE</t>
  </si>
  <si>
    <t>POD received from cell 0724759630 M</t>
  </si>
  <si>
    <t>J P Jones</t>
  </si>
  <si>
    <t>Randall</t>
  </si>
  <si>
    <t xml:space="preserve">YASKAWA SOUTHERN AFRICA (PTY)L     </t>
  </si>
  <si>
    <t>charline</t>
  </si>
  <si>
    <t xml:space="preserve">MASTER PNEUMATIC AFRICA            </t>
  </si>
  <si>
    <t>REUBEN MATOLONG</t>
  </si>
  <si>
    <t xml:space="preserve">TIGER BRANDS CHOCOLATE UNIT        </t>
  </si>
  <si>
    <t>kishen</t>
  </si>
  <si>
    <t>POD received from cell 0813808564 M</t>
  </si>
  <si>
    <t>Nerika</t>
  </si>
  <si>
    <t xml:space="preserve">BIC SA PTY LTD                     </t>
  </si>
  <si>
    <t>shawn</t>
  </si>
  <si>
    <t>POD received from cell 0766089477 M</t>
  </si>
  <si>
    <t>tanoa</t>
  </si>
  <si>
    <t>joee</t>
  </si>
  <si>
    <t>wasiefa</t>
  </si>
  <si>
    <t xml:space="preserve">LONMIN PLATINUM COMPRISSING WE     </t>
  </si>
  <si>
    <t>Bongisiwe</t>
  </si>
  <si>
    <t xml:space="preserve">MB WORKWEAR MAUFACTURING           </t>
  </si>
  <si>
    <t>hazel</t>
  </si>
  <si>
    <t xml:space="preserve">Lindan                        </t>
  </si>
  <si>
    <t xml:space="preserve">DAVID                         </t>
  </si>
  <si>
    <t xml:space="preserve">POD received from cell 0721927500 M     </t>
  </si>
  <si>
    <t>Natalie</t>
  </si>
  <si>
    <t>mornie</t>
  </si>
  <si>
    <t xml:space="preserve">Rand Refinery                      </t>
  </si>
  <si>
    <t>Thelma</t>
  </si>
  <si>
    <t>Marry</t>
  </si>
  <si>
    <t>Rulichaels</t>
  </si>
  <si>
    <t>Joanne</t>
  </si>
  <si>
    <t>POD received from cell 0653843035 M</t>
  </si>
  <si>
    <t xml:space="preserve">FOODCORP (PTY)LTD                  </t>
  </si>
  <si>
    <t xml:space="preserve">MARLEY PIPE SYSTEMS SA PTY LTD     </t>
  </si>
  <si>
    <t>Nomsa</t>
  </si>
  <si>
    <t>Ernest</t>
  </si>
  <si>
    <t>W FILIES</t>
  </si>
  <si>
    <t xml:space="preserve">Tonny                         </t>
  </si>
  <si>
    <t xml:space="preserve">C Jordaan                     </t>
  </si>
  <si>
    <t xml:space="preserve">POD received from cell 0615921397 M     </t>
  </si>
  <si>
    <t xml:space="preserve">stewatr                       </t>
  </si>
  <si>
    <t xml:space="preserve">ILLOVO SUGAR NCHALO                </t>
  </si>
  <si>
    <t>Lesetja</t>
  </si>
  <si>
    <t>Haniefbham</t>
  </si>
  <si>
    <t>afrila</t>
  </si>
  <si>
    <t xml:space="preserve">FONTANA MANUFACTURERS PTY LTD      </t>
  </si>
  <si>
    <t>Ashley</t>
  </si>
  <si>
    <t xml:space="preserve">LINDE + WIEMANN (PTY) LTD          </t>
  </si>
  <si>
    <t>lubabalo</t>
  </si>
  <si>
    <t xml:space="preserve">NOVA RETAIL (PTY) LTD              </t>
  </si>
  <si>
    <t>Hlengiwe</t>
  </si>
  <si>
    <t>LYDEN</t>
  </si>
  <si>
    <t>LYDENBURG</t>
  </si>
  <si>
    <t xml:space="preserve">SIBAMBENE MINING SUPPLIES          </t>
  </si>
  <si>
    <t>Antonette</t>
  </si>
  <si>
    <t>POD received from cell 0617653659 M</t>
  </si>
  <si>
    <t>M vd nest</t>
  </si>
  <si>
    <t>sphelo</t>
  </si>
  <si>
    <t>walker</t>
  </si>
  <si>
    <t>mzuba</t>
  </si>
  <si>
    <t xml:space="preserve">M ISAAC                       </t>
  </si>
  <si>
    <t xml:space="preserve">GEHRING ENGINEERING                </t>
  </si>
  <si>
    <t>jill</t>
  </si>
  <si>
    <t xml:space="preserve">fanie                         </t>
  </si>
  <si>
    <t xml:space="preserve">POD received from cell 0795886601 M     </t>
  </si>
  <si>
    <t>venesa</t>
  </si>
  <si>
    <t>gavin</t>
  </si>
  <si>
    <t>shane</t>
  </si>
  <si>
    <t>srewart</t>
  </si>
  <si>
    <t xml:space="preserve">Errol                         </t>
  </si>
  <si>
    <t xml:space="preserve">PAILPRINT PTY LTD                  </t>
  </si>
  <si>
    <t xml:space="preserve">Msah                          </t>
  </si>
  <si>
    <t>JURIE</t>
  </si>
  <si>
    <t xml:space="preserve">NUMATICS WEST                      </t>
  </si>
  <si>
    <t>matildah</t>
  </si>
  <si>
    <t xml:space="preserve">Nikesh                        </t>
  </si>
  <si>
    <t xml:space="preserve">randall                       </t>
  </si>
  <si>
    <t>Kimona</t>
  </si>
  <si>
    <t xml:space="preserve">SANOFI INDUSTRIES SA (PTY)LTD      </t>
  </si>
  <si>
    <t xml:space="preserve">Elias                         </t>
  </si>
  <si>
    <t xml:space="preserve">POD received from cell 0614969417 M     </t>
  </si>
  <si>
    <t xml:space="preserve">SAMUEL                        </t>
  </si>
  <si>
    <t xml:space="preserve">Nicholas                      </t>
  </si>
  <si>
    <t xml:space="preserve">POD received from cell 0764962951 M     </t>
  </si>
  <si>
    <t xml:space="preserve">FOXTEC-IKHWEZI PTY LTD             </t>
  </si>
  <si>
    <t>VUYO MALI</t>
  </si>
  <si>
    <t>buhle</t>
  </si>
  <si>
    <t>Gina</t>
  </si>
  <si>
    <t xml:space="preserve">nokwanda                      </t>
  </si>
  <si>
    <t xml:space="preserve">bheki                         </t>
  </si>
  <si>
    <t xml:space="preserve">POD received from cell 0787386154 M     </t>
  </si>
  <si>
    <t xml:space="preserve">BASF SA PTY LTD                    </t>
  </si>
  <si>
    <t>shirnalee</t>
  </si>
  <si>
    <t xml:space="preserve">Stanton                       </t>
  </si>
  <si>
    <t xml:space="preserve">katlego                       </t>
  </si>
  <si>
    <t xml:space="preserve">POD received from cell 0729152915 M     </t>
  </si>
  <si>
    <t xml:space="preserve">MERENSKY TIMBER(PTY)LTD            </t>
  </si>
  <si>
    <t>confidence</t>
  </si>
  <si>
    <t>patrick</t>
  </si>
  <si>
    <t xml:space="preserve">HMF TECHNOLOGIES (PTY) LTD         </t>
  </si>
  <si>
    <t xml:space="preserve">CHEMLINK SA (PTY)LTD               </t>
  </si>
  <si>
    <t>andrew</t>
  </si>
  <si>
    <t>POD received from cell 0732845693 M</t>
  </si>
  <si>
    <t xml:space="preserve">SAMSON                        </t>
  </si>
  <si>
    <t>Victor</t>
  </si>
  <si>
    <t xml:space="preserve">DALE AUTOMATION (PTY) LTD          </t>
  </si>
  <si>
    <t xml:space="preserve">Victor                        </t>
  </si>
  <si>
    <t xml:space="preserve">POD received from cell 0825055794 M     </t>
  </si>
  <si>
    <t>malan</t>
  </si>
  <si>
    <t xml:space="preserve">MARLEY SA PTY LTD                  </t>
  </si>
  <si>
    <t>LUCAS</t>
  </si>
  <si>
    <t xml:space="preserve">Hanne                         </t>
  </si>
  <si>
    <t xml:space="preserve">MERCEDES - BENZ S.A LIMITED        </t>
  </si>
  <si>
    <t>strydom</t>
  </si>
  <si>
    <t>TAMARA</t>
  </si>
  <si>
    <t>Remo</t>
  </si>
  <si>
    <t xml:space="preserve">SURINE                        </t>
  </si>
  <si>
    <t>PARCEL Flyer</t>
  </si>
  <si>
    <t>Insufficient docs</t>
  </si>
  <si>
    <t>VAAN</t>
  </si>
  <si>
    <t>RICH2</t>
  </si>
  <si>
    <t>RICHMOND (NATAL)</t>
  </si>
  <si>
    <t xml:space="preserve">NORMANDIEN FARMS                   </t>
  </si>
  <si>
    <t xml:space="preserve">AARON                         </t>
  </si>
  <si>
    <t>MOSES</t>
  </si>
  <si>
    <t>Sunnehetha</t>
  </si>
  <si>
    <t xml:space="preserve">NIKESH                        </t>
  </si>
  <si>
    <t xml:space="preserve">ILLEG                         </t>
  </si>
  <si>
    <t>Diego</t>
  </si>
  <si>
    <t>JADE</t>
  </si>
  <si>
    <t xml:space="preserve">JP BROODRYK                   </t>
  </si>
  <si>
    <t xml:space="preserve">PBA SPARES (PTY)LTD                </t>
  </si>
  <si>
    <t xml:space="preserve">BUSISIWE                      </t>
  </si>
  <si>
    <t>Delino</t>
  </si>
  <si>
    <t>ERROL SUVERSHAN</t>
  </si>
  <si>
    <t xml:space="preserve">stembiso                      </t>
  </si>
  <si>
    <t>jayn</t>
  </si>
  <si>
    <t>dextor</t>
  </si>
  <si>
    <t>Kala</t>
  </si>
  <si>
    <t>PORTIA</t>
  </si>
  <si>
    <t xml:space="preserve">bongane                       </t>
  </si>
  <si>
    <t xml:space="preserve">POD received from cell 0715270557 M     </t>
  </si>
  <si>
    <t>lea</t>
  </si>
  <si>
    <t>nico</t>
  </si>
  <si>
    <t xml:space="preserve">BURCAP PLASTIC PTY LTD             </t>
  </si>
  <si>
    <t>Maureen</t>
  </si>
  <si>
    <t>Jiveshe</t>
  </si>
  <si>
    <t>Jaan</t>
  </si>
  <si>
    <t xml:space="preserve">nikesh                        </t>
  </si>
  <si>
    <t xml:space="preserve">MINOVA                             </t>
  </si>
  <si>
    <t>shadrack</t>
  </si>
  <si>
    <t>T M</t>
  </si>
  <si>
    <t>0SIHLE</t>
  </si>
  <si>
    <t xml:space="preserve">NARROWTEX PTY LTD                  </t>
  </si>
  <si>
    <t>ROOP</t>
  </si>
  <si>
    <t xml:space="preserve">CAVALETTO 98                       </t>
  </si>
  <si>
    <t>saloshni</t>
  </si>
  <si>
    <t>vusi</t>
  </si>
  <si>
    <t xml:space="preserve">Alfred                        </t>
  </si>
  <si>
    <t xml:space="preserve">POD received from cell 0725230163 M     </t>
  </si>
  <si>
    <t xml:space="preserve">FESTIVE A DIV OF ASTRAL OPERAT     </t>
  </si>
  <si>
    <t>alec</t>
  </si>
  <si>
    <t>VUKANI</t>
  </si>
  <si>
    <t xml:space="preserve">IRVIN   JOHNSON LTD                </t>
  </si>
  <si>
    <t>saban</t>
  </si>
  <si>
    <t xml:space="preserve">HEINEKEN SOUTH AFRICA (PTY) LT     </t>
  </si>
  <si>
    <t>saggie</t>
  </si>
  <si>
    <t xml:space="preserve">VEES AUTOMATIVE PIPES   FITTIN     </t>
  </si>
  <si>
    <t>JUDELIZE ENSLIN</t>
  </si>
  <si>
    <t xml:space="preserve">Fakier                        </t>
  </si>
  <si>
    <t xml:space="preserve">POD received from cell 0627181294 M     </t>
  </si>
  <si>
    <t>Juda</t>
  </si>
  <si>
    <t>POD received from cell 0745495693 M</t>
  </si>
  <si>
    <t>mnact</t>
  </si>
  <si>
    <t>POD received from cell 0639514370 M</t>
  </si>
  <si>
    <t>lana</t>
  </si>
  <si>
    <t xml:space="preserve">newlands                      </t>
  </si>
  <si>
    <t>jarnine</t>
  </si>
  <si>
    <t xml:space="preserve">THE SOUTH AFRICAN BREW             </t>
  </si>
  <si>
    <t>N A</t>
  </si>
  <si>
    <t xml:space="preserve">robby                         </t>
  </si>
  <si>
    <t xml:space="preserve">NDUMISO                       </t>
  </si>
  <si>
    <t>ngwenya</t>
  </si>
  <si>
    <t>thandiswe</t>
  </si>
  <si>
    <t>POD received from cell 0671592618 M</t>
  </si>
  <si>
    <t xml:space="preserve">PIONEER FOOD T A ESCOURT MILL      </t>
  </si>
  <si>
    <t>BONGIWE</t>
  </si>
  <si>
    <t>col</t>
  </si>
  <si>
    <t xml:space="preserve">RESHIRE                       </t>
  </si>
  <si>
    <t xml:space="preserve">FUTURE PACKAGING   MACHINERY P     </t>
  </si>
  <si>
    <t>wesleds</t>
  </si>
  <si>
    <t>POD received from cell 0641707990 M</t>
  </si>
  <si>
    <t>Martha</t>
  </si>
  <si>
    <t xml:space="preserve">UNILEVER SOUTH AFRICA              </t>
  </si>
  <si>
    <t>andreas</t>
  </si>
  <si>
    <t>Roland</t>
  </si>
  <si>
    <t>NIKESH</t>
  </si>
  <si>
    <t>kenneth</t>
  </si>
  <si>
    <t xml:space="preserve">kaizer                        </t>
  </si>
  <si>
    <t xml:space="preserve">TI GROUP AUTOMOTIVE SYSTEM         </t>
  </si>
  <si>
    <t>ROSCOE</t>
  </si>
  <si>
    <t>Nikki</t>
  </si>
  <si>
    <t>POD received from cell 0681147856 M</t>
  </si>
  <si>
    <t xml:space="preserve">SA SUGAR ASSOCIATION               </t>
  </si>
  <si>
    <t>rydlin</t>
  </si>
  <si>
    <t xml:space="preserve">AECI MINING LTD                    </t>
  </si>
  <si>
    <t>KROO1</t>
  </si>
  <si>
    <t>KROONDAL</t>
  </si>
  <si>
    <t xml:space="preserve">Rustenburg Platinum Mines Ltd      </t>
  </si>
  <si>
    <t xml:space="preserve">collen                        </t>
  </si>
  <si>
    <t>naw</t>
  </si>
  <si>
    <t>Dalton</t>
  </si>
  <si>
    <t>ORKNE</t>
  </si>
  <si>
    <t>ORKNEY</t>
  </si>
  <si>
    <t xml:space="preserve">GUD Holdings (Pty) Ltd             </t>
  </si>
  <si>
    <t>pretty</t>
  </si>
  <si>
    <t xml:space="preserve">SHERIFF                       </t>
  </si>
  <si>
    <t>a steyn</t>
  </si>
  <si>
    <t>Sphelele</t>
  </si>
  <si>
    <t xml:space="preserve">CONSULMET PTY LTD                  </t>
  </si>
  <si>
    <t>tyla</t>
  </si>
  <si>
    <t xml:space="preserve">UNILIVER                           </t>
  </si>
  <si>
    <t>ANDREAS XABA</t>
  </si>
  <si>
    <t xml:space="preserve">DNG CRYOGENICS (PTY) LTD           </t>
  </si>
  <si>
    <t>Sydney</t>
  </si>
  <si>
    <t>masibule</t>
  </si>
  <si>
    <t>bfk</t>
  </si>
  <si>
    <t>j nest</t>
  </si>
  <si>
    <t>Jannie</t>
  </si>
  <si>
    <t xml:space="preserve">GENERAL PROFILING                  </t>
  </si>
  <si>
    <t>hein</t>
  </si>
  <si>
    <t xml:space="preserve">SUDITH                        </t>
  </si>
  <si>
    <t>standley</t>
  </si>
  <si>
    <t>mapipa</t>
  </si>
  <si>
    <t>Chanelle</t>
  </si>
  <si>
    <t>chano</t>
  </si>
  <si>
    <t>kaizer</t>
  </si>
  <si>
    <t>TOKULOLA</t>
  </si>
  <si>
    <t xml:space="preserve">KAYLEN                        </t>
  </si>
  <si>
    <t>MKHIZE</t>
  </si>
  <si>
    <t>shinga</t>
  </si>
  <si>
    <t>Vanessa</t>
  </si>
  <si>
    <t>carl</t>
  </si>
  <si>
    <t xml:space="preserve">FLOMECH CC                         </t>
  </si>
  <si>
    <t>SENZO</t>
  </si>
  <si>
    <t xml:space="preserve">JABULANI                      </t>
  </si>
  <si>
    <t>mmn</t>
  </si>
  <si>
    <t xml:space="preserve">GRINDING MEDIA SOUTH AFRICA        </t>
  </si>
  <si>
    <t>aubrey</t>
  </si>
  <si>
    <t>Chanelir</t>
  </si>
  <si>
    <t>Shinga</t>
  </si>
  <si>
    <t>Mlungisi</t>
  </si>
  <si>
    <t xml:space="preserve">mapipa                        </t>
  </si>
  <si>
    <t>Gladys</t>
  </si>
  <si>
    <t>SIGNATURE</t>
  </si>
  <si>
    <t xml:space="preserve">TIGER CONSUMER BRANDS LTD T A      </t>
  </si>
  <si>
    <t xml:space="preserve">NKMAHLE                       </t>
  </si>
  <si>
    <t xml:space="preserve">MUSA                          </t>
  </si>
  <si>
    <t xml:space="preserve">b Bryant                      </t>
  </si>
  <si>
    <t>nolits</t>
  </si>
  <si>
    <t xml:space="preserve">AMROD CORPORATE SOLUTIONS (PTY     </t>
  </si>
  <si>
    <t>ELIZMA MEYER</t>
  </si>
  <si>
    <t xml:space="preserve">reshma                        </t>
  </si>
  <si>
    <t xml:space="preserve">GZI INDUSTRIES                     </t>
  </si>
  <si>
    <t>GZI INDUSTRIES</t>
  </si>
  <si>
    <t>POD received from cell 0726221481 M</t>
  </si>
  <si>
    <t>RANALT</t>
  </si>
  <si>
    <t xml:space="preserve">LODOX SYSTEMS (PTY)LTD             </t>
  </si>
  <si>
    <t>Akhona</t>
  </si>
  <si>
    <t>POD received from cell 0712184974 M</t>
  </si>
  <si>
    <t>Yusuf</t>
  </si>
  <si>
    <t>j satt</t>
  </si>
  <si>
    <t>POD received from cell 0833113727 M</t>
  </si>
  <si>
    <t>baloyi</t>
  </si>
  <si>
    <t>zweli</t>
  </si>
  <si>
    <t xml:space="preserve">TECHNICAL SYSTEMS DESIGN CC        </t>
  </si>
  <si>
    <t>POD received from cell 0671010374 M</t>
  </si>
  <si>
    <t>darryn</t>
  </si>
  <si>
    <t xml:space="preserve">PROTEMP AUTOMATION                 </t>
  </si>
  <si>
    <t>KAREN BOSMAN</t>
  </si>
  <si>
    <t>Jenn</t>
  </si>
  <si>
    <t>Lindo</t>
  </si>
  <si>
    <t>d hendricks</t>
  </si>
  <si>
    <t>siyabonga</t>
  </si>
  <si>
    <t>Sachnin</t>
  </si>
  <si>
    <t>RFES1162843430</t>
  </si>
  <si>
    <t>Fred</t>
  </si>
  <si>
    <t>VAN DER BERG SANDY</t>
  </si>
  <si>
    <t xml:space="preserve">ashwin                        </t>
  </si>
  <si>
    <t>J J Matthew</t>
  </si>
  <si>
    <t xml:space="preserve">THUSANI                       </t>
  </si>
  <si>
    <t>ELIZABETH</t>
  </si>
  <si>
    <t>t ramatshala</t>
  </si>
  <si>
    <t>Mogamat</t>
  </si>
  <si>
    <t>thabiso</t>
  </si>
  <si>
    <t xml:space="preserve">SMMF SOFTWARE TECHNOLOGIES         </t>
  </si>
  <si>
    <t>elleg</t>
  </si>
  <si>
    <t xml:space="preserve">RYMCO PTY LTD ACHOR YEAST          </t>
  </si>
  <si>
    <t>mandla</t>
  </si>
  <si>
    <t xml:space="preserve">ANDREA                        </t>
  </si>
  <si>
    <t>siyasanga</t>
  </si>
  <si>
    <t xml:space="preserve">khulani                       </t>
  </si>
  <si>
    <t>January</t>
  </si>
  <si>
    <t>mogamat</t>
  </si>
  <si>
    <t xml:space="preserve">BEARING   ACCESSORIES CC           </t>
  </si>
  <si>
    <t>Lenny</t>
  </si>
  <si>
    <t>JOYSON</t>
  </si>
  <si>
    <t>jounas</t>
  </si>
  <si>
    <t>jantjies</t>
  </si>
  <si>
    <t>Wade</t>
  </si>
  <si>
    <t>keith</t>
  </si>
  <si>
    <t>nelson</t>
  </si>
  <si>
    <t>busisiwa</t>
  </si>
  <si>
    <t>TJEO</t>
  </si>
  <si>
    <t>Kirgan</t>
  </si>
  <si>
    <t>J J Matthee</t>
  </si>
  <si>
    <t xml:space="preserve">NJABULO                       </t>
  </si>
  <si>
    <t xml:space="preserve">NJC MANUFACTURING (PTY) LTD        </t>
  </si>
  <si>
    <t>Linda</t>
  </si>
  <si>
    <t>Niel</t>
  </si>
  <si>
    <t>Kathy</t>
  </si>
  <si>
    <t xml:space="preserve">ABAZIER                       </t>
  </si>
  <si>
    <t>lee</t>
  </si>
  <si>
    <t>POD received from cell 0749054183 M</t>
  </si>
  <si>
    <t xml:space="preserve">SPEC TOOL   DIE   GENERAL          </t>
  </si>
  <si>
    <t>precious</t>
  </si>
  <si>
    <t>Antin</t>
  </si>
  <si>
    <t>POD received from cell 0763378994 M</t>
  </si>
  <si>
    <t xml:space="preserve">THUSHNI                       </t>
  </si>
  <si>
    <t>Romano</t>
  </si>
  <si>
    <t>Leacy</t>
  </si>
  <si>
    <t xml:space="preserve">SOLID PROCESS AUTOMATION           </t>
  </si>
  <si>
    <t>RYNO</t>
  </si>
  <si>
    <t xml:space="preserve">Mavtech Technologies Ltd           </t>
  </si>
  <si>
    <t>Gavin</t>
  </si>
  <si>
    <t>zakes</t>
  </si>
  <si>
    <t xml:space="preserve">AFRILOG SA                         </t>
  </si>
  <si>
    <t>BELINDA SAAYMAN</t>
  </si>
  <si>
    <t>irshaad</t>
  </si>
  <si>
    <t>POD received from cell 0749143480 M</t>
  </si>
  <si>
    <t xml:space="preserve">SHATTERPRUFE TRADING SA            </t>
  </si>
  <si>
    <t>mabeuli</t>
  </si>
  <si>
    <t xml:space="preserve">TENNECO EMISSION CONTROL           </t>
  </si>
  <si>
    <t>siya</t>
  </si>
  <si>
    <t xml:space="preserve">ESKORT LTD                         </t>
  </si>
  <si>
    <t xml:space="preserve">JOYCELYN                      </t>
  </si>
  <si>
    <t xml:space="preserve">ANAEX AFRICA (PTY)LTD              </t>
  </si>
  <si>
    <t>SIG</t>
  </si>
  <si>
    <t>marcel</t>
  </si>
  <si>
    <t>mbowatshe</t>
  </si>
  <si>
    <t>stamped</t>
  </si>
  <si>
    <t xml:space="preserve">DANISCO SOUTH AFRICA (PTY)LTD      </t>
  </si>
  <si>
    <t>nokuzola</t>
  </si>
  <si>
    <t>Jolene</t>
  </si>
  <si>
    <t>POD received from cell 0606712467 M</t>
  </si>
  <si>
    <t xml:space="preserve">BMG                                </t>
  </si>
  <si>
    <t>BONGANI</t>
  </si>
  <si>
    <t>Lerato</t>
  </si>
  <si>
    <t xml:space="preserve">Luanne                        </t>
  </si>
  <si>
    <t xml:space="preserve">francina                      </t>
  </si>
  <si>
    <t xml:space="preserve">Basic Optical                      </t>
  </si>
  <si>
    <t>lana-Lee</t>
  </si>
  <si>
    <t>Karabo</t>
  </si>
  <si>
    <t>siphokazi</t>
  </si>
  <si>
    <t xml:space="preserve">JABU                          </t>
  </si>
  <si>
    <t xml:space="preserve">RESHIR                        </t>
  </si>
  <si>
    <t>Robyn</t>
  </si>
  <si>
    <t>CARLE</t>
  </si>
  <si>
    <t>CARLETONVILLE</t>
  </si>
  <si>
    <t xml:space="preserve">CNL INDUSTRIAL MINING SUPPLIES     </t>
  </si>
  <si>
    <t xml:space="preserve">Marnie                        </t>
  </si>
  <si>
    <t xml:space="preserve">POD received from cell 0713186291 M     </t>
  </si>
  <si>
    <t>palesa</t>
  </si>
  <si>
    <t>Leon</t>
  </si>
  <si>
    <t xml:space="preserve">PFERD SA PTY LTD                   </t>
  </si>
  <si>
    <t>MAINTENANCE STORES</t>
  </si>
  <si>
    <t>Jagues</t>
  </si>
  <si>
    <t xml:space="preserve">AUTOMOULD(PTY) LTD                 </t>
  </si>
  <si>
    <t>Hastings</t>
  </si>
  <si>
    <t>Lee Botha</t>
  </si>
  <si>
    <t xml:space="preserve">GRUPO                              </t>
  </si>
  <si>
    <t>Mutshutshu</t>
  </si>
  <si>
    <t>zulfar</t>
  </si>
  <si>
    <t>evelyn</t>
  </si>
  <si>
    <t xml:space="preserve">J.J PRECISION PLASTICS             </t>
  </si>
  <si>
    <t>Sthandiwe</t>
  </si>
  <si>
    <t xml:space="preserve">FREUDENBURG FIL TRATION TECHNO     </t>
  </si>
  <si>
    <t>helen</t>
  </si>
  <si>
    <t>STEYN</t>
  </si>
  <si>
    <t>rene</t>
  </si>
  <si>
    <t xml:space="preserve">ELINEM ENGINEERING PTY LTD         </t>
  </si>
  <si>
    <t>Fakude</t>
  </si>
  <si>
    <t xml:space="preserve">PLEXIPHON 190 CC                   </t>
  </si>
  <si>
    <t>Bradley</t>
  </si>
  <si>
    <t xml:space="preserve">Veronica                      </t>
  </si>
  <si>
    <t>Ina Smith</t>
  </si>
  <si>
    <t>tebogo</t>
  </si>
  <si>
    <t>JACQUES LE ROUX</t>
  </si>
  <si>
    <t>themba</t>
  </si>
  <si>
    <t xml:space="preserve">SIGNED                        </t>
  </si>
  <si>
    <t>djee</t>
  </si>
  <si>
    <t>Gauran</t>
  </si>
  <si>
    <t>martin</t>
  </si>
  <si>
    <t>ndima</t>
  </si>
  <si>
    <t>Neels</t>
  </si>
  <si>
    <t xml:space="preserve">Ethan                         </t>
  </si>
  <si>
    <t xml:space="preserve">POD received from cell 0763378994 M     </t>
  </si>
  <si>
    <t>bongani</t>
  </si>
  <si>
    <t xml:space="preserve">NEW PNEUMATICS DISTRIBUTORS        </t>
  </si>
  <si>
    <t>george</t>
  </si>
  <si>
    <t>spando</t>
  </si>
  <si>
    <t xml:space="preserve">SITHEMBISO                    </t>
  </si>
  <si>
    <t>Bakhusele</t>
  </si>
  <si>
    <t>SIAAN</t>
  </si>
  <si>
    <t>daj</t>
  </si>
  <si>
    <t xml:space="preserve">DM ENGINEERING                     </t>
  </si>
  <si>
    <t>Rasta</t>
  </si>
  <si>
    <t>cdb</t>
  </si>
  <si>
    <t>Elsie</t>
  </si>
  <si>
    <t xml:space="preserve">CONTINENTAL BISCUITS (PTY)LTD      </t>
  </si>
  <si>
    <t>pauline</t>
  </si>
  <si>
    <t>crayden</t>
  </si>
  <si>
    <t>REF RFES1162843692</t>
  </si>
  <si>
    <t xml:space="preserve">MAIN STREET 1310 PTY LTD           </t>
  </si>
  <si>
    <t>NOEL KING</t>
  </si>
  <si>
    <t>Bulelwa</t>
  </si>
  <si>
    <t xml:space="preserve">gerald                        </t>
  </si>
  <si>
    <t xml:space="preserve">GUALA CLOSURES S.A                 </t>
  </si>
  <si>
    <t xml:space="preserve">rafiek                        </t>
  </si>
  <si>
    <t xml:space="preserve">COCA - COLA POLOKWANE              </t>
  </si>
  <si>
    <t xml:space="preserve">PIONEER FOODS GROCERIES PTY        </t>
  </si>
  <si>
    <t>dollas</t>
  </si>
  <si>
    <t>Tanya</t>
  </si>
  <si>
    <t xml:space="preserve">MARCE FIRE FIGHTING                </t>
  </si>
  <si>
    <t>ABRAM</t>
  </si>
  <si>
    <t>POD received from cell 0799731759 M</t>
  </si>
  <si>
    <t xml:space="preserve">Moses                         </t>
  </si>
  <si>
    <t>Randalla</t>
  </si>
  <si>
    <t>yolanda</t>
  </si>
  <si>
    <t>Alleta</t>
  </si>
  <si>
    <t xml:space="preserve">Standley                      </t>
  </si>
  <si>
    <t xml:space="preserve">P.J.ENGINEERING                    </t>
  </si>
  <si>
    <t xml:space="preserve">M DU TOIT                     </t>
  </si>
  <si>
    <t>DEL ON THE 13 01 22</t>
  </si>
  <si>
    <t>temboes</t>
  </si>
  <si>
    <t xml:space="preserve">TRACPART MINING SUPPLIES           </t>
  </si>
  <si>
    <t xml:space="preserve">Bennett                       </t>
  </si>
  <si>
    <t xml:space="preserve">POD received from cell 0793555117 M     </t>
  </si>
  <si>
    <t xml:space="preserve">STARKE INDUSTRIES CC               </t>
  </si>
  <si>
    <t xml:space="preserve">Jaco                          </t>
  </si>
  <si>
    <t>c duplooy</t>
  </si>
  <si>
    <t xml:space="preserve">PREMIER FMCG PTY LTD               </t>
  </si>
  <si>
    <t>Salim</t>
  </si>
  <si>
    <t>Michelle</t>
  </si>
  <si>
    <t xml:space="preserve">zozi                          </t>
  </si>
  <si>
    <t>bruce</t>
  </si>
  <si>
    <t>DISTELL</t>
  </si>
  <si>
    <t>wrigth</t>
  </si>
  <si>
    <t>ANORLD</t>
  </si>
  <si>
    <t>Baloyi</t>
  </si>
  <si>
    <t>Vicky</t>
  </si>
  <si>
    <t>Heyley</t>
  </si>
  <si>
    <t xml:space="preserve">TOYOTA SA MOTORS PTY LTD           </t>
  </si>
  <si>
    <t>CHARLES NAIDOO</t>
  </si>
  <si>
    <t>VIVIAN</t>
  </si>
  <si>
    <t xml:space="preserve">MANUPONT 41 T A FREIGHT   BULK     </t>
  </si>
  <si>
    <t>RCEIVING</t>
  </si>
  <si>
    <t>cerdwin</t>
  </si>
  <si>
    <t xml:space="preserve">METIER MIXED CONCRETE              </t>
  </si>
  <si>
    <t>KELVIN PADAYACHEE</t>
  </si>
  <si>
    <t>blessing</t>
  </si>
  <si>
    <t>c muller</t>
  </si>
  <si>
    <t>winie</t>
  </si>
  <si>
    <t>POD received from cell 0849194235 M</t>
  </si>
  <si>
    <t xml:space="preserve">HULAMIN OPERATIONTS PTY LTD        </t>
  </si>
  <si>
    <t xml:space="preserve">THAMI                         </t>
  </si>
  <si>
    <t xml:space="preserve">Ricky                         </t>
  </si>
  <si>
    <t>POD received from cell 0681856479 M</t>
  </si>
  <si>
    <t>rynard</t>
  </si>
  <si>
    <t>F</t>
  </si>
  <si>
    <t xml:space="preserve">PRIME INSTRUMENTATION Cc           </t>
  </si>
  <si>
    <t>Ephraim</t>
  </si>
  <si>
    <t>POD received from cell 0842144427 M</t>
  </si>
  <si>
    <t xml:space="preserve">Richard                       </t>
  </si>
  <si>
    <t>alfred</t>
  </si>
  <si>
    <t>SHATTERPRUFE TRADING</t>
  </si>
  <si>
    <t xml:space="preserve">DABULANI                      </t>
  </si>
  <si>
    <t>kathy</t>
  </si>
  <si>
    <t>j pess</t>
  </si>
  <si>
    <t>POD received from cell 0736813463 M</t>
  </si>
  <si>
    <t>sifiso stamped</t>
  </si>
  <si>
    <t>surine</t>
  </si>
  <si>
    <t>XOLLA</t>
  </si>
  <si>
    <t xml:space="preserve">M S Macambo                   </t>
  </si>
  <si>
    <t>windy</t>
  </si>
  <si>
    <t>KVEDH</t>
  </si>
  <si>
    <t>RENARLD</t>
  </si>
  <si>
    <t xml:space="preserve">LEVINO CONSTULTING AND             </t>
  </si>
  <si>
    <t>POD received from cell 0733622001 M</t>
  </si>
  <si>
    <t>Peet</t>
  </si>
  <si>
    <t>RANATT</t>
  </si>
  <si>
    <t xml:space="preserve">VUKILE                        </t>
  </si>
  <si>
    <t xml:space="preserve">METERMATIC                         </t>
  </si>
  <si>
    <t>MARLENE FULLER</t>
  </si>
  <si>
    <t>lufuno</t>
  </si>
  <si>
    <t>Ntuthuzelo</t>
  </si>
  <si>
    <t xml:space="preserve">dawn                          </t>
  </si>
  <si>
    <t>xolela</t>
  </si>
  <si>
    <t xml:space="preserve">Stanley                       </t>
  </si>
  <si>
    <t>Gerry</t>
  </si>
  <si>
    <t xml:space="preserve">POD received from cell 0799731759 M     </t>
  </si>
  <si>
    <t xml:space="preserve">Kyle                          </t>
  </si>
  <si>
    <t xml:space="preserve">MATSAM SUPPLIES CC                 </t>
  </si>
  <si>
    <t>Nelson</t>
  </si>
  <si>
    <t xml:space="preserve">Carl                          </t>
  </si>
  <si>
    <t>POD received from cell 0786473070 M</t>
  </si>
  <si>
    <t>AFRIKA</t>
  </si>
  <si>
    <t>Busi</t>
  </si>
  <si>
    <t>joni</t>
  </si>
  <si>
    <t>FREDERICK MADIBA</t>
  </si>
  <si>
    <t>robert</t>
  </si>
  <si>
    <t xml:space="preserve">COCA COLA LAKESIDE                 </t>
  </si>
  <si>
    <t xml:space="preserve">Monique                       </t>
  </si>
  <si>
    <t xml:space="preserve">POD received from cell 0639727870 M     </t>
  </si>
  <si>
    <t xml:space="preserve">FELTEX AUTOMOTIVE TRIM             </t>
  </si>
  <si>
    <t xml:space="preserve">S Paul                        </t>
  </si>
  <si>
    <t xml:space="preserve">nico                          </t>
  </si>
  <si>
    <t xml:space="preserve">POD received from cell 0626229785 M     </t>
  </si>
  <si>
    <t xml:space="preserve">Jeanette                      </t>
  </si>
  <si>
    <t>sworhana</t>
  </si>
  <si>
    <t>PARCEL PARCEL PARCEL PARCEL</t>
  </si>
  <si>
    <t xml:space="preserve">MAGNA ANALYTICAL PTY LTD           </t>
  </si>
  <si>
    <t>JAN</t>
  </si>
  <si>
    <t xml:space="preserve">AMITHA                        </t>
  </si>
  <si>
    <t xml:space="preserve">KAYLEEN                       </t>
  </si>
  <si>
    <t>LUNDALL</t>
  </si>
  <si>
    <t xml:space="preserve">teboho                        </t>
  </si>
  <si>
    <t>rob camp</t>
  </si>
  <si>
    <t xml:space="preserve">ZAMA                          </t>
  </si>
  <si>
    <t>usuana</t>
  </si>
  <si>
    <t xml:space="preserve">UNILEVER SOUTH AFRICA (PTY)LTD     </t>
  </si>
  <si>
    <t>NU MTHETHWA</t>
  </si>
  <si>
    <t xml:space="preserve">RHEEM SA PTY LTD                   </t>
  </si>
  <si>
    <t>LEENA BUNWARIE</t>
  </si>
  <si>
    <t>leena</t>
  </si>
  <si>
    <t>mary</t>
  </si>
  <si>
    <t xml:space="preserve">THEO                          </t>
  </si>
  <si>
    <t xml:space="preserve">khayisa                       </t>
  </si>
  <si>
    <t xml:space="preserve">Reggie                        </t>
  </si>
  <si>
    <t>swhnera</t>
  </si>
  <si>
    <t xml:space="preserve">TUPPERWARE SA                      </t>
  </si>
  <si>
    <t>Jacob</t>
  </si>
  <si>
    <t xml:space="preserve">GARNET ENGINEERING                 </t>
  </si>
  <si>
    <t>gadija</t>
  </si>
  <si>
    <t xml:space="preserve">VARELEC DISTRIBUTORS CC            </t>
  </si>
  <si>
    <t>kisha</t>
  </si>
  <si>
    <t>w mhlanga</t>
  </si>
  <si>
    <t>Franklin</t>
  </si>
  <si>
    <t>Laetitia</t>
  </si>
  <si>
    <t>xplela</t>
  </si>
  <si>
    <t xml:space="preserve">Peet                          </t>
  </si>
  <si>
    <t>Koketso</t>
  </si>
  <si>
    <t xml:space="preserve">L OREAL MANUFACTURING PTY LTD      </t>
  </si>
  <si>
    <t>SAM MATSHATSHA</t>
  </si>
  <si>
    <t>Craig</t>
  </si>
  <si>
    <t xml:space="preserve">RAINBOW FARMS PTY LTD P1           </t>
  </si>
  <si>
    <t>RAYMOND KISTAN</t>
  </si>
  <si>
    <t>swharea</t>
  </si>
  <si>
    <t>Ann</t>
  </si>
  <si>
    <t xml:space="preserve">NEIL                          </t>
  </si>
  <si>
    <t xml:space="preserve">HYPER PNEUMATIC E.C CC             </t>
  </si>
  <si>
    <t>Faith</t>
  </si>
  <si>
    <t xml:space="preserve">INOXPA SOUTH AFRICA (PTY)LTD       </t>
  </si>
  <si>
    <t>pelra</t>
  </si>
  <si>
    <t>POD received from cell 0788599361 M</t>
  </si>
  <si>
    <t xml:space="preserve">DASHEN                        </t>
  </si>
  <si>
    <t xml:space="preserve">VOESTALPINE STAMPTEC SA            </t>
  </si>
  <si>
    <t>Tatum Kiddo</t>
  </si>
  <si>
    <t>prince</t>
  </si>
  <si>
    <t xml:space="preserve">Sazi                          </t>
  </si>
  <si>
    <t>RFES1162843955</t>
  </si>
  <si>
    <t xml:space="preserve">lindani                       </t>
  </si>
  <si>
    <t>Manuel</t>
  </si>
  <si>
    <t>renske</t>
  </si>
  <si>
    <t xml:space="preserve">Chanelie                      </t>
  </si>
  <si>
    <t xml:space="preserve">POD received from cell 0837323487 M     </t>
  </si>
  <si>
    <t xml:space="preserve">GREGORY                       </t>
  </si>
  <si>
    <t xml:space="preserve">CIRCUIT INDUSTRIAL SUPPLIES PT     </t>
  </si>
  <si>
    <t xml:space="preserve">Stuart                        </t>
  </si>
  <si>
    <t>cuthbery</t>
  </si>
  <si>
    <t xml:space="preserve">ATC INNOVATION (PTY) LTD           </t>
  </si>
  <si>
    <t>landi</t>
  </si>
  <si>
    <t>wernzch</t>
  </si>
  <si>
    <t xml:space="preserve">Nelly                         </t>
  </si>
  <si>
    <t>sabatz</t>
  </si>
  <si>
    <t xml:space="preserve">FILKRAFT (PTY)LTD                  </t>
  </si>
  <si>
    <t xml:space="preserve">Faeez                         </t>
  </si>
  <si>
    <t xml:space="preserve">selby                         </t>
  </si>
  <si>
    <t xml:space="preserve">SAPPI FINE PAPERS                  </t>
  </si>
  <si>
    <t>Tatum</t>
  </si>
  <si>
    <t>renaldo</t>
  </si>
  <si>
    <t>POD received from cell 0812352730 M</t>
  </si>
  <si>
    <t>signed</t>
  </si>
  <si>
    <t>freddy</t>
  </si>
  <si>
    <t>dashen</t>
  </si>
  <si>
    <t xml:space="preserve">N S Macambo                   </t>
  </si>
  <si>
    <t xml:space="preserve">MAHLE BEHR SOUTH AFRICA (PTY)      </t>
  </si>
  <si>
    <t>n c myburgh</t>
  </si>
  <si>
    <t>masentle</t>
  </si>
  <si>
    <t xml:space="preserve">PROJECTS 24 DEVELOPMENT CC         </t>
  </si>
  <si>
    <t>esme</t>
  </si>
  <si>
    <t>c wilson</t>
  </si>
  <si>
    <t>kgotsofatso</t>
  </si>
  <si>
    <t>Umor</t>
  </si>
  <si>
    <t xml:space="preserve">Smanga                        </t>
  </si>
  <si>
    <t xml:space="preserve">PATRICIA                      </t>
  </si>
  <si>
    <t>sanele</t>
  </si>
  <si>
    <t xml:space="preserve">PPC CEMENT SA                      </t>
  </si>
  <si>
    <t>PERCY MASHISHI</t>
  </si>
  <si>
    <t xml:space="preserve">NON FERROUS METAL WORKS            </t>
  </si>
  <si>
    <t xml:space="preserve">Nkosinathi                    </t>
  </si>
  <si>
    <t>kein</t>
  </si>
  <si>
    <t>PRETY</t>
  </si>
  <si>
    <t xml:space="preserve">obie Martin                   </t>
  </si>
  <si>
    <t xml:space="preserve">SASOL INFRACHEM                    </t>
  </si>
  <si>
    <t>MADELEINE</t>
  </si>
  <si>
    <t>N P Nxasane</t>
  </si>
  <si>
    <t xml:space="preserve">moses                         </t>
  </si>
  <si>
    <t xml:space="preserve">ROSS MAY CERAMICS CC               </t>
  </si>
  <si>
    <t>ROSS MAY CERAMICS CC</t>
  </si>
  <si>
    <t>Thembela</t>
  </si>
  <si>
    <t>POD received from cell 0680123070 M</t>
  </si>
  <si>
    <t xml:space="preserve">SKYNET EAST LONDON                 </t>
  </si>
  <si>
    <t>NTSOLO</t>
  </si>
  <si>
    <t>senrietha</t>
  </si>
  <si>
    <t xml:space="preserve">FLSMIDTH (PTY) LTD                 </t>
  </si>
  <si>
    <t>Marion</t>
  </si>
  <si>
    <t>POD received from cell 0780226622 M</t>
  </si>
  <si>
    <t>KINGW</t>
  </si>
  <si>
    <t>KINGWILLIAMSTOWN</t>
  </si>
  <si>
    <t xml:space="preserve">MA AUTOMOTIVE                      </t>
  </si>
  <si>
    <t xml:space="preserve">Sibusiso                      </t>
  </si>
  <si>
    <t>Africa</t>
  </si>
  <si>
    <t>VUYO</t>
  </si>
  <si>
    <t xml:space="preserve">BLAIZEPOINT TRADING 274 CC         </t>
  </si>
  <si>
    <t>CHATNELLE</t>
  </si>
  <si>
    <t xml:space="preserve">SCHAEFFLER SOUTH AFRICA            </t>
  </si>
  <si>
    <t>Ferguson</t>
  </si>
  <si>
    <t xml:space="preserve">ther                          </t>
  </si>
  <si>
    <t xml:space="preserve">POD received from cell 0823217812 M     </t>
  </si>
  <si>
    <t xml:space="preserve">PNEUMATIC STORM (PTY) LTD          </t>
  </si>
  <si>
    <t>Lorenzo</t>
  </si>
  <si>
    <t xml:space="preserve">cecil                         </t>
  </si>
  <si>
    <t xml:space="preserve">umor                          </t>
  </si>
  <si>
    <t>Valentino</t>
  </si>
  <si>
    <t xml:space="preserve">Nkosie                        </t>
  </si>
  <si>
    <t xml:space="preserve">Michael                       </t>
  </si>
  <si>
    <t>b Bryant</t>
  </si>
  <si>
    <t>l letswalo</t>
  </si>
  <si>
    <t>VEENA</t>
  </si>
  <si>
    <t>POD received from cell 0735504482 M</t>
  </si>
  <si>
    <t xml:space="preserve">UMICORE CATALYST SA (PTY) LTD      </t>
  </si>
  <si>
    <t>nicola</t>
  </si>
  <si>
    <t>SIGNED</t>
  </si>
  <si>
    <t xml:space="preserve">sibongile                     </t>
  </si>
  <si>
    <t>sudith</t>
  </si>
  <si>
    <t>vicky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</si>
</sst>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&quot;\ #,##0;[Red]&quot;R&quot;\ \-#,##0"/>
  </numFmts>
  <fonts count="3" x14ac:knownFonts="1">
    <font>
      <sz val="11"/>
      <color theme="1"/>
      <name val="Calibri"/>
      <family val="2"/>
      <scheme val="minor"/>
    </font>
    <font>
      <b/>
      <sz val="10"/>
      <color rgb="FF333333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2" fillId="0" borderId="0" xfId="0" applyFont="1"/>
    <xf numFmtId="14" fontId="2" fillId="0" borderId="0" xfId="0" applyNumberFormat="1" applyFont="1"/>
    <xf numFmtId="20" fontId="2" fillId="0" borderId="0" xfId="0" applyNumberFormat="1" applyFont="1"/>
    <xf numFmtId="16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417"/>
  <sheetViews>
    <sheetView tabSelected="1" workbookViewId="0">
      <selection sqref="A1:XFD1"/>
    </sheetView>
  </sheetViews>
  <sheetFormatPr defaultRowHeight="12.75" x14ac:dyDescent="0.2"/>
  <cols>
    <col min="1" max="1" width="7.42578125" style="3" bestFit="1" customWidth="1"/>
    <col min="2" max="2" width="37" style="3" bestFit="1" customWidth="1"/>
    <col min="3" max="3" width="5.28515625" style="3" bestFit="1" customWidth="1"/>
    <col min="4" max="4" width="10.140625" style="3" bestFit="1" customWidth="1"/>
    <col min="5" max="5" width="15.28515625" style="3" bestFit="1" customWidth="1"/>
    <col min="6" max="6" width="10.85546875" style="3" bestFit="1" customWidth="1"/>
    <col min="7" max="7" width="7.140625" style="3" bestFit="1" customWidth="1"/>
    <col min="8" max="8" width="8.140625" style="3" bestFit="1" customWidth="1"/>
    <col min="9" max="9" width="26.42578125" style="3" bestFit="1" customWidth="1"/>
    <col min="10" max="10" width="35.140625" style="3" bestFit="1" customWidth="1"/>
    <col min="11" max="11" width="16.140625" style="3" bestFit="1" customWidth="1"/>
    <col min="12" max="12" width="8.28515625" style="3" bestFit="1" customWidth="1"/>
    <col min="13" max="13" width="26.42578125" style="3" bestFit="1" customWidth="1"/>
    <col min="14" max="14" width="38.140625" style="3" bestFit="1" customWidth="1"/>
    <col min="15" max="15" width="4.85546875" style="3" bestFit="1" customWidth="1"/>
    <col min="16" max="16" width="30.5703125" style="3" bestFit="1" customWidth="1"/>
    <col min="17" max="17" width="4.5703125" style="3" bestFit="1" customWidth="1"/>
    <col min="18" max="18" width="4.7109375" style="3" bestFit="1" customWidth="1"/>
    <col min="19" max="19" width="5.28515625" style="3" bestFit="1" customWidth="1"/>
    <col min="20" max="20" width="4.7109375" style="3" bestFit="1" customWidth="1"/>
    <col min="21" max="21" width="4.85546875" style="3" bestFit="1" customWidth="1"/>
    <col min="22" max="26" width="4.7109375" style="3" bestFit="1" customWidth="1"/>
    <col min="27" max="27" width="4.5703125" style="3" bestFit="1" customWidth="1"/>
    <col min="28" max="28" width="4.7109375" style="3" bestFit="1" customWidth="1"/>
    <col min="29" max="29" width="4.140625" style="3" bestFit="1" customWidth="1"/>
    <col min="30" max="30" width="4.7109375" style="3" bestFit="1" customWidth="1"/>
    <col min="31" max="31" width="8.140625" style="3" bestFit="1" customWidth="1"/>
    <col min="32" max="34" width="4.7109375" style="3" bestFit="1" customWidth="1"/>
    <col min="35" max="35" width="5" style="3" bestFit="1" customWidth="1"/>
    <col min="36" max="36" width="4.7109375" style="3" bestFit="1" customWidth="1"/>
    <col min="37" max="37" width="7.140625" style="3" bestFit="1" customWidth="1"/>
    <col min="38" max="38" width="4.7109375" style="3" bestFit="1" customWidth="1"/>
    <col min="39" max="39" width="5" style="3" bestFit="1" customWidth="1"/>
    <col min="40" max="40" width="4.7109375" style="3" bestFit="1" customWidth="1"/>
    <col min="41" max="41" width="9.140625" style="3" bestFit="1" customWidth="1"/>
    <col min="42" max="42" width="4.7109375" style="3" bestFit="1" customWidth="1"/>
    <col min="43" max="43" width="4.85546875" style="3" bestFit="1" customWidth="1"/>
    <col min="44" max="46" width="4.7109375" style="3" bestFit="1" customWidth="1"/>
    <col min="47" max="47" width="5.140625" style="3" bestFit="1" customWidth="1"/>
    <col min="48" max="48" width="4.7109375" style="3" bestFit="1" customWidth="1"/>
    <col min="49" max="49" width="4" style="3" bestFit="1" customWidth="1"/>
    <col min="50" max="50" width="4.7109375" style="3" bestFit="1" customWidth="1"/>
    <col min="51" max="51" width="4.42578125" style="3" bestFit="1" customWidth="1"/>
    <col min="52" max="52" width="4.7109375" style="3" bestFit="1" customWidth="1"/>
    <col min="53" max="53" width="4.85546875" style="3" bestFit="1" customWidth="1"/>
    <col min="54" max="54" width="4.7109375" style="3" bestFit="1" customWidth="1"/>
    <col min="55" max="58" width="4.5703125" style="3" customWidth="1"/>
    <col min="59" max="59" width="4.5703125" style="3" bestFit="1" customWidth="1"/>
    <col min="60" max="60" width="4.7109375" style="3" bestFit="1" customWidth="1"/>
    <col min="61" max="61" width="5" style="3" bestFit="1" customWidth="1"/>
    <col min="62" max="62" width="4.7109375" style="3" bestFit="1" customWidth="1"/>
    <col min="63" max="63" width="13.85546875" style="3" bestFit="1" customWidth="1"/>
    <col min="64" max="64" width="7" style="3" bestFit="1" customWidth="1"/>
    <col min="65" max="65" width="7.140625" style="3" bestFit="1" customWidth="1"/>
    <col min="66" max="66" width="7.42578125" style="3" bestFit="1" customWidth="1"/>
    <col min="67" max="67" width="8.140625" style="3" bestFit="1" customWidth="1"/>
    <col min="68" max="68" width="10" style="3" bestFit="1" customWidth="1"/>
    <col min="69" max="70" width="9" style="3" bestFit="1" customWidth="1"/>
    <col min="71" max="71" width="10.42578125" style="3" bestFit="1" customWidth="1"/>
    <col min="72" max="72" width="57.7109375" style="3" bestFit="1" customWidth="1"/>
    <col min="73" max="73" width="33.140625" style="3" bestFit="1" customWidth="1"/>
    <col min="74" max="74" width="25" style="3" bestFit="1" customWidth="1"/>
    <col min="75" max="75" width="10.7109375" style="3" bestFit="1" customWidth="1"/>
    <col min="76" max="76" width="9.7109375" style="3" bestFit="1" customWidth="1"/>
    <col min="77" max="77" width="29.140625" style="3" bestFit="1" customWidth="1"/>
    <col min="78" max="78" width="8.5703125" style="3" bestFit="1" customWidth="1"/>
    <col min="79" max="79" width="42.28515625" style="3" bestFit="1" customWidth="1"/>
    <col min="80" max="80" width="16.140625" style="3" bestFit="1" customWidth="1"/>
    <col min="81" max="81" width="13.85546875" style="3" bestFit="1" customWidth="1"/>
    <col min="82" max="82" width="15.85546875" style="3" bestFit="1" customWidth="1"/>
    <col min="83" max="83" width="39.7109375" style="3" bestFit="1" customWidth="1"/>
    <col min="84" max="84" width="10.42578125" style="3" bestFit="1" customWidth="1"/>
    <col min="85" max="85" width="26.42578125" style="3" bestFit="1" customWidth="1"/>
    <col min="86" max="86" width="16" style="3" bestFit="1" customWidth="1"/>
    <col min="87" max="87" width="39.42578125" style="3" bestFit="1" customWidth="1"/>
    <col min="88" max="88" width="14.140625" style="3" bestFit="1" customWidth="1"/>
    <col min="89" max="89" width="6.5703125" style="3" bestFit="1" customWidth="1"/>
    <col min="90" max="90" width="13.85546875" style="3" bestFit="1" customWidth="1"/>
    <col min="91" max="91" width="11.140625" style="3" bestFit="1" customWidth="1"/>
    <col min="92" max="92" width="12" style="3" bestFit="1" customWidth="1"/>
    <col min="93" max="93" width="5" style="3" bestFit="1" customWidth="1"/>
    <col min="94" max="94" width="13.28515625" style="3" bestFit="1" customWidth="1"/>
    <col min="95" max="95" width="18.28515625" style="3" bestFit="1" customWidth="1"/>
    <col min="96" max="96" width="7.140625" style="3" bestFit="1" customWidth="1"/>
    <col min="97" max="16384" width="9.140625" style="3"/>
  </cols>
  <sheetData>
    <row r="1" spans="1:92" ht="20.100000000000001" customHeight="1" thickBo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2" t="s">
        <v>71</v>
      </c>
    </row>
    <row r="2" spans="1:92" x14ac:dyDescent="0.2">
      <c r="A2" s="3" t="s">
        <v>72</v>
      </c>
      <c r="B2" s="3" t="s">
        <v>73</v>
      </c>
      <c r="C2" s="3" t="s">
        <v>74</v>
      </c>
      <c r="E2" s="3" t="str">
        <f>"FES1162847580"</f>
        <v>FES1162847580</v>
      </c>
      <c r="F2" s="4">
        <v>44589</v>
      </c>
      <c r="G2" s="3">
        <v>202207</v>
      </c>
      <c r="H2" s="3" t="s">
        <v>75</v>
      </c>
      <c r="I2" s="3" t="s">
        <v>76</v>
      </c>
      <c r="J2" s="3" t="s">
        <v>77</v>
      </c>
      <c r="K2" s="3" t="s">
        <v>78</v>
      </c>
      <c r="L2" s="3" t="s">
        <v>79</v>
      </c>
      <c r="M2" s="3" t="s">
        <v>80</v>
      </c>
      <c r="N2" s="3" t="s">
        <v>81</v>
      </c>
      <c r="O2" s="3" t="s">
        <v>82</v>
      </c>
      <c r="P2" s="3" t="str">
        <f>"2170817945                    "</f>
        <v xml:space="preserve">2170817945                    </v>
      </c>
      <c r="Q2" s="3">
        <v>0</v>
      </c>
      <c r="R2" s="3">
        <v>0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  <c r="AE2" s="3">
        <v>0</v>
      </c>
      <c r="AF2" s="3">
        <v>0</v>
      </c>
      <c r="AG2" s="3">
        <v>0</v>
      </c>
      <c r="AH2" s="3">
        <v>0</v>
      </c>
      <c r="AI2" s="3">
        <v>0</v>
      </c>
      <c r="AJ2" s="3">
        <v>0</v>
      </c>
      <c r="AK2" s="3">
        <v>15.46</v>
      </c>
      <c r="AL2" s="3">
        <v>0</v>
      </c>
      <c r="AM2" s="3">
        <v>0</v>
      </c>
      <c r="AN2" s="3">
        <v>0</v>
      </c>
      <c r="AO2" s="3">
        <v>0</v>
      </c>
      <c r="AP2" s="3">
        <v>0</v>
      </c>
      <c r="AQ2" s="3">
        <v>0</v>
      </c>
      <c r="AR2" s="3">
        <v>0</v>
      </c>
      <c r="AS2" s="3">
        <v>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0</v>
      </c>
      <c r="BA2" s="3">
        <v>0</v>
      </c>
      <c r="BB2" s="3">
        <v>0</v>
      </c>
      <c r="BC2" s="3">
        <v>0</v>
      </c>
      <c r="BD2" s="3">
        <v>0</v>
      </c>
      <c r="BE2" s="3">
        <v>0</v>
      </c>
      <c r="BF2" s="3">
        <v>0</v>
      </c>
      <c r="BG2" s="3">
        <v>0</v>
      </c>
      <c r="BH2" s="3">
        <v>1</v>
      </c>
      <c r="BI2" s="3">
        <v>1</v>
      </c>
      <c r="BJ2" s="3">
        <v>2</v>
      </c>
      <c r="BK2" s="3">
        <v>2</v>
      </c>
      <c r="BL2" s="3">
        <v>59</v>
      </c>
      <c r="BM2" s="3">
        <v>8.85</v>
      </c>
      <c r="BN2" s="3">
        <v>67.849999999999994</v>
      </c>
      <c r="BO2" s="3">
        <v>67.849999999999994</v>
      </c>
      <c r="BQ2" s="3" t="s">
        <v>83</v>
      </c>
      <c r="BR2" s="3" t="s">
        <v>84</v>
      </c>
      <c r="BS2" s="3" t="s">
        <v>85</v>
      </c>
      <c r="BY2" s="3">
        <v>9918</v>
      </c>
      <c r="CC2" s="3" t="s">
        <v>80</v>
      </c>
      <c r="CD2" s="3">
        <v>200</v>
      </c>
      <c r="CE2" s="3" t="s">
        <v>86</v>
      </c>
      <c r="CI2" s="3">
        <v>1</v>
      </c>
      <c r="CJ2" s="3" t="s">
        <v>85</v>
      </c>
      <c r="CK2" s="3">
        <v>21</v>
      </c>
      <c r="CL2" s="3" t="s">
        <v>87</v>
      </c>
    </row>
    <row r="3" spans="1:92" x14ac:dyDescent="0.2">
      <c r="A3" s="3" t="s">
        <v>72</v>
      </c>
      <c r="B3" s="3" t="s">
        <v>73</v>
      </c>
      <c r="C3" s="3" t="s">
        <v>74</v>
      </c>
      <c r="E3" s="3" t="str">
        <f>"FES1162847505"</f>
        <v>FES1162847505</v>
      </c>
      <c r="F3" s="4">
        <v>44589</v>
      </c>
      <c r="G3" s="3">
        <v>202207</v>
      </c>
      <c r="H3" s="3" t="s">
        <v>75</v>
      </c>
      <c r="I3" s="3" t="s">
        <v>76</v>
      </c>
      <c r="J3" s="3" t="s">
        <v>77</v>
      </c>
      <c r="K3" s="3" t="s">
        <v>78</v>
      </c>
      <c r="L3" s="3" t="s">
        <v>79</v>
      </c>
      <c r="M3" s="3" t="s">
        <v>80</v>
      </c>
      <c r="N3" s="3" t="s">
        <v>88</v>
      </c>
      <c r="O3" s="3" t="s">
        <v>82</v>
      </c>
      <c r="P3" s="3" t="str">
        <f>"2170816848                    "</f>
        <v xml:space="preserve">2170816848                    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">
        <v>15.46</v>
      </c>
      <c r="AL3" s="3">
        <v>0</v>
      </c>
      <c r="AM3" s="3">
        <v>0</v>
      </c>
      <c r="AN3" s="3">
        <v>0</v>
      </c>
      <c r="AO3" s="3">
        <v>0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3">
        <v>0</v>
      </c>
      <c r="AW3" s="3">
        <v>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0</v>
      </c>
      <c r="BF3" s="3">
        <v>0</v>
      </c>
      <c r="BG3" s="3">
        <v>0</v>
      </c>
      <c r="BH3" s="3">
        <v>1</v>
      </c>
      <c r="BI3" s="3">
        <v>1</v>
      </c>
      <c r="BJ3" s="3">
        <v>1.1000000000000001</v>
      </c>
      <c r="BK3" s="3">
        <v>1.5</v>
      </c>
      <c r="BL3" s="3">
        <v>59</v>
      </c>
      <c r="BM3" s="3">
        <v>8.85</v>
      </c>
      <c r="BN3" s="3">
        <v>67.849999999999994</v>
      </c>
      <c r="BO3" s="3">
        <v>67.849999999999994</v>
      </c>
      <c r="BQ3" s="3" t="s">
        <v>89</v>
      </c>
      <c r="BR3" s="3" t="s">
        <v>84</v>
      </c>
      <c r="BS3" s="3" t="s">
        <v>85</v>
      </c>
      <c r="BY3" s="3">
        <v>5320</v>
      </c>
      <c r="CC3" s="3" t="s">
        <v>80</v>
      </c>
      <c r="CD3" s="3">
        <v>200</v>
      </c>
      <c r="CE3" s="3" t="s">
        <v>86</v>
      </c>
      <c r="CI3" s="3">
        <v>1</v>
      </c>
      <c r="CJ3" s="3" t="s">
        <v>85</v>
      </c>
      <c r="CK3" s="3">
        <v>21</v>
      </c>
      <c r="CL3" s="3" t="s">
        <v>87</v>
      </c>
    </row>
    <row r="4" spans="1:92" x14ac:dyDescent="0.2">
      <c r="A4" s="3" t="s">
        <v>72</v>
      </c>
      <c r="B4" s="3" t="s">
        <v>73</v>
      </c>
      <c r="C4" s="3" t="s">
        <v>74</v>
      </c>
      <c r="E4" s="3" t="str">
        <f>"FES1162847442"</f>
        <v>FES1162847442</v>
      </c>
      <c r="F4" s="4">
        <v>44589</v>
      </c>
      <c r="G4" s="3">
        <v>202207</v>
      </c>
      <c r="H4" s="3" t="s">
        <v>75</v>
      </c>
      <c r="I4" s="3" t="s">
        <v>76</v>
      </c>
      <c r="J4" s="3" t="s">
        <v>77</v>
      </c>
      <c r="K4" s="3" t="s">
        <v>78</v>
      </c>
      <c r="L4" s="3" t="s">
        <v>90</v>
      </c>
      <c r="M4" s="3" t="s">
        <v>91</v>
      </c>
      <c r="N4" s="3" t="s">
        <v>92</v>
      </c>
      <c r="O4" s="3" t="s">
        <v>82</v>
      </c>
      <c r="P4" s="3" t="str">
        <f>"2170818720                    "</f>
        <v xml:space="preserve">2170818720                    </v>
      </c>
      <c r="Q4" s="3">
        <v>0</v>
      </c>
      <c r="R4" s="3">
        <v>0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  <c r="AE4" s="3">
        <v>0</v>
      </c>
      <c r="AF4" s="3">
        <v>0</v>
      </c>
      <c r="AG4" s="3">
        <v>0</v>
      </c>
      <c r="AH4" s="3">
        <v>0</v>
      </c>
      <c r="AI4" s="3">
        <v>0</v>
      </c>
      <c r="AJ4" s="3">
        <v>0</v>
      </c>
      <c r="AK4" s="3">
        <v>15.46</v>
      </c>
      <c r="AL4" s="3">
        <v>0</v>
      </c>
      <c r="AM4" s="3">
        <v>0</v>
      </c>
      <c r="AN4" s="3">
        <v>0</v>
      </c>
      <c r="AO4" s="3">
        <v>0</v>
      </c>
      <c r="AP4" s="3">
        <v>0</v>
      </c>
      <c r="AQ4" s="3">
        <v>0</v>
      </c>
      <c r="AR4" s="3">
        <v>0</v>
      </c>
      <c r="AS4" s="3">
        <v>0</v>
      </c>
      <c r="AT4" s="3">
        <v>0</v>
      </c>
      <c r="AU4" s="3">
        <v>0</v>
      </c>
      <c r="AV4" s="3">
        <v>0</v>
      </c>
      <c r="AW4" s="3">
        <v>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0</v>
      </c>
      <c r="BF4" s="3">
        <v>0</v>
      </c>
      <c r="BG4" s="3">
        <v>0</v>
      </c>
      <c r="BH4" s="3">
        <v>1</v>
      </c>
      <c r="BI4" s="3">
        <v>1</v>
      </c>
      <c r="BJ4" s="3">
        <v>0.2</v>
      </c>
      <c r="BK4" s="3">
        <v>1</v>
      </c>
      <c r="BL4" s="3">
        <v>59</v>
      </c>
      <c r="BM4" s="3">
        <v>8.85</v>
      </c>
      <c r="BN4" s="3">
        <v>67.849999999999994</v>
      </c>
      <c r="BO4" s="3">
        <v>67.849999999999994</v>
      </c>
      <c r="BQ4" s="3" t="s">
        <v>83</v>
      </c>
      <c r="BR4" s="3" t="s">
        <v>84</v>
      </c>
      <c r="BS4" s="3" t="s">
        <v>85</v>
      </c>
      <c r="BY4" s="3">
        <v>1200</v>
      </c>
      <c r="CC4" s="3" t="s">
        <v>91</v>
      </c>
      <c r="CD4" s="3">
        <v>7530</v>
      </c>
      <c r="CE4" s="3" t="s">
        <v>93</v>
      </c>
      <c r="CI4" s="3">
        <v>1</v>
      </c>
      <c r="CJ4" s="3" t="s">
        <v>85</v>
      </c>
      <c r="CK4" s="3">
        <v>21</v>
      </c>
      <c r="CL4" s="3" t="s">
        <v>87</v>
      </c>
    </row>
    <row r="5" spans="1:92" x14ac:dyDescent="0.2">
      <c r="A5" s="3" t="s">
        <v>72</v>
      </c>
      <c r="B5" s="3" t="s">
        <v>73</v>
      </c>
      <c r="C5" s="3" t="s">
        <v>74</v>
      </c>
      <c r="E5" s="3" t="str">
        <f>"FES1162847625"</f>
        <v>FES1162847625</v>
      </c>
      <c r="F5" s="4">
        <v>44589</v>
      </c>
      <c r="G5" s="3">
        <v>202207</v>
      </c>
      <c r="H5" s="3" t="s">
        <v>75</v>
      </c>
      <c r="I5" s="3" t="s">
        <v>76</v>
      </c>
      <c r="J5" s="3" t="s">
        <v>77</v>
      </c>
      <c r="K5" s="3" t="s">
        <v>78</v>
      </c>
      <c r="L5" s="3" t="s">
        <v>94</v>
      </c>
      <c r="M5" s="3" t="s">
        <v>95</v>
      </c>
      <c r="N5" s="3" t="s">
        <v>96</v>
      </c>
      <c r="O5" s="3" t="s">
        <v>82</v>
      </c>
      <c r="P5" s="3" t="str">
        <f>"2170818386                    "</f>
        <v xml:space="preserve">2170818386                    </v>
      </c>
      <c r="Q5" s="3">
        <v>0</v>
      </c>
      <c r="R5" s="3">
        <v>0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15.46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0</v>
      </c>
      <c r="BH5" s="3">
        <v>1</v>
      </c>
      <c r="BI5" s="3">
        <v>1</v>
      </c>
      <c r="BJ5" s="3">
        <v>0.2</v>
      </c>
      <c r="BK5" s="3">
        <v>1</v>
      </c>
      <c r="BL5" s="3">
        <v>59</v>
      </c>
      <c r="BM5" s="3">
        <v>8.85</v>
      </c>
      <c r="BN5" s="3">
        <v>67.849999999999994</v>
      </c>
      <c r="BO5" s="3">
        <v>67.849999999999994</v>
      </c>
      <c r="BQ5" s="3" t="s">
        <v>89</v>
      </c>
      <c r="BR5" s="3" t="s">
        <v>84</v>
      </c>
      <c r="BS5" s="3" t="s">
        <v>85</v>
      </c>
      <c r="BY5" s="3">
        <v>1200</v>
      </c>
      <c r="CC5" s="3" t="s">
        <v>95</v>
      </c>
      <c r="CD5" s="3">
        <v>3201</v>
      </c>
      <c r="CE5" s="3" t="s">
        <v>93</v>
      </c>
      <c r="CI5" s="3">
        <v>1</v>
      </c>
      <c r="CJ5" s="3" t="s">
        <v>85</v>
      </c>
      <c r="CK5" s="3">
        <v>21</v>
      </c>
      <c r="CL5" s="3" t="s">
        <v>87</v>
      </c>
    </row>
    <row r="6" spans="1:92" x14ac:dyDescent="0.2">
      <c r="A6" s="3" t="s">
        <v>72</v>
      </c>
      <c r="B6" s="3" t="s">
        <v>73</v>
      </c>
      <c r="C6" s="3" t="s">
        <v>74</v>
      </c>
      <c r="E6" s="3" t="str">
        <f>"FES1162847441"</f>
        <v>FES1162847441</v>
      </c>
      <c r="F6" s="4">
        <v>44589</v>
      </c>
      <c r="G6" s="3">
        <v>202207</v>
      </c>
      <c r="H6" s="3" t="s">
        <v>75</v>
      </c>
      <c r="I6" s="3" t="s">
        <v>76</v>
      </c>
      <c r="J6" s="3" t="s">
        <v>77</v>
      </c>
      <c r="K6" s="3" t="s">
        <v>78</v>
      </c>
      <c r="L6" s="3" t="s">
        <v>97</v>
      </c>
      <c r="M6" s="3" t="s">
        <v>98</v>
      </c>
      <c r="N6" s="3" t="s">
        <v>99</v>
      </c>
      <c r="O6" s="3" t="s">
        <v>82</v>
      </c>
      <c r="P6" s="3" t="str">
        <f>"2170818718                    "</f>
        <v xml:space="preserve">2170818718                    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12.07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1</v>
      </c>
      <c r="BI6" s="3">
        <v>1</v>
      </c>
      <c r="BJ6" s="3">
        <v>1.1000000000000001</v>
      </c>
      <c r="BK6" s="3">
        <v>1.5</v>
      </c>
      <c r="BL6" s="3">
        <v>46.08</v>
      </c>
      <c r="BM6" s="3">
        <v>6.91</v>
      </c>
      <c r="BN6" s="3">
        <v>52.99</v>
      </c>
      <c r="BO6" s="3">
        <v>52.99</v>
      </c>
      <c r="BQ6" s="3" t="s">
        <v>100</v>
      </c>
      <c r="BR6" s="3" t="s">
        <v>84</v>
      </c>
      <c r="BS6" s="3" t="s">
        <v>85</v>
      </c>
      <c r="BY6" s="3">
        <v>5320</v>
      </c>
      <c r="CC6" s="3" t="s">
        <v>98</v>
      </c>
      <c r="CD6" s="3">
        <v>2049</v>
      </c>
      <c r="CE6" s="3" t="s">
        <v>86</v>
      </c>
      <c r="CI6" s="3">
        <v>1</v>
      </c>
      <c r="CJ6" s="3" t="s">
        <v>85</v>
      </c>
      <c r="CK6" s="3">
        <v>22</v>
      </c>
      <c r="CL6" s="3" t="s">
        <v>87</v>
      </c>
    </row>
    <row r="7" spans="1:92" x14ac:dyDescent="0.2">
      <c r="A7" s="3" t="s">
        <v>72</v>
      </c>
      <c r="B7" s="3" t="s">
        <v>73</v>
      </c>
      <c r="C7" s="3" t="s">
        <v>74</v>
      </c>
      <c r="E7" s="3" t="str">
        <f>"FES1162847482"</f>
        <v>FES1162847482</v>
      </c>
      <c r="F7" s="4">
        <v>44589</v>
      </c>
      <c r="G7" s="3">
        <v>202207</v>
      </c>
      <c r="H7" s="3" t="s">
        <v>75</v>
      </c>
      <c r="I7" s="3" t="s">
        <v>76</v>
      </c>
      <c r="J7" s="3" t="s">
        <v>77</v>
      </c>
      <c r="K7" s="3" t="s">
        <v>78</v>
      </c>
      <c r="L7" s="3" t="s">
        <v>101</v>
      </c>
      <c r="M7" s="3" t="s">
        <v>102</v>
      </c>
      <c r="N7" s="3" t="s">
        <v>103</v>
      </c>
      <c r="O7" s="3" t="s">
        <v>82</v>
      </c>
      <c r="P7" s="3" t="str">
        <f>"2170815734                    "</f>
        <v xml:space="preserve">2170815734                    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34.770000000000003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1</v>
      </c>
      <c r="BI7" s="3">
        <v>1</v>
      </c>
      <c r="BJ7" s="3">
        <v>4.0999999999999996</v>
      </c>
      <c r="BK7" s="3">
        <v>4.5</v>
      </c>
      <c r="BL7" s="3">
        <v>132.71</v>
      </c>
      <c r="BM7" s="3">
        <v>19.91</v>
      </c>
      <c r="BN7" s="3">
        <v>152.62</v>
      </c>
      <c r="BO7" s="3">
        <v>152.62</v>
      </c>
      <c r="BQ7" s="3" t="s">
        <v>83</v>
      </c>
      <c r="BR7" s="3" t="s">
        <v>84</v>
      </c>
      <c r="BS7" s="4">
        <v>44592</v>
      </c>
      <c r="BT7" s="5">
        <v>0.31666666666666665</v>
      </c>
      <c r="BU7" s="3" t="s">
        <v>104</v>
      </c>
      <c r="BV7" s="3" t="s">
        <v>105</v>
      </c>
      <c r="BY7" s="3">
        <v>20358</v>
      </c>
      <c r="CA7" s="3" t="s">
        <v>106</v>
      </c>
      <c r="CC7" s="3" t="s">
        <v>102</v>
      </c>
      <c r="CD7" s="3">
        <v>4001</v>
      </c>
      <c r="CE7" s="3" t="s">
        <v>86</v>
      </c>
      <c r="CI7" s="3">
        <v>1</v>
      </c>
      <c r="CJ7" s="3">
        <v>1</v>
      </c>
      <c r="CK7" s="3">
        <v>21</v>
      </c>
      <c r="CL7" s="3" t="s">
        <v>87</v>
      </c>
    </row>
    <row r="8" spans="1:92" x14ac:dyDescent="0.2">
      <c r="A8" s="3" t="s">
        <v>72</v>
      </c>
      <c r="B8" s="3" t="s">
        <v>73</v>
      </c>
      <c r="C8" s="3" t="s">
        <v>74</v>
      </c>
      <c r="E8" s="3" t="str">
        <f>"FES1162847446"</f>
        <v>FES1162847446</v>
      </c>
      <c r="F8" s="4">
        <v>44589</v>
      </c>
      <c r="G8" s="3">
        <v>202207</v>
      </c>
      <c r="H8" s="3" t="s">
        <v>75</v>
      </c>
      <c r="I8" s="3" t="s">
        <v>76</v>
      </c>
      <c r="J8" s="3" t="s">
        <v>77</v>
      </c>
      <c r="K8" s="3" t="s">
        <v>78</v>
      </c>
      <c r="L8" s="3" t="s">
        <v>107</v>
      </c>
      <c r="M8" s="3" t="s">
        <v>108</v>
      </c>
      <c r="N8" s="3" t="s">
        <v>109</v>
      </c>
      <c r="O8" s="3" t="s">
        <v>82</v>
      </c>
      <c r="P8" s="3" t="str">
        <f>"2170818695                    "</f>
        <v xml:space="preserve">2170818695                    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29.95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1</v>
      </c>
      <c r="BI8" s="3">
        <v>2</v>
      </c>
      <c r="BJ8" s="3">
        <v>1.1000000000000001</v>
      </c>
      <c r="BK8" s="3">
        <v>2</v>
      </c>
      <c r="BL8" s="3">
        <v>114.31</v>
      </c>
      <c r="BM8" s="3">
        <v>17.149999999999999</v>
      </c>
      <c r="BN8" s="3">
        <v>131.46</v>
      </c>
      <c r="BO8" s="3">
        <v>131.46</v>
      </c>
      <c r="BQ8" s="3" t="s">
        <v>83</v>
      </c>
      <c r="BR8" s="3" t="s">
        <v>84</v>
      </c>
      <c r="BS8" s="3" t="s">
        <v>85</v>
      </c>
      <c r="BY8" s="3">
        <v>5320</v>
      </c>
      <c r="CC8" s="3" t="s">
        <v>108</v>
      </c>
      <c r="CD8" s="3">
        <v>6850</v>
      </c>
      <c r="CE8" s="3" t="s">
        <v>86</v>
      </c>
      <c r="CI8" s="3">
        <v>2</v>
      </c>
      <c r="CJ8" s="3" t="s">
        <v>85</v>
      </c>
      <c r="CK8" s="3">
        <v>23</v>
      </c>
      <c r="CL8" s="3" t="s">
        <v>87</v>
      </c>
    </row>
    <row r="9" spans="1:92" x14ac:dyDescent="0.2">
      <c r="A9" s="3" t="s">
        <v>72</v>
      </c>
      <c r="B9" s="3" t="s">
        <v>73</v>
      </c>
      <c r="C9" s="3" t="s">
        <v>74</v>
      </c>
      <c r="E9" s="3" t="str">
        <f>"FES1162847443"</f>
        <v>FES1162847443</v>
      </c>
      <c r="F9" s="4">
        <v>44589</v>
      </c>
      <c r="G9" s="3">
        <v>202207</v>
      </c>
      <c r="H9" s="3" t="s">
        <v>75</v>
      </c>
      <c r="I9" s="3" t="s">
        <v>76</v>
      </c>
      <c r="J9" s="3" t="s">
        <v>77</v>
      </c>
      <c r="K9" s="3" t="s">
        <v>78</v>
      </c>
      <c r="L9" s="3" t="s">
        <v>90</v>
      </c>
      <c r="M9" s="3" t="s">
        <v>91</v>
      </c>
      <c r="N9" s="3" t="s">
        <v>92</v>
      </c>
      <c r="O9" s="3" t="s">
        <v>82</v>
      </c>
      <c r="P9" s="3" t="str">
        <f>"2170818721                    "</f>
        <v xml:space="preserve">2170818721                    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15.46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1</v>
      </c>
      <c r="BI9" s="3">
        <v>1</v>
      </c>
      <c r="BJ9" s="3">
        <v>0.2</v>
      </c>
      <c r="BK9" s="3">
        <v>1</v>
      </c>
      <c r="BL9" s="3">
        <v>59</v>
      </c>
      <c r="BM9" s="3">
        <v>8.85</v>
      </c>
      <c r="BN9" s="3">
        <v>67.849999999999994</v>
      </c>
      <c r="BO9" s="3">
        <v>67.849999999999994</v>
      </c>
      <c r="BQ9" s="3" t="s">
        <v>83</v>
      </c>
      <c r="BR9" s="3" t="s">
        <v>84</v>
      </c>
      <c r="BS9" s="3" t="s">
        <v>85</v>
      </c>
      <c r="BY9" s="3">
        <v>1200</v>
      </c>
      <c r="CC9" s="3" t="s">
        <v>91</v>
      </c>
      <c r="CD9" s="3">
        <v>7530</v>
      </c>
      <c r="CE9" s="3" t="s">
        <v>93</v>
      </c>
      <c r="CI9" s="3">
        <v>1</v>
      </c>
      <c r="CJ9" s="3" t="s">
        <v>85</v>
      </c>
      <c r="CK9" s="3">
        <v>21</v>
      </c>
      <c r="CL9" s="3" t="s">
        <v>87</v>
      </c>
    </row>
    <row r="10" spans="1:92" x14ac:dyDescent="0.2">
      <c r="A10" s="3" t="s">
        <v>72</v>
      </c>
      <c r="B10" s="3" t="s">
        <v>73</v>
      </c>
      <c r="C10" s="3" t="s">
        <v>74</v>
      </c>
      <c r="E10" s="3" t="str">
        <f>"FES1162847436"</f>
        <v>FES1162847436</v>
      </c>
      <c r="F10" s="4">
        <v>44589</v>
      </c>
      <c r="G10" s="3">
        <v>202207</v>
      </c>
      <c r="H10" s="3" t="s">
        <v>75</v>
      </c>
      <c r="I10" s="3" t="s">
        <v>76</v>
      </c>
      <c r="J10" s="3" t="s">
        <v>77</v>
      </c>
      <c r="K10" s="3" t="s">
        <v>78</v>
      </c>
      <c r="L10" s="3" t="s">
        <v>90</v>
      </c>
      <c r="M10" s="3" t="s">
        <v>91</v>
      </c>
      <c r="N10" s="3" t="s">
        <v>92</v>
      </c>
      <c r="O10" s="3" t="s">
        <v>82</v>
      </c>
      <c r="P10" s="3" t="str">
        <f>"2170818712                    "</f>
        <v xml:space="preserve">2170818712                    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15.46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1</v>
      </c>
      <c r="BI10" s="3">
        <v>1</v>
      </c>
      <c r="BJ10" s="3">
        <v>0.2</v>
      </c>
      <c r="BK10" s="3">
        <v>1</v>
      </c>
      <c r="BL10" s="3">
        <v>59</v>
      </c>
      <c r="BM10" s="3">
        <v>8.85</v>
      </c>
      <c r="BN10" s="3">
        <v>67.849999999999994</v>
      </c>
      <c r="BO10" s="3">
        <v>67.849999999999994</v>
      </c>
      <c r="BQ10" s="3" t="s">
        <v>83</v>
      </c>
      <c r="BR10" s="3" t="s">
        <v>84</v>
      </c>
      <c r="BS10" s="3" t="s">
        <v>85</v>
      </c>
      <c r="BY10" s="3">
        <v>1200</v>
      </c>
      <c r="CC10" s="3" t="s">
        <v>91</v>
      </c>
      <c r="CD10" s="3">
        <v>7530</v>
      </c>
      <c r="CE10" s="3" t="s">
        <v>93</v>
      </c>
      <c r="CI10" s="3">
        <v>1</v>
      </c>
      <c r="CJ10" s="3" t="s">
        <v>85</v>
      </c>
      <c r="CK10" s="3">
        <v>21</v>
      </c>
      <c r="CL10" s="3" t="s">
        <v>87</v>
      </c>
    </row>
    <row r="11" spans="1:92" x14ac:dyDescent="0.2">
      <c r="A11" s="3" t="s">
        <v>72</v>
      </c>
      <c r="B11" s="3" t="s">
        <v>73</v>
      </c>
      <c r="C11" s="3" t="s">
        <v>74</v>
      </c>
      <c r="E11" s="3" t="str">
        <f>"FES1162847429"</f>
        <v>FES1162847429</v>
      </c>
      <c r="F11" s="4">
        <v>44589</v>
      </c>
      <c r="G11" s="3">
        <v>202207</v>
      </c>
      <c r="H11" s="3" t="s">
        <v>75</v>
      </c>
      <c r="I11" s="3" t="s">
        <v>76</v>
      </c>
      <c r="J11" s="3" t="s">
        <v>77</v>
      </c>
      <c r="K11" s="3" t="s">
        <v>78</v>
      </c>
      <c r="L11" s="3" t="s">
        <v>110</v>
      </c>
      <c r="M11" s="3" t="s">
        <v>110</v>
      </c>
      <c r="N11" s="3" t="s">
        <v>111</v>
      </c>
      <c r="O11" s="3" t="s">
        <v>82</v>
      </c>
      <c r="P11" s="3" t="str">
        <f>"2170818660                    "</f>
        <v xml:space="preserve">2170818660                    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29.95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1</v>
      </c>
      <c r="BI11" s="3">
        <v>1</v>
      </c>
      <c r="BJ11" s="3">
        <v>0.2</v>
      </c>
      <c r="BK11" s="3">
        <v>1</v>
      </c>
      <c r="BL11" s="3">
        <v>114.31</v>
      </c>
      <c r="BM11" s="3">
        <v>17.149999999999999</v>
      </c>
      <c r="BN11" s="3">
        <v>131.46</v>
      </c>
      <c r="BO11" s="3">
        <v>131.46</v>
      </c>
      <c r="BQ11" s="3" t="s">
        <v>89</v>
      </c>
      <c r="BR11" s="3" t="s">
        <v>84</v>
      </c>
      <c r="BS11" s="3" t="s">
        <v>85</v>
      </c>
      <c r="BY11" s="3">
        <v>1200</v>
      </c>
      <c r="CC11" s="3" t="s">
        <v>110</v>
      </c>
      <c r="CD11" s="3">
        <v>7646</v>
      </c>
      <c r="CE11" s="3" t="s">
        <v>93</v>
      </c>
      <c r="CI11" s="3">
        <v>1</v>
      </c>
      <c r="CJ11" s="3" t="s">
        <v>85</v>
      </c>
      <c r="CK11" s="3">
        <v>23</v>
      </c>
      <c r="CL11" s="3" t="s">
        <v>87</v>
      </c>
    </row>
    <row r="12" spans="1:92" x14ac:dyDescent="0.2">
      <c r="A12" s="3" t="s">
        <v>72</v>
      </c>
      <c r="B12" s="3" t="s">
        <v>73</v>
      </c>
      <c r="C12" s="3" t="s">
        <v>74</v>
      </c>
      <c r="E12" s="3" t="str">
        <f>"FES1162847484"</f>
        <v>FES1162847484</v>
      </c>
      <c r="F12" s="4">
        <v>44589</v>
      </c>
      <c r="G12" s="3">
        <v>202207</v>
      </c>
      <c r="H12" s="3" t="s">
        <v>75</v>
      </c>
      <c r="I12" s="3" t="s">
        <v>76</v>
      </c>
      <c r="J12" s="3" t="s">
        <v>77</v>
      </c>
      <c r="K12" s="3" t="s">
        <v>78</v>
      </c>
      <c r="L12" s="3" t="s">
        <v>90</v>
      </c>
      <c r="M12" s="3" t="s">
        <v>91</v>
      </c>
      <c r="N12" s="3" t="s">
        <v>112</v>
      </c>
      <c r="O12" s="3" t="s">
        <v>82</v>
      </c>
      <c r="P12" s="3" t="str">
        <f>"2170811224                    "</f>
        <v xml:space="preserve">2170811224                    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15.46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1</v>
      </c>
      <c r="BI12" s="3">
        <v>1</v>
      </c>
      <c r="BJ12" s="3">
        <v>1.1000000000000001</v>
      </c>
      <c r="BK12" s="3">
        <v>1.5</v>
      </c>
      <c r="BL12" s="3">
        <v>59</v>
      </c>
      <c r="BM12" s="3">
        <v>8.85</v>
      </c>
      <c r="BN12" s="3">
        <v>67.849999999999994</v>
      </c>
      <c r="BO12" s="3">
        <v>67.849999999999994</v>
      </c>
      <c r="BQ12" s="3" t="s">
        <v>113</v>
      </c>
      <c r="BR12" s="3" t="s">
        <v>84</v>
      </c>
      <c r="BS12" s="3" t="s">
        <v>85</v>
      </c>
      <c r="BY12" s="3">
        <v>5320</v>
      </c>
      <c r="CC12" s="3" t="s">
        <v>91</v>
      </c>
      <c r="CD12" s="3">
        <v>7405</v>
      </c>
      <c r="CE12" s="3" t="s">
        <v>86</v>
      </c>
      <c r="CI12" s="3">
        <v>1</v>
      </c>
      <c r="CJ12" s="3" t="s">
        <v>85</v>
      </c>
      <c r="CK12" s="3">
        <v>21</v>
      </c>
      <c r="CL12" s="3" t="s">
        <v>87</v>
      </c>
    </row>
    <row r="13" spans="1:92" x14ac:dyDescent="0.2">
      <c r="A13" s="3" t="s">
        <v>72</v>
      </c>
      <c r="B13" s="3" t="s">
        <v>73</v>
      </c>
      <c r="C13" s="3" t="s">
        <v>74</v>
      </c>
      <c r="E13" s="3" t="str">
        <f>"FES1162847430"</f>
        <v>FES1162847430</v>
      </c>
      <c r="F13" s="4">
        <v>44589</v>
      </c>
      <c r="G13" s="3">
        <v>202207</v>
      </c>
      <c r="H13" s="3" t="s">
        <v>75</v>
      </c>
      <c r="I13" s="3" t="s">
        <v>76</v>
      </c>
      <c r="J13" s="3" t="s">
        <v>77</v>
      </c>
      <c r="K13" s="3" t="s">
        <v>78</v>
      </c>
      <c r="L13" s="3" t="s">
        <v>90</v>
      </c>
      <c r="M13" s="3" t="s">
        <v>91</v>
      </c>
      <c r="N13" s="3" t="s">
        <v>114</v>
      </c>
      <c r="O13" s="3" t="s">
        <v>82</v>
      </c>
      <c r="P13" s="3" t="str">
        <f>"2170818705                    "</f>
        <v xml:space="preserve">2170818705                    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15.46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1</v>
      </c>
      <c r="BI13" s="3">
        <v>1</v>
      </c>
      <c r="BJ13" s="3">
        <v>0.2</v>
      </c>
      <c r="BK13" s="3">
        <v>1</v>
      </c>
      <c r="BL13" s="3">
        <v>59</v>
      </c>
      <c r="BM13" s="3">
        <v>8.85</v>
      </c>
      <c r="BN13" s="3">
        <v>67.849999999999994</v>
      </c>
      <c r="BO13" s="3">
        <v>67.849999999999994</v>
      </c>
      <c r="BQ13" s="3" t="s">
        <v>89</v>
      </c>
      <c r="BR13" s="3" t="s">
        <v>84</v>
      </c>
      <c r="BS13" s="3" t="s">
        <v>85</v>
      </c>
      <c r="BY13" s="3">
        <v>1200</v>
      </c>
      <c r="CC13" s="3" t="s">
        <v>91</v>
      </c>
      <c r="CD13" s="3">
        <v>7441</v>
      </c>
      <c r="CE13" s="3" t="s">
        <v>93</v>
      </c>
      <c r="CI13" s="3">
        <v>1</v>
      </c>
      <c r="CJ13" s="3" t="s">
        <v>85</v>
      </c>
      <c r="CK13" s="3">
        <v>21</v>
      </c>
      <c r="CL13" s="3" t="s">
        <v>87</v>
      </c>
    </row>
    <row r="14" spans="1:92" x14ac:dyDescent="0.2">
      <c r="A14" s="3" t="s">
        <v>72</v>
      </c>
      <c r="B14" s="3" t="s">
        <v>73</v>
      </c>
      <c r="C14" s="3" t="s">
        <v>74</v>
      </c>
      <c r="E14" s="3" t="str">
        <f>"FES1162847487"</f>
        <v>FES1162847487</v>
      </c>
      <c r="F14" s="4">
        <v>44589</v>
      </c>
      <c r="G14" s="3">
        <v>202207</v>
      </c>
      <c r="H14" s="3" t="s">
        <v>75</v>
      </c>
      <c r="I14" s="3" t="s">
        <v>76</v>
      </c>
      <c r="J14" s="3" t="s">
        <v>77</v>
      </c>
      <c r="K14" s="3" t="s">
        <v>78</v>
      </c>
      <c r="L14" s="3" t="s">
        <v>115</v>
      </c>
      <c r="M14" s="3" t="s">
        <v>116</v>
      </c>
      <c r="N14" s="3" t="s">
        <v>117</v>
      </c>
      <c r="O14" s="3" t="s">
        <v>82</v>
      </c>
      <c r="P14" s="3" t="str">
        <f>"2170818740                    "</f>
        <v xml:space="preserve">2170818740                    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12.07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1</v>
      </c>
      <c r="BI14" s="3">
        <v>1</v>
      </c>
      <c r="BJ14" s="3">
        <v>0.2</v>
      </c>
      <c r="BK14" s="3">
        <v>1</v>
      </c>
      <c r="BL14" s="3">
        <v>46.08</v>
      </c>
      <c r="BM14" s="3">
        <v>6.91</v>
      </c>
      <c r="BN14" s="3">
        <v>52.99</v>
      </c>
      <c r="BO14" s="3">
        <v>52.99</v>
      </c>
      <c r="BQ14" s="3" t="s">
        <v>89</v>
      </c>
      <c r="BR14" s="3" t="s">
        <v>84</v>
      </c>
      <c r="BS14" s="4">
        <v>44592</v>
      </c>
      <c r="BT14" s="5">
        <v>0.30902777777777779</v>
      </c>
      <c r="BU14" s="3" t="s">
        <v>118</v>
      </c>
      <c r="BV14" s="3" t="s">
        <v>105</v>
      </c>
      <c r="BY14" s="3">
        <v>1200</v>
      </c>
      <c r="CA14" s="3" t="s">
        <v>119</v>
      </c>
      <c r="CC14" s="3" t="s">
        <v>116</v>
      </c>
      <c r="CD14" s="3">
        <v>1559</v>
      </c>
      <c r="CE14" s="3" t="s">
        <v>93</v>
      </c>
      <c r="CI14" s="3">
        <v>1</v>
      </c>
      <c r="CJ14" s="3">
        <v>1</v>
      </c>
      <c r="CK14" s="3">
        <v>22</v>
      </c>
      <c r="CL14" s="3" t="s">
        <v>87</v>
      </c>
    </row>
    <row r="15" spans="1:92" x14ac:dyDescent="0.2">
      <c r="A15" s="3" t="s">
        <v>72</v>
      </c>
      <c r="B15" s="3" t="s">
        <v>73</v>
      </c>
      <c r="C15" s="3" t="s">
        <v>74</v>
      </c>
      <c r="E15" s="3" t="str">
        <f>"FES1162847471"</f>
        <v>FES1162847471</v>
      </c>
      <c r="F15" s="4">
        <v>44589</v>
      </c>
      <c r="G15" s="3">
        <v>202207</v>
      </c>
      <c r="H15" s="3" t="s">
        <v>75</v>
      </c>
      <c r="I15" s="3" t="s">
        <v>76</v>
      </c>
      <c r="J15" s="3" t="s">
        <v>77</v>
      </c>
      <c r="K15" s="3" t="s">
        <v>78</v>
      </c>
      <c r="L15" s="3" t="s">
        <v>120</v>
      </c>
      <c r="M15" s="3" t="s">
        <v>121</v>
      </c>
      <c r="N15" s="3" t="s">
        <v>122</v>
      </c>
      <c r="O15" s="3" t="s">
        <v>82</v>
      </c>
      <c r="P15" s="3" t="str">
        <f>"2170816040                    "</f>
        <v xml:space="preserve">2170816040                    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15.46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1</v>
      </c>
      <c r="BI15" s="3">
        <v>1</v>
      </c>
      <c r="BJ15" s="3">
        <v>1.1000000000000001</v>
      </c>
      <c r="BK15" s="3">
        <v>1.5</v>
      </c>
      <c r="BL15" s="3">
        <v>59</v>
      </c>
      <c r="BM15" s="3">
        <v>8.85</v>
      </c>
      <c r="BN15" s="3">
        <v>67.849999999999994</v>
      </c>
      <c r="BO15" s="3">
        <v>67.849999999999994</v>
      </c>
      <c r="BQ15" s="3" t="s">
        <v>89</v>
      </c>
      <c r="BR15" s="3" t="s">
        <v>84</v>
      </c>
      <c r="BS15" s="3" t="s">
        <v>85</v>
      </c>
      <c r="BY15" s="3">
        <v>5320</v>
      </c>
      <c r="CC15" s="3" t="s">
        <v>121</v>
      </c>
      <c r="CD15" s="3">
        <v>6230</v>
      </c>
      <c r="CE15" s="3" t="s">
        <v>86</v>
      </c>
      <c r="CI15" s="3">
        <v>1</v>
      </c>
      <c r="CJ15" s="3" t="s">
        <v>85</v>
      </c>
      <c r="CK15" s="3">
        <v>21</v>
      </c>
      <c r="CL15" s="3" t="s">
        <v>87</v>
      </c>
    </row>
    <row r="16" spans="1:92" x14ac:dyDescent="0.2">
      <c r="A16" s="3" t="s">
        <v>72</v>
      </c>
      <c r="B16" s="3" t="s">
        <v>73</v>
      </c>
      <c r="C16" s="3" t="s">
        <v>74</v>
      </c>
      <c r="E16" s="3" t="str">
        <f>"FES1162847503"</f>
        <v>FES1162847503</v>
      </c>
      <c r="F16" s="4">
        <v>44589</v>
      </c>
      <c r="G16" s="3">
        <v>202207</v>
      </c>
      <c r="H16" s="3" t="s">
        <v>75</v>
      </c>
      <c r="I16" s="3" t="s">
        <v>76</v>
      </c>
      <c r="J16" s="3" t="s">
        <v>77</v>
      </c>
      <c r="K16" s="3" t="s">
        <v>78</v>
      </c>
      <c r="L16" s="3" t="s">
        <v>123</v>
      </c>
      <c r="M16" s="3" t="s">
        <v>124</v>
      </c>
      <c r="N16" s="3" t="s">
        <v>125</v>
      </c>
      <c r="O16" s="3" t="s">
        <v>82</v>
      </c>
      <c r="P16" s="3" t="str">
        <f>"2170818760                    "</f>
        <v xml:space="preserve">2170818760                    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12.07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1</v>
      </c>
      <c r="BI16" s="3">
        <v>1</v>
      </c>
      <c r="BJ16" s="3">
        <v>0.2</v>
      </c>
      <c r="BK16" s="3">
        <v>1</v>
      </c>
      <c r="BL16" s="3">
        <v>46.08</v>
      </c>
      <c r="BM16" s="3">
        <v>6.91</v>
      </c>
      <c r="BN16" s="3">
        <v>52.99</v>
      </c>
      <c r="BO16" s="3">
        <v>52.99</v>
      </c>
      <c r="BQ16" s="3" t="s">
        <v>126</v>
      </c>
      <c r="BR16" s="3" t="s">
        <v>84</v>
      </c>
      <c r="BS16" s="3" t="s">
        <v>85</v>
      </c>
      <c r="BY16" s="3">
        <v>1200</v>
      </c>
      <c r="CC16" s="3" t="s">
        <v>124</v>
      </c>
      <c r="CD16" s="3">
        <v>1724</v>
      </c>
      <c r="CE16" s="3" t="s">
        <v>93</v>
      </c>
      <c r="CI16" s="3">
        <v>1</v>
      </c>
      <c r="CJ16" s="3" t="s">
        <v>85</v>
      </c>
      <c r="CK16" s="3">
        <v>22</v>
      </c>
      <c r="CL16" s="3" t="s">
        <v>87</v>
      </c>
    </row>
    <row r="17" spans="1:90" x14ac:dyDescent="0.2">
      <c r="A17" s="3" t="s">
        <v>72</v>
      </c>
      <c r="B17" s="3" t="s">
        <v>73</v>
      </c>
      <c r="C17" s="3" t="s">
        <v>74</v>
      </c>
      <c r="E17" s="3" t="str">
        <f>"FES1162847459"</f>
        <v>FES1162847459</v>
      </c>
      <c r="F17" s="4">
        <v>44589</v>
      </c>
      <c r="G17" s="3">
        <v>202207</v>
      </c>
      <c r="H17" s="3" t="s">
        <v>75</v>
      </c>
      <c r="I17" s="3" t="s">
        <v>76</v>
      </c>
      <c r="J17" s="3" t="s">
        <v>77</v>
      </c>
      <c r="K17" s="3" t="s">
        <v>78</v>
      </c>
      <c r="L17" s="3" t="s">
        <v>94</v>
      </c>
      <c r="M17" s="3" t="s">
        <v>95</v>
      </c>
      <c r="N17" s="3" t="s">
        <v>127</v>
      </c>
      <c r="O17" s="3" t="s">
        <v>82</v>
      </c>
      <c r="P17" s="3" t="str">
        <f>"2170814663                    "</f>
        <v xml:space="preserve">2170814663                    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15.46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15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1</v>
      </c>
      <c r="BI17" s="3">
        <v>1</v>
      </c>
      <c r="BJ17" s="3">
        <v>0.2</v>
      </c>
      <c r="BK17" s="3">
        <v>1</v>
      </c>
      <c r="BL17" s="3">
        <v>74</v>
      </c>
      <c r="BM17" s="3">
        <v>11.1</v>
      </c>
      <c r="BN17" s="3">
        <v>85.1</v>
      </c>
      <c r="BO17" s="3">
        <v>85.1</v>
      </c>
      <c r="BQ17" s="3" t="s">
        <v>128</v>
      </c>
      <c r="BR17" s="3" t="s">
        <v>84</v>
      </c>
      <c r="BS17" s="3" t="s">
        <v>85</v>
      </c>
      <c r="BY17" s="3">
        <v>1200</v>
      </c>
      <c r="BZ17" s="3" t="s">
        <v>30</v>
      </c>
      <c r="CC17" s="3" t="s">
        <v>95</v>
      </c>
      <c r="CD17" s="3">
        <v>3699</v>
      </c>
      <c r="CE17" s="3" t="s">
        <v>93</v>
      </c>
      <c r="CI17" s="3">
        <v>1</v>
      </c>
      <c r="CJ17" s="3" t="s">
        <v>85</v>
      </c>
      <c r="CK17" s="3">
        <v>21</v>
      </c>
      <c r="CL17" s="3" t="s">
        <v>87</v>
      </c>
    </row>
    <row r="18" spans="1:90" x14ac:dyDescent="0.2">
      <c r="A18" s="3" t="s">
        <v>72</v>
      </c>
      <c r="B18" s="3" t="s">
        <v>73</v>
      </c>
      <c r="C18" s="3" t="s">
        <v>74</v>
      </c>
      <c r="E18" s="3" t="str">
        <f>"FES1162847437"</f>
        <v>FES1162847437</v>
      </c>
      <c r="F18" s="4">
        <v>44589</v>
      </c>
      <c r="G18" s="3">
        <v>202207</v>
      </c>
      <c r="H18" s="3" t="s">
        <v>75</v>
      </c>
      <c r="I18" s="3" t="s">
        <v>76</v>
      </c>
      <c r="J18" s="3" t="s">
        <v>77</v>
      </c>
      <c r="K18" s="3" t="s">
        <v>78</v>
      </c>
      <c r="L18" s="3" t="s">
        <v>129</v>
      </c>
      <c r="M18" s="3" t="s">
        <v>130</v>
      </c>
      <c r="N18" s="3" t="s">
        <v>131</v>
      </c>
      <c r="O18" s="3" t="s">
        <v>82</v>
      </c>
      <c r="P18" s="3" t="str">
        <f>"2170818714                    "</f>
        <v xml:space="preserve">2170818714                    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29.95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1</v>
      </c>
      <c r="BI18" s="3">
        <v>1</v>
      </c>
      <c r="BJ18" s="3">
        <v>2</v>
      </c>
      <c r="BK18" s="3">
        <v>2</v>
      </c>
      <c r="BL18" s="3">
        <v>114.31</v>
      </c>
      <c r="BM18" s="3">
        <v>17.149999999999999</v>
      </c>
      <c r="BN18" s="3">
        <v>131.46</v>
      </c>
      <c r="BO18" s="3">
        <v>131.46</v>
      </c>
      <c r="BQ18" s="3" t="s">
        <v>83</v>
      </c>
      <c r="BR18" s="3" t="s">
        <v>84</v>
      </c>
      <c r="BS18" s="3" t="s">
        <v>85</v>
      </c>
      <c r="BY18" s="3">
        <v>9918</v>
      </c>
      <c r="CC18" s="3" t="s">
        <v>130</v>
      </c>
      <c r="CD18" s="3">
        <v>3370</v>
      </c>
      <c r="CE18" s="3" t="s">
        <v>86</v>
      </c>
      <c r="CI18" s="3">
        <v>2</v>
      </c>
      <c r="CJ18" s="3" t="s">
        <v>85</v>
      </c>
      <c r="CK18" s="3">
        <v>23</v>
      </c>
      <c r="CL18" s="3" t="s">
        <v>87</v>
      </c>
    </row>
    <row r="19" spans="1:90" x14ac:dyDescent="0.2">
      <c r="A19" s="3" t="s">
        <v>72</v>
      </c>
      <c r="B19" s="3" t="s">
        <v>73</v>
      </c>
      <c r="C19" s="3" t="s">
        <v>74</v>
      </c>
      <c r="E19" s="3" t="str">
        <f>"FES1162847585"</f>
        <v>FES1162847585</v>
      </c>
      <c r="F19" s="4">
        <v>44589</v>
      </c>
      <c r="G19" s="3">
        <v>202207</v>
      </c>
      <c r="H19" s="3" t="s">
        <v>75</v>
      </c>
      <c r="I19" s="3" t="s">
        <v>76</v>
      </c>
      <c r="J19" s="3" t="s">
        <v>77</v>
      </c>
      <c r="K19" s="3" t="s">
        <v>78</v>
      </c>
      <c r="L19" s="3" t="s">
        <v>79</v>
      </c>
      <c r="M19" s="3" t="s">
        <v>80</v>
      </c>
      <c r="N19" s="3" t="s">
        <v>81</v>
      </c>
      <c r="O19" s="3" t="s">
        <v>82</v>
      </c>
      <c r="P19" s="3" t="str">
        <f>"2170818414                    "</f>
        <v xml:space="preserve">2170818414                    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0</v>
      </c>
      <c r="AF19" s="3">
        <v>0</v>
      </c>
      <c r="AG19" s="3">
        <v>0</v>
      </c>
      <c r="AH19" s="3">
        <v>0</v>
      </c>
      <c r="AI19" s="3">
        <v>0</v>
      </c>
      <c r="AJ19" s="3">
        <v>0</v>
      </c>
      <c r="AK19" s="3">
        <v>15.46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1</v>
      </c>
      <c r="BI19" s="3">
        <v>1</v>
      </c>
      <c r="BJ19" s="3">
        <v>0.2</v>
      </c>
      <c r="BK19" s="3">
        <v>1</v>
      </c>
      <c r="BL19" s="3">
        <v>59</v>
      </c>
      <c r="BM19" s="3">
        <v>8.85</v>
      </c>
      <c r="BN19" s="3">
        <v>67.849999999999994</v>
      </c>
      <c r="BO19" s="3">
        <v>67.849999999999994</v>
      </c>
      <c r="BQ19" s="3" t="s">
        <v>83</v>
      </c>
      <c r="BR19" s="3" t="s">
        <v>84</v>
      </c>
      <c r="BS19" s="3" t="s">
        <v>85</v>
      </c>
      <c r="BY19" s="3">
        <v>1200</v>
      </c>
      <c r="CC19" s="3" t="s">
        <v>80</v>
      </c>
      <c r="CD19" s="3">
        <v>200</v>
      </c>
      <c r="CE19" s="3" t="s">
        <v>93</v>
      </c>
      <c r="CI19" s="3">
        <v>1</v>
      </c>
      <c r="CJ19" s="3" t="s">
        <v>85</v>
      </c>
      <c r="CK19" s="3">
        <v>21</v>
      </c>
      <c r="CL19" s="3" t="s">
        <v>87</v>
      </c>
    </row>
    <row r="20" spans="1:90" x14ac:dyDescent="0.2">
      <c r="A20" s="3" t="s">
        <v>72</v>
      </c>
      <c r="B20" s="3" t="s">
        <v>73</v>
      </c>
      <c r="C20" s="3" t="s">
        <v>74</v>
      </c>
      <c r="E20" s="3" t="str">
        <f>"FES1162847463"</f>
        <v>FES1162847463</v>
      </c>
      <c r="F20" s="4">
        <v>44589</v>
      </c>
      <c r="G20" s="3">
        <v>202207</v>
      </c>
      <c r="H20" s="3" t="s">
        <v>75</v>
      </c>
      <c r="I20" s="3" t="s">
        <v>76</v>
      </c>
      <c r="J20" s="3" t="s">
        <v>77</v>
      </c>
      <c r="K20" s="3" t="s">
        <v>78</v>
      </c>
      <c r="L20" s="3" t="s">
        <v>90</v>
      </c>
      <c r="M20" s="3" t="s">
        <v>91</v>
      </c>
      <c r="N20" s="3" t="s">
        <v>132</v>
      </c>
      <c r="O20" s="3" t="s">
        <v>82</v>
      </c>
      <c r="P20" s="3" t="str">
        <f>"2170815670                    "</f>
        <v xml:space="preserve">2170815670                    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15.46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1</v>
      </c>
      <c r="BI20" s="3">
        <v>1</v>
      </c>
      <c r="BJ20" s="3">
        <v>1.1000000000000001</v>
      </c>
      <c r="BK20" s="3">
        <v>1.5</v>
      </c>
      <c r="BL20" s="3">
        <v>59</v>
      </c>
      <c r="BM20" s="3">
        <v>8.85</v>
      </c>
      <c r="BN20" s="3">
        <v>67.849999999999994</v>
      </c>
      <c r="BO20" s="3">
        <v>67.849999999999994</v>
      </c>
      <c r="BQ20" s="3" t="s">
        <v>83</v>
      </c>
      <c r="BR20" s="3" t="s">
        <v>84</v>
      </c>
      <c r="BS20" s="3" t="s">
        <v>85</v>
      </c>
      <c r="BY20" s="3">
        <v>5320</v>
      </c>
      <c r="CC20" s="3" t="s">
        <v>91</v>
      </c>
      <c r="CD20" s="3">
        <v>7530</v>
      </c>
      <c r="CE20" s="3" t="s">
        <v>86</v>
      </c>
      <c r="CI20" s="3">
        <v>1</v>
      </c>
      <c r="CJ20" s="3" t="s">
        <v>85</v>
      </c>
      <c r="CK20" s="3">
        <v>21</v>
      </c>
      <c r="CL20" s="3" t="s">
        <v>87</v>
      </c>
    </row>
    <row r="21" spans="1:90" x14ac:dyDescent="0.2">
      <c r="A21" s="3" t="s">
        <v>72</v>
      </c>
      <c r="B21" s="3" t="s">
        <v>73</v>
      </c>
      <c r="C21" s="3" t="s">
        <v>74</v>
      </c>
      <c r="E21" s="3" t="str">
        <f>"FES1162847458"</f>
        <v>FES1162847458</v>
      </c>
      <c r="F21" s="4">
        <v>44589</v>
      </c>
      <c r="G21" s="3">
        <v>202207</v>
      </c>
      <c r="H21" s="3" t="s">
        <v>75</v>
      </c>
      <c r="I21" s="3" t="s">
        <v>76</v>
      </c>
      <c r="J21" s="3" t="s">
        <v>77</v>
      </c>
      <c r="K21" s="3" t="s">
        <v>78</v>
      </c>
      <c r="L21" s="3" t="s">
        <v>133</v>
      </c>
      <c r="M21" s="3" t="s">
        <v>134</v>
      </c>
      <c r="N21" s="3" t="s">
        <v>135</v>
      </c>
      <c r="O21" s="3" t="s">
        <v>82</v>
      </c>
      <c r="P21" s="3" t="str">
        <f>"2170814405                    "</f>
        <v xml:space="preserve">2170814405                    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21.74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1</v>
      </c>
      <c r="BI21" s="3">
        <v>1</v>
      </c>
      <c r="BJ21" s="3">
        <v>1.1000000000000001</v>
      </c>
      <c r="BK21" s="3">
        <v>1.5</v>
      </c>
      <c r="BL21" s="3">
        <v>82.98</v>
      </c>
      <c r="BM21" s="3">
        <v>12.45</v>
      </c>
      <c r="BN21" s="3">
        <v>95.43</v>
      </c>
      <c r="BO21" s="3">
        <v>95.43</v>
      </c>
      <c r="BQ21" s="3" t="s">
        <v>83</v>
      </c>
      <c r="BR21" s="3" t="s">
        <v>84</v>
      </c>
      <c r="BS21" s="3" t="s">
        <v>85</v>
      </c>
      <c r="BY21" s="3">
        <v>5320</v>
      </c>
      <c r="CC21" s="3" t="s">
        <v>134</v>
      </c>
      <c r="CD21" s="3">
        <v>1911</v>
      </c>
      <c r="CE21" s="3" t="s">
        <v>86</v>
      </c>
      <c r="CI21" s="3">
        <v>1</v>
      </c>
      <c r="CJ21" s="3" t="s">
        <v>85</v>
      </c>
      <c r="CK21" s="3">
        <v>24</v>
      </c>
      <c r="CL21" s="3" t="s">
        <v>87</v>
      </c>
    </row>
    <row r="22" spans="1:90" x14ac:dyDescent="0.2">
      <c r="A22" s="3" t="s">
        <v>72</v>
      </c>
      <c r="B22" s="3" t="s">
        <v>73</v>
      </c>
      <c r="C22" s="3" t="s">
        <v>74</v>
      </c>
      <c r="E22" s="3" t="str">
        <f>"FES1162847460"</f>
        <v>FES1162847460</v>
      </c>
      <c r="F22" s="4">
        <v>44589</v>
      </c>
      <c r="G22" s="3">
        <v>202207</v>
      </c>
      <c r="H22" s="3" t="s">
        <v>75</v>
      </c>
      <c r="I22" s="3" t="s">
        <v>76</v>
      </c>
      <c r="J22" s="3" t="s">
        <v>77</v>
      </c>
      <c r="K22" s="3" t="s">
        <v>78</v>
      </c>
      <c r="L22" s="3" t="s">
        <v>79</v>
      </c>
      <c r="M22" s="3" t="s">
        <v>80</v>
      </c>
      <c r="N22" s="3" t="s">
        <v>136</v>
      </c>
      <c r="O22" s="3" t="s">
        <v>82</v>
      </c>
      <c r="P22" s="3" t="str">
        <f>"2170815076                    "</f>
        <v xml:space="preserve">2170815076                    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34.770000000000003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1</v>
      </c>
      <c r="BI22" s="3">
        <v>3</v>
      </c>
      <c r="BJ22" s="3">
        <v>4.0999999999999996</v>
      </c>
      <c r="BK22" s="3">
        <v>4.5</v>
      </c>
      <c r="BL22" s="3">
        <v>132.71</v>
      </c>
      <c r="BM22" s="3">
        <v>19.91</v>
      </c>
      <c r="BN22" s="3">
        <v>152.62</v>
      </c>
      <c r="BO22" s="3">
        <v>152.62</v>
      </c>
      <c r="BQ22" s="3" t="s">
        <v>89</v>
      </c>
      <c r="BR22" s="3" t="s">
        <v>84</v>
      </c>
      <c r="BS22" s="3" t="s">
        <v>85</v>
      </c>
      <c r="BY22" s="3">
        <v>20358</v>
      </c>
      <c r="CC22" s="3" t="s">
        <v>80</v>
      </c>
      <c r="CD22" s="3">
        <v>82</v>
      </c>
      <c r="CE22" s="3" t="s">
        <v>86</v>
      </c>
      <c r="CI22" s="3">
        <v>1</v>
      </c>
      <c r="CJ22" s="3" t="s">
        <v>85</v>
      </c>
      <c r="CK22" s="3">
        <v>21</v>
      </c>
      <c r="CL22" s="3" t="s">
        <v>87</v>
      </c>
    </row>
    <row r="23" spans="1:90" x14ac:dyDescent="0.2">
      <c r="A23" s="3" t="s">
        <v>72</v>
      </c>
      <c r="B23" s="3" t="s">
        <v>73</v>
      </c>
      <c r="C23" s="3" t="s">
        <v>74</v>
      </c>
      <c r="E23" s="3" t="str">
        <f>"FES1162847480"</f>
        <v>FES1162847480</v>
      </c>
      <c r="F23" s="4">
        <v>44589</v>
      </c>
      <c r="G23" s="3">
        <v>202207</v>
      </c>
      <c r="H23" s="3" t="s">
        <v>75</v>
      </c>
      <c r="I23" s="3" t="s">
        <v>76</v>
      </c>
      <c r="J23" s="3" t="s">
        <v>77</v>
      </c>
      <c r="K23" s="3" t="s">
        <v>78</v>
      </c>
      <c r="L23" s="3" t="s">
        <v>97</v>
      </c>
      <c r="M23" s="3" t="s">
        <v>98</v>
      </c>
      <c r="N23" s="3" t="s">
        <v>137</v>
      </c>
      <c r="O23" s="3" t="s">
        <v>82</v>
      </c>
      <c r="P23" s="3" t="str">
        <f>"2170818737                    "</f>
        <v xml:space="preserve">2170818737                    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12.07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15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1</v>
      </c>
      <c r="BI23" s="3">
        <v>2</v>
      </c>
      <c r="BJ23" s="3">
        <v>2</v>
      </c>
      <c r="BK23" s="3">
        <v>2</v>
      </c>
      <c r="BL23" s="3">
        <v>61.08</v>
      </c>
      <c r="BM23" s="3">
        <v>9.16</v>
      </c>
      <c r="BN23" s="3">
        <v>70.239999999999995</v>
      </c>
      <c r="BO23" s="3">
        <v>70.239999999999995</v>
      </c>
      <c r="BQ23" s="3" t="s">
        <v>83</v>
      </c>
      <c r="BR23" s="3" t="s">
        <v>84</v>
      </c>
      <c r="BS23" s="3" t="s">
        <v>85</v>
      </c>
      <c r="BY23" s="3">
        <v>9900</v>
      </c>
      <c r="BZ23" s="3" t="s">
        <v>30</v>
      </c>
      <c r="CC23" s="3" t="s">
        <v>98</v>
      </c>
      <c r="CD23" s="3">
        <v>2094</v>
      </c>
      <c r="CE23" s="3" t="s">
        <v>86</v>
      </c>
      <c r="CI23" s="3">
        <v>1</v>
      </c>
      <c r="CJ23" s="3" t="s">
        <v>85</v>
      </c>
      <c r="CK23" s="3">
        <v>22</v>
      </c>
      <c r="CL23" s="3" t="s">
        <v>87</v>
      </c>
    </row>
    <row r="24" spans="1:90" x14ac:dyDescent="0.2">
      <c r="A24" s="3" t="s">
        <v>72</v>
      </c>
      <c r="B24" s="3" t="s">
        <v>73</v>
      </c>
      <c r="C24" s="3" t="s">
        <v>74</v>
      </c>
      <c r="E24" s="3" t="str">
        <f>"FES1162847573"</f>
        <v>FES1162847573</v>
      </c>
      <c r="F24" s="4">
        <v>44589</v>
      </c>
      <c r="G24" s="3">
        <v>202207</v>
      </c>
      <c r="H24" s="3" t="s">
        <v>75</v>
      </c>
      <c r="I24" s="3" t="s">
        <v>76</v>
      </c>
      <c r="J24" s="3" t="s">
        <v>77</v>
      </c>
      <c r="K24" s="3" t="s">
        <v>78</v>
      </c>
      <c r="L24" s="3" t="s">
        <v>138</v>
      </c>
      <c r="M24" s="3" t="s">
        <v>139</v>
      </c>
      <c r="N24" s="3" t="s">
        <v>140</v>
      </c>
      <c r="O24" s="3" t="s">
        <v>82</v>
      </c>
      <c r="P24" s="3" t="str">
        <f>"2170816895                    "</f>
        <v xml:space="preserve">2170816895                    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15.46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1</v>
      </c>
      <c r="BI24" s="3">
        <v>1</v>
      </c>
      <c r="BJ24" s="3">
        <v>0.2</v>
      </c>
      <c r="BK24" s="3">
        <v>1</v>
      </c>
      <c r="BL24" s="3">
        <v>59</v>
      </c>
      <c r="BM24" s="3">
        <v>8.85</v>
      </c>
      <c r="BN24" s="3">
        <v>67.849999999999994</v>
      </c>
      <c r="BO24" s="3">
        <v>67.849999999999994</v>
      </c>
      <c r="BQ24" s="3" t="s">
        <v>141</v>
      </c>
      <c r="BR24" s="3" t="s">
        <v>84</v>
      </c>
      <c r="BS24" s="3" t="s">
        <v>85</v>
      </c>
      <c r="BY24" s="3">
        <v>1200</v>
      </c>
      <c r="CC24" s="3" t="s">
        <v>139</v>
      </c>
      <c r="CD24" s="3">
        <v>3610</v>
      </c>
      <c r="CE24" s="3" t="s">
        <v>93</v>
      </c>
      <c r="CI24" s="3">
        <v>1</v>
      </c>
      <c r="CJ24" s="3" t="s">
        <v>85</v>
      </c>
      <c r="CK24" s="3">
        <v>21</v>
      </c>
      <c r="CL24" s="3" t="s">
        <v>87</v>
      </c>
    </row>
    <row r="25" spans="1:90" x14ac:dyDescent="0.2">
      <c r="A25" s="3" t="s">
        <v>72</v>
      </c>
      <c r="B25" s="3" t="s">
        <v>73</v>
      </c>
      <c r="C25" s="3" t="s">
        <v>74</v>
      </c>
      <c r="E25" s="3" t="str">
        <f>"FES1162847453"</f>
        <v>FES1162847453</v>
      </c>
      <c r="F25" s="4">
        <v>44589</v>
      </c>
      <c r="G25" s="3">
        <v>202207</v>
      </c>
      <c r="H25" s="3" t="s">
        <v>75</v>
      </c>
      <c r="I25" s="3" t="s">
        <v>76</v>
      </c>
      <c r="J25" s="3" t="s">
        <v>77</v>
      </c>
      <c r="K25" s="3" t="s">
        <v>78</v>
      </c>
      <c r="L25" s="3" t="s">
        <v>142</v>
      </c>
      <c r="M25" s="3" t="s">
        <v>143</v>
      </c>
      <c r="N25" s="3" t="s">
        <v>144</v>
      </c>
      <c r="O25" s="3" t="s">
        <v>82</v>
      </c>
      <c r="P25" s="3" t="str">
        <f>"2170811705                    "</f>
        <v xml:space="preserve">2170811705                    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12.07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1</v>
      </c>
      <c r="BI25" s="3">
        <v>5</v>
      </c>
      <c r="BJ25" s="3">
        <v>4.0999999999999996</v>
      </c>
      <c r="BK25" s="3">
        <v>5</v>
      </c>
      <c r="BL25" s="3">
        <v>46.08</v>
      </c>
      <c r="BM25" s="3">
        <v>6.91</v>
      </c>
      <c r="BN25" s="3">
        <v>52.99</v>
      </c>
      <c r="BO25" s="3">
        <v>52.99</v>
      </c>
      <c r="BQ25" s="3" t="s">
        <v>145</v>
      </c>
      <c r="BR25" s="3" t="s">
        <v>84</v>
      </c>
      <c r="BS25" s="3" t="s">
        <v>85</v>
      </c>
      <c r="BY25" s="3">
        <v>20358</v>
      </c>
      <c r="CC25" s="3" t="s">
        <v>143</v>
      </c>
      <c r="CD25" s="3">
        <v>1451</v>
      </c>
      <c r="CE25" s="3" t="s">
        <v>86</v>
      </c>
      <c r="CI25" s="3">
        <v>1</v>
      </c>
      <c r="CJ25" s="3" t="s">
        <v>85</v>
      </c>
      <c r="CK25" s="3">
        <v>22</v>
      </c>
      <c r="CL25" s="3" t="s">
        <v>87</v>
      </c>
    </row>
    <row r="26" spans="1:90" x14ac:dyDescent="0.2">
      <c r="A26" s="3" t="s">
        <v>72</v>
      </c>
      <c r="B26" s="3" t="s">
        <v>73</v>
      </c>
      <c r="C26" s="3" t="s">
        <v>74</v>
      </c>
      <c r="E26" s="3" t="str">
        <f>"FES1162847595"</f>
        <v>FES1162847595</v>
      </c>
      <c r="F26" s="4">
        <v>44589</v>
      </c>
      <c r="G26" s="3">
        <v>202207</v>
      </c>
      <c r="H26" s="3" t="s">
        <v>75</v>
      </c>
      <c r="I26" s="3" t="s">
        <v>76</v>
      </c>
      <c r="J26" s="3" t="s">
        <v>77</v>
      </c>
      <c r="K26" s="3" t="s">
        <v>78</v>
      </c>
      <c r="L26" s="3" t="s">
        <v>110</v>
      </c>
      <c r="M26" s="3" t="s">
        <v>110</v>
      </c>
      <c r="N26" s="3" t="s">
        <v>146</v>
      </c>
      <c r="O26" s="3" t="s">
        <v>82</v>
      </c>
      <c r="P26" s="3" t="str">
        <f>"2170818770                    "</f>
        <v xml:space="preserve">2170818770                    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29.95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1</v>
      </c>
      <c r="BI26" s="3">
        <v>2</v>
      </c>
      <c r="BJ26" s="3">
        <v>1.1000000000000001</v>
      </c>
      <c r="BK26" s="3">
        <v>2</v>
      </c>
      <c r="BL26" s="3">
        <v>114.31</v>
      </c>
      <c r="BM26" s="3">
        <v>17.149999999999999</v>
      </c>
      <c r="BN26" s="3">
        <v>131.46</v>
      </c>
      <c r="BO26" s="3">
        <v>131.46</v>
      </c>
      <c r="BQ26" s="3" t="s">
        <v>89</v>
      </c>
      <c r="BR26" s="3" t="s">
        <v>84</v>
      </c>
      <c r="BS26" s="3" t="s">
        <v>85</v>
      </c>
      <c r="BY26" s="3">
        <v>5320</v>
      </c>
      <c r="CC26" s="3" t="s">
        <v>110</v>
      </c>
      <c r="CD26" s="3">
        <v>7646</v>
      </c>
      <c r="CE26" s="3" t="s">
        <v>86</v>
      </c>
      <c r="CI26" s="3">
        <v>1</v>
      </c>
      <c r="CJ26" s="3" t="s">
        <v>85</v>
      </c>
      <c r="CK26" s="3">
        <v>23</v>
      </c>
      <c r="CL26" s="3" t="s">
        <v>87</v>
      </c>
    </row>
    <row r="27" spans="1:90" x14ac:dyDescent="0.2">
      <c r="A27" s="3" t="s">
        <v>72</v>
      </c>
      <c r="B27" s="3" t="s">
        <v>73</v>
      </c>
      <c r="C27" s="3" t="s">
        <v>74</v>
      </c>
      <c r="E27" s="3" t="str">
        <f>"FES1162847449"</f>
        <v>FES1162847449</v>
      </c>
      <c r="F27" s="4">
        <v>44589</v>
      </c>
      <c r="G27" s="3">
        <v>202207</v>
      </c>
      <c r="H27" s="3" t="s">
        <v>75</v>
      </c>
      <c r="I27" s="3" t="s">
        <v>76</v>
      </c>
      <c r="J27" s="3" t="s">
        <v>77</v>
      </c>
      <c r="K27" s="3" t="s">
        <v>78</v>
      </c>
      <c r="L27" s="3" t="s">
        <v>75</v>
      </c>
      <c r="M27" s="3" t="s">
        <v>76</v>
      </c>
      <c r="N27" s="3" t="s">
        <v>147</v>
      </c>
      <c r="O27" s="3" t="s">
        <v>148</v>
      </c>
      <c r="P27" s="3" t="str">
        <f>"2170818080                    "</f>
        <v xml:space="preserve">2170818080                    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23.06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1</v>
      </c>
      <c r="BI27" s="3">
        <v>3</v>
      </c>
      <c r="BJ27" s="3">
        <v>7.4</v>
      </c>
      <c r="BK27" s="3">
        <v>8</v>
      </c>
      <c r="BL27" s="3">
        <v>93.28</v>
      </c>
      <c r="BM27" s="3">
        <v>13.99</v>
      </c>
      <c r="BN27" s="3">
        <v>107.27</v>
      </c>
      <c r="BO27" s="3">
        <v>107.27</v>
      </c>
      <c r="BQ27" s="3" t="s">
        <v>89</v>
      </c>
      <c r="BR27" s="3" t="s">
        <v>84</v>
      </c>
      <c r="BS27" s="3" t="s">
        <v>85</v>
      </c>
      <c r="BY27" s="3">
        <v>37200</v>
      </c>
      <c r="CC27" s="3" t="s">
        <v>76</v>
      </c>
      <c r="CD27" s="3">
        <v>1645</v>
      </c>
      <c r="CE27" s="3" t="s">
        <v>86</v>
      </c>
      <c r="CI27" s="3">
        <v>1</v>
      </c>
      <c r="CJ27" s="3" t="s">
        <v>85</v>
      </c>
      <c r="CK27" s="3">
        <v>42</v>
      </c>
      <c r="CL27" s="3" t="s">
        <v>87</v>
      </c>
    </row>
    <row r="28" spans="1:90" x14ac:dyDescent="0.2">
      <c r="A28" s="3" t="s">
        <v>72</v>
      </c>
      <c r="B28" s="3" t="s">
        <v>73</v>
      </c>
      <c r="C28" s="3" t="s">
        <v>74</v>
      </c>
      <c r="E28" s="3" t="str">
        <f>"FES1162847513"</f>
        <v>FES1162847513</v>
      </c>
      <c r="F28" s="4">
        <v>44589</v>
      </c>
      <c r="G28" s="3">
        <v>202207</v>
      </c>
      <c r="H28" s="3" t="s">
        <v>75</v>
      </c>
      <c r="I28" s="3" t="s">
        <v>76</v>
      </c>
      <c r="J28" s="3" t="s">
        <v>77</v>
      </c>
      <c r="K28" s="3" t="s">
        <v>78</v>
      </c>
      <c r="L28" s="3" t="s">
        <v>149</v>
      </c>
      <c r="M28" s="3" t="s">
        <v>150</v>
      </c>
      <c r="N28" s="3" t="s">
        <v>151</v>
      </c>
      <c r="O28" s="3" t="s">
        <v>82</v>
      </c>
      <c r="P28" s="3" t="str">
        <f>"2170808228                    "</f>
        <v xml:space="preserve">2170808228                    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29.95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1</v>
      </c>
      <c r="BI28" s="3">
        <v>1</v>
      </c>
      <c r="BJ28" s="3">
        <v>0.2</v>
      </c>
      <c r="BK28" s="3">
        <v>1</v>
      </c>
      <c r="BL28" s="3">
        <v>114.31</v>
      </c>
      <c r="BM28" s="3">
        <v>17.149999999999999</v>
      </c>
      <c r="BN28" s="3">
        <v>131.46</v>
      </c>
      <c r="BO28" s="3">
        <v>131.46</v>
      </c>
      <c r="BR28" s="3" t="s">
        <v>84</v>
      </c>
      <c r="BS28" s="3" t="s">
        <v>85</v>
      </c>
      <c r="BY28" s="3">
        <v>1200</v>
      </c>
      <c r="CC28" s="3" t="s">
        <v>150</v>
      </c>
      <c r="CD28" s="3">
        <v>5850</v>
      </c>
      <c r="CE28" s="3" t="s">
        <v>93</v>
      </c>
      <c r="CI28" s="3">
        <v>2</v>
      </c>
      <c r="CJ28" s="3" t="s">
        <v>85</v>
      </c>
      <c r="CK28" s="3">
        <v>23</v>
      </c>
      <c r="CL28" s="3" t="s">
        <v>87</v>
      </c>
    </row>
    <row r="29" spans="1:90" x14ac:dyDescent="0.2">
      <c r="A29" s="3" t="s">
        <v>72</v>
      </c>
      <c r="B29" s="3" t="s">
        <v>73</v>
      </c>
      <c r="C29" s="3" t="s">
        <v>74</v>
      </c>
      <c r="E29" s="3" t="str">
        <f>"FES1162847478"</f>
        <v>FES1162847478</v>
      </c>
      <c r="F29" s="4">
        <v>44589</v>
      </c>
      <c r="G29" s="3">
        <v>202207</v>
      </c>
      <c r="H29" s="3" t="s">
        <v>75</v>
      </c>
      <c r="I29" s="3" t="s">
        <v>76</v>
      </c>
      <c r="J29" s="3" t="s">
        <v>77</v>
      </c>
      <c r="K29" s="3" t="s">
        <v>78</v>
      </c>
      <c r="L29" s="3" t="s">
        <v>138</v>
      </c>
      <c r="M29" s="3" t="s">
        <v>139</v>
      </c>
      <c r="N29" s="3" t="s">
        <v>152</v>
      </c>
      <c r="O29" s="3" t="s">
        <v>82</v>
      </c>
      <c r="P29" s="3" t="str">
        <f>"2170818710                    "</f>
        <v xml:space="preserve">2170818710                    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23.18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1</v>
      </c>
      <c r="BI29" s="3">
        <v>3</v>
      </c>
      <c r="BJ29" s="3">
        <v>2</v>
      </c>
      <c r="BK29" s="3">
        <v>3</v>
      </c>
      <c r="BL29" s="3">
        <v>88.48</v>
      </c>
      <c r="BM29" s="3">
        <v>13.27</v>
      </c>
      <c r="BN29" s="3">
        <v>101.75</v>
      </c>
      <c r="BO29" s="3">
        <v>101.75</v>
      </c>
      <c r="BQ29" s="3" t="s">
        <v>83</v>
      </c>
      <c r="BR29" s="3" t="s">
        <v>84</v>
      </c>
      <c r="BS29" s="3" t="s">
        <v>85</v>
      </c>
      <c r="BY29" s="3">
        <v>9900</v>
      </c>
      <c r="CC29" s="3" t="s">
        <v>139</v>
      </c>
      <c r="CD29" s="3">
        <v>3610</v>
      </c>
      <c r="CE29" s="3" t="s">
        <v>86</v>
      </c>
      <c r="CI29" s="3">
        <v>1</v>
      </c>
      <c r="CJ29" s="3" t="s">
        <v>85</v>
      </c>
      <c r="CK29" s="3">
        <v>21</v>
      </c>
      <c r="CL29" s="3" t="s">
        <v>87</v>
      </c>
    </row>
    <row r="30" spans="1:90" x14ac:dyDescent="0.2">
      <c r="A30" s="3" t="s">
        <v>72</v>
      </c>
      <c r="B30" s="3" t="s">
        <v>73</v>
      </c>
      <c r="C30" s="3" t="s">
        <v>74</v>
      </c>
      <c r="E30" s="3" t="str">
        <f>"FES1162847622"</f>
        <v>FES1162847622</v>
      </c>
      <c r="F30" s="4">
        <v>44589</v>
      </c>
      <c r="G30" s="3">
        <v>202207</v>
      </c>
      <c r="H30" s="3" t="s">
        <v>75</v>
      </c>
      <c r="I30" s="3" t="s">
        <v>76</v>
      </c>
      <c r="J30" s="3" t="s">
        <v>77</v>
      </c>
      <c r="K30" s="3" t="s">
        <v>78</v>
      </c>
      <c r="L30" s="3" t="s">
        <v>75</v>
      </c>
      <c r="M30" s="3" t="s">
        <v>76</v>
      </c>
      <c r="N30" s="3" t="s">
        <v>153</v>
      </c>
      <c r="O30" s="3" t="s">
        <v>82</v>
      </c>
      <c r="P30" s="3" t="str">
        <f>"2170818189                    "</f>
        <v xml:space="preserve">2170818189                    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12.07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1</v>
      </c>
      <c r="BI30" s="3">
        <v>1</v>
      </c>
      <c r="BJ30" s="3">
        <v>0.2</v>
      </c>
      <c r="BK30" s="3">
        <v>1</v>
      </c>
      <c r="BL30" s="3">
        <v>46.08</v>
      </c>
      <c r="BM30" s="3">
        <v>6.91</v>
      </c>
      <c r="BN30" s="3">
        <v>52.99</v>
      </c>
      <c r="BO30" s="3">
        <v>52.99</v>
      </c>
      <c r="BR30" s="3" t="s">
        <v>84</v>
      </c>
      <c r="BS30" s="3" t="s">
        <v>85</v>
      </c>
      <c r="BY30" s="3">
        <v>1200</v>
      </c>
      <c r="CC30" s="3" t="s">
        <v>76</v>
      </c>
      <c r="CD30" s="3">
        <v>1600</v>
      </c>
      <c r="CE30" s="3" t="s">
        <v>93</v>
      </c>
      <c r="CI30" s="3">
        <v>1</v>
      </c>
      <c r="CJ30" s="3" t="s">
        <v>85</v>
      </c>
      <c r="CK30" s="3">
        <v>22</v>
      </c>
      <c r="CL30" s="3" t="s">
        <v>87</v>
      </c>
    </row>
    <row r="31" spans="1:90" x14ac:dyDescent="0.2">
      <c r="A31" s="3" t="s">
        <v>72</v>
      </c>
      <c r="B31" s="3" t="s">
        <v>73</v>
      </c>
      <c r="C31" s="3" t="s">
        <v>74</v>
      </c>
      <c r="E31" s="3" t="str">
        <f>"FES1162847539"</f>
        <v>FES1162847539</v>
      </c>
      <c r="F31" s="4">
        <v>44589</v>
      </c>
      <c r="G31" s="3">
        <v>202207</v>
      </c>
      <c r="H31" s="3" t="s">
        <v>75</v>
      </c>
      <c r="I31" s="3" t="s">
        <v>76</v>
      </c>
      <c r="J31" s="3" t="s">
        <v>77</v>
      </c>
      <c r="K31" s="3" t="s">
        <v>78</v>
      </c>
      <c r="L31" s="3" t="s">
        <v>154</v>
      </c>
      <c r="M31" s="3" t="s">
        <v>155</v>
      </c>
      <c r="N31" s="3" t="s">
        <v>156</v>
      </c>
      <c r="O31" s="3" t="s">
        <v>82</v>
      </c>
      <c r="P31" s="3" t="str">
        <f>"21708 16360                   "</f>
        <v xml:space="preserve">21708 16360                   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12.07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1</v>
      </c>
      <c r="BI31" s="3">
        <v>1</v>
      </c>
      <c r="BJ31" s="3">
        <v>0.2</v>
      </c>
      <c r="BK31" s="3">
        <v>1</v>
      </c>
      <c r="BL31" s="3">
        <v>46.08</v>
      </c>
      <c r="BM31" s="3">
        <v>6.91</v>
      </c>
      <c r="BN31" s="3">
        <v>52.99</v>
      </c>
      <c r="BO31" s="3">
        <v>52.99</v>
      </c>
      <c r="BQ31" s="3" t="s">
        <v>83</v>
      </c>
      <c r="BR31" s="3" t="s">
        <v>84</v>
      </c>
      <c r="BS31" s="3" t="s">
        <v>85</v>
      </c>
      <c r="BY31" s="3">
        <v>1200</v>
      </c>
      <c r="CC31" s="3" t="s">
        <v>155</v>
      </c>
      <c r="CD31" s="3">
        <v>1682</v>
      </c>
      <c r="CE31" s="3" t="s">
        <v>93</v>
      </c>
      <c r="CI31" s="3">
        <v>1</v>
      </c>
      <c r="CJ31" s="3" t="s">
        <v>85</v>
      </c>
      <c r="CK31" s="3">
        <v>22</v>
      </c>
      <c r="CL31" s="3" t="s">
        <v>87</v>
      </c>
    </row>
    <row r="32" spans="1:90" x14ac:dyDescent="0.2">
      <c r="A32" s="3" t="s">
        <v>72</v>
      </c>
      <c r="B32" s="3" t="s">
        <v>73</v>
      </c>
      <c r="C32" s="3" t="s">
        <v>74</v>
      </c>
      <c r="E32" s="3" t="str">
        <f>"FES1162847476"</f>
        <v>FES1162847476</v>
      </c>
      <c r="F32" s="4">
        <v>44589</v>
      </c>
      <c r="G32" s="3">
        <v>202207</v>
      </c>
      <c r="H32" s="3" t="s">
        <v>75</v>
      </c>
      <c r="I32" s="3" t="s">
        <v>76</v>
      </c>
      <c r="J32" s="3" t="s">
        <v>77</v>
      </c>
      <c r="K32" s="3" t="s">
        <v>78</v>
      </c>
      <c r="L32" s="3" t="s">
        <v>90</v>
      </c>
      <c r="M32" s="3" t="s">
        <v>91</v>
      </c>
      <c r="N32" s="3" t="s">
        <v>157</v>
      </c>
      <c r="O32" s="3" t="s">
        <v>82</v>
      </c>
      <c r="P32" s="3" t="str">
        <f>"2170816235                    "</f>
        <v xml:space="preserve">2170816235                    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15.46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1</v>
      </c>
      <c r="BI32" s="3">
        <v>1</v>
      </c>
      <c r="BJ32" s="3">
        <v>1.1000000000000001</v>
      </c>
      <c r="BK32" s="3">
        <v>1.5</v>
      </c>
      <c r="BL32" s="3">
        <v>59</v>
      </c>
      <c r="BM32" s="3">
        <v>8.85</v>
      </c>
      <c r="BN32" s="3">
        <v>67.849999999999994</v>
      </c>
      <c r="BO32" s="3">
        <v>67.849999999999994</v>
      </c>
      <c r="BQ32" s="3" t="s">
        <v>89</v>
      </c>
      <c r="BR32" s="3" t="s">
        <v>84</v>
      </c>
      <c r="BS32" s="3" t="s">
        <v>85</v>
      </c>
      <c r="BY32" s="3">
        <v>5320</v>
      </c>
      <c r="CC32" s="3" t="s">
        <v>91</v>
      </c>
      <c r="CD32" s="3">
        <v>7441</v>
      </c>
      <c r="CE32" s="3" t="s">
        <v>86</v>
      </c>
      <c r="CI32" s="3">
        <v>1</v>
      </c>
      <c r="CJ32" s="3" t="s">
        <v>85</v>
      </c>
      <c r="CK32" s="3">
        <v>21</v>
      </c>
      <c r="CL32" s="3" t="s">
        <v>87</v>
      </c>
    </row>
    <row r="33" spans="1:90" x14ac:dyDescent="0.2">
      <c r="A33" s="3" t="s">
        <v>72</v>
      </c>
      <c r="B33" s="3" t="s">
        <v>73</v>
      </c>
      <c r="C33" s="3" t="s">
        <v>74</v>
      </c>
      <c r="E33" s="3" t="str">
        <f>"FES1162847435"</f>
        <v>FES1162847435</v>
      </c>
      <c r="F33" s="4">
        <v>44589</v>
      </c>
      <c r="G33" s="3">
        <v>202207</v>
      </c>
      <c r="H33" s="3" t="s">
        <v>75</v>
      </c>
      <c r="I33" s="3" t="s">
        <v>76</v>
      </c>
      <c r="J33" s="3" t="s">
        <v>77</v>
      </c>
      <c r="K33" s="3" t="s">
        <v>78</v>
      </c>
      <c r="L33" s="3" t="s">
        <v>158</v>
      </c>
      <c r="M33" s="3" t="s">
        <v>159</v>
      </c>
      <c r="N33" s="3" t="s">
        <v>160</v>
      </c>
      <c r="O33" s="3" t="s">
        <v>82</v>
      </c>
      <c r="P33" s="3" t="str">
        <f>"2170818711                    "</f>
        <v xml:space="preserve">2170818711                    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12.07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1</v>
      </c>
      <c r="BI33" s="3">
        <v>8</v>
      </c>
      <c r="BJ33" s="3">
        <v>4.0999999999999996</v>
      </c>
      <c r="BK33" s="3">
        <v>8</v>
      </c>
      <c r="BL33" s="3">
        <v>46.08</v>
      </c>
      <c r="BM33" s="3">
        <v>6.91</v>
      </c>
      <c r="BN33" s="3">
        <v>52.99</v>
      </c>
      <c r="BO33" s="3">
        <v>52.99</v>
      </c>
      <c r="BR33" s="3" t="s">
        <v>84</v>
      </c>
      <c r="BS33" s="3" t="s">
        <v>85</v>
      </c>
      <c r="BY33" s="3">
        <v>20358</v>
      </c>
      <c r="CC33" s="3" t="s">
        <v>159</v>
      </c>
      <c r="CD33" s="3">
        <v>1459</v>
      </c>
      <c r="CE33" s="3" t="s">
        <v>86</v>
      </c>
      <c r="CI33" s="3">
        <v>1</v>
      </c>
      <c r="CJ33" s="3" t="s">
        <v>85</v>
      </c>
      <c r="CK33" s="3">
        <v>22</v>
      </c>
      <c r="CL33" s="3" t="s">
        <v>87</v>
      </c>
    </row>
    <row r="34" spans="1:90" x14ac:dyDescent="0.2">
      <c r="A34" s="3" t="s">
        <v>72</v>
      </c>
      <c r="B34" s="3" t="s">
        <v>73</v>
      </c>
      <c r="C34" s="3" t="s">
        <v>74</v>
      </c>
      <c r="E34" s="3" t="str">
        <f>"FES1162847462"</f>
        <v>FES1162847462</v>
      </c>
      <c r="F34" s="4">
        <v>44589</v>
      </c>
      <c r="G34" s="3">
        <v>202207</v>
      </c>
      <c r="H34" s="3" t="s">
        <v>75</v>
      </c>
      <c r="I34" s="3" t="s">
        <v>76</v>
      </c>
      <c r="J34" s="3" t="s">
        <v>77</v>
      </c>
      <c r="K34" s="3" t="s">
        <v>78</v>
      </c>
      <c r="L34" s="3" t="s">
        <v>94</v>
      </c>
      <c r="M34" s="3" t="s">
        <v>95</v>
      </c>
      <c r="N34" s="3" t="s">
        <v>161</v>
      </c>
      <c r="O34" s="3" t="s">
        <v>82</v>
      </c>
      <c r="P34" s="3" t="str">
        <f>"2170815642                    "</f>
        <v xml:space="preserve">2170815642                    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15.46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1</v>
      </c>
      <c r="BI34" s="3">
        <v>1</v>
      </c>
      <c r="BJ34" s="3">
        <v>1.1000000000000001</v>
      </c>
      <c r="BK34" s="3">
        <v>1.5</v>
      </c>
      <c r="BL34" s="3">
        <v>59</v>
      </c>
      <c r="BM34" s="3">
        <v>8.85</v>
      </c>
      <c r="BN34" s="3">
        <v>67.849999999999994</v>
      </c>
      <c r="BO34" s="3">
        <v>67.849999999999994</v>
      </c>
      <c r="BQ34" s="3" t="s">
        <v>89</v>
      </c>
      <c r="BR34" s="3" t="s">
        <v>84</v>
      </c>
      <c r="BS34" s="3" t="s">
        <v>85</v>
      </c>
      <c r="BY34" s="3">
        <v>5320</v>
      </c>
      <c r="CC34" s="3" t="s">
        <v>95</v>
      </c>
      <c r="CD34" s="3">
        <v>3201</v>
      </c>
      <c r="CE34" s="3" t="s">
        <v>86</v>
      </c>
      <c r="CI34" s="3">
        <v>1</v>
      </c>
      <c r="CJ34" s="3" t="s">
        <v>85</v>
      </c>
      <c r="CK34" s="3">
        <v>21</v>
      </c>
      <c r="CL34" s="3" t="s">
        <v>87</v>
      </c>
    </row>
    <row r="35" spans="1:90" x14ac:dyDescent="0.2">
      <c r="A35" s="3" t="s">
        <v>72</v>
      </c>
      <c r="B35" s="3" t="s">
        <v>73</v>
      </c>
      <c r="C35" s="3" t="s">
        <v>74</v>
      </c>
      <c r="E35" s="3" t="str">
        <f>"FES1162847447"</f>
        <v>FES1162847447</v>
      </c>
      <c r="F35" s="4">
        <v>44589</v>
      </c>
      <c r="G35" s="3">
        <v>202207</v>
      </c>
      <c r="H35" s="3" t="s">
        <v>75</v>
      </c>
      <c r="I35" s="3" t="s">
        <v>76</v>
      </c>
      <c r="J35" s="3" t="s">
        <v>77</v>
      </c>
      <c r="K35" s="3" t="s">
        <v>78</v>
      </c>
      <c r="L35" s="3" t="s">
        <v>162</v>
      </c>
      <c r="M35" s="3" t="s">
        <v>163</v>
      </c>
      <c r="N35" s="3" t="s">
        <v>164</v>
      </c>
      <c r="O35" s="3" t="s">
        <v>82</v>
      </c>
      <c r="P35" s="3" t="str">
        <f>"2170818725                    "</f>
        <v xml:space="preserve">2170818725                    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12.07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1</v>
      </c>
      <c r="BI35" s="3">
        <v>1</v>
      </c>
      <c r="BJ35" s="3">
        <v>0.2</v>
      </c>
      <c r="BK35" s="3">
        <v>1</v>
      </c>
      <c r="BL35" s="3">
        <v>46.08</v>
      </c>
      <c r="BM35" s="3">
        <v>6.91</v>
      </c>
      <c r="BN35" s="3">
        <v>52.99</v>
      </c>
      <c r="BO35" s="3">
        <v>52.99</v>
      </c>
      <c r="BQ35" s="3" t="s">
        <v>89</v>
      </c>
      <c r="BR35" s="3" t="s">
        <v>84</v>
      </c>
      <c r="BS35" s="3" t="s">
        <v>85</v>
      </c>
      <c r="BY35" s="3">
        <v>1200</v>
      </c>
      <c r="BZ35" s="3" t="s">
        <v>165</v>
      </c>
      <c r="CC35" s="3" t="s">
        <v>163</v>
      </c>
      <c r="CD35" s="3">
        <v>1428</v>
      </c>
      <c r="CE35" s="3" t="s">
        <v>93</v>
      </c>
      <c r="CI35" s="3">
        <v>1</v>
      </c>
      <c r="CJ35" s="3" t="s">
        <v>85</v>
      </c>
      <c r="CK35" s="3">
        <v>22</v>
      </c>
      <c r="CL35" s="3" t="s">
        <v>87</v>
      </c>
    </row>
    <row r="36" spans="1:90" x14ac:dyDescent="0.2">
      <c r="A36" s="3" t="s">
        <v>72</v>
      </c>
      <c r="B36" s="3" t="s">
        <v>73</v>
      </c>
      <c r="C36" s="3" t="s">
        <v>74</v>
      </c>
      <c r="E36" s="3" t="str">
        <f>"FES1162847439"</f>
        <v>FES1162847439</v>
      </c>
      <c r="F36" s="4">
        <v>44589</v>
      </c>
      <c r="G36" s="3">
        <v>202207</v>
      </c>
      <c r="H36" s="3" t="s">
        <v>75</v>
      </c>
      <c r="I36" s="3" t="s">
        <v>76</v>
      </c>
      <c r="J36" s="3" t="s">
        <v>77</v>
      </c>
      <c r="K36" s="3" t="s">
        <v>78</v>
      </c>
      <c r="L36" s="3" t="s">
        <v>75</v>
      </c>
      <c r="M36" s="3" t="s">
        <v>76</v>
      </c>
      <c r="N36" s="3" t="s">
        <v>166</v>
      </c>
      <c r="O36" s="3" t="s">
        <v>82</v>
      </c>
      <c r="P36" s="3" t="str">
        <f>"2170818716                    "</f>
        <v xml:space="preserve">2170818716                    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12.07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1</v>
      </c>
      <c r="BI36" s="3">
        <v>1</v>
      </c>
      <c r="BJ36" s="3">
        <v>0.2</v>
      </c>
      <c r="BK36" s="3">
        <v>1</v>
      </c>
      <c r="BL36" s="3">
        <v>46.08</v>
      </c>
      <c r="BM36" s="3">
        <v>6.91</v>
      </c>
      <c r="BN36" s="3">
        <v>52.99</v>
      </c>
      <c r="BO36" s="3">
        <v>52.99</v>
      </c>
      <c r="BQ36" s="3" t="s">
        <v>89</v>
      </c>
      <c r="BR36" s="3" t="s">
        <v>84</v>
      </c>
      <c r="BS36" s="3" t="s">
        <v>85</v>
      </c>
      <c r="BY36" s="3">
        <v>1200</v>
      </c>
      <c r="BZ36" s="3" t="s">
        <v>165</v>
      </c>
      <c r="CC36" s="3" t="s">
        <v>76</v>
      </c>
      <c r="CD36" s="3">
        <v>1665</v>
      </c>
      <c r="CE36" s="3" t="s">
        <v>93</v>
      </c>
      <c r="CI36" s="3">
        <v>1</v>
      </c>
      <c r="CJ36" s="3" t="s">
        <v>85</v>
      </c>
      <c r="CK36" s="3">
        <v>22</v>
      </c>
      <c r="CL36" s="3" t="s">
        <v>87</v>
      </c>
    </row>
    <row r="37" spans="1:90" x14ac:dyDescent="0.2">
      <c r="A37" s="3" t="s">
        <v>72</v>
      </c>
      <c r="B37" s="3" t="s">
        <v>73</v>
      </c>
      <c r="C37" s="3" t="s">
        <v>74</v>
      </c>
      <c r="E37" s="3" t="str">
        <f>"FES1162847432"</f>
        <v>FES1162847432</v>
      </c>
      <c r="F37" s="4">
        <v>44589</v>
      </c>
      <c r="G37" s="3">
        <v>202207</v>
      </c>
      <c r="H37" s="3" t="s">
        <v>75</v>
      </c>
      <c r="I37" s="3" t="s">
        <v>76</v>
      </c>
      <c r="J37" s="3" t="s">
        <v>77</v>
      </c>
      <c r="K37" s="3" t="s">
        <v>78</v>
      </c>
      <c r="L37" s="3" t="s">
        <v>167</v>
      </c>
      <c r="M37" s="3" t="s">
        <v>168</v>
      </c>
      <c r="N37" s="3" t="s">
        <v>169</v>
      </c>
      <c r="O37" s="3" t="s">
        <v>82</v>
      </c>
      <c r="P37" s="3" t="str">
        <f>"2170818707                    "</f>
        <v xml:space="preserve">2170818707                    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15.46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1</v>
      </c>
      <c r="BI37" s="3">
        <v>2</v>
      </c>
      <c r="BJ37" s="3">
        <v>2</v>
      </c>
      <c r="BK37" s="3">
        <v>2</v>
      </c>
      <c r="BL37" s="3">
        <v>59</v>
      </c>
      <c r="BM37" s="3">
        <v>8.85</v>
      </c>
      <c r="BN37" s="3">
        <v>67.849999999999994</v>
      </c>
      <c r="BO37" s="3">
        <v>67.849999999999994</v>
      </c>
      <c r="BQ37" s="3" t="s">
        <v>83</v>
      </c>
      <c r="BR37" s="3" t="s">
        <v>84</v>
      </c>
      <c r="BS37" s="3" t="s">
        <v>85</v>
      </c>
      <c r="BY37" s="3">
        <v>9900</v>
      </c>
      <c r="BZ37" s="3" t="s">
        <v>165</v>
      </c>
      <c r="CC37" s="3" t="s">
        <v>168</v>
      </c>
      <c r="CD37" s="3">
        <v>6220</v>
      </c>
      <c r="CE37" s="3" t="s">
        <v>86</v>
      </c>
      <c r="CI37" s="3">
        <v>1</v>
      </c>
      <c r="CJ37" s="3" t="s">
        <v>85</v>
      </c>
      <c r="CK37" s="3">
        <v>21</v>
      </c>
      <c r="CL37" s="3" t="s">
        <v>87</v>
      </c>
    </row>
    <row r="38" spans="1:90" x14ac:dyDescent="0.2">
      <c r="A38" s="3" t="s">
        <v>72</v>
      </c>
      <c r="B38" s="3" t="s">
        <v>73</v>
      </c>
      <c r="C38" s="3" t="s">
        <v>74</v>
      </c>
      <c r="E38" s="3" t="str">
        <f>"FES1162847615"</f>
        <v>FES1162847615</v>
      </c>
      <c r="F38" s="4">
        <v>44589</v>
      </c>
      <c r="G38" s="3">
        <v>202207</v>
      </c>
      <c r="H38" s="3" t="s">
        <v>75</v>
      </c>
      <c r="I38" s="3" t="s">
        <v>76</v>
      </c>
      <c r="J38" s="3" t="s">
        <v>77</v>
      </c>
      <c r="K38" s="3" t="s">
        <v>78</v>
      </c>
      <c r="L38" s="3" t="s">
        <v>101</v>
      </c>
      <c r="M38" s="3" t="s">
        <v>102</v>
      </c>
      <c r="N38" s="3" t="s">
        <v>170</v>
      </c>
      <c r="O38" s="3" t="s">
        <v>82</v>
      </c>
      <c r="P38" s="3" t="str">
        <f>"2170816834                    "</f>
        <v xml:space="preserve">2170816834                    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15.46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1</v>
      </c>
      <c r="BI38" s="3">
        <v>1</v>
      </c>
      <c r="BJ38" s="3">
        <v>0.2</v>
      </c>
      <c r="BK38" s="3">
        <v>1</v>
      </c>
      <c r="BL38" s="3">
        <v>59</v>
      </c>
      <c r="BM38" s="3">
        <v>8.85</v>
      </c>
      <c r="BN38" s="3">
        <v>67.849999999999994</v>
      </c>
      <c r="BO38" s="3">
        <v>67.849999999999994</v>
      </c>
      <c r="BQ38" s="3" t="s">
        <v>89</v>
      </c>
      <c r="BR38" s="3" t="s">
        <v>84</v>
      </c>
      <c r="BS38" s="3" t="s">
        <v>85</v>
      </c>
      <c r="BY38" s="3">
        <v>1200</v>
      </c>
      <c r="BZ38" s="3" t="s">
        <v>165</v>
      </c>
      <c r="CC38" s="3" t="s">
        <v>102</v>
      </c>
      <c r="CD38" s="3">
        <v>4001</v>
      </c>
      <c r="CE38" s="3" t="s">
        <v>93</v>
      </c>
      <c r="CI38" s="3">
        <v>1</v>
      </c>
      <c r="CJ38" s="3" t="s">
        <v>85</v>
      </c>
      <c r="CK38" s="3">
        <v>21</v>
      </c>
      <c r="CL38" s="3" t="s">
        <v>87</v>
      </c>
    </row>
    <row r="39" spans="1:90" x14ac:dyDescent="0.2">
      <c r="A39" s="3" t="s">
        <v>72</v>
      </c>
      <c r="B39" s="3" t="s">
        <v>73</v>
      </c>
      <c r="C39" s="3" t="s">
        <v>74</v>
      </c>
      <c r="E39" s="3" t="str">
        <f>"FES1162847542"</f>
        <v>FES1162847542</v>
      </c>
      <c r="F39" s="4">
        <v>44589</v>
      </c>
      <c r="G39" s="3">
        <v>202207</v>
      </c>
      <c r="H39" s="3" t="s">
        <v>75</v>
      </c>
      <c r="I39" s="3" t="s">
        <v>76</v>
      </c>
      <c r="J39" s="3" t="s">
        <v>77</v>
      </c>
      <c r="K39" s="3" t="s">
        <v>78</v>
      </c>
      <c r="L39" s="3" t="s">
        <v>90</v>
      </c>
      <c r="M39" s="3" t="s">
        <v>91</v>
      </c>
      <c r="N39" s="3" t="s">
        <v>132</v>
      </c>
      <c r="O39" s="3" t="s">
        <v>82</v>
      </c>
      <c r="P39" s="3" t="str">
        <f>"2170816364                    "</f>
        <v xml:space="preserve">2170816364                    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69.53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1</v>
      </c>
      <c r="BI39" s="3">
        <v>9</v>
      </c>
      <c r="BJ39" s="3">
        <v>4.0999999999999996</v>
      </c>
      <c r="BK39" s="3">
        <v>9</v>
      </c>
      <c r="BL39" s="3">
        <v>265.39</v>
      </c>
      <c r="BM39" s="3">
        <v>39.81</v>
      </c>
      <c r="BN39" s="3">
        <v>305.2</v>
      </c>
      <c r="BO39" s="3">
        <v>305.2</v>
      </c>
      <c r="BQ39" s="3" t="s">
        <v>83</v>
      </c>
      <c r="BR39" s="3" t="s">
        <v>84</v>
      </c>
      <c r="BS39" s="3" t="s">
        <v>85</v>
      </c>
      <c r="BY39" s="3">
        <v>20358</v>
      </c>
      <c r="BZ39" s="3" t="s">
        <v>165</v>
      </c>
      <c r="CC39" s="3" t="s">
        <v>91</v>
      </c>
      <c r="CD39" s="3">
        <v>7530</v>
      </c>
      <c r="CE39" s="3" t="s">
        <v>86</v>
      </c>
      <c r="CI39" s="3">
        <v>1</v>
      </c>
      <c r="CJ39" s="3" t="s">
        <v>85</v>
      </c>
      <c r="CK39" s="3">
        <v>21</v>
      </c>
      <c r="CL39" s="3" t="s">
        <v>87</v>
      </c>
    </row>
    <row r="40" spans="1:90" x14ac:dyDescent="0.2">
      <c r="A40" s="3" t="s">
        <v>72</v>
      </c>
      <c r="B40" s="3" t="s">
        <v>73</v>
      </c>
      <c r="C40" s="3" t="s">
        <v>74</v>
      </c>
      <c r="E40" s="3" t="str">
        <f>"FES1162847497"</f>
        <v>FES1162847497</v>
      </c>
      <c r="F40" s="4">
        <v>44589</v>
      </c>
      <c r="G40" s="3">
        <v>202207</v>
      </c>
      <c r="H40" s="3" t="s">
        <v>75</v>
      </c>
      <c r="I40" s="3" t="s">
        <v>76</v>
      </c>
      <c r="J40" s="3" t="s">
        <v>77</v>
      </c>
      <c r="K40" s="3" t="s">
        <v>78</v>
      </c>
      <c r="L40" s="3" t="s">
        <v>171</v>
      </c>
      <c r="M40" s="3" t="s">
        <v>172</v>
      </c>
      <c r="N40" s="3" t="s">
        <v>173</v>
      </c>
      <c r="O40" s="3" t="s">
        <v>82</v>
      </c>
      <c r="P40" s="3" t="str">
        <f>"2170818752                    "</f>
        <v xml:space="preserve">2170818752                    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27.04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1</v>
      </c>
      <c r="BI40" s="3">
        <v>1</v>
      </c>
      <c r="BJ40" s="3">
        <v>3.3</v>
      </c>
      <c r="BK40" s="3">
        <v>3.5</v>
      </c>
      <c r="BL40" s="3">
        <v>103.22</v>
      </c>
      <c r="BM40" s="3">
        <v>15.48</v>
      </c>
      <c r="BN40" s="3">
        <v>118.7</v>
      </c>
      <c r="BO40" s="3">
        <v>118.7</v>
      </c>
      <c r="BQ40" s="3" t="s">
        <v>83</v>
      </c>
      <c r="BR40" s="3" t="s">
        <v>84</v>
      </c>
      <c r="BS40" s="3" t="s">
        <v>85</v>
      </c>
      <c r="BY40" s="3">
        <v>16384</v>
      </c>
      <c r="BZ40" s="3" t="s">
        <v>165</v>
      </c>
      <c r="CC40" s="3" t="s">
        <v>172</v>
      </c>
      <c r="CD40" s="3">
        <v>6020</v>
      </c>
      <c r="CE40" s="3" t="s">
        <v>86</v>
      </c>
      <c r="CI40" s="3">
        <v>1</v>
      </c>
      <c r="CJ40" s="3" t="s">
        <v>85</v>
      </c>
      <c r="CK40" s="3">
        <v>21</v>
      </c>
      <c r="CL40" s="3" t="s">
        <v>87</v>
      </c>
    </row>
    <row r="41" spans="1:90" x14ac:dyDescent="0.2">
      <c r="A41" s="3" t="s">
        <v>72</v>
      </c>
      <c r="B41" s="3" t="s">
        <v>73</v>
      </c>
      <c r="C41" s="3" t="s">
        <v>74</v>
      </c>
      <c r="E41" s="3" t="str">
        <f>"FES1162847597"</f>
        <v>FES1162847597</v>
      </c>
      <c r="F41" s="4">
        <v>44589</v>
      </c>
      <c r="G41" s="3">
        <v>202207</v>
      </c>
      <c r="H41" s="3" t="s">
        <v>75</v>
      </c>
      <c r="I41" s="3" t="s">
        <v>76</v>
      </c>
      <c r="J41" s="3" t="s">
        <v>77</v>
      </c>
      <c r="K41" s="3" t="s">
        <v>78</v>
      </c>
      <c r="L41" s="3" t="s">
        <v>171</v>
      </c>
      <c r="M41" s="3" t="s">
        <v>172</v>
      </c>
      <c r="N41" s="3" t="s">
        <v>174</v>
      </c>
      <c r="O41" s="3" t="s">
        <v>82</v>
      </c>
      <c r="P41" s="3" t="str">
        <f>"2170809895                    "</f>
        <v xml:space="preserve">2170809895                    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15.46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1</v>
      </c>
      <c r="BI41" s="3">
        <v>1</v>
      </c>
      <c r="BJ41" s="3">
        <v>0.2</v>
      </c>
      <c r="BK41" s="3">
        <v>1</v>
      </c>
      <c r="BL41" s="3">
        <v>59</v>
      </c>
      <c r="BM41" s="3">
        <v>8.85</v>
      </c>
      <c r="BN41" s="3">
        <v>67.849999999999994</v>
      </c>
      <c r="BO41" s="3">
        <v>67.849999999999994</v>
      </c>
      <c r="BQ41" s="3" t="s">
        <v>83</v>
      </c>
      <c r="BR41" s="3" t="s">
        <v>84</v>
      </c>
      <c r="BS41" s="3" t="s">
        <v>85</v>
      </c>
      <c r="BY41" s="3">
        <v>1200</v>
      </c>
      <c r="BZ41" s="3" t="s">
        <v>165</v>
      </c>
      <c r="CC41" s="3" t="s">
        <v>172</v>
      </c>
      <c r="CD41" s="3">
        <v>6001</v>
      </c>
      <c r="CE41" s="3" t="s">
        <v>93</v>
      </c>
      <c r="CI41" s="3">
        <v>1</v>
      </c>
      <c r="CJ41" s="3" t="s">
        <v>85</v>
      </c>
      <c r="CK41" s="3">
        <v>21</v>
      </c>
      <c r="CL41" s="3" t="s">
        <v>87</v>
      </c>
    </row>
    <row r="42" spans="1:90" x14ac:dyDescent="0.2">
      <c r="A42" s="3" t="s">
        <v>72</v>
      </c>
      <c r="B42" s="3" t="s">
        <v>73</v>
      </c>
      <c r="C42" s="3" t="s">
        <v>74</v>
      </c>
      <c r="E42" s="3" t="str">
        <f>"FES1162847506"</f>
        <v>FES1162847506</v>
      </c>
      <c r="F42" s="4">
        <v>44589</v>
      </c>
      <c r="G42" s="3">
        <v>202207</v>
      </c>
      <c r="H42" s="3" t="s">
        <v>75</v>
      </c>
      <c r="I42" s="3" t="s">
        <v>76</v>
      </c>
      <c r="J42" s="3" t="s">
        <v>77</v>
      </c>
      <c r="K42" s="3" t="s">
        <v>78</v>
      </c>
      <c r="L42" s="3" t="s">
        <v>142</v>
      </c>
      <c r="M42" s="3" t="s">
        <v>143</v>
      </c>
      <c r="N42" s="3" t="s">
        <v>175</v>
      </c>
      <c r="O42" s="3" t="s">
        <v>82</v>
      </c>
      <c r="P42" s="3" t="str">
        <f>"2170818761                    "</f>
        <v xml:space="preserve">2170818761                    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12.07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1</v>
      </c>
      <c r="BI42" s="3">
        <v>1</v>
      </c>
      <c r="BJ42" s="3">
        <v>0.2</v>
      </c>
      <c r="BK42" s="3">
        <v>1</v>
      </c>
      <c r="BL42" s="3">
        <v>46.08</v>
      </c>
      <c r="BM42" s="3">
        <v>6.91</v>
      </c>
      <c r="BN42" s="3">
        <v>52.99</v>
      </c>
      <c r="BO42" s="3">
        <v>52.99</v>
      </c>
      <c r="BQ42" s="3" t="s">
        <v>89</v>
      </c>
      <c r="BR42" s="3" t="s">
        <v>84</v>
      </c>
      <c r="BS42" s="3" t="s">
        <v>85</v>
      </c>
      <c r="BY42" s="3">
        <v>1200</v>
      </c>
      <c r="BZ42" s="3" t="s">
        <v>165</v>
      </c>
      <c r="CC42" s="3" t="s">
        <v>143</v>
      </c>
      <c r="CD42" s="3">
        <v>1451</v>
      </c>
      <c r="CE42" s="3" t="s">
        <v>93</v>
      </c>
      <c r="CI42" s="3">
        <v>1</v>
      </c>
      <c r="CJ42" s="3" t="s">
        <v>85</v>
      </c>
      <c r="CK42" s="3">
        <v>22</v>
      </c>
      <c r="CL42" s="3" t="s">
        <v>87</v>
      </c>
    </row>
    <row r="43" spans="1:90" x14ac:dyDescent="0.2">
      <c r="A43" s="3" t="s">
        <v>72</v>
      </c>
      <c r="B43" s="3" t="s">
        <v>73</v>
      </c>
      <c r="C43" s="3" t="s">
        <v>74</v>
      </c>
      <c r="E43" s="3" t="str">
        <f>"FES1162847594"</f>
        <v>FES1162847594</v>
      </c>
      <c r="F43" s="4">
        <v>44589</v>
      </c>
      <c r="G43" s="3">
        <v>202207</v>
      </c>
      <c r="H43" s="3" t="s">
        <v>75</v>
      </c>
      <c r="I43" s="3" t="s">
        <v>76</v>
      </c>
      <c r="J43" s="3" t="s">
        <v>77</v>
      </c>
      <c r="K43" s="3" t="s">
        <v>78</v>
      </c>
      <c r="L43" s="3" t="s">
        <v>176</v>
      </c>
      <c r="M43" s="3" t="s">
        <v>177</v>
      </c>
      <c r="N43" s="3" t="s">
        <v>178</v>
      </c>
      <c r="O43" s="3" t="s">
        <v>82</v>
      </c>
      <c r="P43" s="3" t="str">
        <f>"2170818768                    "</f>
        <v xml:space="preserve">2170818768                    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15.46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1</v>
      </c>
      <c r="BI43" s="3">
        <v>1</v>
      </c>
      <c r="BJ43" s="3">
        <v>0.2</v>
      </c>
      <c r="BK43" s="3">
        <v>1</v>
      </c>
      <c r="BL43" s="3">
        <v>59</v>
      </c>
      <c r="BM43" s="3">
        <v>8.85</v>
      </c>
      <c r="BN43" s="3">
        <v>67.849999999999994</v>
      </c>
      <c r="BO43" s="3">
        <v>67.849999999999994</v>
      </c>
      <c r="BQ43" s="3" t="s">
        <v>83</v>
      </c>
      <c r="BR43" s="3" t="s">
        <v>84</v>
      </c>
      <c r="BS43" s="3" t="s">
        <v>85</v>
      </c>
      <c r="BY43" s="3">
        <v>1200</v>
      </c>
      <c r="BZ43" s="3" t="s">
        <v>165</v>
      </c>
      <c r="CC43" s="3" t="s">
        <v>177</v>
      </c>
      <c r="CD43" s="3">
        <v>4026</v>
      </c>
      <c r="CE43" s="3" t="s">
        <v>93</v>
      </c>
      <c r="CI43" s="3">
        <v>1</v>
      </c>
      <c r="CJ43" s="3" t="s">
        <v>85</v>
      </c>
      <c r="CK43" s="3">
        <v>21</v>
      </c>
      <c r="CL43" s="3" t="s">
        <v>87</v>
      </c>
    </row>
    <row r="44" spans="1:90" x14ac:dyDescent="0.2">
      <c r="A44" s="3" t="s">
        <v>72</v>
      </c>
      <c r="B44" s="3" t="s">
        <v>73</v>
      </c>
      <c r="C44" s="3" t="s">
        <v>74</v>
      </c>
      <c r="E44" s="3" t="str">
        <f>"FES1162847493"</f>
        <v>FES1162847493</v>
      </c>
      <c r="F44" s="4">
        <v>44589</v>
      </c>
      <c r="G44" s="3">
        <v>202207</v>
      </c>
      <c r="H44" s="3" t="s">
        <v>75</v>
      </c>
      <c r="I44" s="3" t="s">
        <v>76</v>
      </c>
      <c r="J44" s="3" t="s">
        <v>77</v>
      </c>
      <c r="K44" s="3" t="s">
        <v>78</v>
      </c>
      <c r="L44" s="3" t="s">
        <v>94</v>
      </c>
      <c r="M44" s="3" t="s">
        <v>95</v>
      </c>
      <c r="N44" s="3" t="s">
        <v>179</v>
      </c>
      <c r="O44" s="3" t="s">
        <v>82</v>
      </c>
      <c r="P44" s="3" t="str">
        <f>"2170818748                    "</f>
        <v xml:space="preserve">2170818748                    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15.46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1</v>
      </c>
      <c r="BI44" s="3">
        <v>1</v>
      </c>
      <c r="BJ44" s="3">
        <v>0.2</v>
      </c>
      <c r="BK44" s="3">
        <v>1</v>
      </c>
      <c r="BL44" s="3">
        <v>59</v>
      </c>
      <c r="BM44" s="3">
        <v>8.85</v>
      </c>
      <c r="BN44" s="3">
        <v>67.849999999999994</v>
      </c>
      <c r="BO44" s="3">
        <v>67.849999999999994</v>
      </c>
      <c r="BQ44" s="3" t="s">
        <v>83</v>
      </c>
      <c r="BR44" s="3" t="s">
        <v>84</v>
      </c>
      <c r="BS44" s="3" t="s">
        <v>85</v>
      </c>
      <c r="BY44" s="3">
        <v>1200</v>
      </c>
      <c r="BZ44" s="3" t="s">
        <v>165</v>
      </c>
      <c r="CC44" s="3" t="s">
        <v>95</v>
      </c>
      <c r="CD44" s="3">
        <v>3201</v>
      </c>
      <c r="CE44" s="3" t="s">
        <v>93</v>
      </c>
      <c r="CI44" s="3">
        <v>1</v>
      </c>
      <c r="CJ44" s="3" t="s">
        <v>85</v>
      </c>
      <c r="CK44" s="3">
        <v>21</v>
      </c>
      <c r="CL44" s="3" t="s">
        <v>87</v>
      </c>
    </row>
    <row r="45" spans="1:90" x14ac:dyDescent="0.2">
      <c r="A45" s="3" t="s">
        <v>72</v>
      </c>
      <c r="B45" s="3" t="s">
        <v>73</v>
      </c>
      <c r="C45" s="3" t="s">
        <v>74</v>
      </c>
      <c r="E45" s="3" t="str">
        <f>"FES1162847584"</f>
        <v>FES1162847584</v>
      </c>
      <c r="F45" s="4">
        <v>44589</v>
      </c>
      <c r="G45" s="3">
        <v>202207</v>
      </c>
      <c r="H45" s="3" t="s">
        <v>75</v>
      </c>
      <c r="I45" s="3" t="s">
        <v>76</v>
      </c>
      <c r="J45" s="3" t="s">
        <v>77</v>
      </c>
      <c r="K45" s="3" t="s">
        <v>78</v>
      </c>
      <c r="L45" s="3" t="s">
        <v>180</v>
      </c>
      <c r="M45" s="3" t="s">
        <v>181</v>
      </c>
      <c r="N45" s="3" t="s">
        <v>182</v>
      </c>
      <c r="O45" s="3" t="s">
        <v>82</v>
      </c>
      <c r="P45" s="3" t="str">
        <f>"2170818348                    "</f>
        <v xml:space="preserve">2170818348                    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21.74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1</v>
      </c>
      <c r="BI45" s="3">
        <v>1</v>
      </c>
      <c r="BJ45" s="3">
        <v>0.2</v>
      </c>
      <c r="BK45" s="3">
        <v>1</v>
      </c>
      <c r="BL45" s="3">
        <v>82.98</v>
      </c>
      <c r="BM45" s="3">
        <v>12.45</v>
      </c>
      <c r="BN45" s="3">
        <v>95.43</v>
      </c>
      <c r="BO45" s="3">
        <v>95.43</v>
      </c>
      <c r="BQ45" s="3" t="s">
        <v>83</v>
      </c>
      <c r="BR45" s="3" t="s">
        <v>84</v>
      </c>
      <c r="BS45" s="3" t="s">
        <v>85</v>
      </c>
      <c r="BY45" s="3">
        <v>1200</v>
      </c>
      <c r="BZ45" s="3" t="s">
        <v>165</v>
      </c>
      <c r="CC45" s="3" t="s">
        <v>181</v>
      </c>
      <c r="CD45" s="3">
        <v>1939</v>
      </c>
      <c r="CE45" s="3" t="s">
        <v>93</v>
      </c>
      <c r="CI45" s="3">
        <v>1</v>
      </c>
      <c r="CJ45" s="3" t="s">
        <v>85</v>
      </c>
      <c r="CK45" s="3">
        <v>24</v>
      </c>
      <c r="CL45" s="3" t="s">
        <v>87</v>
      </c>
    </row>
    <row r="46" spans="1:90" x14ac:dyDescent="0.2">
      <c r="A46" s="3" t="s">
        <v>72</v>
      </c>
      <c r="B46" s="3" t="s">
        <v>73</v>
      </c>
      <c r="C46" s="3" t="s">
        <v>74</v>
      </c>
      <c r="E46" s="3" t="str">
        <f>"FES1162847606"</f>
        <v>FES1162847606</v>
      </c>
      <c r="F46" s="4">
        <v>44589</v>
      </c>
      <c r="G46" s="3">
        <v>202207</v>
      </c>
      <c r="H46" s="3" t="s">
        <v>75</v>
      </c>
      <c r="I46" s="3" t="s">
        <v>76</v>
      </c>
      <c r="J46" s="3" t="s">
        <v>77</v>
      </c>
      <c r="K46" s="3" t="s">
        <v>78</v>
      </c>
      <c r="L46" s="3" t="s">
        <v>97</v>
      </c>
      <c r="M46" s="3" t="s">
        <v>98</v>
      </c>
      <c r="N46" s="3" t="s">
        <v>183</v>
      </c>
      <c r="O46" s="3" t="s">
        <v>82</v>
      </c>
      <c r="P46" s="3" t="str">
        <f>"2170815963                    "</f>
        <v xml:space="preserve">2170815963                    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12.07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1</v>
      </c>
      <c r="BI46" s="3">
        <v>1</v>
      </c>
      <c r="BJ46" s="3">
        <v>0.2</v>
      </c>
      <c r="BK46" s="3">
        <v>1</v>
      </c>
      <c r="BL46" s="3">
        <v>46.08</v>
      </c>
      <c r="BM46" s="3">
        <v>6.91</v>
      </c>
      <c r="BN46" s="3">
        <v>52.99</v>
      </c>
      <c r="BO46" s="3">
        <v>52.99</v>
      </c>
      <c r="BQ46" s="3" t="s">
        <v>89</v>
      </c>
      <c r="BR46" s="3" t="s">
        <v>84</v>
      </c>
      <c r="BS46" s="3" t="s">
        <v>85</v>
      </c>
      <c r="BY46" s="3">
        <v>1200</v>
      </c>
      <c r="BZ46" s="3" t="s">
        <v>165</v>
      </c>
      <c r="CC46" s="3" t="s">
        <v>98</v>
      </c>
      <c r="CD46" s="3">
        <v>2090</v>
      </c>
      <c r="CE46" s="3" t="s">
        <v>93</v>
      </c>
      <c r="CI46" s="3">
        <v>1</v>
      </c>
      <c r="CJ46" s="3" t="s">
        <v>85</v>
      </c>
      <c r="CK46" s="3">
        <v>22</v>
      </c>
      <c r="CL46" s="3" t="s">
        <v>87</v>
      </c>
    </row>
    <row r="47" spans="1:90" x14ac:dyDescent="0.2">
      <c r="A47" s="3" t="s">
        <v>72</v>
      </c>
      <c r="B47" s="3" t="s">
        <v>73</v>
      </c>
      <c r="C47" s="3" t="s">
        <v>74</v>
      </c>
      <c r="E47" s="3" t="str">
        <f>"FES1162847638"</f>
        <v>FES1162847638</v>
      </c>
      <c r="F47" s="4">
        <v>44589</v>
      </c>
      <c r="G47" s="3">
        <v>202207</v>
      </c>
      <c r="H47" s="3" t="s">
        <v>75</v>
      </c>
      <c r="I47" s="3" t="s">
        <v>76</v>
      </c>
      <c r="J47" s="3" t="s">
        <v>77</v>
      </c>
      <c r="K47" s="3" t="s">
        <v>78</v>
      </c>
      <c r="L47" s="3" t="s">
        <v>184</v>
      </c>
      <c r="M47" s="3" t="s">
        <v>185</v>
      </c>
      <c r="N47" s="3" t="s">
        <v>186</v>
      </c>
      <c r="O47" s="3" t="s">
        <v>82</v>
      </c>
      <c r="P47" s="3" t="str">
        <f>"2170818786                    "</f>
        <v xml:space="preserve">2170818786                    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15.46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1</v>
      </c>
      <c r="BI47" s="3">
        <v>1</v>
      </c>
      <c r="BJ47" s="3">
        <v>0.2</v>
      </c>
      <c r="BK47" s="3">
        <v>1</v>
      </c>
      <c r="BL47" s="3">
        <v>59</v>
      </c>
      <c r="BM47" s="3">
        <v>8.85</v>
      </c>
      <c r="BN47" s="3">
        <v>67.849999999999994</v>
      </c>
      <c r="BO47" s="3">
        <v>67.849999999999994</v>
      </c>
      <c r="BQ47" s="3" t="s">
        <v>83</v>
      </c>
      <c r="BR47" s="3" t="s">
        <v>84</v>
      </c>
      <c r="BS47" s="3" t="s">
        <v>85</v>
      </c>
      <c r="BY47" s="3">
        <v>1200</v>
      </c>
      <c r="BZ47" s="3" t="s">
        <v>165</v>
      </c>
      <c r="CC47" s="3" t="s">
        <v>185</v>
      </c>
      <c r="CD47" s="3">
        <v>5201</v>
      </c>
      <c r="CE47" s="3" t="s">
        <v>93</v>
      </c>
      <c r="CI47" s="3">
        <v>1</v>
      </c>
      <c r="CJ47" s="3" t="s">
        <v>85</v>
      </c>
      <c r="CK47" s="3">
        <v>21</v>
      </c>
      <c r="CL47" s="3" t="s">
        <v>87</v>
      </c>
    </row>
    <row r="48" spans="1:90" x14ac:dyDescent="0.2">
      <c r="A48" s="3" t="s">
        <v>72</v>
      </c>
      <c r="B48" s="3" t="s">
        <v>73</v>
      </c>
      <c r="C48" s="3" t="s">
        <v>74</v>
      </c>
      <c r="E48" s="3" t="str">
        <f>"FES1162847602"</f>
        <v>FES1162847602</v>
      </c>
      <c r="F48" s="4">
        <v>44589</v>
      </c>
      <c r="G48" s="3">
        <v>202207</v>
      </c>
      <c r="H48" s="3" t="s">
        <v>75</v>
      </c>
      <c r="I48" s="3" t="s">
        <v>76</v>
      </c>
      <c r="J48" s="3" t="s">
        <v>77</v>
      </c>
      <c r="K48" s="3" t="s">
        <v>78</v>
      </c>
      <c r="L48" s="3" t="s">
        <v>187</v>
      </c>
      <c r="M48" s="3" t="s">
        <v>188</v>
      </c>
      <c r="N48" s="3" t="s">
        <v>189</v>
      </c>
      <c r="O48" s="3" t="s">
        <v>82</v>
      </c>
      <c r="P48" s="3" t="str">
        <f>"2170815843                    "</f>
        <v xml:space="preserve">2170815843                    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29.95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1</v>
      </c>
      <c r="BI48" s="3">
        <v>1</v>
      </c>
      <c r="BJ48" s="3">
        <v>0.2</v>
      </c>
      <c r="BK48" s="3">
        <v>1</v>
      </c>
      <c r="BL48" s="3">
        <v>114.31</v>
      </c>
      <c r="BM48" s="3">
        <v>17.149999999999999</v>
      </c>
      <c r="BN48" s="3">
        <v>131.46</v>
      </c>
      <c r="BO48" s="3">
        <v>131.46</v>
      </c>
      <c r="BQ48" s="3" t="s">
        <v>83</v>
      </c>
      <c r="BR48" s="3" t="s">
        <v>84</v>
      </c>
      <c r="BS48" s="3" t="s">
        <v>85</v>
      </c>
      <c r="BY48" s="3">
        <v>1200</v>
      </c>
      <c r="BZ48" s="3" t="s">
        <v>165</v>
      </c>
      <c r="CC48" s="3" t="s">
        <v>188</v>
      </c>
      <c r="CD48" s="3">
        <v>7300</v>
      </c>
      <c r="CE48" s="3" t="s">
        <v>93</v>
      </c>
      <c r="CI48" s="3">
        <v>1</v>
      </c>
      <c r="CJ48" s="3" t="s">
        <v>85</v>
      </c>
      <c r="CK48" s="3">
        <v>23</v>
      </c>
      <c r="CL48" s="3" t="s">
        <v>87</v>
      </c>
    </row>
    <row r="49" spans="1:90" x14ac:dyDescent="0.2">
      <c r="A49" s="3" t="s">
        <v>72</v>
      </c>
      <c r="B49" s="3" t="s">
        <v>73</v>
      </c>
      <c r="C49" s="3" t="s">
        <v>74</v>
      </c>
      <c r="E49" s="3" t="str">
        <f>"FES1162847639"</f>
        <v>FES1162847639</v>
      </c>
      <c r="F49" s="4">
        <v>44589</v>
      </c>
      <c r="G49" s="3">
        <v>202207</v>
      </c>
      <c r="H49" s="3" t="s">
        <v>75</v>
      </c>
      <c r="I49" s="3" t="s">
        <v>76</v>
      </c>
      <c r="J49" s="3" t="s">
        <v>77</v>
      </c>
      <c r="K49" s="3" t="s">
        <v>78</v>
      </c>
      <c r="L49" s="3" t="s">
        <v>190</v>
      </c>
      <c r="M49" s="3" t="s">
        <v>191</v>
      </c>
      <c r="N49" s="3" t="s">
        <v>192</v>
      </c>
      <c r="O49" s="3" t="s">
        <v>82</v>
      </c>
      <c r="P49" s="3" t="str">
        <f>"2170818787                    "</f>
        <v xml:space="preserve">2170818787                    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29.95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1</v>
      </c>
      <c r="BI49" s="3">
        <v>1</v>
      </c>
      <c r="BJ49" s="3">
        <v>0.2</v>
      </c>
      <c r="BK49" s="3">
        <v>1</v>
      </c>
      <c r="BL49" s="3">
        <v>114.31</v>
      </c>
      <c r="BM49" s="3">
        <v>17.149999999999999</v>
      </c>
      <c r="BN49" s="3">
        <v>131.46</v>
      </c>
      <c r="BO49" s="3">
        <v>131.46</v>
      </c>
      <c r="BR49" s="3" t="s">
        <v>84</v>
      </c>
      <c r="BS49" s="3" t="s">
        <v>85</v>
      </c>
      <c r="BY49" s="3">
        <v>1200</v>
      </c>
      <c r="BZ49" s="3" t="s">
        <v>165</v>
      </c>
      <c r="CC49" s="3" t="s">
        <v>191</v>
      </c>
      <c r="CD49" s="3">
        <v>1034</v>
      </c>
      <c r="CE49" s="3" t="s">
        <v>93</v>
      </c>
      <c r="CI49" s="3">
        <v>1</v>
      </c>
      <c r="CJ49" s="3" t="s">
        <v>85</v>
      </c>
      <c r="CK49" s="3">
        <v>23</v>
      </c>
      <c r="CL49" s="3" t="s">
        <v>87</v>
      </c>
    </row>
    <row r="50" spans="1:90" x14ac:dyDescent="0.2">
      <c r="A50" s="3" t="s">
        <v>72</v>
      </c>
      <c r="B50" s="3" t="s">
        <v>73</v>
      </c>
      <c r="C50" s="3" t="s">
        <v>74</v>
      </c>
      <c r="E50" s="3" t="str">
        <f>"FES1162847438"</f>
        <v>FES1162847438</v>
      </c>
      <c r="F50" s="4">
        <v>44589</v>
      </c>
      <c r="G50" s="3">
        <v>202207</v>
      </c>
      <c r="H50" s="3" t="s">
        <v>75</v>
      </c>
      <c r="I50" s="3" t="s">
        <v>76</v>
      </c>
      <c r="J50" s="3" t="s">
        <v>77</v>
      </c>
      <c r="K50" s="3" t="s">
        <v>78</v>
      </c>
      <c r="L50" s="3" t="s">
        <v>75</v>
      </c>
      <c r="M50" s="3" t="s">
        <v>76</v>
      </c>
      <c r="N50" s="3" t="s">
        <v>166</v>
      </c>
      <c r="O50" s="3" t="s">
        <v>82</v>
      </c>
      <c r="P50" s="3" t="str">
        <f>"2170818715                    "</f>
        <v xml:space="preserve">2170818715                    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12.07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1</v>
      </c>
      <c r="BI50" s="3">
        <v>1</v>
      </c>
      <c r="BJ50" s="3">
        <v>0.2</v>
      </c>
      <c r="BK50" s="3">
        <v>1</v>
      </c>
      <c r="BL50" s="3">
        <v>46.08</v>
      </c>
      <c r="BM50" s="3">
        <v>6.91</v>
      </c>
      <c r="BN50" s="3">
        <v>52.99</v>
      </c>
      <c r="BO50" s="3">
        <v>52.99</v>
      </c>
      <c r="BQ50" s="3" t="s">
        <v>89</v>
      </c>
      <c r="BR50" s="3" t="s">
        <v>84</v>
      </c>
      <c r="BS50" s="3" t="s">
        <v>85</v>
      </c>
      <c r="BY50" s="3">
        <v>1200</v>
      </c>
      <c r="BZ50" s="3" t="s">
        <v>165</v>
      </c>
      <c r="CC50" s="3" t="s">
        <v>76</v>
      </c>
      <c r="CD50" s="3">
        <v>1665</v>
      </c>
      <c r="CE50" s="3" t="s">
        <v>93</v>
      </c>
      <c r="CI50" s="3">
        <v>1</v>
      </c>
      <c r="CJ50" s="3" t="s">
        <v>85</v>
      </c>
      <c r="CK50" s="3">
        <v>22</v>
      </c>
      <c r="CL50" s="3" t="s">
        <v>87</v>
      </c>
    </row>
    <row r="51" spans="1:90" x14ac:dyDescent="0.2">
      <c r="A51" s="3" t="s">
        <v>72</v>
      </c>
      <c r="B51" s="3" t="s">
        <v>73</v>
      </c>
      <c r="C51" s="3" t="s">
        <v>74</v>
      </c>
      <c r="E51" s="3" t="str">
        <f>"FES1162847572"</f>
        <v>FES1162847572</v>
      </c>
      <c r="F51" s="4">
        <v>44589</v>
      </c>
      <c r="G51" s="3">
        <v>202207</v>
      </c>
      <c r="H51" s="3" t="s">
        <v>75</v>
      </c>
      <c r="I51" s="3" t="s">
        <v>76</v>
      </c>
      <c r="J51" s="3" t="s">
        <v>77</v>
      </c>
      <c r="K51" s="3" t="s">
        <v>78</v>
      </c>
      <c r="L51" s="3" t="s">
        <v>123</v>
      </c>
      <c r="M51" s="3" t="s">
        <v>124</v>
      </c>
      <c r="N51" s="3" t="s">
        <v>193</v>
      </c>
      <c r="O51" s="3" t="s">
        <v>82</v>
      </c>
      <c r="P51" s="3" t="str">
        <f>"2170816790                    "</f>
        <v xml:space="preserve">2170816790                    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14.97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1</v>
      </c>
      <c r="BI51" s="3">
        <v>9</v>
      </c>
      <c r="BJ51" s="3">
        <v>2</v>
      </c>
      <c r="BK51" s="3">
        <v>9</v>
      </c>
      <c r="BL51" s="3">
        <v>57.14</v>
      </c>
      <c r="BM51" s="3">
        <v>8.57</v>
      </c>
      <c r="BN51" s="3">
        <v>65.709999999999994</v>
      </c>
      <c r="BO51" s="3">
        <v>65.709999999999994</v>
      </c>
      <c r="BQ51" s="3" t="s">
        <v>83</v>
      </c>
      <c r="BR51" s="3" t="s">
        <v>84</v>
      </c>
      <c r="BS51" s="3" t="s">
        <v>85</v>
      </c>
      <c r="BY51" s="3">
        <v>9918</v>
      </c>
      <c r="BZ51" s="3" t="s">
        <v>165</v>
      </c>
      <c r="CC51" s="3" t="s">
        <v>124</v>
      </c>
      <c r="CD51" s="3">
        <v>1709</v>
      </c>
      <c r="CE51" s="3" t="s">
        <v>86</v>
      </c>
      <c r="CI51" s="3">
        <v>1</v>
      </c>
      <c r="CJ51" s="3" t="s">
        <v>85</v>
      </c>
      <c r="CK51" s="3">
        <v>22</v>
      </c>
      <c r="CL51" s="3" t="s">
        <v>87</v>
      </c>
    </row>
    <row r="52" spans="1:90" x14ac:dyDescent="0.2">
      <c r="A52" s="3" t="s">
        <v>72</v>
      </c>
      <c r="B52" s="3" t="s">
        <v>73</v>
      </c>
      <c r="C52" s="3" t="s">
        <v>74</v>
      </c>
      <c r="E52" s="3" t="str">
        <f>"FES1162847553"</f>
        <v>FES1162847553</v>
      </c>
      <c r="F52" s="4">
        <v>44589</v>
      </c>
      <c r="G52" s="3">
        <v>202207</v>
      </c>
      <c r="H52" s="3" t="s">
        <v>75</v>
      </c>
      <c r="I52" s="3" t="s">
        <v>76</v>
      </c>
      <c r="J52" s="3" t="s">
        <v>77</v>
      </c>
      <c r="K52" s="3" t="s">
        <v>78</v>
      </c>
      <c r="L52" s="3" t="s">
        <v>167</v>
      </c>
      <c r="M52" s="3" t="s">
        <v>168</v>
      </c>
      <c r="N52" s="3" t="s">
        <v>194</v>
      </c>
      <c r="O52" s="3" t="s">
        <v>82</v>
      </c>
      <c r="P52" s="3" t="str">
        <f>"2170816436                    "</f>
        <v xml:space="preserve">2170816436                    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15.46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1</v>
      </c>
      <c r="BI52" s="3">
        <v>1</v>
      </c>
      <c r="BJ52" s="3">
        <v>0.2</v>
      </c>
      <c r="BK52" s="3">
        <v>1</v>
      </c>
      <c r="BL52" s="3">
        <v>59</v>
      </c>
      <c r="BM52" s="3">
        <v>8.85</v>
      </c>
      <c r="BN52" s="3">
        <v>67.849999999999994</v>
      </c>
      <c r="BO52" s="3">
        <v>67.849999999999994</v>
      </c>
      <c r="BQ52" s="3" t="s">
        <v>89</v>
      </c>
      <c r="BR52" s="3" t="s">
        <v>84</v>
      </c>
      <c r="BS52" s="3" t="s">
        <v>85</v>
      </c>
      <c r="BY52" s="3">
        <v>1200</v>
      </c>
      <c r="BZ52" s="3" t="s">
        <v>165</v>
      </c>
      <c r="CC52" s="3" t="s">
        <v>168</v>
      </c>
      <c r="CD52" s="3">
        <v>6229</v>
      </c>
      <c r="CE52" s="3" t="s">
        <v>93</v>
      </c>
      <c r="CI52" s="3">
        <v>1</v>
      </c>
      <c r="CJ52" s="3" t="s">
        <v>85</v>
      </c>
      <c r="CK52" s="3">
        <v>21</v>
      </c>
      <c r="CL52" s="3" t="s">
        <v>87</v>
      </c>
    </row>
    <row r="53" spans="1:90" x14ac:dyDescent="0.2">
      <c r="A53" s="3" t="s">
        <v>72</v>
      </c>
      <c r="B53" s="3" t="s">
        <v>73</v>
      </c>
      <c r="C53" s="3" t="s">
        <v>74</v>
      </c>
      <c r="E53" s="3" t="str">
        <f>"FES1162847548"</f>
        <v>FES1162847548</v>
      </c>
      <c r="F53" s="4">
        <v>44589</v>
      </c>
      <c r="G53" s="3">
        <v>202207</v>
      </c>
      <c r="H53" s="3" t="s">
        <v>75</v>
      </c>
      <c r="I53" s="3" t="s">
        <v>76</v>
      </c>
      <c r="J53" s="3" t="s">
        <v>77</v>
      </c>
      <c r="K53" s="3" t="s">
        <v>78</v>
      </c>
      <c r="L53" s="3" t="s">
        <v>101</v>
      </c>
      <c r="M53" s="3" t="s">
        <v>102</v>
      </c>
      <c r="N53" s="3" t="s">
        <v>103</v>
      </c>
      <c r="O53" s="3" t="s">
        <v>82</v>
      </c>
      <c r="P53" s="3" t="str">
        <f>"2170816385                    "</f>
        <v xml:space="preserve">2170816385                    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15.46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1</v>
      </c>
      <c r="BI53" s="3">
        <v>1</v>
      </c>
      <c r="BJ53" s="3">
        <v>1.5</v>
      </c>
      <c r="BK53" s="3">
        <v>1.5</v>
      </c>
      <c r="BL53" s="3">
        <v>59</v>
      </c>
      <c r="BM53" s="3">
        <v>8.85</v>
      </c>
      <c r="BN53" s="3">
        <v>67.849999999999994</v>
      </c>
      <c r="BO53" s="3">
        <v>67.849999999999994</v>
      </c>
      <c r="BQ53" s="3" t="s">
        <v>83</v>
      </c>
      <c r="BR53" s="3" t="s">
        <v>84</v>
      </c>
      <c r="BS53" s="4">
        <v>44592</v>
      </c>
      <c r="BT53" s="5">
        <v>0.31597222222222221</v>
      </c>
      <c r="BU53" s="3" t="s">
        <v>104</v>
      </c>
      <c r="BV53" s="3" t="s">
        <v>105</v>
      </c>
      <c r="BY53" s="3">
        <v>7540</v>
      </c>
      <c r="BZ53" s="3" t="s">
        <v>165</v>
      </c>
      <c r="CA53" s="3" t="s">
        <v>106</v>
      </c>
      <c r="CC53" s="3" t="s">
        <v>102</v>
      </c>
      <c r="CD53" s="3">
        <v>4001</v>
      </c>
      <c r="CE53" s="3" t="s">
        <v>86</v>
      </c>
      <c r="CI53" s="3">
        <v>1</v>
      </c>
      <c r="CJ53" s="3">
        <v>1</v>
      </c>
      <c r="CK53" s="3">
        <v>21</v>
      </c>
      <c r="CL53" s="3" t="s">
        <v>87</v>
      </c>
    </row>
    <row r="54" spans="1:90" x14ac:dyDescent="0.2">
      <c r="A54" s="3" t="s">
        <v>72</v>
      </c>
      <c r="B54" s="3" t="s">
        <v>73</v>
      </c>
      <c r="C54" s="3" t="s">
        <v>74</v>
      </c>
      <c r="E54" s="3" t="str">
        <f>"FES1162847626"</f>
        <v>FES1162847626</v>
      </c>
      <c r="F54" s="4">
        <v>44589</v>
      </c>
      <c r="G54" s="3">
        <v>202207</v>
      </c>
      <c r="H54" s="3" t="s">
        <v>75</v>
      </c>
      <c r="I54" s="3" t="s">
        <v>76</v>
      </c>
      <c r="J54" s="3" t="s">
        <v>77</v>
      </c>
      <c r="K54" s="3" t="s">
        <v>78</v>
      </c>
      <c r="L54" s="3" t="s">
        <v>195</v>
      </c>
      <c r="M54" s="3" t="s">
        <v>196</v>
      </c>
      <c r="N54" s="3" t="s">
        <v>197</v>
      </c>
      <c r="O54" s="3" t="s">
        <v>82</v>
      </c>
      <c r="P54" s="3" t="str">
        <f>"2170818549                    "</f>
        <v xml:space="preserve">2170818549                    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15.46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1</v>
      </c>
      <c r="BI54" s="3">
        <v>1</v>
      </c>
      <c r="BJ54" s="3">
        <v>0.2</v>
      </c>
      <c r="BK54" s="3">
        <v>1</v>
      </c>
      <c r="BL54" s="3">
        <v>59</v>
      </c>
      <c r="BM54" s="3">
        <v>8.85</v>
      </c>
      <c r="BN54" s="3">
        <v>67.849999999999994</v>
      </c>
      <c r="BO54" s="3">
        <v>67.849999999999994</v>
      </c>
      <c r="BQ54" s="3" t="s">
        <v>89</v>
      </c>
      <c r="BR54" s="3" t="s">
        <v>84</v>
      </c>
      <c r="BS54" s="4">
        <v>44592</v>
      </c>
      <c r="BT54" s="5">
        <v>0.3444444444444445</v>
      </c>
      <c r="BU54" s="3" t="s">
        <v>198</v>
      </c>
      <c r="BY54" s="3">
        <v>1200</v>
      </c>
      <c r="BZ54" s="3" t="s">
        <v>165</v>
      </c>
      <c r="CC54" s="3" t="s">
        <v>196</v>
      </c>
      <c r="CD54" s="3">
        <v>4302</v>
      </c>
      <c r="CE54" s="3" t="s">
        <v>93</v>
      </c>
      <c r="CI54" s="3">
        <v>1</v>
      </c>
      <c r="CJ54" s="3">
        <v>1</v>
      </c>
      <c r="CK54" s="3">
        <v>21</v>
      </c>
      <c r="CL54" s="3" t="s">
        <v>87</v>
      </c>
    </row>
    <row r="55" spans="1:90" x14ac:dyDescent="0.2">
      <c r="A55" s="3" t="s">
        <v>72</v>
      </c>
      <c r="B55" s="3" t="s">
        <v>73</v>
      </c>
      <c r="C55" s="3" t="s">
        <v>74</v>
      </c>
      <c r="E55" s="3" t="str">
        <f>"FES1162847528"</f>
        <v>FES1162847528</v>
      </c>
      <c r="F55" s="4">
        <v>44589</v>
      </c>
      <c r="G55" s="3">
        <v>202207</v>
      </c>
      <c r="H55" s="3" t="s">
        <v>75</v>
      </c>
      <c r="I55" s="3" t="s">
        <v>76</v>
      </c>
      <c r="J55" s="3" t="s">
        <v>77</v>
      </c>
      <c r="K55" s="3" t="s">
        <v>78</v>
      </c>
      <c r="L55" s="3" t="s">
        <v>171</v>
      </c>
      <c r="M55" s="3" t="s">
        <v>172</v>
      </c>
      <c r="N55" s="3" t="s">
        <v>199</v>
      </c>
      <c r="O55" s="3" t="s">
        <v>82</v>
      </c>
      <c r="P55" s="3" t="str">
        <f>"2170815873                    "</f>
        <v xml:space="preserve">2170815873                    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15.46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1</v>
      </c>
      <c r="BI55" s="3">
        <v>1</v>
      </c>
      <c r="BJ55" s="3">
        <v>0.2</v>
      </c>
      <c r="BK55" s="3">
        <v>1</v>
      </c>
      <c r="BL55" s="3">
        <v>59</v>
      </c>
      <c r="BM55" s="3">
        <v>8.85</v>
      </c>
      <c r="BN55" s="3">
        <v>67.849999999999994</v>
      </c>
      <c r="BO55" s="3">
        <v>67.849999999999994</v>
      </c>
      <c r="BR55" s="3" t="s">
        <v>84</v>
      </c>
      <c r="BS55" s="3" t="s">
        <v>85</v>
      </c>
      <c r="BY55" s="3">
        <v>1200</v>
      </c>
      <c r="BZ55" s="3" t="s">
        <v>165</v>
      </c>
      <c r="CC55" s="3" t="s">
        <v>172</v>
      </c>
      <c r="CD55" s="3">
        <v>6000</v>
      </c>
      <c r="CE55" s="3" t="s">
        <v>93</v>
      </c>
      <c r="CI55" s="3">
        <v>1</v>
      </c>
      <c r="CJ55" s="3" t="s">
        <v>85</v>
      </c>
      <c r="CK55" s="3">
        <v>21</v>
      </c>
      <c r="CL55" s="3" t="s">
        <v>87</v>
      </c>
    </row>
    <row r="56" spans="1:90" x14ac:dyDescent="0.2">
      <c r="A56" s="3" t="s">
        <v>72</v>
      </c>
      <c r="B56" s="3" t="s">
        <v>73</v>
      </c>
      <c r="C56" s="3" t="s">
        <v>74</v>
      </c>
      <c r="E56" s="3" t="str">
        <f>"FES1162847522"</f>
        <v>FES1162847522</v>
      </c>
      <c r="F56" s="4">
        <v>44589</v>
      </c>
      <c r="G56" s="3">
        <v>202207</v>
      </c>
      <c r="H56" s="3" t="s">
        <v>75</v>
      </c>
      <c r="I56" s="3" t="s">
        <v>76</v>
      </c>
      <c r="J56" s="3" t="s">
        <v>77</v>
      </c>
      <c r="K56" s="3" t="s">
        <v>78</v>
      </c>
      <c r="L56" s="3" t="s">
        <v>171</v>
      </c>
      <c r="M56" s="3" t="s">
        <v>172</v>
      </c>
      <c r="N56" s="3" t="s">
        <v>200</v>
      </c>
      <c r="O56" s="3" t="s">
        <v>82</v>
      </c>
      <c r="P56" s="3" t="str">
        <f>"2170815008                    "</f>
        <v xml:space="preserve">2170815008                    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38.630000000000003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1</v>
      </c>
      <c r="BI56" s="3">
        <v>5</v>
      </c>
      <c r="BJ56" s="3">
        <v>2</v>
      </c>
      <c r="BK56" s="3">
        <v>5</v>
      </c>
      <c r="BL56" s="3">
        <v>147.44999999999999</v>
      </c>
      <c r="BM56" s="3">
        <v>22.12</v>
      </c>
      <c r="BN56" s="3">
        <v>169.57</v>
      </c>
      <c r="BO56" s="3">
        <v>169.57</v>
      </c>
      <c r="BQ56" s="3" t="s">
        <v>89</v>
      </c>
      <c r="BR56" s="3" t="s">
        <v>84</v>
      </c>
      <c r="BS56" s="3" t="s">
        <v>85</v>
      </c>
      <c r="BY56" s="3">
        <v>9900</v>
      </c>
      <c r="BZ56" s="3" t="s">
        <v>165</v>
      </c>
      <c r="CC56" s="3" t="s">
        <v>172</v>
      </c>
      <c r="CD56" s="3">
        <v>6001</v>
      </c>
      <c r="CE56" s="3" t="s">
        <v>86</v>
      </c>
      <c r="CI56" s="3">
        <v>1</v>
      </c>
      <c r="CJ56" s="3" t="s">
        <v>85</v>
      </c>
      <c r="CK56" s="3">
        <v>21</v>
      </c>
      <c r="CL56" s="3" t="s">
        <v>87</v>
      </c>
    </row>
    <row r="57" spans="1:90" x14ac:dyDescent="0.2">
      <c r="A57" s="3" t="s">
        <v>72</v>
      </c>
      <c r="B57" s="3" t="s">
        <v>73</v>
      </c>
      <c r="C57" s="3" t="s">
        <v>74</v>
      </c>
      <c r="E57" s="3" t="str">
        <f>"080010380711"</f>
        <v>080010380711</v>
      </c>
      <c r="F57" s="4">
        <v>44589</v>
      </c>
      <c r="G57" s="3">
        <v>202207</v>
      </c>
      <c r="H57" s="3" t="s">
        <v>187</v>
      </c>
      <c r="I57" s="3" t="s">
        <v>188</v>
      </c>
      <c r="J57" s="3" t="s">
        <v>201</v>
      </c>
      <c r="K57" s="3" t="s">
        <v>78</v>
      </c>
      <c r="L57" s="3" t="s">
        <v>202</v>
      </c>
      <c r="M57" s="3" t="s">
        <v>202</v>
      </c>
      <c r="N57" s="3" t="s">
        <v>203</v>
      </c>
      <c r="O57" s="3" t="s">
        <v>82</v>
      </c>
      <c r="P57" s="3" t="str">
        <f>"1162847227                    "</f>
        <v xml:space="preserve">1162847227                    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43.47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1</v>
      </c>
      <c r="BI57" s="3">
        <v>0.5</v>
      </c>
      <c r="BJ57" s="3">
        <v>2.8</v>
      </c>
      <c r="BK57" s="3">
        <v>3</v>
      </c>
      <c r="BL57" s="3">
        <v>165.93</v>
      </c>
      <c r="BM57" s="3">
        <v>24.89</v>
      </c>
      <c r="BN57" s="3">
        <v>190.82</v>
      </c>
      <c r="BO57" s="3">
        <v>190.82</v>
      </c>
      <c r="BP57" s="3" t="s">
        <v>85</v>
      </c>
      <c r="BQ57" s="3" t="s">
        <v>204</v>
      </c>
      <c r="BR57" s="3" t="s">
        <v>205</v>
      </c>
      <c r="BS57" s="3" t="s">
        <v>85</v>
      </c>
      <c r="BY57" s="3">
        <v>14083.88</v>
      </c>
      <c r="BZ57" s="3" t="s">
        <v>165</v>
      </c>
      <c r="CC57" s="3" t="s">
        <v>202</v>
      </c>
      <c r="CD57" s="3">
        <v>6835</v>
      </c>
      <c r="CE57" s="3" t="s">
        <v>93</v>
      </c>
      <c r="CI57" s="3">
        <v>2</v>
      </c>
      <c r="CJ57" s="3" t="s">
        <v>85</v>
      </c>
      <c r="CK57" s="3">
        <v>23</v>
      </c>
      <c r="CL57" s="3" t="s">
        <v>87</v>
      </c>
    </row>
    <row r="58" spans="1:90" x14ac:dyDescent="0.2">
      <c r="A58" s="3" t="s">
        <v>72</v>
      </c>
      <c r="B58" s="3" t="s">
        <v>73</v>
      </c>
      <c r="C58" s="3" t="s">
        <v>74</v>
      </c>
      <c r="E58" s="3" t="str">
        <f>"FES1162847451"</f>
        <v>FES1162847451</v>
      </c>
      <c r="F58" s="4">
        <v>44589</v>
      </c>
      <c r="G58" s="3">
        <v>202207</v>
      </c>
      <c r="H58" s="3" t="s">
        <v>75</v>
      </c>
      <c r="I58" s="3" t="s">
        <v>76</v>
      </c>
      <c r="J58" s="3" t="s">
        <v>77</v>
      </c>
      <c r="K58" s="3" t="s">
        <v>78</v>
      </c>
      <c r="L58" s="3" t="s">
        <v>206</v>
      </c>
      <c r="M58" s="3" t="s">
        <v>207</v>
      </c>
      <c r="N58" s="3" t="s">
        <v>208</v>
      </c>
      <c r="O58" s="3" t="s">
        <v>82</v>
      </c>
      <c r="P58" s="3" t="str">
        <f>"2170804277                    "</f>
        <v xml:space="preserve">2170804277                    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48.21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1</v>
      </c>
      <c r="BI58" s="3">
        <v>4</v>
      </c>
      <c r="BJ58" s="3">
        <v>4.0999999999999996</v>
      </c>
      <c r="BK58" s="3">
        <v>4.5</v>
      </c>
      <c r="BL58" s="3">
        <v>184</v>
      </c>
      <c r="BM58" s="3">
        <v>27.6</v>
      </c>
      <c r="BN58" s="3">
        <v>211.6</v>
      </c>
      <c r="BO58" s="3">
        <v>211.6</v>
      </c>
      <c r="BQ58" s="3" t="s">
        <v>83</v>
      </c>
      <c r="BR58" s="3" t="s">
        <v>84</v>
      </c>
      <c r="BS58" s="3" t="s">
        <v>85</v>
      </c>
      <c r="BY58" s="3">
        <v>20358</v>
      </c>
      <c r="BZ58" s="3" t="s">
        <v>165</v>
      </c>
      <c r="CC58" s="3" t="s">
        <v>207</v>
      </c>
      <c r="CD58" s="3">
        <v>1739</v>
      </c>
      <c r="CE58" s="3" t="s">
        <v>86</v>
      </c>
      <c r="CI58" s="3">
        <v>1</v>
      </c>
      <c r="CJ58" s="3" t="s">
        <v>85</v>
      </c>
      <c r="CK58" s="3">
        <v>24</v>
      </c>
      <c r="CL58" s="3" t="s">
        <v>87</v>
      </c>
    </row>
    <row r="59" spans="1:90" x14ac:dyDescent="0.2">
      <c r="A59" s="3" t="s">
        <v>72</v>
      </c>
      <c r="B59" s="3" t="s">
        <v>73</v>
      </c>
      <c r="C59" s="3" t="s">
        <v>74</v>
      </c>
      <c r="E59" s="3" t="str">
        <f>"FES1162847541"</f>
        <v>FES1162847541</v>
      </c>
      <c r="F59" s="4">
        <v>44589</v>
      </c>
      <c r="G59" s="3">
        <v>202207</v>
      </c>
      <c r="H59" s="3" t="s">
        <v>75</v>
      </c>
      <c r="I59" s="3" t="s">
        <v>76</v>
      </c>
      <c r="J59" s="3" t="s">
        <v>77</v>
      </c>
      <c r="K59" s="3" t="s">
        <v>78</v>
      </c>
      <c r="L59" s="3" t="s">
        <v>90</v>
      </c>
      <c r="M59" s="3" t="s">
        <v>91</v>
      </c>
      <c r="N59" s="3" t="s">
        <v>132</v>
      </c>
      <c r="O59" s="3" t="s">
        <v>82</v>
      </c>
      <c r="P59" s="3" t="str">
        <f>"2170816363                    "</f>
        <v xml:space="preserve">2170816363                    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69.53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1</v>
      </c>
      <c r="BI59" s="3">
        <v>9</v>
      </c>
      <c r="BJ59" s="3">
        <v>4.0999999999999996</v>
      </c>
      <c r="BK59" s="3">
        <v>9</v>
      </c>
      <c r="BL59" s="3">
        <v>265.39</v>
      </c>
      <c r="BM59" s="3">
        <v>39.81</v>
      </c>
      <c r="BN59" s="3">
        <v>305.2</v>
      </c>
      <c r="BO59" s="3">
        <v>305.2</v>
      </c>
      <c r="BQ59" s="3" t="s">
        <v>83</v>
      </c>
      <c r="BR59" s="3" t="s">
        <v>84</v>
      </c>
      <c r="BS59" s="3" t="s">
        <v>85</v>
      </c>
      <c r="BY59" s="3">
        <v>20358</v>
      </c>
      <c r="BZ59" s="3" t="s">
        <v>165</v>
      </c>
      <c r="CC59" s="3" t="s">
        <v>91</v>
      </c>
      <c r="CD59" s="3">
        <v>7530</v>
      </c>
      <c r="CE59" s="3" t="s">
        <v>86</v>
      </c>
      <c r="CI59" s="3">
        <v>1</v>
      </c>
      <c r="CJ59" s="3" t="s">
        <v>85</v>
      </c>
      <c r="CK59" s="3">
        <v>21</v>
      </c>
      <c r="CL59" s="3" t="s">
        <v>87</v>
      </c>
    </row>
    <row r="60" spans="1:90" x14ac:dyDescent="0.2">
      <c r="A60" s="3" t="s">
        <v>72</v>
      </c>
      <c r="B60" s="3" t="s">
        <v>73</v>
      </c>
      <c r="C60" s="3" t="s">
        <v>74</v>
      </c>
      <c r="E60" s="3" t="str">
        <f>"FES1162847566"</f>
        <v>FES1162847566</v>
      </c>
      <c r="F60" s="4">
        <v>44589</v>
      </c>
      <c r="G60" s="3">
        <v>202207</v>
      </c>
      <c r="H60" s="3" t="s">
        <v>75</v>
      </c>
      <c r="I60" s="3" t="s">
        <v>76</v>
      </c>
      <c r="J60" s="3" t="s">
        <v>77</v>
      </c>
      <c r="K60" s="3" t="s">
        <v>78</v>
      </c>
      <c r="L60" s="3" t="s">
        <v>75</v>
      </c>
      <c r="M60" s="3" t="s">
        <v>76</v>
      </c>
      <c r="N60" s="3" t="s">
        <v>209</v>
      </c>
      <c r="O60" s="3" t="s">
        <v>82</v>
      </c>
      <c r="P60" s="3" t="str">
        <f>"2170816569                    "</f>
        <v xml:space="preserve">2170816569                    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12.07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1</v>
      </c>
      <c r="BI60" s="3">
        <v>1</v>
      </c>
      <c r="BJ60" s="3">
        <v>0.2</v>
      </c>
      <c r="BK60" s="3">
        <v>1</v>
      </c>
      <c r="BL60" s="3">
        <v>46.08</v>
      </c>
      <c r="BM60" s="3">
        <v>6.91</v>
      </c>
      <c r="BN60" s="3">
        <v>52.99</v>
      </c>
      <c r="BO60" s="3">
        <v>52.99</v>
      </c>
      <c r="BQ60" s="3" t="s">
        <v>89</v>
      </c>
      <c r="BR60" s="3" t="s">
        <v>84</v>
      </c>
      <c r="BS60" s="3" t="s">
        <v>85</v>
      </c>
      <c r="BY60" s="3">
        <v>1200</v>
      </c>
      <c r="BZ60" s="3" t="s">
        <v>165</v>
      </c>
      <c r="CC60" s="3" t="s">
        <v>76</v>
      </c>
      <c r="CD60" s="3">
        <v>1600</v>
      </c>
      <c r="CE60" s="3" t="s">
        <v>93</v>
      </c>
      <c r="CI60" s="3">
        <v>1</v>
      </c>
      <c r="CJ60" s="3" t="s">
        <v>85</v>
      </c>
      <c r="CK60" s="3">
        <v>22</v>
      </c>
      <c r="CL60" s="3" t="s">
        <v>87</v>
      </c>
    </row>
    <row r="61" spans="1:90" x14ac:dyDescent="0.2">
      <c r="A61" s="3" t="s">
        <v>72</v>
      </c>
      <c r="B61" s="3" t="s">
        <v>73</v>
      </c>
      <c r="C61" s="3" t="s">
        <v>74</v>
      </c>
      <c r="E61" s="3" t="str">
        <f>"FES1162847611"</f>
        <v>FES1162847611</v>
      </c>
      <c r="F61" s="4">
        <v>44589</v>
      </c>
      <c r="G61" s="3">
        <v>202207</v>
      </c>
      <c r="H61" s="3" t="s">
        <v>75</v>
      </c>
      <c r="I61" s="3" t="s">
        <v>76</v>
      </c>
      <c r="J61" s="3" t="s">
        <v>77</v>
      </c>
      <c r="K61" s="3" t="s">
        <v>78</v>
      </c>
      <c r="L61" s="3" t="s">
        <v>94</v>
      </c>
      <c r="M61" s="3" t="s">
        <v>95</v>
      </c>
      <c r="N61" s="3" t="s">
        <v>96</v>
      </c>
      <c r="O61" s="3" t="s">
        <v>82</v>
      </c>
      <c r="P61" s="3" t="str">
        <f>"2170816698                    "</f>
        <v xml:space="preserve">2170816698                    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34.770000000000003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1</v>
      </c>
      <c r="BI61" s="3">
        <v>2</v>
      </c>
      <c r="BJ61" s="3">
        <v>4.4000000000000004</v>
      </c>
      <c r="BK61" s="3">
        <v>4.5</v>
      </c>
      <c r="BL61" s="3">
        <v>132.71</v>
      </c>
      <c r="BM61" s="3">
        <v>19.91</v>
      </c>
      <c r="BN61" s="3">
        <v>152.62</v>
      </c>
      <c r="BO61" s="3">
        <v>152.62</v>
      </c>
      <c r="BQ61" s="3" t="s">
        <v>89</v>
      </c>
      <c r="BR61" s="3" t="s">
        <v>84</v>
      </c>
      <c r="BS61" s="3" t="s">
        <v>85</v>
      </c>
      <c r="BY61" s="3">
        <v>21904</v>
      </c>
      <c r="BZ61" s="3" t="s">
        <v>165</v>
      </c>
      <c r="CC61" s="3" t="s">
        <v>95</v>
      </c>
      <c r="CD61" s="3">
        <v>3201</v>
      </c>
      <c r="CE61" s="3" t="s">
        <v>86</v>
      </c>
      <c r="CI61" s="3">
        <v>1</v>
      </c>
      <c r="CJ61" s="3" t="s">
        <v>85</v>
      </c>
      <c r="CK61" s="3">
        <v>21</v>
      </c>
      <c r="CL61" s="3" t="s">
        <v>87</v>
      </c>
    </row>
    <row r="62" spans="1:90" x14ac:dyDescent="0.2">
      <c r="A62" s="3" t="s">
        <v>72</v>
      </c>
      <c r="B62" s="3" t="s">
        <v>73</v>
      </c>
      <c r="C62" s="3" t="s">
        <v>74</v>
      </c>
      <c r="E62" s="3" t="str">
        <f>"FES1162847560"</f>
        <v>FES1162847560</v>
      </c>
      <c r="F62" s="4">
        <v>44589</v>
      </c>
      <c r="G62" s="3">
        <v>202207</v>
      </c>
      <c r="H62" s="3" t="s">
        <v>75</v>
      </c>
      <c r="I62" s="3" t="s">
        <v>76</v>
      </c>
      <c r="J62" s="3" t="s">
        <v>77</v>
      </c>
      <c r="K62" s="3" t="s">
        <v>78</v>
      </c>
      <c r="L62" s="3" t="s">
        <v>110</v>
      </c>
      <c r="M62" s="3" t="s">
        <v>110</v>
      </c>
      <c r="N62" s="3" t="s">
        <v>146</v>
      </c>
      <c r="O62" s="3" t="s">
        <v>82</v>
      </c>
      <c r="P62" s="3" t="str">
        <f>"2170816497                    "</f>
        <v xml:space="preserve">2170816497                    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29.95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1</v>
      </c>
      <c r="BI62" s="3">
        <v>1</v>
      </c>
      <c r="BJ62" s="3">
        <v>0.2</v>
      </c>
      <c r="BK62" s="3">
        <v>1</v>
      </c>
      <c r="BL62" s="3">
        <v>114.31</v>
      </c>
      <c r="BM62" s="3">
        <v>17.149999999999999</v>
      </c>
      <c r="BN62" s="3">
        <v>131.46</v>
      </c>
      <c r="BO62" s="3">
        <v>131.46</v>
      </c>
      <c r="BQ62" s="3" t="s">
        <v>89</v>
      </c>
      <c r="BR62" s="3" t="s">
        <v>84</v>
      </c>
      <c r="BS62" s="3" t="s">
        <v>85</v>
      </c>
      <c r="BY62" s="3">
        <v>1200</v>
      </c>
      <c r="BZ62" s="3" t="s">
        <v>165</v>
      </c>
      <c r="CC62" s="3" t="s">
        <v>110</v>
      </c>
      <c r="CD62" s="3">
        <v>7646</v>
      </c>
      <c r="CE62" s="3" t="s">
        <v>93</v>
      </c>
      <c r="CI62" s="3">
        <v>1</v>
      </c>
      <c r="CJ62" s="3" t="s">
        <v>85</v>
      </c>
      <c r="CK62" s="3">
        <v>23</v>
      </c>
      <c r="CL62" s="3" t="s">
        <v>87</v>
      </c>
    </row>
    <row r="63" spans="1:90" x14ac:dyDescent="0.2">
      <c r="A63" s="3" t="s">
        <v>72</v>
      </c>
      <c r="B63" s="3" t="s">
        <v>73</v>
      </c>
      <c r="C63" s="3" t="s">
        <v>74</v>
      </c>
      <c r="E63" s="3" t="str">
        <f>"FES1162847532"</f>
        <v>FES1162847532</v>
      </c>
      <c r="F63" s="4">
        <v>44589</v>
      </c>
      <c r="G63" s="3">
        <v>202207</v>
      </c>
      <c r="H63" s="3" t="s">
        <v>75</v>
      </c>
      <c r="I63" s="3" t="s">
        <v>76</v>
      </c>
      <c r="J63" s="3" t="s">
        <v>77</v>
      </c>
      <c r="K63" s="3" t="s">
        <v>78</v>
      </c>
      <c r="L63" s="3" t="s">
        <v>90</v>
      </c>
      <c r="M63" s="3" t="s">
        <v>91</v>
      </c>
      <c r="N63" s="3" t="s">
        <v>210</v>
      </c>
      <c r="O63" s="3" t="s">
        <v>82</v>
      </c>
      <c r="P63" s="3" t="str">
        <f>"2170816285                    "</f>
        <v xml:space="preserve">2170816285                    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15.46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1</v>
      </c>
      <c r="BI63" s="3">
        <v>2</v>
      </c>
      <c r="BJ63" s="3">
        <v>1.1000000000000001</v>
      </c>
      <c r="BK63" s="3">
        <v>2</v>
      </c>
      <c r="BL63" s="3">
        <v>59</v>
      </c>
      <c r="BM63" s="3">
        <v>8.85</v>
      </c>
      <c r="BN63" s="3">
        <v>67.849999999999994</v>
      </c>
      <c r="BO63" s="3">
        <v>67.849999999999994</v>
      </c>
      <c r="BQ63" s="3" t="s">
        <v>89</v>
      </c>
      <c r="BR63" s="3" t="s">
        <v>84</v>
      </c>
      <c r="BS63" s="3" t="s">
        <v>85</v>
      </c>
      <c r="BY63" s="3">
        <v>5500</v>
      </c>
      <c r="BZ63" s="3" t="s">
        <v>165</v>
      </c>
      <c r="CC63" s="3" t="s">
        <v>91</v>
      </c>
      <c r="CD63" s="3">
        <v>7441</v>
      </c>
      <c r="CE63" s="3" t="s">
        <v>86</v>
      </c>
      <c r="CI63" s="3">
        <v>1</v>
      </c>
      <c r="CJ63" s="3" t="s">
        <v>85</v>
      </c>
      <c r="CK63" s="3">
        <v>21</v>
      </c>
      <c r="CL63" s="3" t="s">
        <v>87</v>
      </c>
    </row>
    <row r="64" spans="1:90" x14ac:dyDescent="0.2">
      <c r="A64" s="3" t="s">
        <v>72</v>
      </c>
      <c r="B64" s="3" t="s">
        <v>73</v>
      </c>
      <c r="C64" s="3" t="s">
        <v>74</v>
      </c>
      <c r="E64" s="3" t="str">
        <f>"FES1162847571"</f>
        <v>FES1162847571</v>
      </c>
      <c r="F64" s="4">
        <v>44589</v>
      </c>
      <c r="G64" s="3">
        <v>202207</v>
      </c>
      <c r="H64" s="3" t="s">
        <v>75</v>
      </c>
      <c r="I64" s="3" t="s">
        <v>76</v>
      </c>
      <c r="J64" s="3" t="s">
        <v>77</v>
      </c>
      <c r="K64" s="3" t="s">
        <v>78</v>
      </c>
      <c r="L64" s="3" t="s">
        <v>211</v>
      </c>
      <c r="M64" s="3" t="s">
        <v>212</v>
      </c>
      <c r="N64" s="3" t="s">
        <v>213</v>
      </c>
      <c r="O64" s="3" t="s">
        <v>82</v>
      </c>
      <c r="P64" s="3" t="str">
        <f>"2170816676                    "</f>
        <v xml:space="preserve">2170816676                    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12.07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1</v>
      </c>
      <c r="BI64" s="3">
        <v>1</v>
      </c>
      <c r="BJ64" s="3">
        <v>0.2</v>
      </c>
      <c r="BK64" s="3">
        <v>1</v>
      </c>
      <c r="BL64" s="3">
        <v>46.08</v>
      </c>
      <c r="BM64" s="3">
        <v>6.91</v>
      </c>
      <c r="BN64" s="3">
        <v>52.99</v>
      </c>
      <c r="BO64" s="3">
        <v>52.99</v>
      </c>
      <c r="BQ64" s="3" t="s">
        <v>126</v>
      </c>
      <c r="BR64" s="3" t="s">
        <v>84</v>
      </c>
      <c r="BS64" s="3" t="s">
        <v>85</v>
      </c>
      <c r="BY64" s="3">
        <v>1200</v>
      </c>
      <c r="BZ64" s="3" t="s">
        <v>165</v>
      </c>
      <c r="CC64" s="3" t="s">
        <v>212</v>
      </c>
      <c r="CD64" s="3">
        <v>2162</v>
      </c>
      <c r="CE64" s="3" t="s">
        <v>93</v>
      </c>
      <c r="CI64" s="3">
        <v>1</v>
      </c>
      <c r="CJ64" s="3" t="s">
        <v>85</v>
      </c>
      <c r="CK64" s="3">
        <v>22</v>
      </c>
      <c r="CL64" s="3" t="s">
        <v>87</v>
      </c>
    </row>
    <row r="65" spans="1:90" x14ac:dyDescent="0.2">
      <c r="A65" s="3" t="s">
        <v>72</v>
      </c>
      <c r="B65" s="3" t="s">
        <v>73</v>
      </c>
      <c r="C65" s="3" t="s">
        <v>74</v>
      </c>
      <c r="E65" s="3" t="str">
        <f>"FES1162847562"</f>
        <v>FES1162847562</v>
      </c>
      <c r="F65" s="4">
        <v>44589</v>
      </c>
      <c r="G65" s="3">
        <v>202207</v>
      </c>
      <c r="H65" s="3" t="s">
        <v>75</v>
      </c>
      <c r="I65" s="3" t="s">
        <v>76</v>
      </c>
      <c r="J65" s="3" t="s">
        <v>77</v>
      </c>
      <c r="K65" s="3" t="s">
        <v>78</v>
      </c>
      <c r="L65" s="3" t="s">
        <v>138</v>
      </c>
      <c r="M65" s="3" t="s">
        <v>139</v>
      </c>
      <c r="N65" s="3" t="s">
        <v>140</v>
      </c>
      <c r="O65" s="3" t="s">
        <v>82</v>
      </c>
      <c r="P65" s="3" t="str">
        <f>"2170816550                    "</f>
        <v xml:space="preserve">2170816550                    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30.91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1</v>
      </c>
      <c r="BI65" s="3">
        <v>4</v>
      </c>
      <c r="BJ65" s="3">
        <v>0.9</v>
      </c>
      <c r="BK65" s="3">
        <v>4</v>
      </c>
      <c r="BL65" s="3">
        <v>117.97</v>
      </c>
      <c r="BM65" s="3">
        <v>17.7</v>
      </c>
      <c r="BN65" s="3">
        <v>135.66999999999999</v>
      </c>
      <c r="BO65" s="3">
        <v>135.66999999999999</v>
      </c>
      <c r="BQ65" s="3" t="s">
        <v>126</v>
      </c>
      <c r="BR65" s="3" t="s">
        <v>84</v>
      </c>
      <c r="BS65" s="3" t="s">
        <v>85</v>
      </c>
      <c r="BY65" s="3">
        <v>4640</v>
      </c>
      <c r="BZ65" s="3" t="s">
        <v>165</v>
      </c>
      <c r="CC65" s="3" t="s">
        <v>139</v>
      </c>
      <c r="CD65" s="3">
        <v>3610</v>
      </c>
      <c r="CE65" s="3" t="s">
        <v>86</v>
      </c>
      <c r="CI65" s="3">
        <v>1</v>
      </c>
      <c r="CJ65" s="3" t="s">
        <v>85</v>
      </c>
      <c r="CK65" s="3">
        <v>21</v>
      </c>
      <c r="CL65" s="3" t="s">
        <v>87</v>
      </c>
    </row>
    <row r="66" spans="1:90" x14ac:dyDescent="0.2">
      <c r="A66" s="3" t="s">
        <v>72</v>
      </c>
      <c r="B66" s="3" t="s">
        <v>73</v>
      </c>
      <c r="C66" s="3" t="s">
        <v>74</v>
      </c>
      <c r="E66" s="3" t="str">
        <f>"FES1162847628"</f>
        <v>FES1162847628</v>
      </c>
      <c r="F66" s="4">
        <v>44589</v>
      </c>
      <c r="G66" s="3">
        <v>202207</v>
      </c>
      <c r="H66" s="3" t="s">
        <v>75</v>
      </c>
      <c r="I66" s="3" t="s">
        <v>76</v>
      </c>
      <c r="J66" s="3" t="s">
        <v>77</v>
      </c>
      <c r="K66" s="3" t="s">
        <v>78</v>
      </c>
      <c r="L66" s="3" t="s">
        <v>90</v>
      </c>
      <c r="M66" s="3" t="s">
        <v>91</v>
      </c>
      <c r="N66" s="3" t="s">
        <v>210</v>
      </c>
      <c r="O66" s="3" t="s">
        <v>82</v>
      </c>
      <c r="P66" s="3" t="str">
        <f>"2170818773                    "</f>
        <v xml:space="preserve">2170818773                    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15.46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1</v>
      </c>
      <c r="BI66" s="3">
        <v>1</v>
      </c>
      <c r="BJ66" s="3">
        <v>0.2</v>
      </c>
      <c r="BK66" s="3">
        <v>1</v>
      </c>
      <c r="BL66" s="3">
        <v>59</v>
      </c>
      <c r="BM66" s="3">
        <v>8.85</v>
      </c>
      <c r="BN66" s="3">
        <v>67.849999999999994</v>
      </c>
      <c r="BO66" s="3">
        <v>67.849999999999994</v>
      </c>
      <c r="BQ66" s="3" t="s">
        <v>89</v>
      </c>
      <c r="BR66" s="3" t="s">
        <v>84</v>
      </c>
      <c r="BS66" s="3" t="s">
        <v>85</v>
      </c>
      <c r="BY66" s="3">
        <v>1200</v>
      </c>
      <c r="BZ66" s="3" t="s">
        <v>165</v>
      </c>
      <c r="CC66" s="3" t="s">
        <v>91</v>
      </c>
      <c r="CD66" s="3">
        <v>7441</v>
      </c>
      <c r="CE66" s="3" t="s">
        <v>93</v>
      </c>
      <c r="CI66" s="3">
        <v>1</v>
      </c>
      <c r="CJ66" s="3" t="s">
        <v>85</v>
      </c>
      <c r="CK66" s="3">
        <v>21</v>
      </c>
      <c r="CL66" s="3" t="s">
        <v>87</v>
      </c>
    </row>
    <row r="67" spans="1:90" x14ac:dyDescent="0.2">
      <c r="A67" s="3" t="s">
        <v>72</v>
      </c>
      <c r="B67" s="3" t="s">
        <v>73</v>
      </c>
      <c r="C67" s="3" t="s">
        <v>74</v>
      </c>
      <c r="E67" s="3" t="str">
        <f>"FES1162847564"</f>
        <v>FES1162847564</v>
      </c>
      <c r="F67" s="4">
        <v>44589</v>
      </c>
      <c r="G67" s="3">
        <v>202207</v>
      </c>
      <c r="H67" s="3" t="s">
        <v>75</v>
      </c>
      <c r="I67" s="3" t="s">
        <v>76</v>
      </c>
      <c r="J67" s="3" t="s">
        <v>77</v>
      </c>
      <c r="K67" s="3" t="s">
        <v>78</v>
      </c>
      <c r="L67" s="3" t="s">
        <v>110</v>
      </c>
      <c r="M67" s="3" t="s">
        <v>110</v>
      </c>
      <c r="N67" s="3" t="s">
        <v>146</v>
      </c>
      <c r="O67" s="3" t="s">
        <v>82</v>
      </c>
      <c r="P67" s="3" t="str">
        <f>"2170816567                    "</f>
        <v xml:space="preserve">2170816567                    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29.95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1</v>
      </c>
      <c r="BI67" s="3">
        <v>1</v>
      </c>
      <c r="BJ67" s="3">
        <v>0.2</v>
      </c>
      <c r="BK67" s="3">
        <v>1</v>
      </c>
      <c r="BL67" s="3">
        <v>114.31</v>
      </c>
      <c r="BM67" s="3">
        <v>17.149999999999999</v>
      </c>
      <c r="BN67" s="3">
        <v>131.46</v>
      </c>
      <c r="BO67" s="3">
        <v>131.46</v>
      </c>
      <c r="BQ67" s="3" t="s">
        <v>89</v>
      </c>
      <c r="BR67" s="3" t="s">
        <v>84</v>
      </c>
      <c r="BS67" s="3" t="s">
        <v>85</v>
      </c>
      <c r="BY67" s="3">
        <v>1200</v>
      </c>
      <c r="BZ67" s="3" t="s">
        <v>165</v>
      </c>
      <c r="CC67" s="3" t="s">
        <v>110</v>
      </c>
      <c r="CD67" s="3">
        <v>7646</v>
      </c>
      <c r="CE67" s="3" t="s">
        <v>93</v>
      </c>
      <c r="CI67" s="3">
        <v>1</v>
      </c>
      <c r="CJ67" s="3" t="s">
        <v>85</v>
      </c>
      <c r="CK67" s="3">
        <v>23</v>
      </c>
      <c r="CL67" s="3" t="s">
        <v>87</v>
      </c>
    </row>
    <row r="68" spans="1:90" x14ac:dyDescent="0.2">
      <c r="A68" s="3" t="s">
        <v>72</v>
      </c>
      <c r="B68" s="3" t="s">
        <v>73</v>
      </c>
      <c r="C68" s="3" t="s">
        <v>74</v>
      </c>
      <c r="E68" s="3" t="str">
        <f>"FES1162847518"</f>
        <v>FES1162847518</v>
      </c>
      <c r="F68" s="4">
        <v>44589</v>
      </c>
      <c r="G68" s="3">
        <v>202207</v>
      </c>
      <c r="H68" s="3" t="s">
        <v>75</v>
      </c>
      <c r="I68" s="3" t="s">
        <v>76</v>
      </c>
      <c r="J68" s="3" t="s">
        <v>77</v>
      </c>
      <c r="K68" s="3" t="s">
        <v>78</v>
      </c>
      <c r="L68" s="3" t="s">
        <v>138</v>
      </c>
      <c r="M68" s="3" t="s">
        <v>139</v>
      </c>
      <c r="N68" s="3" t="s">
        <v>214</v>
      </c>
      <c r="O68" s="3" t="s">
        <v>82</v>
      </c>
      <c r="P68" s="3" t="str">
        <f>"2170811874                    "</f>
        <v xml:space="preserve">2170811874                    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15.46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1</v>
      </c>
      <c r="BI68" s="3">
        <v>1</v>
      </c>
      <c r="BJ68" s="3">
        <v>0.2</v>
      </c>
      <c r="BK68" s="3">
        <v>1</v>
      </c>
      <c r="BL68" s="3">
        <v>59</v>
      </c>
      <c r="BM68" s="3">
        <v>8.85</v>
      </c>
      <c r="BN68" s="3">
        <v>67.849999999999994</v>
      </c>
      <c r="BO68" s="3">
        <v>67.849999999999994</v>
      </c>
      <c r="BQ68" s="3" t="s">
        <v>126</v>
      </c>
      <c r="BR68" s="3" t="s">
        <v>84</v>
      </c>
      <c r="BS68" s="3" t="s">
        <v>85</v>
      </c>
      <c r="BY68" s="3">
        <v>1200</v>
      </c>
      <c r="BZ68" s="3" t="s">
        <v>165</v>
      </c>
      <c r="CC68" s="3" t="s">
        <v>139</v>
      </c>
      <c r="CD68" s="3">
        <v>3610</v>
      </c>
      <c r="CE68" s="3" t="s">
        <v>93</v>
      </c>
      <c r="CI68" s="3">
        <v>1</v>
      </c>
      <c r="CJ68" s="3" t="s">
        <v>85</v>
      </c>
      <c r="CK68" s="3">
        <v>21</v>
      </c>
      <c r="CL68" s="3" t="s">
        <v>87</v>
      </c>
    </row>
    <row r="69" spans="1:90" x14ac:dyDescent="0.2">
      <c r="A69" s="3" t="s">
        <v>72</v>
      </c>
      <c r="B69" s="3" t="s">
        <v>73</v>
      </c>
      <c r="C69" s="3" t="s">
        <v>74</v>
      </c>
      <c r="E69" s="3" t="str">
        <f>"FES1162847581"</f>
        <v>FES1162847581</v>
      </c>
      <c r="F69" s="4">
        <v>44589</v>
      </c>
      <c r="G69" s="3">
        <v>202207</v>
      </c>
      <c r="H69" s="3" t="s">
        <v>75</v>
      </c>
      <c r="I69" s="3" t="s">
        <v>76</v>
      </c>
      <c r="J69" s="3" t="s">
        <v>77</v>
      </c>
      <c r="K69" s="3" t="s">
        <v>78</v>
      </c>
      <c r="L69" s="3" t="s">
        <v>138</v>
      </c>
      <c r="M69" s="3" t="s">
        <v>139</v>
      </c>
      <c r="N69" s="3" t="s">
        <v>140</v>
      </c>
      <c r="O69" s="3" t="s">
        <v>82</v>
      </c>
      <c r="P69" s="3" t="str">
        <f>"2170817983                    "</f>
        <v xml:space="preserve">2170817983                    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15.46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1</v>
      </c>
      <c r="BI69" s="3">
        <v>1</v>
      </c>
      <c r="BJ69" s="3">
        <v>0.2</v>
      </c>
      <c r="BK69" s="3">
        <v>1</v>
      </c>
      <c r="BL69" s="3">
        <v>59</v>
      </c>
      <c r="BM69" s="3">
        <v>8.85</v>
      </c>
      <c r="BN69" s="3">
        <v>67.849999999999994</v>
      </c>
      <c r="BO69" s="3">
        <v>67.849999999999994</v>
      </c>
      <c r="BQ69" s="3" t="s">
        <v>126</v>
      </c>
      <c r="BR69" s="3" t="s">
        <v>84</v>
      </c>
      <c r="BS69" s="3" t="s">
        <v>85</v>
      </c>
      <c r="BY69" s="3">
        <v>1200</v>
      </c>
      <c r="CC69" s="3" t="s">
        <v>139</v>
      </c>
      <c r="CD69" s="3">
        <v>3610</v>
      </c>
      <c r="CE69" s="3" t="s">
        <v>93</v>
      </c>
      <c r="CI69" s="3">
        <v>1</v>
      </c>
      <c r="CJ69" s="3" t="s">
        <v>85</v>
      </c>
      <c r="CK69" s="3">
        <v>21</v>
      </c>
      <c r="CL69" s="3" t="s">
        <v>87</v>
      </c>
    </row>
    <row r="70" spans="1:90" x14ac:dyDescent="0.2">
      <c r="A70" s="3" t="s">
        <v>72</v>
      </c>
      <c r="B70" s="3" t="s">
        <v>73</v>
      </c>
      <c r="C70" s="3" t="s">
        <v>74</v>
      </c>
      <c r="E70" s="3" t="str">
        <f>"FES1162847590"</f>
        <v>FES1162847590</v>
      </c>
      <c r="F70" s="4">
        <v>44589</v>
      </c>
      <c r="G70" s="3">
        <v>202207</v>
      </c>
      <c r="H70" s="3" t="s">
        <v>75</v>
      </c>
      <c r="I70" s="3" t="s">
        <v>76</v>
      </c>
      <c r="J70" s="3" t="s">
        <v>77</v>
      </c>
      <c r="K70" s="3" t="s">
        <v>78</v>
      </c>
      <c r="L70" s="3" t="s">
        <v>79</v>
      </c>
      <c r="M70" s="3" t="s">
        <v>80</v>
      </c>
      <c r="N70" s="3" t="s">
        <v>215</v>
      </c>
      <c r="O70" s="3" t="s">
        <v>82</v>
      </c>
      <c r="P70" s="3" t="str">
        <f>"2170818708                    "</f>
        <v xml:space="preserve">2170818708                    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15.46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1</v>
      </c>
      <c r="BI70" s="3">
        <v>2</v>
      </c>
      <c r="BJ70" s="3">
        <v>1.1000000000000001</v>
      </c>
      <c r="BK70" s="3">
        <v>2</v>
      </c>
      <c r="BL70" s="3">
        <v>59</v>
      </c>
      <c r="BM70" s="3">
        <v>8.85</v>
      </c>
      <c r="BN70" s="3">
        <v>67.849999999999994</v>
      </c>
      <c r="BO70" s="3">
        <v>67.849999999999994</v>
      </c>
      <c r="BQ70" s="3" t="s">
        <v>216</v>
      </c>
      <c r="BR70" s="3" t="s">
        <v>84</v>
      </c>
      <c r="BS70" s="3" t="s">
        <v>85</v>
      </c>
      <c r="BY70" s="3">
        <v>5320</v>
      </c>
      <c r="CC70" s="3" t="s">
        <v>80</v>
      </c>
      <c r="CD70" s="3">
        <v>84</v>
      </c>
      <c r="CE70" s="3" t="s">
        <v>86</v>
      </c>
      <c r="CI70" s="3">
        <v>1</v>
      </c>
      <c r="CJ70" s="3" t="s">
        <v>85</v>
      </c>
      <c r="CK70" s="3">
        <v>21</v>
      </c>
      <c r="CL70" s="3" t="s">
        <v>87</v>
      </c>
    </row>
    <row r="71" spans="1:90" x14ac:dyDescent="0.2">
      <c r="A71" s="3" t="s">
        <v>72</v>
      </c>
      <c r="B71" s="3" t="s">
        <v>73</v>
      </c>
      <c r="C71" s="3" t="s">
        <v>74</v>
      </c>
      <c r="E71" s="3" t="str">
        <f>"FES1162847507"</f>
        <v>FES1162847507</v>
      </c>
      <c r="F71" s="4">
        <v>44589</v>
      </c>
      <c r="G71" s="3">
        <v>202207</v>
      </c>
      <c r="H71" s="3" t="s">
        <v>75</v>
      </c>
      <c r="I71" s="3" t="s">
        <v>76</v>
      </c>
      <c r="J71" s="3" t="s">
        <v>77</v>
      </c>
      <c r="K71" s="3" t="s">
        <v>78</v>
      </c>
      <c r="L71" s="3" t="s">
        <v>171</v>
      </c>
      <c r="M71" s="3" t="s">
        <v>172</v>
      </c>
      <c r="N71" s="3" t="s">
        <v>217</v>
      </c>
      <c r="O71" s="3" t="s">
        <v>82</v>
      </c>
      <c r="P71" s="3" t="str">
        <f>"2170799836                    "</f>
        <v xml:space="preserve">2170799836                    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15.46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1</v>
      </c>
      <c r="BI71" s="3">
        <v>1</v>
      </c>
      <c r="BJ71" s="3">
        <v>0.2</v>
      </c>
      <c r="BK71" s="3">
        <v>1</v>
      </c>
      <c r="BL71" s="3">
        <v>59</v>
      </c>
      <c r="BM71" s="3">
        <v>8.85</v>
      </c>
      <c r="BN71" s="3">
        <v>67.849999999999994</v>
      </c>
      <c r="BO71" s="3">
        <v>67.849999999999994</v>
      </c>
      <c r="BQ71" s="3" t="s">
        <v>89</v>
      </c>
      <c r="BR71" s="3" t="s">
        <v>84</v>
      </c>
      <c r="BS71" s="3" t="s">
        <v>85</v>
      </c>
      <c r="BY71" s="3">
        <v>1200</v>
      </c>
      <c r="CC71" s="3" t="s">
        <v>172</v>
      </c>
      <c r="CD71" s="3">
        <v>6001</v>
      </c>
      <c r="CE71" s="3" t="s">
        <v>93</v>
      </c>
      <c r="CI71" s="3">
        <v>1</v>
      </c>
      <c r="CJ71" s="3" t="s">
        <v>85</v>
      </c>
      <c r="CK71" s="3">
        <v>21</v>
      </c>
      <c r="CL71" s="3" t="s">
        <v>87</v>
      </c>
    </row>
    <row r="72" spans="1:90" x14ac:dyDescent="0.2">
      <c r="A72" s="3" t="s">
        <v>72</v>
      </c>
      <c r="B72" s="3" t="s">
        <v>73</v>
      </c>
      <c r="C72" s="3" t="s">
        <v>74</v>
      </c>
      <c r="E72" s="3" t="str">
        <f>"FES1162847538"</f>
        <v>FES1162847538</v>
      </c>
      <c r="F72" s="4">
        <v>44589</v>
      </c>
      <c r="G72" s="3">
        <v>202207</v>
      </c>
      <c r="H72" s="3" t="s">
        <v>75</v>
      </c>
      <c r="I72" s="3" t="s">
        <v>76</v>
      </c>
      <c r="J72" s="3" t="s">
        <v>77</v>
      </c>
      <c r="K72" s="3" t="s">
        <v>78</v>
      </c>
      <c r="L72" s="3" t="s">
        <v>138</v>
      </c>
      <c r="M72" s="3" t="s">
        <v>139</v>
      </c>
      <c r="N72" s="3" t="s">
        <v>152</v>
      </c>
      <c r="O72" s="3" t="s">
        <v>82</v>
      </c>
      <c r="P72" s="3" t="str">
        <f>"2170816350                    "</f>
        <v xml:space="preserve">2170816350                    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15.46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1</v>
      </c>
      <c r="BI72" s="3">
        <v>1</v>
      </c>
      <c r="BJ72" s="3">
        <v>0.2</v>
      </c>
      <c r="BK72" s="3">
        <v>1</v>
      </c>
      <c r="BL72" s="3">
        <v>59</v>
      </c>
      <c r="BM72" s="3">
        <v>8.85</v>
      </c>
      <c r="BN72" s="3">
        <v>67.849999999999994</v>
      </c>
      <c r="BO72" s="3">
        <v>67.849999999999994</v>
      </c>
      <c r="BQ72" s="3" t="s">
        <v>83</v>
      </c>
      <c r="BR72" s="3" t="s">
        <v>84</v>
      </c>
      <c r="BS72" s="3" t="s">
        <v>85</v>
      </c>
      <c r="BY72" s="3">
        <v>1200</v>
      </c>
      <c r="CC72" s="3" t="s">
        <v>139</v>
      </c>
      <c r="CD72" s="3">
        <v>3610</v>
      </c>
      <c r="CE72" s="3" t="s">
        <v>93</v>
      </c>
      <c r="CI72" s="3">
        <v>1</v>
      </c>
      <c r="CJ72" s="3" t="s">
        <v>85</v>
      </c>
      <c r="CK72" s="3">
        <v>21</v>
      </c>
      <c r="CL72" s="3" t="s">
        <v>87</v>
      </c>
    </row>
    <row r="73" spans="1:90" x14ac:dyDescent="0.2">
      <c r="A73" s="3" t="s">
        <v>72</v>
      </c>
      <c r="B73" s="3" t="s">
        <v>73</v>
      </c>
      <c r="C73" s="3" t="s">
        <v>74</v>
      </c>
      <c r="E73" s="3" t="str">
        <f>"FES1162847546"</f>
        <v>FES1162847546</v>
      </c>
      <c r="F73" s="4">
        <v>44589</v>
      </c>
      <c r="G73" s="3">
        <v>202207</v>
      </c>
      <c r="H73" s="3" t="s">
        <v>75</v>
      </c>
      <c r="I73" s="3" t="s">
        <v>76</v>
      </c>
      <c r="J73" s="3" t="s">
        <v>77</v>
      </c>
      <c r="K73" s="3" t="s">
        <v>78</v>
      </c>
      <c r="L73" s="3" t="s">
        <v>110</v>
      </c>
      <c r="M73" s="3" t="s">
        <v>110</v>
      </c>
      <c r="N73" s="3" t="s">
        <v>111</v>
      </c>
      <c r="O73" s="3" t="s">
        <v>82</v>
      </c>
      <c r="P73" s="3" t="str">
        <f>"2170816381                    "</f>
        <v xml:space="preserve">2170816381                    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29.95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1</v>
      </c>
      <c r="BI73" s="3">
        <v>1</v>
      </c>
      <c r="BJ73" s="3">
        <v>0.2</v>
      </c>
      <c r="BK73" s="3">
        <v>1</v>
      </c>
      <c r="BL73" s="3">
        <v>114.31</v>
      </c>
      <c r="BM73" s="3">
        <v>17.149999999999999</v>
      </c>
      <c r="BN73" s="3">
        <v>131.46</v>
      </c>
      <c r="BO73" s="3">
        <v>131.46</v>
      </c>
      <c r="BQ73" s="3" t="s">
        <v>89</v>
      </c>
      <c r="BR73" s="3" t="s">
        <v>84</v>
      </c>
      <c r="BS73" s="3" t="s">
        <v>85</v>
      </c>
      <c r="BY73" s="3">
        <v>1200</v>
      </c>
      <c r="CC73" s="3" t="s">
        <v>110</v>
      </c>
      <c r="CD73" s="3">
        <v>7646</v>
      </c>
      <c r="CE73" s="3" t="s">
        <v>93</v>
      </c>
      <c r="CI73" s="3">
        <v>1</v>
      </c>
      <c r="CJ73" s="3" t="s">
        <v>85</v>
      </c>
      <c r="CK73" s="3">
        <v>23</v>
      </c>
      <c r="CL73" s="3" t="s">
        <v>87</v>
      </c>
    </row>
    <row r="74" spans="1:90" x14ac:dyDescent="0.2">
      <c r="A74" s="3" t="s">
        <v>72</v>
      </c>
      <c r="B74" s="3" t="s">
        <v>73</v>
      </c>
      <c r="C74" s="3" t="s">
        <v>74</v>
      </c>
      <c r="E74" s="3" t="str">
        <f>"FES1162847434"</f>
        <v>FES1162847434</v>
      </c>
      <c r="F74" s="4">
        <v>44589</v>
      </c>
      <c r="G74" s="3">
        <v>202207</v>
      </c>
      <c r="H74" s="3" t="s">
        <v>75</v>
      </c>
      <c r="I74" s="3" t="s">
        <v>76</v>
      </c>
      <c r="J74" s="3" t="s">
        <v>77</v>
      </c>
      <c r="K74" s="3" t="s">
        <v>78</v>
      </c>
      <c r="L74" s="3" t="s">
        <v>218</v>
      </c>
      <c r="M74" s="3" t="s">
        <v>219</v>
      </c>
      <c r="N74" s="3" t="s">
        <v>220</v>
      </c>
      <c r="O74" s="3" t="s">
        <v>148</v>
      </c>
      <c r="P74" s="3" t="str">
        <f>"2170818709                    "</f>
        <v xml:space="preserve">2170818709                    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45.91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2</v>
      </c>
      <c r="BI74" s="3">
        <v>28</v>
      </c>
      <c r="BJ74" s="3">
        <v>16</v>
      </c>
      <c r="BK74" s="3">
        <v>28</v>
      </c>
      <c r="BL74" s="3">
        <v>180.47</v>
      </c>
      <c r="BM74" s="3">
        <v>27.07</v>
      </c>
      <c r="BN74" s="3">
        <v>207.54</v>
      </c>
      <c r="BO74" s="3">
        <v>207.54</v>
      </c>
      <c r="BQ74" s="3" t="s">
        <v>89</v>
      </c>
      <c r="BR74" s="3" t="s">
        <v>84</v>
      </c>
      <c r="BS74" s="3" t="s">
        <v>85</v>
      </c>
      <c r="BY74" s="3">
        <v>80192</v>
      </c>
      <c r="CC74" s="3" t="s">
        <v>219</v>
      </c>
      <c r="CD74" s="3">
        <v>46</v>
      </c>
      <c r="CE74" s="3" t="s">
        <v>221</v>
      </c>
      <c r="CI74" s="3">
        <v>1</v>
      </c>
      <c r="CJ74" s="3" t="s">
        <v>85</v>
      </c>
      <c r="CK74" s="3">
        <v>41</v>
      </c>
      <c r="CL74" s="3" t="s">
        <v>87</v>
      </c>
    </row>
    <row r="75" spans="1:90" x14ac:dyDescent="0.2">
      <c r="A75" s="3" t="s">
        <v>72</v>
      </c>
      <c r="B75" s="3" t="s">
        <v>73</v>
      </c>
      <c r="C75" s="3" t="s">
        <v>74</v>
      </c>
      <c r="E75" s="3" t="str">
        <f>"FES1162847549"</f>
        <v>FES1162847549</v>
      </c>
      <c r="F75" s="4">
        <v>44589</v>
      </c>
      <c r="G75" s="3">
        <v>202207</v>
      </c>
      <c r="H75" s="3" t="s">
        <v>75</v>
      </c>
      <c r="I75" s="3" t="s">
        <v>76</v>
      </c>
      <c r="J75" s="3" t="s">
        <v>77</v>
      </c>
      <c r="K75" s="3" t="s">
        <v>78</v>
      </c>
      <c r="L75" s="3" t="s">
        <v>184</v>
      </c>
      <c r="M75" s="3" t="s">
        <v>185</v>
      </c>
      <c r="N75" s="3" t="s">
        <v>186</v>
      </c>
      <c r="O75" s="3" t="s">
        <v>82</v>
      </c>
      <c r="P75" s="3" t="str">
        <f>"2170816386                    "</f>
        <v xml:space="preserve">2170816386                    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15.46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1</v>
      </c>
      <c r="BI75" s="3">
        <v>2</v>
      </c>
      <c r="BJ75" s="3">
        <v>1</v>
      </c>
      <c r="BK75" s="3">
        <v>2</v>
      </c>
      <c r="BL75" s="3">
        <v>59</v>
      </c>
      <c r="BM75" s="3">
        <v>8.85</v>
      </c>
      <c r="BN75" s="3">
        <v>67.849999999999994</v>
      </c>
      <c r="BO75" s="3">
        <v>67.849999999999994</v>
      </c>
      <c r="BQ75" s="3" t="s">
        <v>83</v>
      </c>
      <c r="BR75" s="3" t="s">
        <v>84</v>
      </c>
      <c r="BS75" s="3" t="s">
        <v>85</v>
      </c>
      <c r="BY75" s="3">
        <v>5000</v>
      </c>
      <c r="CC75" s="3" t="s">
        <v>185</v>
      </c>
      <c r="CD75" s="3">
        <v>5201</v>
      </c>
      <c r="CE75" s="3" t="s">
        <v>86</v>
      </c>
      <c r="CI75" s="3">
        <v>1</v>
      </c>
      <c r="CJ75" s="3" t="s">
        <v>85</v>
      </c>
      <c r="CK75" s="3">
        <v>21</v>
      </c>
      <c r="CL75" s="3" t="s">
        <v>87</v>
      </c>
    </row>
    <row r="76" spans="1:90" x14ac:dyDescent="0.2">
      <c r="A76" s="3" t="s">
        <v>72</v>
      </c>
      <c r="B76" s="3" t="s">
        <v>73</v>
      </c>
      <c r="C76" s="3" t="s">
        <v>74</v>
      </c>
      <c r="E76" s="3" t="str">
        <f>"FES1162847433"</f>
        <v>FES1162847433</v>
      </c>
      <c r="F76" s="4">
        <v>44589</v>
      </c>
      <c r="G76" s="3">
        <v>202207</v>
      </c>
      <c r="H76" s="3" t="s">
        <v>75</v>
      </c>
      <c r="I76" s="3" t="s">
        <v>76</v>
      </c>
      <c r="J76" s="3" t="s">
        <v>77</v>
      </c>
      <c r="K76" s="3" t="s">
        <v>78</v>
      </c>
      <c r="L76" s="3" t="s">
        <v>79</v>
      </c>
      <c r="M76" s="3" t="s">
        <v>80</v>
      </c>
      <c r="N76" s="3" t="s">
        <v>215</v>
      </c>
      <c r="O76" s="3" t="s">
        <v>82</v>
      </c>
      <c r="P76" s="3" t="str">
        <f>"2170818708                    "</f>
        <v xml:space="preserve">2170818708                    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92.7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3</v>
      </c>
      <c r="BI76" s="3">
        <v>12</v>
      </c>
      <c r="BJ76" s="3">
        <v>10.8</v>
      </c>
      <c r="BK76" s="3">
        <v>12</v>
      </c>
      <c r="BL76" s="3">
        <v>353.84</v>
      </c>
      <c r="BM76" s="3">
        <v>53.08</v>
      </c>
      <c r="BN76" s="3">
        <v>406.92</v>
      </c>
      <c r="BO76" s="3">
        <v>406.92</v>
      </c>
      <c r="BQ76" s="3" t="s">
        <v>216</v>
      </c>
      <c r="BR76" s="3" t="s">
        <v>84</v>
      </c>
      <c r="BS76" s="3" t="s">
        <v>85</v>
      </c>
      <c r="BY76" s="3">
        <v>49925</v>
      </c>
      <c r="CC76" s="3" t="s">
        <v>80</v>
      </c>
      <c r="CD76" s="3">
        <v>84</v>
      </c>
      <c r="CE76" s="3" t="s">
        <v>222</v>
      </c>
      <c r="CI76" s="3">
        <v>1</v>
      </c>
      <c r="CJ76" s="3" t="s">
        <v>85</v>
      </c>
      <c r="CK76" s="3">
        <v>21</v>
      </c>
      <c r="CL76" s="3" t="s">
        <v>87</v>
      </c>
    </row>
    <row r="77" spans="1:90" x14ac:dyDescent="0.2">
      <c r="A77" s="3" t="s">
        <v>72</v>
      </c>
      <c r="B77" s="3" t="s">
        <v>73</v>
      </c>
      <c r="C77" s="3" t="s">
        <v>74</v>
      </c>
      <c r="E77" s="3" t="str">
        <f>"FES1162847514"</f>
        <v>FES1162847514</v>
      </c>
      <c r="F77" s="4">
        <v>44589</v>
      </c>
      <c r="G77" s="3">
        <v>202207</v>
      </c>
      <c r="H77" s="3" t="s">
        <v>75</v>
      </c>
      <c r="I77" s="3" t="s">
        <v>76</v>
      </c>
      <c r="J77" s="3" t="s">
        <v>77</v>
      </c>
      <c r="K77" s="3" t="s">
        <v>78</v>
      </c>
      <c r="L77" s="3" t="s">
        <v>158</v>
      </c>
      <c r="M77" s="3" t="s">
        <v>159</v>
      </c>
      <c r="N77" s="3" t="s">
        <v>223</v>
      </c>
      <c r="O77" s="3" t="s">
        <v>82</v>
      </c>
      <c r="P77" s="3" t="str">
        <f>"2170808301                    "</f>
        <v xml:space="preserve">2170808301                    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12.07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1</v>
      </c>
      <c r="BI77" s="3">
        <v>1</v>
      </c>
      <c r="BJ77" s="3">
        <v>0.2</v>
      </c>
      <c r="BK77" s="3">
        <v>1</v>
      </c>
      <c r="BL77" s="3">
        <v>46.08</v>
      </c>
      <c r="BM77" s="3">
        <v>6.91</v>
      </c>
      <c r="BN77" s="3">
        <v>52.99</v>
      </c>
      <c r="BO77" s="3">
        <v>52.99</v>
      </c>
      <c r="BQ77" s="3" t="s">
        <v>89</v>
      </c>
      <c r="BR77" s="3" t="s">
        <v>84</v>
      </c>
      <c r="BS77" s="3" t="s">
        <v>85</v>
      </c>
      <c r="BY77" s="3">
        <v>1200</v>
      </c>
      <c r="CC77" s="3" t="s">
        <v>159</v>
      </c>
      <c r="CD77" s="3">
        <v>1459</v>
      </c>
      <c r="CE77" s="3" t="s">
        <v>93</v>
      </c>
      <c r="CI77" s="3">
        <v>1</v>
      </c>
      <c r="CJ77" s="3" t="s">
        <v>85</v>
      </c>
      <c r="CK77" s="3">
        <v>22</v>
      </c>
      <c r="CL77" s="3" t="s">
        <v>87</v>
      </c>
    </row>
    <row r="78" spans="1:90" x14ac:dyDescent="0.2">
      <c r="A78" s="3" t="s">
        <v>72</v>
      </c>
      <c r="B78" s="3" t="s">
        <v>73</v>
      </c>
      <c r="C78" s="3" t="s">
        <v>74</v>
      </c>
      <c r="E78" s="3" t="str">
        <f>"FES1162847530"</f>
        <v>FES1162847530</v>
      </c>
      <c r="F78" s="4">
        <v>44589</v>
      </c>
      <c r="G78" s="3">
        <v>202207</v>
      </c>
      <c r="H78" s="3" t="s">
        <v>75</v>
      </c>
      <c r="I78" s="3" t="s">
        <v>76</v>
      </c>
      <c r="J78" s="3" t="s">
        <v>77</v>
      </c>
      <c r="K78" s="3" t="s">
        <v>78</v>
      </c>
      <c r="L78" s="3" t="s">
        <v>75</v>
      </c>
      <c r="M78" s="3" t="s">
        <v>76</v>
      </c>
      <c r="N78" s="3" t="s">
        <v>147</v>
      </c>
      <c r="O78" s="3" t="s">
        <v>82</v>
      </c>
      <c r="P78" s="3" t="str">
        <f>"2170816110                    "</f>
        <v xml:space="preserve">2170816110                    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12.07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1</v>
      </c>
      <c r="BI78" s="3">
        <v>1</v>
      </c>
      <c r="BJ78" s="3">
        <v>0.2</v>
      </c>
      <c r="BK78" s="3">
        <v>1</v>
      </c>
      <c r="BL78" s="3">
        <v>46.08</v>
      </c>
      <c r="BM78" s="3">
        <v>6.91</v>
      </c>
      <c r="BN78" s="3">
        <v>52.99</v>
      </c>
      <c r="BO78" s="3">
        <v>52.99</v>
      </c>
      <c r="BQ78" s="3" t="s">
        <v>89</v>
      </c>
      <c r="BR78" s="3" t="s">
        <v>84</v>
      </c>
      <c r="BS78" s="3" t="s">
        <v>85</v>
      </c>
      <c r="BY78" s="3">
        <v>1200</v>
      </c>
      <c r="CC78" s="3" t="s">
        <v>76</v>
      </c>
      <c r="CD78" s="3">
        <v>1645</v>
      </c>
      <c r="CE78" s="3" t="s">
        <v>93</v>
      </c>
      <c r="CI78" s="3">
        <v>1</v>
      </c>
      <c r="CJ78" s="3" t="s">
        <v>85</v>
      </c>
      <c r="CK78" s="3">
        <v>22</v>
      </c>
      <c r="CL78" s="3" t="s">
        <v>87</v>
      </c>
    </row>
    <row r="79" spans="1:90" x14ac:dyDescent="0.2">
      <c r="A79" s="3" t="s">
        <v>72</v>
      </c>
      <c r="B79" s="3" t="s">
        <v>73</v>
      </c>
      <c r="C79" s="3" t="s">
        <v>74</v>
      </c>
      <c r="E79" s="3" t="str">
        <f>"FES1162847558"</f>
        <v>FES1162847558</v>
      </c>
      <c r="F79" s="4">
        <v>44589</v>
      </c>
      <c r="G79" s="3">
        <v>202207</v>
      </c>
      <c r="H79" s="3" t="s">
        <v>75</v>
      </c>
      <c r="I79" s="3" t="s">
        <v>76</v>
      </c>
      <c r="J79" s="3" t="s">
        <v>77</v>
      </c>
      <c r="K79" s="3" t="s">
        <v>78</v>
      </c>
      <c r="L79" s="3" t="s">
        <v>75</v>
      </c>
      <c r="M79" s="3" t="s">
        <v>76</v>
      </c>
      <c r="N79" s="3" t="s">
        <v>224</v>
      </c>
      <c r="O79" s="3" t="s">
        <v>82</v>
      </c>
      <c r="P79" s="3" t="str">
        <f>"2170816484                    "</f>
        <v xml:space="preserve">2170816484                    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12.07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1</v>
      </c>
      <c r="BI79" s="3">
        <v>2</v>
      </c>
      <c r="BJ79" s="3">
        <v>4.0999999999999996</v>
      </c>
      <c r="BK79" s="3">
        <v>4.5</v>
      </c>
      <c r="BL79" s="3">
        <v>46.08</v>
      </c>
      <c r="BM79" s="3">
        <v>6.91</v>
      </c>
      <c r="BN79" s="3">
        <v>52.99</v>
      </c>
      <c r="BO79" s="3">
        <v>52.99</v>
      </c>
      <c r="BQ79" s="3" t="s">
        <v>83</v>
      </c>
      <c r="BR79" s="3" t="s">
        <v>84</v>
      </c>
      <c r="BS79" s="3" t="s">
        <v>85</v>
      </c>
      <c r="BY79" s="3">
        <v>20358</v>
      </c>
      <c r="CC79" s="3" t="s">
        <v>76</v>
      </c>
      <c r="CD79" s="3">
        <v>1600</v>
      </c>
      <c r="CE79" s="3" t="s">
        <v>86</v>
      </c>
      <c r="CI79" s="3">
        <v>1</v>
      </c>
      <c r="CJ79" s="3" t="s">
        <v>85</v>
      </c>
      <c r="CK79" s="3">
        <v>22</v>
      </c>
      <c r="CL79" s="3" t="s">
        <v>87</v>
      </c>
    </row>
    <row r="80" spans="1:90" x14ac:dyDescent="0.2">
      <c r="A80" s="3" t="s">
        <v>72</v>
      </c>
      <c r="B80" s="3" t="s">
        <v>73</v>
      </c>
      <c r="C80" s="3" t="s">
        <v>74</v>
      </c>
      <c r="E80" s="3" t="str">
        <f>"FES1162847577"</f>
        <v>FES1162847577</v>
      </c>
      <c r="F80" s="4">
        <v>44589</v>
      </c>
      <c r="G80" s="3">
        <v>202207</v>
      </c>
      <c r="H80" s="3" t="s">
        <v>75</v>
      </c>
      <c r="I80" s="3" t="s">
        <v>76</v>
      </c>
      <c r="J80" s="3" t="s">
        <v>77</v>
      </c>
      <c r="K80" s="3" t="s">
        <v>78</v>
      </c>
      <c r="L80" s="3" t="s">
        <v>75</v>
      </c>
      <c r="M80" s="3" t="s">
        <v>76</v>
      </c>
      <c r="N80" s="3" t="s">
        <v>225</v>
      </c>
      <c r="O80" s="3" t="s">
        <v>82</v>
      </c>
      <c r="P80" s="3" t="str">
        <f>"2170817178                    "</f>
        <v xml:space="preserve">2170817178                    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12.07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0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1</v>
      </c>
      <c r="BI80" s="3">
        <v>1</v>
      </c>
      <c r="BJ80" s="3">
        <v>0.2</v>
      </c>
      <c r="BK80" s="3">
        <v>1</v>
      </c>
      <c r="BL80" s="3">
        <v>46.08</v>
      </c>
      <c r="BM80" s="3">
        <v>6.91</v>
      </c>
      <c r="BN80" s="3">
        <v>52.99</v>
      </c>
      <c r="BO80" s="3">
        <v>52.99</v>
      </c>
      <c r="BR80" s="3" t="s">
        <v>84</v>
      </c>
      <c r="BS80" s="4">
        <v>44592</v>
      </c>
      <c r="BT80" s="5">
        <v>0.34027777777777773</v>
      </c>
      <c r="BU80" s="3" t="s">
        <v>226</v>
      </c>
      <c r="BV80" s="3" t="s">
        <v>105</v>
      </c>
      <c r="BY80" s="3">
        <v>1200</v>
      </c>
      <c r="CA80" s="3" t="s">
        <v>227</v>
      </c>
      <c r="CC80" s="3" t="s">
        <v>76</v>
      </c>
      <c r="CD80" s="3">
        <v>1600</v>
      </c>
      <c r="CE80" s="3" t="s">
        <v>93</v>
      </c>
      <c r="CI80" s="3">
        <v>1</v>
      </c>
      <c r="CJ80" s="3">
        <v>1</v>
      </c>
      <c r="CK80" s="3">
        <v>22</v>
      </c>
      <c r="CL80" s="3" t="s">
        <v>87</v>
      </c>
    </row>
    <row r="81" spans="1:90" x14ac:dyDescent="0.2">
      <c r="A81" s="3" t="s">
        <v>72</v>
      </c>
      <c r="B81" s="3" t="s">
        <v>73</v>
      </c>
      <c r="C81" s="3" t="s">
        <v>74</v>
      </c>
      <c r="E81" s="3" t="str">
        <f>"FES1162847567"</f>
        <v>FES1162847567</v>
      </c>
      <c r="F81" s="4">
        <v>44589</v>
      </c>
      <c r="G81" s="3">
        <v>202207</v>
      </c>
      <c r="H81" s="3" t="s">
        <v>75</v>
      </c>
      <c r="I81" s="3" t="s">
        <v>76</v>
      </c>
      <c r="J81" s="3" t="s">
        <v>77</v>
      </c>
      <c r="K81" s="3" t="s">
        <v>78</v>
      </c>
      <c r="L81" s="3" t="s">
        <v>228</v>
      </c>
      <c r="M81" s="3" t="s">
        <v>229</v>
      </c>
      <c r="N81" s="3" t="s">
        <v>230</v>
      </c>
      <c r="O81" s="3" t="s">
        <v>82</v>
      </c>
      <c r="P81" s="3" t="str">
        <f>"2170816578                    "</f>
        <v xml:space="preserve">2170816578                    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29.95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1</v>
      </c>
      <c r="BI81" s="3">
        <v>1</v>
      </c>
      <c r="BJ81" s="3">
        <v>0.2</v>
      </c>
      <c r="BK81" s="3">
        <v>1</v>
      </c>
      <c r="BL81" s="3">
        <v>114.31</v>
      </c>
      <c r="BM81" s="3">
        <v>17.149999999999999</v>
      </c>
      <c r="BN81" s="3">
        <v>131.46</v>
      </c>
      <c r="BO81" s="3">
        <v>131.46</v>
      </c>
      <c r="BQ81" s="3" t="s">
        <v>231</v>
      </c>
      <c r="BR81" s="3" t="s">
        <v>84</v>
      </c>
      <c r="BS81" s="3" t="s">
        <v>85</v>
      </c>
      <c r="BY81" s="3">
        <v>1200</v>
      </c>
      <c r="CC81" s="3" t="s">
        <v>229</v>
      </c>
      <c r="CD81" s="3">
        <v>4252</v>
      </c>
      <c r="CE81" s="3" t="s">
        <v>93</v>
      </c>
      <c r="CI81" s="3">
        <v>2</v>
      </c>
      <c r="CJ81" s="3" t="s">
        <v>85</v>
      </c>
      <c r="CK81" s="3">
        <v>23</v>
      </c>
      <c r="CL81" s="3" t="s">
        <v>87</v>
      </c>
    </row>
    <row r="82" spans="1:90" x14ac:dyDescent="0.2">
      <c r="A82" s="3" t="s">
        <v>72</v>
      </c>
      <c r="B82" s="3" t="s">
        <v>73</v>
      </c>
      <c r="C82" s="3" t="s">
        <v>74</v>
      </c>
      <c r="E82" s="3" t="str">
        <f>"FES1162847565"</f>
        <v>FES1162847565</v>
      </c>
      <c r="F82" s="4">
        <v>44589</v>
      </c>
      <c r="G82" s="3">
        <v>202207</v>
      </c>
      <c r="H82" s="3" t="s">
        <v>75</v>
      </c>
      <c r="I82" s="3" t="s">
        <v>76</v>
      </c>
      <c r="J82" s="3" t="s">
        <v>77</v>
      </c>
      <c r="K82" s="3" t="s">
        <v>78</v>
      </c>
      <c r="L82" s="3" t="s">
        <v>94</v>
      </c>
      <c r="M82" s="3" t="s">
        <v>95</v>
      </c>
      <c r="N82" s="3" t="s">
        <v>96</v>
      </c>
      <c r="O82" s="3" t="s">
        <v>82</v>
      </c>
      <c r="P82" s="3" t="str">
        <f>"2170816568                    "</f>
        <v xml:space="preserve">2170816568                    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15.46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1</v>
      </c>
      <c r="BI82" s="3">
        <v>1</v>
      </c>
      <c r="BJ82" s="3">
        <v>0.2</v>
      </c>
      <c r="BK82" s="3">
        <v>1</v>
      </c>
      <c r="BL82" s="3">
        <v>59</v>
      </c>
      <c r="BM82" s="3">
        <v>8.85</v>
      </c>
      <c r="BN82" s="3">
        <v>67.849999999999994</v>
      </c>
      <c r="BO82" s="3">
        <v>67.849999999999994</v>
      </c>
      <c r="BQ82" s="3" t="s">
        <v>89</v>
      </c>
      <c r="BR82" s="3" t="s">
        <v>84</v>
      </c>
      <c r="BS82" s="3" t="s">
        <v>85</v>
      </c>
      <c r="BY82" s="3">
        <v>1200</v>
      </c>
      <c r="CC82" s="3" t="s">
        <v>95</v>
      </c>
      <c r="CD82" s="3">
        <v>3201</v>
      </c>
      <c r="CE82" s="3" t="s">
        <v>93</v>
      </c>
      <c r="CI82" s="3">
        <v>1</v>
      </c>
      <c r="CJ82" s="3" t="s">
        <v>85</v>
      </c>
      <c r="CK82" s="3">
        <v>21</v>
      </c>
      <c r="CL82" s="3" t="s">
        <v>87</v>
      </c>
    </row>
    <row r="83" spans="1:90" x14ac:dyDescent="0.2">
      <c r="A83" s="3" t="s">
        <v>72</v>
      </c>
      <c r="B83" s="3" t="s">
        <v>73</v>
      </c>
      <c r="C83" s="3" t="s">
        <v>74</v>
      </c>
      <c r="E83" s="3" t="str">
        <f>"FES1162847561"</f>
        <v>FES1162847561</v>
      </c>
      <c r="F83" s="4">
        <v>44589</v>
      </c>
      <c r="G83" s="3">
        <v>202207</v>
      </c>
      <c r="H83" s="3" t="s">
        <v>75</v>
      </c>
      <c r="I83" s="3" t="s">
        <v>76</v>
      </c>
      <c r="J83" s="3" t="s">
        <v>77</v>
      </c>
      <c r="K83" s="3" t="s">
        <v>78</v>
      </c>
      <c r="L83" s="3" t="s">
        <v>75</v>
      </c>
      <c r="M83" s="3" t="s">
        <v>76</v>
      </c>
      <c r="N83" s="3" t="s">
        <v>147</v>
      </c>
      <c r="O83" s="3" t="s">
        <v>82</v>
      </c>
      <c r="P83" s="3" t="str">
        <f>"2170816519                    "</f>
        <v xml:space="preserve">2170816519                    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12.07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1</v>
      </c>
      <c r="BI83" s="3">
        <v>1</v>
      </c>
      <c r="BJ83" s="3">
        <v>0.2</v>
      </c>
      <c r="BK83" s="3">
        <v>1</v>
      </c>
      <c r="BL83" s="3">
        <v>46.08</v>
      </c>
      <c r="BM83" s="3">
        <v>6.91</v>
      </c>
      <c r="BN83" s="3">
        <v>52.99</v>
      </c>
      <c r="BO83" s="3">
        <v>52.99</v>
      </c>
      <c r="BQ83" s="3" t="s">
        <v>89</v>
      </c>
      <c r="BR83" s="3" t="s">
        <v>84</v>
      </c>
      <c r="BS83" s="3" t="s">
        <v>85</v>
      </c>
      <c r="BY83" s="3">
        <v>1200</v>
      </c>
      <c r="CC83" s="3" t="s">
        <v>76</v>
      </c>
      <c r="CD83" s="3">
        <v>1645</v>
      </c>
      <c r="CE83" s="3" t="s">
        <v>93</v>
      </c>
      <c r="CI83" s="3">
        <v>1</v>
      </c>
      <c r="CJ83" s="3" t="s">
        <v>85</v>
      </c>
      <c r="CK83" s="3">
        <v>22</v>
      </c>
      <c r="CL83" s="3" t="s">
        <v>87</v>
      </c>
    </row>
    <row r="84" spans="1:90" x14ac:dyDescent="0.2">
      <c r="A84" s="3" t="s">
        <v>72</v>
      </c>
      <c r="B84" s="3" t="s">
        <v>73</v>
      </c>
      <c r="C84" s="3" t="s">
        <v>74</v>
      </c>
      <c r="E84" s="3" t="str">
        <f>"FES1162847592"</f>
        <v>FES1162847592</v>
      </c>
      <c r="F84" s="4">
        <v>44589</v>
      </c>
      <c r="G84" s="3">
        <v>202207</v>
      </c>
      <c r="H84" s="3" t="s">
        <v>75</v>
      </c>
      <c r="I84" s="3" t="s">
        <v>76</v>
      </c>
      <c r="J84" s="3" t="s">
        <v>77</v>
      </c>
      <c r="K84" s="3" t="s">
        <v>78</v>
      </c>
      <c r="L84" s="3" t="s">
        <v>162</v>
      </c>
      <c r="M84" s="3" t="s">
        <v>163</v>
      </c>
      <c r="N84" s="3" t="s">
        <v>164</v>
      </c>
      <c r="O84" s="3" t="s">
        <v>82</v>
      </c>
      <c r="P84" s="3" t="str">
        <f>"2170818766                    "</f>
        <v xml:space="preserve">2170818766                    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12.07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1</v>
      </c>
      <c r="BI84" s="3">
        <v>1</v>
      </c>
      <c r="BJ84" s="3">
        <v>0.2</v>
      </c>
      <c r="BK84" s="3">
        <v>1</v>
      </c>
      <c r="BL84" s="3">
        <v>46.08</v>
      </c>
      <c r="BM84" s="3">
        <v>6.91</v>
      </c>
      <c r="BN84" s="3">
        <v>52.99</v>
      </c>
      <c r="BO84" s="3">
        <v>52.99</v>
      </c>
      <c r="BQ84" s="3" t="s">
        <v>89</v>
      </c>
      <c r="BR84" s="3" t="s">
        <v>84</v>
      </c>
      <c r="BS84" s="3" t="s">
        <v>85</v>
      </c>
      <c r="BY84" s="3">
        <v>1200</v>
      </c>
      <c r="CC84" s="3" t="s">
        <v>163</v>
      </c>
      <c r="CD84" s="3">
        <v>1428</v>
      </c>
      <c r="CE84" s="3" t="s">
        <v>93</v>
      </c>
      <c r="CI84" s="3">
        <v>1</v>
      </c>
      <c r="CJ84" s="3" t="s">
        <v>85</v>
      </c>
      <c r="CK84" s="3">
        <v>22</v>
      </c>
      <c r="CL84" s="3" t="s">
        <v>87</v>
      </c>
    </row>
    <row r="85" spans="1:90" x14ac:dyDescent="0.2">
      <c r="A85" s="3" t="s">
        <v>72</v>
      </c>
      <c r="B85" s="3" t="s">
        <v>73</v>
      </c>
      <c r="C85" s="3" t="s">
        <v>74</v>
      </c>
      <c r="E85" s="3" t="str">
        <f>"FES1162847509"</f>
        <v>FES1162847509</v>
      </c>
      <c r="F85" s="4">
        <v>44589</v>
      </c>
      <c r="G85" s="3">
        <v>202207</v>
      </c>
      <c r="H85" s="3" t="s">
        <v>75</v>
      </c>
      <c r="I85" s="3" t="s">
        <v>76</v>
      </c>
      <c r="J85" s="3" t="s">
        <v>77</v>
      </c>
      <c r="K85" s="3" t="s">
        <v>78</v>
      </c>
      <c r="L85" s="3" t="s">
        <v>97</v>
      </c>
      <c r="M85" s="3" t="s">
        <v>98</v>
      </c>
      <c r="N85" s="3" t="s">
        <v>232</v>
      </c>
      <c r="O85" s="3" t="s">
        <v>82</v>
      </c>
      <c r="P85" s="3" t="str">
        <f>"217081852                     "</f>
        <v xml:space="preserve">217081852                     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12.07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1</v>
      </c>
      <c r="BI85" s="3">
        <v>1</v>
      </c>
      <c r="BJ85" s="3">
        <v>0.2</v>
      </c>
      <c r="BK85" s="3">
        <v>1</v>
      </c>
      <c r="BL85" s="3">
        <v>46.08</v>
      </c>
      <c r="BM85" s="3">
        <v>6.91</v>
      </c>
      <c r="BN85" s="3">
        <v>52.99</v>
      </c>
      <c r="BO85" s="3">
        <v>52.99</v>
      </c>
      <c r="BQ85" s="3" t="s">
        <v>83</v>
      </c>
      <c r="BR85" s="3" t="s">
        <v>84</v>
      </c>
      <c r="BS85" s="3" t="s">
        <v>85</v>
      </c>
      <c r="BY85" s="3">
        <v>1200</v>
      </c>
      <c r="CC85" s="3" t="s">
        <v>98</v>
      </c>
      <c r="CD85" s="3">
        <v>2091</v>
      </c>
      <c r="CE85" s="3" t="s">
        <v>93</v>
      </c>
      <c r="CI85" s="3">
        <v>1</v>
      </c>
      <c r="CJ85" s="3" t="s">
        <v>85</v>
      </c>
      <c r="CK85" s="3">
        <v>22</v>
      </c>
      <c r="CL85" s="3" t="s">
        <v>87</v>
      </c>
    </row>
    <row r="86" spans="1:90" x14ac:dyDescent="0.2">
      <c r="A86" s="3" t="s">
        <v>72</v>
      </c>
      <c r="B86" s="3" t="s">
        <v>73</v>
      </c>
      <c r="C86" s="3" t="s">
        <v>74</v>
      </c>
      <c r="E86" s="3" t="str">
        <f>"FES1162847483"</f>
        <v>FES1162847483</v>
      </c>
      <c r="F86" s="4">
        <v>44589</v>
      </c>
      <c r="G86" s="3">
        <v>202207</v>
      </c>
      <c r="H86" s="3" t="s">
        <v>75</v>
      </c>
      <c r="I86" s="3" t="s">
        <v>76</v>
      </c>
      <c r="J86" s="3" t="s">
        <v>77</v>
      </c>
      <c r="K86" s="3" t="s">
        <v>78</v>
      </c>
      <c r="L86" s="3" t="s">
        <v>90</v>
      </c>
      <c r="M86" s="3" t="s">
        <v>91</v>
      </c>
      <c r="N86" s="3" t="s">
        <v>233</v>
      </c>
      <c r="O86" s="3" t="s">
        <v>82</v>
      </c>
      <c r="P86" s="3" t="str">
        <f>"2170806816                    "</f>
        <v xml:space="preserve">2170806816                    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46.36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1</v>
      </c>
      <c r="BI86" s="3">
        <v>6</v>
      </c>
      <c r="BJ86" s="3">
        <v>4.0999999999999996</v>
      </c>
      <c r="BK86" s="3">
        <v>6</v>
      </c>
      <c r="BL86" s="3">
        <v>176.94</v>
      </c>
      <c r="BM86" s="3">
        <v>26.54</v>
      </c>
      <c r="BN86" s="3">
        <v>203.48</v>
      </c>
      <c r="BO86" s="3">
        <v>203.48</v>
      </c>
      <c r="BR86" s="3" t="s">
        <v>84</v>
      </c>
      <c r="BS86" s="3" t="s">
        <v>85</v>
      </c>
      <c r="BY86" s="3">
        <v>20358</v>
      </c>
      <c r="CC86" s="3" t="s">
        <v>91</v>
      </c>
      <c r="CD86" s="3">
        <v>8000</v>
      </c>
      <c r="CE86" s="3" t="s">
        <v>86</v>
      </c>
      <c r="CI86" s="3">
        <v>1</v>
      </c>
      <c r="CJ86" s="3" t="s">
        <v>85</v>
      </c>
      <c r="CK86" s="3">
        <v>21</v>
      </c>
      <c r="CL86" s="3" t="s">
        <v>87</v>
      </c>
    </row>
    <row r="87" spans="1:90" x14ac:dyDescent="0.2">
      <c r="A87" s="3" t="s">
        <v>72</v>
      </c>
      <c r="B87" s="3" t="s">
        <v>73</v>
      </c>
      <c r="C87" s="3" t="s">
        <v>74</v>
      </c>
      <c r="E87" s="3" t="str">
        <f>"FES1162847517"</f>
        <v>FES1162847517</v>
      </c>
      <c r="F87" s="4">
        <v>44589</v>
      </c>
      <c r="G87" s="3">
        <v>202207</v>
      </c>
      <c r="H87" s="3" t="s">
        <v>75</v>
      </c>
      <c r="I87" s="3" t="s">
        <v>76</v>
      </c>
      <c r="J87" s="3" t="s">
        <v>77</v>
      </c>
      <c r="K87" s="3" t="s">
        <v>78</v>
      </c>
      <c r="L87" s="3" t="s">
        <v>184</v>
      </c>
      <c r="M87" s="3" t="s">
        <v>185</v>
      </c>
      <c r="N87" s="3" t="s">
        <v>234</v>
      </c>
      <c r="O87" s="3" t="s">
        <v>82</v>
      </c>
      <c r="P87" s="3" t="str">
        <f>"2170810724                    "</f>
        <v xml:space="preserve">2170810724                    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15.46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1</v>
      </c>
      <c r="BI87" s="3">
        <v>1</v>
      </c>
      <c r="BJ87" s="3">
        <v>0.2</v>
      </c>
      <c r="BK87" s="3">
        <v>1</v>
      </c>
      <c r="BL87" s="3">
        <v>59</v>
      </c>
      <c r="BM87" s="3">
        <v>8.85</v>
      </c>
      <c r="BN87" s="3">
        <v>67.849999999999994</v>
      </c>
      <c r="BO87" s="3">
        <v>67.849999999999994</v>
      </c>
      <c r="BQ87" s="3" t="s">
        <v>89</v>
      </c>
      <c r="BR87" s="3" t="s">
        <v>84</v>
      </c>
      <c r="BS87" s="3" t="s">
        <v>85</v>
      </c>
      <c r="BY87" s="3">
        <v>1200</v>
      </c>
      <c r="CC87" s="3" t="s">
        <v>185</v>
      </c>
      <c r="CD87" s="3">
        <v>5201</v>
      </c>
      <c r="CE87" s="3" t="s">
        <v>93</v>
      </c>
      <c r="CI87" s="3">
        <v>1</v>
      </c>
      <c r="CJ87" s="3" t="s">
        <v>85</v>
      </c>
      <c r="CK87" s="3">
        <v>21</v>
      </c>
      <c r="CL87" s="3" t="s">
        <v>87</v>
      </c>
    </row>
    <row r="88" spans="1:90" x14ac:dyDescent="0.2">
      <c r="A88" s="3" t="s">
        <v>72</v>
      </c>
      <c r="B88" s="3" t="s">
        <v>73</v>
      </c>
      <c r="C88" s="3" t="s">
        <v>74</v>
      </c>
      <c r="E88" s="3" t="str">
        <f>"FES1162847457"</f>
        <v>FES1162847457</v>
      </c>
      <c r="F88" s="4">
        <v>44589</v>
      </c>
      <c r="G88" s="3">
        <v>202207</v>
      </c>
      <c r="H88" s="3" t="s">
        <v>75</v>
      </c>
      <c r="I88" s="3" t="s">
        <v>76</v>
      </c>
      <c r="J88" s="3" t="s">
        <v>77</v>
      </c>
      <c r="K88" s="3" t="s">
        <v>78</v>
      </c>
      <c r="L88" s="3" t="s">
        <v>171</v>
      </c>
      <c r="M88" s="3" t="s">
        <v>172</v>
      </c>
      <c r="N88" s="3" t="s">
        <v>235</v>
      </c>
      <c r="O88" s="3" t="s">
        <v>148</v>
      </c>
      <c r="P88" s="3" t="str">
        <f>"2170814199                    "</f>
        <v xml:space="preserve">2170814199                    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55.76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3</v>
      </c>
      <c r="BI88" s="3">
        <v>30</v>
      </c>
      <c r="BJ88" s="3">
        <v>36</v>
      </c>
      <c r="BK88" s="3">
        <v>36</v>
      </c>
      <c r="BL88" s="3">
        <v>218.08</v>
      </c>
      <c r="BM88" s="3">
        <v>32.71</v>
      </c>
      <c r="BN88" s="3">
        <v>250.79</v>
      </c>
      <c r="BO88" s="3">
        <v>250.79</v>
      </c>
      <c r="BQ88" s="3" t="s">
        <v>89</v>
      </c>
      <c r="BR88" s="3" t="s">
        <v>84</v>
      </c>
      <c r="BS88" s="3" t="s">
        <v>85</v>
      </c>
      <c r="BY88" s="3">
        <v>60000</v>
      </c>
      <c r="CC88" s="3" t="s">
        <v>172</v>
      </c>
      <c r="CD88" s="3">
        <v>6001</v>
      </c>
      <c r="CE88" s="3" t="s">
        <v>222</v>
      </c>
      <c r="CI88" s="3">
        <v>2</v>
      </c>
      <c r="CJ88" s="3" t="s">
        <v>85</v>
      </c>
      <c r="CK88" s="3">
        <v>41</v>
      </c>
      <c r="CL88" s="3" t="s">
        <v>87</v>
      </c>
    </row>
    <row r="89" spans="1:90" x14ac:dyDescent="0.2">
      <c r="A89" s="3" t="s">
        <v>72</v>
      </c>
      <c r="B89" s="3" t="s">
        <v>73</v>
      </c>
      <c r="C89" s="3" t="s">
        <v>74</v>
      </c>
      <c r="E89" s="3" t="str">
        <f>"FES1162847512"</f>
        <v>FES1162847512</v>
      </c>
      <c r="F89" s="4">
        <v>44589</v>
      </c>
      <c r="G89" s="3">
        <v>202207</v>
      </c>
      <c r="H89" s="3" t="s">
        <v>75</v>
      </c>
      <c r="I89" s="3" t="s">
        <v>76</v>
      </c>
      <c r="J89" s="3" t="s">
        <v>77</v>
      </c>
      <c r="K89" s="3" t="s">
        <v>78</v>
      </c>
      <c r="L89" s="3" t="s">
        <v>149</v>
      </c>
      <c r="M89" s="3" t="s">
        <v>150</v>
      </c>
      <c r="N89" s="3" t="s">
        <v>151</v>
      </c>
      <c r="O89" s="3" t="s">
        <v>82</v>
      </c>
      <c r="P89" s="3" t="str">
        <f>"2170808226                    "</f>
        <v xml:space="preserve">2170808226                    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29.95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1</v>
      </c>
      <c r="BI89" s="3">
        <v>1</v>
      </c>
      <c r="BJ89" s="3">
        <v>0.2</v>
      </c>
      <c r="BK89" s="3">
        <v>1</v>
      </c>
      <c r="BL89" s="3">
        <v>114.31</v>
      </c>
      <c r="BM89" s="3">
        <v>17.149999999999999</v>
      </c>
      <c r="BN89" s="3">
        <v>131.46</v>
      </c>
      <c r="BO89" s="3">
        <v>131.46</v>
      </c>
      <c r="BR89" s="3" t="s">
        <v>84</v>
      </c>
      <c r="BS89" s="3" t="s">
        <v>85</v>
      </c>
      <c r="BY89" s="3">
        <v>1200</v>
      </c>
      <c r="CC89" s="3" t="s">
        <v>150</v>
      </c>
      <c r="CD89" s="3">
        <v>5850</v>
      </c>
      <c r="CE89" s="3" t="s">
        <v>93</v>
      </c>
      <c r="CI89" s="3">
        <v>2</v>
      </c>
      <c r="CJ89" s="3" t="s">
        <v>85</v>
      </c>
      <c r="CK89" s="3">
        <v>23</v>
      </c>
      <c r="CL89" s="3" t="s">
        <v>87</v>
      </c>
    </row>
    <row r="90" spans="1:90" x14ac:dyDescent="0.2">
      <c r="A90" s="3" t="s">
        <v>72</v>
      </c>
      <c r="B90" s="3" t="s">
        <v>73</v>
      </c>
      <c r="C90" s="3" t="s">
        <v>74</v>
      </c>
      <c r="E90" s="3" t="str">
        <f>"FES1162847473"</f>
        <v>FES1162847473</v>
      </c>
      <c r="F90" s="4">
        <v>44589</v>
      </c>
      <c r="G90" s="3">
        <v>202207</v>
      </c>
      <c r="H90" s="3" t="s">
        <v>75</v>
      </c>
      <c r="I90" s="3" t="s">
        <v>76</v>
      </c>
      <c r="J90" s="3" t="s">
        <v>77</v>
      </c>
      <c r="K90" s="3" t="s">
        <v>78</v>
      </c>
      <c r="L90" s="3" t="s">
        <v>90</v>
      </c>
      <c r="M90" s="3" t="s">
        <v>91</v>
      </c>
      <c r="N90" s="3" t="s">
        <v>236</v>
      </c>
      <c r="O90" s="3" t="s">
        <v>148</v>
      </c>
      <c r="P90" s="3" t="str">
        <f>"2170816071                    "</f>
        <v xml:space="preserve">2170816071                    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29.89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1</v>
      </c>
      <c r="BI90" s="3">
        <v>8</v>
      </c>
      <c r="BJ90" s="3">
        <v>14.4</v>
      </c>
      <c r="BK90" s="3">
        <v>15</v>
      </c>
      <c r="BL90" s="3">
        <v>119.34</v>
      </c>
      <c r="BM90" s="3">
        <v>17.899999999999999</v>
      </c>
      <c r="BN90" s="3">
        <v>137.24</v>
      </c>
      <c r="BO90" s="3">
        <v>137.24</v>
      </c>
      <c r="BR90" s="3" t="s">
        <v>84</v>
      </c>
      <c r="BS90" s="3" t="s">
        <v>85</v>
      </c>
      <c r="BY90" s="3">
        <v>72000</v>
      </c>
      <c r="CC90" s="3" t="s">
        <v>91</v>
      </c>
      <c r="CD90" s="3">
        <v>8000</v>
      </c>
      <c r="CE90" s="3" t="s">
        <v>86</v>
      </c>
      <c r="CI90" s="3">
        <v>2</v>
      </c>
      <c r="CJ90" s="3" t="s">
        <v>85</v>
      </c>
      <c r="CK90" s="3">
        <v>41</v>
      </c>
      <c r="CL90" s="3" t="s">
        <v>87</v>
      </c>
    </row>
    <row r="91" spans="1:90" x14ac:dyDescent="0.2">
      <c r="A91" s="3" t="s">
        <v>72</v>
      </c>
      <c r="B91" s="3" t="s">
        <v>73</v>
      </c>
      <c r="C91" s="3" t="s">
        <v>74</v>
      </c>
      <c r="E91" s="3" t="str">
        <f>"FES1162847544"</f>
        <v>FES1162847544</v>
      </c>
      <c r="F91" s="4">
        <v>44589</v>
      </c>
      <c r="G91" s="3">
        <v>202207</v>
      </c>
      <c r="H91" s="3" t="s">
        <v>75</v>
      </c>
      <c r="I91" s="3" t="s">
        <v>76</v>
      </c>
      <c r="J91" s="3" t="s">
        <v>77</v>
      </c>
      <c r="K91" s="3" t="s">
        <v>78</v>
      </c>
      <c r="L91" s="3" t="s">
        <v>75</v>
      </c>
      <c r="M91" s="3" t="s">
        <v>76</v>
      </c>
      <c r="N91" s="3" t="s">
        <v>153</v>
      </c>
      <c r="O91" s="3" t="s">
        <v>82</v>
      </c>
      <c r="P91" s="3" t="str">
        <f>"2170816370                    "</f>
        <v xml:space="preserve">2170816370                    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12.07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1</v>
      </c>
      <c r="BI91" s="3">
        <v>1</v>
      </c>
      <c r="BJ91" s="3">
        <v>0.2</v>
      </c>
      <c r="BK91" s="3">
        <v>1</v>
      </c>
      <c r="BL91" s="3">
        <v>46.08</v>
      </c>
      <c r="BM91" s="3">
        <v>6.91</v>
      </c>
      <c r="BN91" s="3">
        <v>52.99</v>
      </c>
      <c r="BO91" s="3">
        <v>52.99</v>
      </c>
      <c r="BR91" s="3" t="s">
        <v>84</v>
      </c>
      <c r="BS91" s="3" t="s">
        <v>85</v>
      </c>
      <c r="BY91" s="3">
        <v>1200</v>
      </c>
      <c r="CC91" s="3" t="s">
        <v>76</v>
      </c>
      <c r="CD91" s="3">
        <v>1600</v>
      </c>
      <c r="CE91" s="3" t="s">
        <v>93</v>
      </c>
      <c r="CI91" s="3">
        <v>1</v>
      </c>
      <c r="CJ91" s="3" t="s">
        <v>85</v>
      </c>
      <c r="CK91" s="3">
        <v>22</v>
      </c>
      <c r="CL91" s="3" t="s">
        <v>87</v>
      </c>
    </row>
    <row r="92" spans="1:90" x14ac:dyDescent="0.2">
      <c r="A92" s="3" t="s">
        <v>72</v>
      </c>
      <c r="B92" s="3" t="s">
        <v>73</v>
      </c>
      <c r="C92" s="3" t="s">
        <v>74</v>
      </c>
      <c r="E92" s="3" t="str">
        <f>"FES1162847496"</f>
        <v>FES1162847496</v>
      </c>
      <c r="F92" s="4">
        <v>44589</v>
      </c>
      <c r="G92" s="3">
        <v>202207</v>
      </c>
      <c r="H92" s="3" t="s">
        <v>75</v>
      </c>
      <c r="I92" s="3" t="s">
        <v>76</v>
      </c>
      <c r="J92" s="3" t="s">
        <v>77</v>
      </c>
      <c r="K92" s="3" t="s">
        <v>78</v>
      </c>
      <c r="L92" s="3" t="s">
        <v>79</v>
      </c>
      <c r="M92" s="3" t="s">
        <v>80</v>
      </c>
      <c r="N92" s="3" t="s">
        <v>237</v>
      </c>
      <c r="O92" s="3" t="s">
        <v>148</v>
      </c>
      <c r="P92" s="3" t="str">
        <f>"2170818751                    "</f>
        <v xml:space="preserve">2170818751                    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36.049999999999997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1</v>
      </c>
      <c r="BI92" s="3">
        <v>19</v>
      </c>
      <c r="BJ92" s="3">
        <v>19.399999999999999</v>
      </c>
      <c r="BK92" s="3">
        <v>20</v>
      </c>
      <c r="BL92" s="3">
        <v>142.85</v>
      </c>
      <c r="BM92" s="3">
        <v>21.43</v>
      </c>
      <c r="BN92" s="3">
        <v>164.28</v>
      </c>
      <c r="BO92" s="3">
        <v>164.28</v>
      </c>
      <c r="BQ92" s="3" t="s">
        <v>83</v>
      </c>
      <c r="BR92" s="3" t="s">
        <v>84</v>
      </c>
      <c r="BS92" s="3" t="s">
        <v>85</v>
      </c>
      <c r="BY92" s="3">
        <v>97200</v>
      </c>
      <c r="CC92" s="3" t="s">
        <v>80</v>
      </c>
      <c r="CD92" s="3">
        <v>1</v>
      </c>
      <c r="CE92" s="3" t="s">
        <v>86</v>
      </c>
      <c r="CI92" s="3">
        <v>1</v>
      </c>
      <c r="CJ92" s="3" t="s">
        <v>85</v>
      </c>
      <c r="CK92" s="3">
        <v>41</v>
      </c>
      <c r="CL92" s="3" t="s">
        <v>87</v>
      </c>
    </row>
    <row r="93" spans="1:90" x14ac:dyDescent="0.2">
      <c r="A93" s="3" t="s">
        <v>72</v>
      </c>
      <c r="B93" s="3" t="s">
        <v>73</v>
      </c>
      <c r="C93" s="3" t="s">
        <v>74</v>
      </c>
      <c r="E93" s="3" t="str">
        <f>"FES1162847508"</f>
        <v>FES1162847508</v>
      </c>
      <c r="F93" s="4">
        <v>44589</v>
      </c>
      <c r="G93" s="3">
        <v>202207</v>
      </c>
      <c r="H93" s="3" t="s">
        <v>75</v>
      </c>
      <c r="I93" s="3" t="s">
        <v>76</v>
      </c>
      <c r="J93" s="3" t="s">
        <v>77</v>
      </c>
      <c r="K93" s="3" t="s">
        <v>78</v>
      </c>
      <c r="L93" s="3" t="s">
        <v>149</v>
      </c>
      <c r="M93" s="3" t="s">
        <v>150</v>
      </c>
      <c r="N93" s="3" t="s">
        <v>151</v>
      </c>
      <c r="O93" s="3" t="s">
        <v>82</v>
      </c>
      <c r="P93" s="3" t="str">
        <f>"2170800086                    "</f>
        <v xml:space="preserve">2170800086                    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29.95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1</v>
      </c>
      <c r="BI93" s="3">
        <v>1</v>
      </c>
      <c r="BJ93" s="3">
        <v>0.2</v>
      </c>
      <c r="BK93" s="3">
        <v>1</v>
      </c>
      <c r="BL93" s="3">
        <v>114.31</v>
      </c>
      <c r="BM93" s="3">
        <v>17.149999999999999</v>
      </c>
      <c r="BN93" s="3">
        <v>131.46</v>
      </c>
      <c r="BO93" s="3">
        <v>131.46</v>
      </c>
      <c r="BR93" s="3" t="s">
        <v>84</v>
      </c>
      <c r="BS93" s="3" t="s">
        <v>85</v>
      </c>
      <c r="BY93" s="3">
        <v>1200</v>
      </c>
      <c r="CC93" s="3" t="s">
        <v>150</v>
      </c>
      <c r="CD93" s="3">
        <v>5850</v>
      </c>
      <c r="CE93" s="3" t="s">
        <v>93</v>
      </c>
      <c r="CI93" s="3">
        <v>2</v>
      </c>
      <c r="CJ93" s="3" t="s">
        <v>85</v>
      </c>
      <c r="CK93" s="3">
        <v>23</v>
      </c>
      <c r="CL93" s="3" t="s">
        <v>87</v>
      </c>
    </row>
    <row r="94" spans="1:90" x14ac:dyDescent="0.2">
      <c r="A94" s="3" t="s">
        <v>72</v>
      </c>
      <c r="B94" s="3" t="s">
        <v>73</v>
      </c>
      <c r="C94" s="3" t="s">
        <v>74</v>
      </c>
      <c r="E94" s="3" t="str">
        <f>"FES1162847426"</f>
        <v>FES1162847426</v>
      </c>
      <c r="F94" s="4">
        <v>44589</v>
      </c>
      <c r="G94" s="3">
        <v>202207</v>
      </c>
      <c r="H94" s="3" t="s">
        <v>75</v>
      </c>
      <c r="I94" s="3" t="s">
        <v>76</v>
      </c>
      <c r="J94" s="3" t="s">
        <v>77</v>
      </c>
      <c r="K94" s="3" t="s">
        <v>78</v>
      </c>
      <c r="L94" s="3" t="s">
        <v>138</v>
      </c>
      <c r="M94" s="3" t="s">
        <v>139</v>
      </c>
      <c r="N94" s="3" t="s">
        <v>238</v>
      </c>
      <c r="O94" s="3" t="s">
        <v>82</v>
      </c>
      <c r="P94" s="3" t="str">
        <f>"2170816548                    "</f>
        <v xml:space="preserve">2170816548                    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15.46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1</v>
      </c>
      <c r="BI94" s="3">
        <v>1</v>
      </c>
      <c r="BJ94" s="3">
        <v>0.2</v>
      </c>
      <c r="BK94" s="3">
        <v>1</v>
      </c>
      <c r="BL94" s="3">
        <v>59</v>
      </c>
      <c r="BM94" s="3">
        <v>8.85</v>
      </c>
      <c r="BN94" s="3">
        <v>67.849999999999994</v>
      </c>
      <c r="BO94" s="3">
        <v>67.849999999999994</v>
      </c>
      <c r="BQ94" s="3" t="s">
        <v>89</v>
      </c>
      <c r="BR94" s="3" t="s">
        <v>84</v>
      </c>
      <c r="BS94" s="4">
        <v>44592</v>
      </c>
      <c r="BT94" s="5">
        <v>0.32222222222222224</v>
      </c>
      <c r="BU94" s="3" t="s">
        <v>239</v>
      </c>
      <c r="BV94" s="3" t="s">
        <v>105</v>
      </c>
      <c r="BY94" s="3">
        <v>1200</v>
      </c>
      <c r="CA94" s="3" t="s">
        <v>240</v>
      </c>
      <c r="CC94" s="3" t="s">
        <v>139</v>
      </c>
      <c r="CD94" s="3">
        <v>3610</v>
      </c>
      <c r="CE94" s="3" t="s">
        <v>93</v>
      </c>
      <c r="CI94" s="3">
        <v>1</v>
      </c>
      <c r="CJ94" s="3">
        <v>1</v>
      </c>
      <c r="CK94" s="3">
        <v>21</v>
      </c>
      <c r="CL94" s="3" t="s">
        <v>87</v>
      </c>
    </row>
    <row r="95" spans="1:90" x14ac:dyDescent="0.2">
      <c r="A95" s="3" t="s">
        <v>72</v>
      </c>
      <c r="B95" s="3" t="s">
        <v>73</v>
      </c>
      <c r="C95" s="3" t="s">
        <v>74</v>
      </c>
      <c r="E95" s="3" t="str">
        <f>"FES1162845759"</f>
        <v>FES1162845759</v>
      </c>
      <c r="F95" s="4">
        <v>44589</v>
      </c>
      <c r="G95" s="3">
        <v>202207</v>
      </c>
      <c r="H95" s="3" t="s">
        <v>75</v>
      </c>
      <c r="I95" s="3" t="s">
        <v>76</v>
      </c>
      <c r="J95" s="3" t="s">
        <v>77</v>
      </c>
      <c r="K95" s="3" t="s">
        <v>78</v>
      </c>
      <c r="L95" s="3" t="s">
        <v>241</v>
      </c>
      <c r="M95" s="3" t="s">
        <v>242</v>
      </c>
      <c r="N95" s="3" t="s">
        <v>243</v>
      </c>
      <c r="O95" s="3" t="s">
        <v>82</v>
      </c>
      <c r="P95" s="3" t="str">
        <f>"2170816973                    "</f>
        <v xml:space="preserve">2170816973                    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61.81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1</v>
      </c>
      <c r="BI95" s="3">
        <v>8</v>
      </c>
      <c r="BJ95" s="3">
        <v>3.3</v>
      </c>
      <c r="BK95" s="3">
        <v>8</v>
      </c>
      <c r="BL95" s="3">
        <v>235.91</v>
      </c>
      <c r="BM95" s="3">
        <v>35.39</v>
      </c>
      <c r="BN95" s="3">
        <v>271.3</v>
      </c>
      <c r="BO95" s="3">
        <v>271.3</v>
      </c>
      <c r="BQ95" s="3" t="s">
        <v>83</v>
      </c>
      <c r="BR95" s="3" t="s">
        <v>84</v>
      </c>
      <c r="BS95" s="3" t="s">
        <v>85</v>
      </c>
      <c r="BY95" s="3">
        <v>16562</v>
      </c>
      <c r="CC95" s="3" t="s">
        <v>242</v>
      </c>
      <c r="CD95" s="3">
        <v>7600</v>
      </c>
      <c r="CE95" s="3" t="s">
        <v>86</v>
      </c>
      <c r="CI95" s="3">
        <v>1</v>
      </c>
      <c r="CJ95" s="3" t="s">
        <v>85</v>
      </c>
      <c r="CK95" s="3">
        <v>21</v>
      </c>
      <c r="CL95" s="3" t="s">
        <v>87</v>
      </c>
    </row>
    <row r="96" spans="1:90" x14ac:dyDescent="0.2">
      <c r="A96" s="3" t="s">
        <v>72</v>
      </c>
      <c r="B96" s="3" t="s">
        <v>73</v>
      </c>
      <c r="C96" s="3" t="s">
        <v>74</v>
      </c>
      <c r="E96" s="3" t="str">
        <f>"FES1162847467"</f>
        <v>FES1162847467</v>
      </c>
      <c r="F96" s="4">
        <v>44589</v>
      </c>
      <c r="G96" s="3">
        <v>202207</v>
      </c>
      <c r="H96" s="3" t="s">
        <v>75</v>
      </c>
      <c r="I96" s="3" t="s">
        <v>76</v>
      </c>
      <c r="J96" s="3" t="s">
        <v>77</v>
      </c>
      <c r="K96" s="3" t="s">
        <v>78</v>
      </c>
      <c r="L96" s="3" t="s">
        <v>244</v>
      </c>
      <c r="M96" s="3" t="s">
        <v>245</v>
      </c>
      <c r="N96" s="3" t="s">
        <v>246</v>
      </c>
      <c r="O96" s="3" t="s">
        <v>82</v>
      </c>
      <c r="P96" s="3" t="str">
        <f>"2170815885                    "</f>
        <v xml:space="preserve">2170815885                    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63.76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1</v>
      </c>
      <c r="BI96" s="3">
        <v>3</v>
      </c>
      <c r="BJ96" s="3">
        <v>4.0999999999999996</v>
      </c>
      <c r="BK96" s="3">
        <v>4.5</v>
      </c>
      <c r="BL96" s="3">
        <v>243.37</v>
      </c>
      <c r="BM96" s="3">
        <v>36.51</v>
      </c>
      <c r="BN96" s="3">
        <v>279.88</v>
      </c>
      <c r="BO96" s="3">
        <v>279.88</v>
      </c>
      <c r="BQ96" s="3" t="s">
        <v>89</v>
      </c>
      <c r="BR96" s="3" t="s">
        <v>84</v>
      </c>
      <c r="BS96" s="3" t="s">
        <v>85</v>
      </c>
      <c r="BY96" s="3">
        <v>20358</v>
      </c>
      <c r="CC96" s="3" t="s">
        <v>245</v>
      </c>
      <c r="CD96" s="3">
        <v>1947</v>
      </c>
      <c r="CE96" s="3" t="s">
        <v>86</v>
      </c>
      <c r="CI96" s="3">
        <v>1</v>
      </c>
      <c r="CJ96" s="3" t="s">
        <v>85</v>
      </c>
      <c r="CK96" s="3">
        <v>23</v>
      </c>
      <c r="CL96" s="3" t="s">
        <v>87</v>
      </c>
    </row>
    <row r="97" spans="1:90" x14ac:dyDescent="0.2">
      <c r="A97" s="3" t="s">
        <v>72</v>
      </c>
      <c r="B97" s="3" t="s">
        <v>73</v>
      </c>
      <c r="C97" s="3" t="s">
        <v>74</v>
      </c>
      <c r="E97" s="3" t="str">
        <f>"FES1162847511"</f>
        <v>FES1162847511</v>
      </c>
      <c r="F97" s="4">
        <v>44589</v>
      </c>
      <c r="G97" s="3">
        <v>202207</v>
      </c>
      <c r="H97" s="3" t="s">
        <v>75</v>
      </c>
      <c r="I97" s="3" t="s">
        <v>76</v>
      </c>
      <c r="J97" s="3" t="s">
        <v>77</v>
      </c>
      <c r="K97" s="3" t="s">
        <v>78</v>
      </c>
      <c r="L97" s="3" t="s">
        <v>149</v>
      </c>
      <c r="M97" s="3" t="s">
        <v>150</v>
      </c>
      <c r="N97" s="3" t="s">
        <v>151</v>
      </c>
      <c r="O97" s="3" t="s">
        <v>82</v>
      </c>
      <c r="P97" s="3" t="str">
        <f>"2170808059                    "</f>
        <v xml:space="preserve">2170808059                    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29.95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1</v>
      </c>
      <c r="BI97" s="3">
        <v>1</v>
      </c>
      <c r="BJ97" s="3">
        <v>0.2</v>
      </c>
      <c r="BK97" s="3">
        <v>1</v>
      </c>
      <c r="BL97" s="3">
        <v>114.31</v>
      </c>
      <c r="BM97" s="3">
        <v>17.149999999999999</v>
      </c>
      <c r="BN97" s="3">
        <v>131.46</v>
      </c>
      <c r="BO97" s="3">
        <v>131.46</v>
      </c>
      <c r="BR97" s="3" t="s">
        <v>84</v>
      </c>
      <c r="BS97" s="3" t="s">
        <v>85</v>
      </c>
      <c r="BY97" s="3">
        <v>1200</v>
      </c>
      <c r="CC97" s="3" t="s">
        <v>150</v>
      </c>
      <c r="CD97" s="3">
        <v>5850</v>
      </c>
      <c r="CE97" s="3" t="s">
        <v>93</v>
      </c>
      <c r="CI97" s="3">
        <v>2</v>
      </c>
      <c r="CJ97" s="3" t="s">
        <v>85</v>
      </c>
      <c r="CK97" s="3">
        <v>23</v>
      </c>
      <c r="CL97" s="3" t="s">
        <v>87</v>
      </c>
    </row>
    <row r="98" spans="1:90" x14ac:dyDescent="0.2">
      <c r="A98" s="3" t="s">
        <v>72</v>
      </c>
      <c r="B98" s="3" t="s">
        <v>73</v>
      </c>
      <c r="C98" s="3" t="s">
        <v>74</v>
      </c>
      <c r="E98" s="3" t="str">
        <f>"FES1162847477"</f>
        <v>FES1162847477</v>
      </c>
      <c r="F98" s="4">
        <v>44589</v>
      </c>
      <c r="G98" s="3">
        <v>202207</v>
      </c>
      <c r="H98" s="3" t="s">
        <v>75</v>
      </c>
      <c r="I98" s="3" t="s">
        <v>76</v>
      </c>
      <c r="J98" s="3" t="s">
        <v>77</v>
      </c>
      <c r="K98" s="3" t="s">
        <v>78</v>
      </c>
      <c r="L98" s="3" t="s">
        <v>167</v>
      </c>
      <c r="M98" s="3" t="s">
        <v>168</v>
      </c>
      <c r="N98" s="3" t="s">
        <v>247</v>
      </c>
      <c r="O98" s="3" t="s">
        <v>148</v>
      </c>
      <c r="P98" s="3" t="str">
        <f>"2170816618                    "</f>
        <v xml:space="preserve">2170816618                    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29.89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1</v>
      </c>
      <c r="BI98" s="3">
        <v>10</v>
      </c>
      <c r="BJ98" s="3">
        <v>4.8</v>
      </c>
      <c r="BK98" s="3">
        <v>10</v>
      </c>
      <c r="BL98" s="3">
        <v>119.34</v>
      </c>
      <c r="BM98" s="3">
        <v>17.899999999999999</v>
      </c>
      <c r="BN98" s="3">
        <v>137.24</v>
      </c>
      <c r="BO98" s="3">
        <v>137.24</v>
      </c>
      <c r="BQ98" s="3" t="s">
        <v>89</v>
      </c>
      <c r="BR98" s="3" t="s">
        <v>84</v>
      </c>
      <c r="BS98" s="3" t="s">
        <v>85</v>
      </c>
      <c r="BY98" s="3">
        <v>24000</v>
      </c>
      <c r="CC98" s="3" t="s">
        <v>168</v>
      </c>
      <c r="CD98" s="3">
        <v>6229</v>
      </c>
      <c r="CE98" s="3" t="s">
        <v>86</v>
      </c>
      <c r="CI98" s="3">
        <v>2</v>
      </c>
      <c r="CJ98" s="3" t="s">
        <v>85</v>
      </c>
      <c r="CK98" s="3">
        <v>41</v>
      </c>
      <c r="CL98" s="3" t="s">
        <v>87</v>
      </c>
    </row>
    <row r="99" spans="1:90" x14ac:dyDescent="0.2">
      <c r="A99" s="3" t="s">
        <v>72</v>
      </c>
      <c r="B99" s="3" t="s">
        <v>73</v>
      </c>
      <c r="C99" s="3" t="s">
        <v>74</v>
      </c>
      <c r="E99" s="3" t="str">
        <f>"FES1162847632"</f>
        <v>FES1162847632</v>
      </c>
      <c r="F99" s="4">
        <v>44589</v>
      </c>
      <c r="G99" s="3">
        <v>202207</v>
      </c>
      <c r="H99" s="3" t="s">
        <v>75</v>
      </c>
      <c r="I99" s="3" t="s">
        <v>76</v>
      </c>
      <c r="J99" s="3" t="s">
        <v>77</v>
      </c>
      <c r="K99" s="3" t="s">
        <v>78</v>
      </c>
      <c r="L99" s="3" t="s">
        <v>79</v>
      </c>
      <c r="M99" s="3" t="s">
        <v>80</v>
      </c>
      <c r="N99" s="3" t="s">
        <v>248</v>
      </c>
      <c r="O99" s="3" t="s">
        <v>82</v>
      </c>
      <c r="P99" s="3" t="str">
        <f>"2170818775                    "</f>
        <v xml:space="preserve">2170818775                    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15.46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1</v>
      </c>
      <c r="BI99" s="3">
        <v>1</v>
      </c>
      <c r="BJ99" s="3">
        <v>0.2</v>
      </c>
      <c r="BK99" s="3">
        <v>1</v>
      </c>
      <c r="BL99" s="3">
        <v>59</v>
      </c>
      <c r="BM99" s="3">
        <v>8.85</v>
      </c>
      <c r="BN99" s="3">
        <v>67.849999999999994</v>
      </c>
      <c r="BO99" s="3">
        <v>67.849999999999994</v>
      </c>
      <c r="BQ99" s="3" t="s">
        <v>83</v>
      </c>
      <c r="BR99" s="3" t="s">
        <v>84</v>
      </c>
      <c r="BS99" s="3" t="s">
        <v>85</v>
      </c>
      <c r="BY99" s="3">
        <v>1200</v>
      </c>
      <c r="CC99" s="3" t="s">
        <v>80</v>
      </c>
      <c r="CD99" s="3">
        <v>1</v>
      </c>
      <c r="CE99" s="3" t="s">
        <v>93</v>
      </c>
      <c r="CI99" s="3">
        <v>1</v>
      </c>
      <c r="CJ99" s="3" t="s">
        <v>85</v>
      </c>
      <c r="CK99" s="3">
        <v>21</v>
      </c>
      <c r="CL99" s="3" t="s">
        <v>87</v>
      </c>
    </row>
    <row r="100" spans="1:90" x14ac:dyDescent="0.2">
      <c r="A100" s="3" t="s">
        <v>72</v>
      </c>
      <c r="B100" s="3" t="s">
        <v>73</v>
      </c>
      <c r="C100" s="3" t="s">
        <v>74</v>
      </c>
      <c r="E100" s="3" t="str">
        <f>"FES1162847468"</f>
        <v>FES1162847468</v>
      </c>
      <c r="F100" s="4">
        <v>44589</v>
      </c>
      <c r="G100" s="3">
        <v>202207</v>
      </c>
      <c r="H100" s="3" t="s">
        <v>75</v>
      </c>
      <c r="I100" s="3" t="s">
        <v>76</v>
      </c>
      <c r="J100" s="3" t="s">
        <v>77</v>
      </c>
      <c r="K100" s="3" t="s">
        <v>78</v>
      </c>
      <c r="L100" s="3" t="s">
        <v>171</v>
      </c>
      <c r="M100" s="3" t="s">
        <v>172</v>
      </c>
      <c r="N100" s="3" t="s">
        <v>249</v>
      </c>
      <c r="O100" s="3" t="s">
        <v>148</v>
      </c>
      <c r="P100" s="3" t="str">
        <f>"2170815889                    "</f>
        <v xml:space="preserve">2170815889                    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29.89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1</v>
      </c>
      <c r="BI100" s="3">
        <v>11</v>
      </c>
      <c r="BJ100" s="3">
        <v>5.5</v>
      </c>
      <c r="BK100" s="3">
        <v>11</v>
      </c>
      <c r="BL100" s="3">
        <v>119.34</v>
      </c>
      <c r="BM100" s="3">
        <v>17.899999999999999</v>
      </c>
      <c r="BN100" s="3">
        <v>137.24</v>
      </c>
      <c r="BO100" s="3">
        <v>137.24</v>
      </c>
      <c r="BQ100" s="3" t="s">
        <v>89</v>
      </c>
      <c r="BR100" s="3" t="s">
        <v>84</v>
      </c>
      <c r="BS100" s="3" t="s">
        <v>85</v>
      </c>
      <c r="BY100" s="3">
        <v>27600</v>
      </c>
      <c r="CC100" s="3" t="s">
        <v>172</v>
      </c>
      <c r="CD100" s="3">
        <v>6001</v>
      </c>
      <c r="CE100" s="3" t="s">
        <v>86</v>
      </c>
      <c r="CI100" s="3">
        <v>2</v>
      </c>
      <c r="CJ100" s="3" t="s">
        <v>85</v>
      </c>
      <c r="CK100" s="3">
        <v>41</v>
      </c>
      <c r="CL100" s="3" t="s">
        <v>87</v>
      </c>
    </row>
    <row r="101" spans="1:90" x14ac:dyDescent="0.2">
      <c r="A101" s="3" t="s">
        <v>72</v>
      </c>
      <c r="B101" s="3" t="s">
        <v>73</v>
      </c>
      <c r="C101" s="3" t="s">
        <v>74</v>
      </c>
      <c r="E101" s="3" t="str">
        <f>"FES1162847555"</f>
        <v>FES1162847555</v>
      </c>
      <c r="F101" s="4">
        <v>44589</v>
      </c>
      <c r="G101" s="3">
        <v>202207</v>
      </c>
      <c r="H101" s="3" t="s">
        <v>75</v>
      </c>
      <c r="I101" s="3" t="s">
        <v>76</v>
      </c>
      <c r="J101" s="3" t="s">
        <v>77</v>
      </c>
      <c r="K101" s="3" t="s">
        <v>78</v>
      </c>
      <c r="L101" s="3" t="s">
        <v>250</v>
      </c>
      <c r="M101" s="3" t="s">
        <v>251</v>
      </c>
      <c r="N101" s="3" t="s">
        <v>252</v>
      </c>
      <c r="O101" s="3" t="s">
        <v>82</v>
      </c>
      <c r="P101" s="3" t="str">
        <f>"2170816464                    "</f>
        <v xml:space="preserve">2170816464                    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29.95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1</v>
      </c>
      <c r="BI101" s="3">
        <v>1</v>
      </c>
      <c r="BJ101" s="3">
        <v>0.2</v>
      </c>
      <c r="BK101" s="3">
        <v>1</v>
      </c>
      <c r="BL101" s="3">
        <v>114.31</v>
      </c>
      <c r="BM101" s="3">
        <v>17.149999999999999</v>
      </c>
      <c r="BN101" s="3">
        <v>131.46</v>
      </c>
      <c r="BO101" s="3">
        <v>131.46</v>
      </c>
      <c r="BQ101" s="3" t="s">
        <v>253</v>
      </c>
      <c r="BR101" s="3" t="s">
        <v>84</v>
      </c>
      <c r="BS101" s="3" t="s">
        <v>85</v>
      </c>
      <c r="BY101" s="3">
        <v>1200</v>
      </c>
      <c r="CC101" s="3" t="s">
        <v>251</v>
      </c>
      <c r="CD101" s="3">
        <v>6300</v>
      </c>
      <c r="CE101" s="3" t="s">
        <v>93</v>
      </c>
      <c r="CI101" s="3">
        <v>2</v>
      </c>
      <c r="CJ101" s="3" t="s">
        <v>85</v>
      </c>
      <c r="CK101" s="3">
        <v>23</v>
      </c>
      <c r="CL101" s="3" t="s">
        <v>87</v>
      </c>
    </row>
    <row r="102" spans="1:90" x14ac:dyDescent="0.2">
      <c r="A102" s="3" t="s">
        <v>72</v>
      </c>
      <c r="B102" s="3" t="s">
        <v>73</v>
      </c>
      <c r="C102" s="3" t="s">
        <v>74</v>
      </c>
      <c r="E102" s="3" t="str">
        <f>"FES1162847444"</f>
        <v>FES1162847444</v>
      </c>
      <c r="F102" s="4">
        <v>44589</v>
      </c>
      <c r="G102" s="3">
        <v>202207</v>
      </c>
      <c r="H102" s="3" t="s">
        <v>75</v>
      </c>
      <c r="I102" s="3" t="s">
        <v>76</v>
      </c>
      <c r="J102" s="3" t="s">
        <v>77</v>
      </c>
      <c r="K102" s="3" t="s">
        <v>78</v>
      </c>
      <c r="L102" s="3" t="s">
        <v>90</v>
      </c>
      <c r="M102" s="3" t="s">
        <v>91</v>
      </c>
      <c r="N102" s="3" t="s">
        <v>92</v>
      </c>
      <c r="O102" s="3" t="s">
        <v>82</v>
      </c>
      <c r="P102" s="3" t="str">
        <f>"2170818722                    "</f>
        <v xml:space="preserve">2170818722                    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15.46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1</v>
      </c>
      <c r="BI102" s="3">
        <v>1</v>
      </c>
      <c r="BJ102" s="3">
        <v>0.2</v>
      </c>
      <c r="BK102" s="3">
        <v>1</v>
      </c>
      <c r="BL102" s="3">
        <v>59</v>
      </c>
      <c r="BM102" s="3">
        <v>8.85</v>
      </c>
      <c r="BN102" s="3">
        <v>67.849999999999994</v>
      </c>
      <c r="BO102" s="3">
        <v>67.849999999999994</v>
      </c>
      <c r="BQ102" s="3" t="s">
        <v>83</v>
      </c>
      <c r="BR102" s="3" t="s">
        <v>84</v>
      </c>
      <c r="BS102" s="3" t="s">
        <v>85</v>
      </c>
      <c r="BY102" s="3">
        <v>1200</v>
      </c>
      <c r="CC102" s="3" t="s">
        <v>91</v>
      </c>
      <c r="CD102" s="3">
        <v>7530</v>
      </c>
      <c r="CE102" s="3" t="s">
        <v>93</v>
      </c>
      <c r="CI102" s="3">
        <v>1</v>
      </c>
      <c r="CJ102" s="3" t="s">
        <v>85</v>
      </c>
      <c r="CK102" s="3">
        <v>21</v>
      </c>
      <c r="CL102" s="3" t="s">
        <v>87</v>
      </c>
    </row>
    <row r="103" spans="1:90" x14ac:dyDescent="0.2">
      <c r="A103" s="3" t="s">
        <v>72</v>
      </c>
      <c r="B103" s="3" t="s">
        <v>73</v>
      </c>
      <c r="C103" s="3" t="s">
        <v>74</v>
      </c>
      <c r="E103" s="3" t="str">
        <f>"FES1162847579"</f>
        <v>FES1162847579</v>
      </c>
      <c r="F103" s="4">
        <v>44589</v>
      </c>
      <c r="G103" s="3">
        <v>202207</v>
      </c>
      <c r="H103" s="3" t="s">
        <v>75</v>
      </c>
      <c r="I103" s="3" t="s">
        <v>76</v>
      </c>
      <c r="J103" s="3" t="s">
        <v>77</v>
      </c>
      <c r="K103" s="3" t="s">
        <v>78</v>
      </c>
      <c r="L103" s="3" t="s">
        <v>254</v>
      </c>
      <c r="M103" s="3" t="s">
        <v>255</v>
      </c>
      <c r="N103" s="3" t="s">
        <v>256</v>
      </c>
      <c r="O103" s="3" t="s">
        <v>82</v>
      </c>
      <c r="P103" s="3" t="str">
        <f>"2170817723                    "</f>
        <v xml:space="preserve">2170817723                    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15.46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1</v>
      </c>
      <c r="BI103" s="3">
        <v>1</v>
      </c>
      <c r="BJ103" s="3">
        <v>0.2</v>
      </c>
      <c r="BK103" s="3">
        <v>1</v>
      </c>
      <c r="BL103" s="3">
        <v>59</v>
      </c>
      <c r="BM103" s="3">
        <v>8.85</v>
      </c>
      <c r="BN103" s="3">
        <v>67.849999999999994</v>
      </c>
      <c r="BO103" s="3">
        <v>67.849999999999994</v>
      </c>
      <c r="BQ103" s="3" t="s">
        <v>89</v>
      </c>
      <c r="BR103" s="3" t="s">
        <v>84</v>
      </c>
      <c r="BS103" s="3" t="s">
        <v>85</v>
      </c>
      <c r="BY103" s="3">
        <v>1200</v>
      </c>
      <c r="CC103" s="3" t="s">
        <v>255</v>
      </c>
      <c r="CD103" s="3">
        <v>6536</v>
      </c>
      <c r="CE103" s="3" t="s">
        <v>93</v>
      </c>
      <c r="CI103" s="3">
        <v>1</v>
      </c>
      <c r="CJ103" s="3" t="s">
        <v>85</v>
      </c>
      <c r="CK103" s="3">
        <v>21</v>
      </c>
      <c r="CL103" s="3" t="s">
        <v>87</v>
      </c>
    </row>
    <row r="104" spans="1:90" x14ac:dyDescent="0.2">
      <c r="A104" s="3" t="s">
        <v>72</v>
      </c>
      <c r="B104" s="3" t="s">
        <v>73</v>
      </c>
      <c r="C104" s="3" t="s">
        <v>74</v>
      </c>
      <c r="E104" s="3" t="str">
        <f>"FES1162847454"</f>
        <v>FES1162847454</v>
      </c>
      <c r="F104" s="4">
        <v>44589</v>
      </c>
      <c r="G104" s="3">
        <v>202207</v>
      </c>
      <c r="H104" s="3" t="s">
        <v>75</v>
      </c>
      <c r="I104" s="3" t="s">
        <v>76</v>
      </c>
      <c r="J104" s="3" t="s">
        <v>77</v>
      </c>
      <c r="K104" s="3" t="s">
        <v>78</v>
      </c>
      <c r="L104" s="3" t="s">
        <v>94</v>
      </c>
      <c r="M104" s="3" t="s">
        <v>95</v>
      </c>
      <c r="N104" s="3" t="s">
        <v>127</v>
      </c>
      <c r="O104" s="3" t="s">
        <v>82</v>
      </c>
      <c r="P104" s="3" t="str">
        <f>"2170812303                    "</f>
        <v xml:space="preserve">2170812303                    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34.770000000000003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15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1</v>
      </c>
      <c r="BI104" s="3">
        <v>1</v>
      </c>
      <c r="BJ104" s="3">
        <v>4.0999999999999996</v>
      </c>
      <c r="BK104" s="3">
        <v>4.5</v>
      </c>
      <c r="BL104" s="3">
        <v>147.71</v>
      </c>
      <c r="BM104" s="3">
        <v>22.16</v>
      </c>
      <c r="BN104" s="3">
        <v>169.87</v>
      </c>
      <c r="BO104" s="3">
        <v>169.87</v>
      </c>
      <c r="BQ104" s="3" t="s">
        <v>128</v>
      </c>
      <c r="BR104" s="3" t="s">
        <v>84</v>
      </c>
      <c r="BS104" s="3" t="s">
        <v>85</v>
      </c>
      <c r="BY104" s="3">
        <v>20358</v>
      </c>
      <c r="BZ104" s="3" t="s">
        <v>30</v>
      </c>
      <c r="CC104" s="3" t="s">
        <v>95</v>
      </c>
      <c r="CD104" s="3">
        <v>3699</v>
      </c>
      <c r="CE104" s="3" t="s">
        <v>86</v>
      </c>
      <c r="CI104" s="3">
        <v>1</v>
      </c>
      <c r="CJ104" s="3" t="s">
        <v>85</v>
      </c>
      <c r="CK104" s="3">
        <v>21</v>
      </c>
      <c r="CL104" s="3" t="s">
        <v>87</v>
      </c>
    </row>
    <row r="105" spans="1:90" x14ac:dyDescent="0.2">
      <c r="A105" s="3" t="s">
        <v>72</v>
      </c>
      <c r="B105" s="3" t="s">
        <v>73</v>
      </c>
      <c r="C105" s="3" t="s">
        <v>74</v>
      </c>
      <c r="E105" s="3" t="str">
        <f>"FES1162847428"</f>
        <v>FES1162847428</v>
      </c>
      <c r="F105" s="4">
        <v>44589</v>
      </c>
      <c r="G105" s="3">
        <v>202207</v>
      </c>
      <c r="H105" s="3" t="s">
        <v>75</v>
      </c>
      <c r="I105" s="3" t="s">
        <v>76</v>
      </c>
      <c r="J105" s="3" t="s">
        <v>77</v>
      </c>
      <c r="K105" s="3" t="s">
        <v>78</v>
      </c>
      <c r="L105" s="3" t="s">
        <v>110</v>
      </c>
      <c r="M105" s="3" t="s">
        <v>110</v>
      </c>
      <c r="N105" s="3" t="s">
        <v>111</v>
      </c>
      <c r="O105" s="3" t="s">
        <v>82</v>
      </c>
      <c r="P105" s="3" t="str">
        <f>"2170818339                    "</f>
        <v xml:space="preserve">2170818339                    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29.95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1</v>
      </c>
      <c r="BI105" s="3">
        <v>2</v>
      </c>
      <c r="BJ105" s="3">
        <v>1.5</v>
      </c>
      <c r="BK105" s="3">
        <v>2</v>
      </c>
      <c r="BL105" s="3">
        <v>114.31</v>
      </c>
      <c r="BM105" s="3">
        <v>17.149999999999999</v>
      </c>
      <c r="BN105" s="3">
        <v>131.46</v>
      </c>
      <c r="BO105" s="3">
        <v>131.46</v>
      </c>
      <c r="BQ105" s="3" t="s">
        <v>89</v>
      </c>
      <c r="BR105" s="3" t="s">
        <v>84</v>
      </c>
      <c r="BS105" s="3" t="s">
        <v>85</v>
      </c>
      <c r="BY105" s="3">
        <v>7540</v>
      </c>
      <c r="CC105" s="3" t="s">
        <v>110</v>
      </c>
      <c r="CD105" s="3">
        <v>7646</v>
      </c>
      <c r="CE105" s="3" t="s">
        <v>86</v>
      </c>
      <c r="CI105" s="3">
        <v>1</v>
      </c>
      <c r="CJ105" s="3" t="s">
        <v>85</v>
      </c>
      <c r="CK105" s="3">
        <v>23</v>
      </c>
      <c r="CL105" s="3" t="s">
        <v>87</v>
      </c>
    </row>
    <row r="106" spans="1:90" x14ac:dyDescent="0.2">
      <c r="A106" s="3" t="s">
        <v>72</v>
      </c>
      <c r="B106" s="3" t="s">
        <v>73</v>
      </c>
      <c r="C106" s="3" t="s">
        <v>74</v>
      </c>
      <c r="E106" s="3" t="str">
        <f>"FES1162847431"</f>
        <v>FES1162847431</v>
      </c>
      <c r="F106" s="4">
        <v>44589</v>
      </c>
      <c r="G106" s="3">
        <v>202207</v>
      </c>
      <c r="H106" s="3" t="s">
        <v>75</v>
      </c>
      <c r="I106" s="3" t="s">
        <v>76</v>
      </c>
      <c r="J106" s="3" t="s">
        <v>77</v>
      </c>
      <c r="K106" s="3" t="s">
        <v>78</v>
      </c>
      <c r="L106" s="3" t="s">
        <v>79</v>
      </c>
      <c r="M106" s="3" t="s">
        <v>80</v>
      </c>
      <c r="N106" s="3" t="s">
        <v>81</v>
      </c>
      <c r="O106" s="3" t="s">
        <v>82</v>
      </c>
      <c r="P106" s="3" t="str">
        <f>"2170818706                    "</f>
        <v xml:space="preserve">2170818706                    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15.46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1</v>
      </c>
      <c r="BI106" s="3">
        <v>1</v>
      </c>
      <c r="BJ106" s="3">
        <v>0.2</v>
      </c>
      <c r="BK106" s="3">
        <v>1</v>
      </c>
      <c r="BL106" s="3">
        <v>59</v>
      </c>
      <c r="BM106" s="3">
        <v>8.85</v>
      </c>
      <c r="BN106" s="3">
        <v>67.849999999999994</v>
      </c>
      <c r="BO106" s="3">
        <v>67.849999999999994</v>
      </c>
      <c r="BQ106" s="3" t="s">
        <v>83</v>
      </c>
      <c r="BR106" s="3" t="s">
        <v>84</v>
      </c>
      <c r="BS106" s="3" t="s">
        <v>85</v>
      </c>
      <c r="BY106" s="3">
        <v>1200</v>
      </c>
      <c r="CC106" s="3" t="s">
        <v>80</v>
      </c>
      <c r="CD106" s="3">
        <v>200</v>
      </c>
      <c r="CE106" s="3" t="s">
        <v>93</v>
      </c>
      <c r="CI106" s="3">
        <v>1</v>
      </c>
      <c r="CJ106" s="3" t="s">
        <v>85</v>
      </c>
      <c r="CK106" s="3">
        <v>21</v>
      </c>
      <c r="CL106" s="3" t="s">
        <v>87</v>
      </c>
    </row>
    <row r="107" spans="1:90" x14ac:dyDescent="0.2">
      <c r="A107" s="3" t="s">
        <v>72</v>
      </c>
      <c r="B107" s="3" t="s">
        <v>73</v>
      </c>
      <c r="C107" s="3" t="s">
        <v>74</v>
      </c>
      <c r="E107" s="3" t="str">
        <f>"FES1162847568"</f>
        <v>FES1162847568</v>
      </c>
      <c r="F107" s="4">
        <v>44589</v>
      </c>
      <c r="G107" s="3">
        <v>202207</v>
      </c>
      <c r="H107" s="3" t="s">
        <v>75</v>
      </c>
      <c r="I107" s="3" t="s">
        <v>76</v>
      </c>
      <c r="J107" s="3" t="s">
        <v>77</v>
      </c>
      <c r="K107" s="3" t="s">
        <v>78</v>
      </c>
      <c r="L107" s="3" t="s">
        <v>211</v>
      </c>
      <c r="M107" s="3" t="s">
        <v>212</v>
      </c>
      <c r="N107" s="3" t="s">
        <v>257</v>
      </c>
      <c r="O107" s="3" t="s">
        <v>82</v>
      </c>
      <c r="P107" s="3" t="str">
        <f>"2170816584                    "</f>
        <v xml:space="preserve">2170816584                    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12.07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1</v>
      </c>
      <c r="BI107" s="3">
        <v>3</v>
      </c>
      <c r="BJ107" s="3">
        <v>4.0999999999999996</v>
      </c>
      <c r="BK107" s="3">
        <v>4.5</v>
      </c>
      <c r="BL107" s="3">
        <v>46.08</v>
      </c>
      <c r="BM107" s="3">
        <v>6.91</v>
      </c>
      <c r="BN107" s="3">
        <v>52.99</v>
      </c>
      <c r="BO107" s="3">
        <v>52.99</v>
      </c>
      <c r="BR107" s="3" t="s">
        <v>84</v>
      </c>
      <c r="BS107" s="3" t="s">
        <v>85</v>
      </c>
      <c r="BY107" s="3">
        <v>20358</v>
      </c>
      <c r="CC107" s="3" t="s">
        <v>212</v>
      </c>
      <c r="CD107" s="3">
        <v>2194</v>
      </c>
      <c r="CE107" s="3" t="s">
        <v>86</v>
      </c>
      <c r="CI107" s="3">
        <v>1</v>
      </c>
      <c r="CJ107" s="3" t="s">
        <v>85</v>
      </c>
      <c r="CK107" s="3">
        <v>22</v>
      </c>
      <c r="CL107" s="3" t="s">
        <v>87</v>
      </c>
    </row>
    <row r="108" spans="1:90" x14ac:dyDescent="0.2">
      <c r="A108" s="3" t="s">
        <v>72</v>
      </c>
      <c r="B108" s="3" t="s">
        <v>73</v>
      </c>
      <c r="C108" s="3" t="s">
        <v>74</v>
      </c>
      <c r="E108" s="3" t="str">
        <f>"FES1162847427"</f>
        <v>FES1162847427</v>
      </c>
      <c r="F108" s="4">
        <v>44589</v>
      </c>
      <c r="G108" s="3">
        <v>202207</v>
      </c>
      <c r="H108" s="3" t="s">
        <v>75</v>
      </c>
      <c r="I108" s="3" t="s">
        <v>76</v>
      </c>
      <c r="J108" s="3" t="s">
        <v>77</v>
      </c>
      <c r="K108" s="3" t="s">
        <v>78</v>
      </c>
      <c r="L108" s="3" t="s">
        <v>110</v>
      </c>
      <c r="M108" s="3" t="s">
        <v>110</v>
      </c>
      <c r="N108" s="3" t="s">
        <v>111</v>
      </c>
      <c r="O108" s="3" t="s">
        <v>82</v>
      </c>
      <c r="P108" s="3" t="str">
        <f>"2170818117                    "</f>
        <v xml:space="preserve">2170818117                    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29.95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1</v>
      </c>
      <c r="BI108" s="3">
        <v>1</v>
      </c>
      <c r="BJ108" s="3">
        <v>0.2</v>
      </c>
      <c r="BK108" s="3">
        <v>1</v>
      </c>
      <c r="BL108" s="3">
        <v>114.31</v>
      </c>
      <c r="BM108" s="3">
        <v>17.149999999999999</v>
      </c>
      <c r="BN108" s="3">
        <v>131.46</v>
      </c>
      <c r="BO108" s="3">
        <v>131.46</v>
      </c>
      <c r="BQ108" s="3" t="s">
        <v>89</v>
      </c>
      <c r="BR108" s="3" t="s">
        <v>84</v>
      </c>
      <c r="BS108" s="3" t="s">
        <v>85</v>
      </c>
      <c r="BY108" s="3">
        <v>1200</v>
      </c>
      <c r="CC108" s="3" t="s">
        <v>110</v>
      </c>
      <c r="CD108" s="3">
        <v>7646</v>
      </c>
      <c r="CE108" s="3" t="s">
        <v>93</v>
      </c>
      <c r="CI108" s="3">
        <v>1</v>
      </c>
      <c r="CJ108" s="3" t="s">
        <v>85</v>
      </c>
      <c r="CK108" s="3">
        <v>23</v>
      </c>
      <c r="CL108" s="3" t="s">
        <v>87</v>
      </c>
    </row>
    <row r="109" spans="1:90" x14ac:dyDescent="0.2">
      <c r="A109" s="3" t="s">
        <v>72</v>
      </c>
      <c r="B109" s="3" t="s">
        <v>73</v>
      </c>
      <c r="C109" s="3" t="s">
        <v>74</v>
      </c>
      <c r="E109" s="3" t="str">
        <f>"FES1162847570"</f>
        <v>FES1162847570</v>
      </c>
      <c r="F109" s="4">
        <v>44589</v>
      </c>
      <c r="G109" s="3">
        <v>202207</v>
      </c>
      <c r="H109" s="3" t="s">
        <v>75</v>
      </c>
      <c r="I109" s="3" t="s">
        <v>76</v>
      </c>
      <c r="J109" s="3" t="s">
        <v>77</v>
      </c>
      <c r="K109" s="3" t="s">
        <v>78</v>
      </c>
      <c r="L109" s="3" t="s">
        <v>258</v>
      </c>
      <c r="M109" s="3" t="s">
        <v>259</v>
      </c>
      <c r="N109" s="3" t="s">
        <v>260</v>
      </c>
      <c r="O109" s="3" t="s">
        <v>82</v>
      </c>
      <c r="P109" s="3" t="str">
        <f>"2170816656                    "</f>
        <v xml:space="preserve">2170816656                    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21.74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1</v>
      </c>
      <c r="BI109" s="3">
        <v>1</v>
      </c>
      <c r="BJ109" s="3">
        <v>0.2</v>
      </c>
      <c r="BK109" s="3">
        <v>1</v>
      </c>
      <c r="BL109" s="3">
        <v>82.98</v>
      </c>
      <c r="BM109" s="3">
        <v>12.45</v>
      </c>
      <c r="BN109" s="3">
        <v>95.43</v>
      </c>
      <c r="BO109" s="3">
        <v>95.43</v>
      </c>
      <c r="BQ109" s="3" t="s">
        <v>83</v>
      </c>
      <c r="BR109" s="3" t="s">
        <v>84</v>
      </c>
      <c r="BS109" s="3" t="s">
        <v>85</v>
      </c>
      <c r="BY109" s="3">
        <v>1200</v>
      </c>
      <c r="CC109" s="3" t="s">
        <v>259</v>
      </c>
      <c r="CD109" s="3">
        <v>2302</v>
      </c>
      <c r="CE109" s="3" t="s">
        <v>93</v>
      </c>
      <c r="CI109" s="3">
        <v>1</v>
      </c>
      <c r="CJ109" s="3" t="s">
        <v>85</v>
      </c>
      <c r="CK109" s="3">
        <v>24</v>
      </c>
      <c r="CL109" s="3" t="s">
        <v>87</v>
      </c>
    </row>
    <row r="110" spans="1:90" x14ac:dyDescent="0.2">
      <c r="A110" s="3" t="s">
        <v>72</v>
      </c>
      <c r="B110" s="3" t="s">
        <v>73</v>
      </c>
      <c r="C110" s="3" t="s">
        <v>74</v>
      </c>
      <c r="E110" s="3" t="str">
        <f>"RFES1162844949"</f>
        <v>RFES1162844949</v>
      </c>
      <c r="F110" s="4">
        <v>44590</v>
      </c>
      <c r="G110" s="3">
        <v>202207</v>
      </c>
      <c r="H110" s="3" t="s">
        <v>97</v>
      </c>
      <c r="I110" s="3" t="s">
        <v>98</v>
      </c>
      <c r="J110" s="3" t="s">
        <v>232</v>
      </c>
      <c r="K110" s="3" t="s">
        <v>78</v>
      </c>
      <c r="L110" s="3" t="s">
        <v>75</v>
      </c>
      <c r="M110" s="3" t="s">
        <v>76</v>
      </c>
      <c r="N110" s="3" t="s">
        <v>77</v>
      </c>
      <c r="O110" s="3" t="s">
        <v>82</v>
      </c>
      <c r="P110" s="3" t="str">
        <f>"2170816513                    "</f>
        <v xml:space="preserve">2170816513                    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12.07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1</v>
      </c>
      <c r="BI110" s="3">
        <v>1</v>
      </c>
      <c r="BJ110" s="3">
        <v>2</v>
      </c>
      <c r="BK110" s="3">
        <v>2</v>
      </c>
      <c r="BL110" s="3">
        <v>46.08</v>
      </c>
      <c r="BM110" s="3">
        <v>6.91</v>
      </c>
      <c r="BN110" s="3">
        <v>52.99</v>
      </c>
      <c r="BO110" s="3">
        <v>52.99</v>
      </c>
      <c r="BQ110" s="3" t="s">
        <v>84</v>
      </c>
      <c r="BR110" s="3" t="s">
        <v>83</v>
      </c>
      <c r="BS110" s="3" t="s">
        <v>85</v>
      </c>
      <c r="BY110" s="3">
        <v>9900</v>
      </c>
      <c r="BZ110" s="3" t="s">
        <v>165</v>
      </c>
      <c r="CC110" s="3" t="s">
        <v>76</v>
      </c>
      <c r="CD110" s="3">
        <v>1601</v>
      </c>
      <c r="CE110" s="3" t="s">
        <v>86</v>
      </c>
      <c r="CI110" s="3">
        <v>1</v>
      </c>
      <c r="CJ110" s="3" t="s">
        <v>85</v>
      </c>
      <c r="CK110" s="3">
        <v>22</v>
      </c>
      <c r="CL110" s="3" t="s">
        <v>87</v>
      </c>
    </row>
    <row r="111" spans="1:90" x14ac:dyDescent="0.2">
      <c r="A111" s="3" t="s">
        <v>72</v>
      </c>
      <c r="B111" s="3" t="s">
        <v>73</v>
      </c>
      <c r="C111" s="3" t="s">
        <v>74</v>
      </c>
      <c r="E111" s="3" t="str">
        <f>"RFES1162844743"</f>
        <v>RFES1162844743</v>
      </c>
      <c r="F111" s="4">
        <v>44590</v>
      </c>
      <c r="G111" s="3">
        <v>202207</v>
      </c>
      <c r="H111" s="3" t="s">
        <v>123</v>
      </c>
      <c r="I111" s="3" t="s">
        <v>124</v>
      </c>
      <c r="J111" s="3" t="s">
        <v>261</v>
      </c>
      <c r="K111" s="3" t="s">
        <v>78</v>
      </c>
      <c r="L111" s="3" t="s">
        <v>75</v>
      </c>
      <c r="M111" s="3" t="s">
        <v>76</v>
      </c>
      <c r="N111" s="3" t="s">
        <v>77</v>
      </c>
      <c r="O111" s="3" t="s">
        <v>82</v>
      </c>
      <c r="P111" s="3" t="str">
        <f>"2170816021                    "</f>
        <v xml:space="preserve">2170816021                    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12.07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1</v>
      </c>
      <c r="BI111" s="3">
        <v>1</v>
      </c>
      <c r="BJ111" s="3">
        <v>0.2</v>
      </c>
      <c r="BK111" s="3">
        <v>1</v>
      </c>
      <c r="BL111" s="3">
        <v>46.08</v>
      </c>
      <c r="BM111" s="3">
        <v>6.91</v>
      </c>
      <c r="BN111" s="3">
        <v>52.99</v>
      </c>
      <c r="BO111" s="3">
        <v>52.99</v>
      </c>
      <c r="BQ111" s="3" t="s">
        <v>84</v>
      </c>
      <c r="BR111" s="3" t="s">
        <v>83</v>
      </c>
      <c r="BS111" s="3" t="s">
        <v>85</v>
      </c>
      <c r="BY111" s="3">
        <v>1200</v>
      </c>
      <c r="CC111" s="3" t="s">
        <v>76</v>
      </c>
      <c r="CD111" s="3">
        <v>1601</v>
      </c>
      <c r="CE111" s="3" t="s">
        <v>93</v>
      </c>
      <c r="CI111" s="3">
        <v>1</v>
      </c>
      <c r="CJ111" s="3" t="s">
        <v>85</v>
      </c>
      <c r="CK111" s="3">
        <v>22</v>
      </c>
      <c r="CL111" s="3" t="s">
        <v>87</v>
      </c>
    </row>
    <row r="112" spans="1:90" x14ac:dyDescent="0.2">
      <c r="A112" s="3" t="s">
        <v>72</v>
      </c>
      <c r="B112" s="3" t="s">
        <v>73</v>
      </c>
      <c r="C112" s="3" t="s">
        <v>74</v>
      </c>
      <c r="E112" s="3" t="str">
        <f>"FES1162844316"</f>
        <v>FES1162844316</v>
      </c>
      <c r="F112" s="4">
        <v>44571</v>
      </c>
      <c r="G112" s="3">
        <v>202207</v>
      </c>
      <c r="H112" s="3" t="s">
        <v>75</v>
      </c>
      <c r="I112" s="3" t="s">
        <v>76</v>
      </c>
      <c r="J112" s="3" t="s">
        <v>77</v>
      </c>
      <c r="K112" s="3" t="s">
        <v>78</v>
      </c>
      <c r="L112" s="3" t="s">
        <v>167</v>
      </c>
      <c r="M112" s="3" t="s">
        <v>168</v>
      </c>
      <c r="N112" s="3" t="s">
        <v>169</v>
      </c>
      <c r="O112" s="3" t="s">
        <v>82</v>
      </c>
      <c r="P112" s="3" t="str">
        <f>"2170814379                    "</f>
        <v xml:space="preserve">2170814379                    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15.46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1</v>
      </c>
      <c r="BI112" s="3">
        <v>2</v>
      </c>
      <c r="BJ112" s="3">
        <v>1.5</v>
      </c>
      <c r="BK112" s="3">
        <v>2</v>
      </c>
      <c r="BL112" s="3">
        <v>59</v>
      </c>
      <c r="BM112" s="3">
        <v>8.85</v>
      </c>
      <c r="BN112" s="3">
        <v>67.849999999999994</v>
      </c>
      <c r="BO112" s="3">
        <v>67.849999999999994</v>
      </c>
      <c r="BQ112" s="3" t="s">
        <v>83</v>
      </c>
      <c r="BR112" s="3" t="s">
        <v>84</v>
      </c>
      <c r="BS112" s="4">
        <v>44572</v>
      </c>
      <c r="BT112" s="5">
        <v>0.38819444444444445</v>
      </c>
      <c r="BU112" s="3" t="s">
        <v>262</v>
      </c>
      <c r="BV112" s="3" t="s">
        <v>105</v>
      </c>
      <c r="BY112" s="3">
        <v>7540</v>
      </c>
      <c r="BZ112" s="3" t="s">
        <v>165</v>
      </c>
      <c r="CA112" s="3" t="s">
        <v>263</v>
      </c>
      <c r="CC112" s="3" t="s">
        <v>168</v>
      </c>
      <c r="CD112" s="3">
        <v>6220</v>
      </c>
      <c r="CE112" s="3" t="s">
        <v>86</v>
      </c>
      <c r="CF112" s="4">
        <v>44572</v>
      </c>
      <c r="CI112" s="3">
        <v>1</v>
      </c>
      <c r="CJ112" s="3">
        <v>1</v>
      </c>
      <c r="CK112" s="3">
        <v>21</v>
      </c>
      <c r="CL112" s="3" t="s">
        <v>87</v>
      </c>
    </row>
    <row r="113" spans="1:90" x14ac:dyDescent="0.2">
      <c r="A113" s="3" t="s">
        <v>72</v>
      </c>
      <c r="B113" s="3" t="s">
        <v>73</v>
      </c>
      <c r="C113" s="3" t="s">
        <v>74</v>
      </c>
      <c r="E113" s="3" t="str">
        <f>"FES1162844464"</f>
        <v>FES1162844464</v>
      </c>
      <c r="F113" s="4">
        <v>44571</v>
      </c>
      <c r="G113" s="3">
        <v>202207</v>
      </c>
      <c r="H113" s="3" t="s">
        <v>75</v>
      </c>
      <c r="I113" s="3" t="s">
        <v>76</v>
      </c>
      <c r="J113" s="3" t="s">
        <v>77</v>
      </c>
      <c r="K113" s="3" t="s">
        <v>78</v>
      </c>
      <c r="L113" s="3" t="s">
        <v>123</v>
      </c>
      <c r="M113" s="3" t="s">
        <v>124</v>
      </c>
      <c r="N113" s="3" t="s">
        <v>264</v>
      </c>
      <c r="O113" s="3" t="s">
        <v>82</v>
      </c>
      <c r="P113" s="3" t="str">
        <f>"2170816109                    "</f>
        <v xml:space="preserve">2170816109                    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12.07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1</v>
      </c>
      <c r="BI113" s="3">
        <v>1</v>
      </c>
      <c r="BJ113" s="3">
        <v>0.2</v>
      </c>
      <c r="BK113" s="3">
        <v>1</v>
      </c>
      <c r="BL113" s="3">
        <v>46.08</v>
      </c>
      <c r="BM113" s="3">
        <v>6.91</v>
      </c>
      <c r="BN113" s="3">
        <v>52.99</v>
      </c>
      <c r="BO113" s="3">
        <v>52.99</v>
      </c>
      <c r="BQ113" s="3" t="s">
        <v>89</v>
      </c>
      <c r="BR113" s="3" t="s">
        <v>84</v>
      </c>
      <c r="BS113" s="4">
        <v>44572</v>
      </c>
      <c r="BT113" s="5">
        <v>0.3611111111111111</v>
      </c>
      <c r="BU113" s="3" t="s">
        <v>265</v>
      </c>
      <c r="BV113" s="3" t="s">
        <v>105</v>
      </c>
      <c r="BY113" s="3">
        <v>1200</v>
      </c>
      <c r="CA113" s="3" t="s">
        <v>266</v>
      </c>
      <c r="CC113" s="3" t="s">
        <v>124</v>
      </c>
      <c r="CD113" s="3">
        <v>1724</v>
      </c>
      <c r="CE113" s="3" t="s">
        <v>93</v>
      </c>
      <c r="CF113" s="4">
        <v>44572</v>
      </c>
      <c r="CI113" s="3">
        <v>1</v>
      </c>
      <c r="CJ113" s="3">
        <v>1</v>
      </c>
      <c r="CK113" s="3">
        <v>22</v>
      </c>
      <c r="CL113" s="3" t="s">
        <v>87</v>
      </c>
    </row>
    <row r="114" spans="1:90" x14ac:dyDescent="0.2">
      <c r="A114" s="3" t="s">
        <v>72</v>
      </c>
      <c r="B114" s="3" t="s">
        <v>73</v>
      </c>
      <c r="C114" s="3" t="s">
        <v>74</v>
      </c>
      <c r="E114" s="3" t="str">
        <f>"FES1162844383"</f>
        <v>FES1162844383</v>
      </c>
      <c r="F114" s="4">
        <v>44571</v>
      </c>
      <c r="G114" s="3">
        <v>202207</v>
      </c>
      <c r="H114" s="3" t="s">
        <v>75</v>
      </c>
      <c r="I114" s="3" t="s">
        <v>76</v>
      </c>
      <c r="J114" s="3" t="s">
        <v>77</v>
      </c>
      <c r="K114" s="3" t="s">
        <v>78</v>
      </c>
      <c r="L114" s="3" t="s">
        <v>187</v>
      </c>
      <c r="M114" s="3" t="s">
        <v>188</v>
      </c>
      <c r="N114" s="3" t="s">
        <v>189</v>
      </c>
      <c r="O114" s="3" t="s">
        <v>82</v>
      </c>
      <c r="P114" s="3" t="str">
        <f>"2170815193                    "</f>
        <v xml:space="preserve">2170815193                    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29.95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1</v>
      </c>
      <c r="BI114" s="3">
        <v>1</v>
      </c>
      <c r="BJ114" s="3">
        <v>0.2</v>
      </c>
      <c r="BK114" s="3">
        <v>1</v>
      </c>
      <c r="BL114" s="3">
        <v>114.31</v>
      </c>
      <c r="BM114" s="3">
        <v>17.149999999999999</v>
      </c>
      <c r="BN114" s="3">
        <v>131.46</v>
      </c>
      <c r="BO114" s="3">
        <v>131.46</v>
      </c>
      <c r="BQ114" s="3" t="s">
        <v>83</v>
      </c>
      <c r="BR114" s="3" t="s">
        <v>84</v>
      </c>
      <c r="BS114" s="4">
        <v>44572</v>
      </c>
      <c r="BT114" s="5">
        <v>0.41666666666666669</v>
      </c>
      <c r="BU114" s="3" t="s">
        <v>267</v>
      </c>
      <c r="BV114" s="3" t="s">
        <v>105</v>
      </c>
      <c r="BY114" s="3">
        <v>1200</v>
      </c>
      <c r="BZ114" s="3" t="s">
        <v>165</v>
      </c>
      <c r="CA114" s="3" t="s">
        <v>268</v>
      </c>
      <c r="CC114" s="3" t="s">
        <v>188</v>
      </c>
      <c r="CD114" s="3">
        <v>7300</v>
      </c>
      <c r="CE114" s="3" t="s">
        <v>93</v>
      </c>
      <c r="CF114" s="4">
        <v>44573</v>
      </c>
      <c r="CI114" s="3">
        <v>1</v>
      </c>
      <c r="CJ114" s="3">
        <v>1</v>
      </c>
      <c r="CK114" s="3">
        <v>23</v>
      </c>
      <c r="CL114" s="3" t="s">
        <v>87</v>
      </c>
    </row>
    <row r="115" spans="1:90" x14ac:dyDescent="0.2">
      <c r="A115" s="3" t="s">
        <v>72</v>
      </c>
      <c r="B115" s="3" t="s">
        <v>73</v>
      </c>
      <c r="C115" s="3" t="s">
        <v>74</v>
      </c>
      <c r="E115" s="3" t="str">
        <f>"FES1162844471"</f>
        <v>FES1162844471</v>
      </c>
      <c r="F115" s="4">
        <v>44571</v>
      </c>
      <c r="G115" s="3">
        <v>202207</v>
      </c>
      <c r="H115" s="3" t="s">
        <v>75</v>
      </c>
      <c r="I115" s="3" t="s">
        <v>76</v>
      </c>
      <c r="J115" s="3" t="s">
        <v>77</v>
      </c>
      <c r="K115" s="3" t="s">
        <v>78</v>
      </c>
      <c r="L115" s="3" t="s">
        <v>90</v>
      </c>
      <c r="M115" s="3" t="s">
        <v>91</v>
      </c>
      <c r="N115" s="3" t="s">
        <v>269</v>
      </c>
      <c r="O115" s="3" t="s">
        <v>82</v>
      </c>
      <c r="P115" s="3" t="str">
        <f>"2170816117                    "</f>
        <v xml:space="preserve">2170816117                    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15.46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1</v>
      </c>
      <c r="BI115" s="3">
        <v>1</v>
      </c>
      <c r="BJ115" s="3">
        <v>0.2</v>
      </c>
      <c r="BK115" s="3">
        <v>1</v>
      </c>
      <c r="BL115" s="3">
        <v>59</v>
      </c>
      <c r="BM115" s="3">
        <v>8.85</v>
      </c>
      <c r="BN115" s="3">
        <v>67.849999999999994</v>
      </c>
      <c r="BO115" s="3">
        <v>67.849999999999994</v>
      </c>
      <c r="BQ115" s="3" t="s">
        <v>83</v>
      </c>
      <c r="BR115" s="3" t="s">
        <v>84</v>
      </c>
      <c r="BS115" s="4">
        <v>44572</v>
      </c>
      <c r="BT115" s="5">
        <v>0.34166666666666662</v>
      </c>
      <c r="BU115" s="3" t="s">
        <v>270</v>
      </c>
      <c r="BV115" s="3" t="s">
        <v>105</v>
      </c>
      <c r="BY115" s="3">
        <v>1200</v>
      </c>
      <c r="BZ115" s="3" t="s">
        <v>165</v>
      </c>
      <c r="CA115" s="3" t="s">
        <v>271</v>
      </c>
      <c r="CC115" s="3" t="s">
        <v>91</v>
      </c>
      <c r="CD115" s="3">
        <v>8001</v>
      </c>
      <c r="CE115" s="3" t="s">
        <v>93</v>
      </c>
      <c r="CF115" s="4">
        <v>44573</v>
      </c>
      <c r="CI115" s="3">
        <v>1</v>
      </c>
      <c r="CJ115" s="3">
        <v>1</v>
      </c>
      <c r="CK115" s="3">
        <v>21</v>
      </c>
      <c r="CL115" s="3" t="s">
        <v>87</v>
      </c>
    </row>
    <row r="116" spans="1:90" x14ac:dyDescent="0.2">
      <c r="A116" s="3" t="s">
        <v>72</v>
      </c>
      <c r="B116" s="3" t="s">
        <v>73</v>
      </c>
      <c r="C116" s="3" t="s">
        <v>74</v>
      </c>
      <c r="E116" s="3" t="str">
        <f>"FES1162844309"</f>
        <v>FES1162844309</v>
      </c>
      <c r="F116" s="4">
        <v>44571</v>
      </c>
      <c r="G116" s="3">
        <v>202207</v>
      </c>
      <c r="H116" s="3" t="s">
        <v>75</v>
      </c>
      <c r="I116" s="3" t="s">
        <v>76</v>
      </c>
      <c r="J116" s="3" t="s">
        <v>77</v>
      </c>
      <c r="K116" s="3" t="s">
        <v>78</v>
      </c>
      <c r="L116" s="3" t="s">
        <v>101</v>
      </c>
      <c r="M116" s="3" t="s">
        <v>102</v>
      </c>
      <c r="N116" s="3" t="s">
        <v>272</v>
      </c>
      <c r="O116" s="3" t="s">
        <v>82</v>
      </c>
      <c r="P116" s="3" t="str">
        <f>"2170813246                    "</f>
        <v xml:space="preserve">2170813246                    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15.46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1</v>
      </c>
      <c r="BI116" s="3">
        <v>1</v>
      </c>
      <c r="BJ116" s="3">
        <v>0.2</v>
      </c>
      <c r="BK116" s="3">
        <v>1</v>
      </c>
      <c r="BL116" s="3">
        <v>59</v>
      </c>
      <c r="BM116" s="3">
        <v>8.85</v>
      </c>
      <c r="BN116" s="3">
        <v>67.849999999999994</v>
      </c>
      <c r="BO116" s="3">
        <v>67.849999999999994</v>
      </c>
      <c r="BQ116" s="3" t="s">
        <v>273</v>
      </c>
      <c r="BR116" s="3" t="s">
        <v>84</v>
      </c>
      <c r="BS116" s="4">
        <v>44572</v>
      </c>
      <c r="BT116" s="5">
        <v>0.3840277777777778</v>
      </c>
      <c r="BU116" s="3" t="s">
        <v>274</v>
      </c>
      <c r="BV116" s="3" t="s">
        <v>105</v>
      </c>
      <c r="BY116" s="3">
        <v>1200</v>
      </c>
      <c r="BZ116" s="3" t="s">
        <v>165</v>
      </c>
      <c r="CA116" s="3" t="s">
        <v>275</v>
      </c>
      <c r="CC116" s="3" t="s">
        <v>102</v>
      </c>
      <c r="CD116" s="3">
        <v>4000</v>
      </c>
      <c r="CE116" s="3" t="s">
        <v>93</v>
      </c>
      <c r="CF116" s="4">
        <v>44572</v>
      </c>
      <c r="CI116" s="3">
        <v>1</v>
      </c>
      <c r="CJ116" s="3">
        <v>1</v>
      </c>
      <c r="CK116" s="3">
        <v>21</v>
      </c>
      <c r="CL116" s="3" t="s">
        <v>87</v>
      </c>
    </row>
    <row r="117" spans="1:90" x14ac:dyDescent="0.2">
      <c r="A117" s="3" t="s">
        <v>72</v>
      </c>
      <c r="B117" s="3" t="s">
        <v>73</v>
      </c>
      <c r="C117" s="3" t="s">
        <v>74</v>
      </c>
      <c r="E117" s="3" t="str">
        <f>"FES1162844420"</f>
        <v>FES1162844420</v>
      </c>
      <c r="F117" s="4">
        <v>44571</v>
      </c>
      <c r="G117" s="3">
        <v>202207</v>
      </c>
      <c r="H117" s="3" t="s">
        <v>75</v>
      </c>
      <c r="I117" s="3" t="s">
        <v>76</v>
      </c>
      <c r="J117" s="3" t="s">
        <v>77</v>
      </c>
      <c r="K117" s="3" t="s">
        <v>78</v>
      </c>
      <c r="L117" s="3" t="s">
        <v>101</v>
      </c>
      <c r="M117" s="3" t="s">
        <v>102</v>
      </c>
      <c r="N117" s="3" t="s">
        <v>276</v>
      </c>
      <c r="O117" s="3" t="s">
        <v>82</v>
      </c>
      <c r="P117" s="3" t="str">
        <f>"2170816046                    "</f>
        <v xml:space="preserve">2170816046                    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69.53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1</v>
      </c>
      <c r="BI117" s="3">
        <v>9</v>
      </c>
      <c r="BJ117" s="3">
        <v>2</v>
      </c>
      <c r="BK117" s="3">
        <v>9</v>
      </c>
      <c r="BL117" s="3">
        <v>265.39</v>
      </c>
      <c r="BM117" s="3">
        <v>39.81</v>
      </c>
      <c r="BN117" s="3">
        <v>305.2</v>
      </c>
      <c r="BO117" s="3">
        <v>305.2</v>
      </c>
      <c r="BQ117" s="3" t="s">
        <v>89</v>
      </c>
      <c r="BR117" s="3" t="s">
        <v>84</v>
      </c>
      <c r="BS117" s="4">
        <v>44572</v>
      </c>
      <c r="BT117" s="5">
        <v>0.61319444444444449</v>
      </c>
      <c r="BU117" s="3" t="s">
        <v>277</v>
      </c>
      <c r="BV117" s="3" t="s">
        <v>87</v>
      </c>
      <c r="BW117" s="3" t="s">
        <v>278</v>
      </c>
      <c r="BX117" s="3" t="s">
        <v>279</v>
      </c>
      <c r="BY117" s="3">
        <v>9918</v>
      </c>
      <c r="BZ117" s="3" t="s">
        <v>165</v>
      </c>
      <c r="CA117" s="3" t="s">
        <v>280</v>
      </c>
      <c r="CC117" s="3" t="s">
        <v>102</v>
      </c>
      <c r="CD117" s="3">
        <v>4001</v>
      </c>
      <c r="CE117" s="3" t="s">
        <v>86</v>
      </c>
      <c r="CF117" s="4">
        <v>44572</v>
      </c>
      <c r="CI117" s="3">
        <v>1</v>
      </c>
      <c r="CJ117" s="3">
        <v>1</v>
      </c>
      <c r="CK117" s="3">
        <v>21</v>
      </c>
      <c r="CL117" s="3" t="s">
        <v>87</v>
      </c>
    </row>
    <row r="118" spans="1:90" x14ac:dyDescent="0.2">
      <c r="A118" s="3" t="s">
        <v>72</v>
      </c>
      <c r="B118" s="3" t="s">
        <v>73</v>
      </c>
      <c r="C118" s="3" t="s">
        <v>74</v>
      </c>
      <c r="E118" s="3" t="str">
        <f>"FES1162844324"</f>
        <v>FES1162844324</v>
      </c>
      <c r="F118" s="4">
        <v>44571</v>
      </c>
      <c r="G118" s="3">
        <v>202207</v>
      </c>
      <c r="H118" s="3" t="s">
        <v>75</v>
      </c>
      <c r="I118" s="3" t="s">
        <v>76</v>
      </c>
      <c r="J118" s="3" t="s">
        <v>77</v>
      </c>
      <c r="K118" s="3" t="s">
        <v>78</v>
      </c>
      <c r="L118" s="3" t="s">
        <v>281</v>
      </c>
      <c r="M118" s="3" t="s">
        <v>282</v>
      </c>
      <c r="N118" s="3" t="s">
        <v>283</v>
      </c>
      <c r="O118" s="3" t="s">
        <v>82</v>
      </c>
      <c r="P118" s="3" t="str">
        <f>"2170814602                    "</f>
        <v xml:space="preserve">2170814602                    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29.95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1</v>
      </c>
      <c r="BI118" s="3">
        <v>1</v>
      </c>
      <c r="BJ118" s="3">
        <v>0.2</v>
      </c>
      <c r="BK118" s="3">
        <v>1</v>
      </c>
      <c r="BL118" s="3">
        <v>114.31</v>
      </c>
      <c r="BM118" s="3">
        <v>17.149999999999999</v>
      </c>
      <c r="BN118" s="3">
        <v>131.46</v>
      </c>
      <c r="BO118" s="3">
        <v>131.46</v>
      </c>
      <c r="BQ118" s="3" t="s">
        <v>83</v>
      </c>
      <c r="BR118" s="3" t="s">
        <v>84</v>
      </c>
      <c r="BS118" s="4">
        <v>44572</v>
      </c>
      <c r="BT118" s="5">
        <v>0.5</v>
      </c>
      <c r="BU118" s="3" t="s">
        <v>284</v>
      </c>
      <c r="BV118" s="3" t="s">
        <v>105</v>
      </c>
      <c r="BY118" s="3">
        <v>1200</v>
      </c>
      <c r="BZ118" s="3" t="s">
        <v>165</v>
      </c>
      <c r="CC118" s="3" t="s">
        <v>282</v>
      </c>
      <c r="CD118" s="3">
        <v>3236</v>
      </c>
      <c r="CE118" s="3" t="s">
        <v>93</v>
      </c>
      <c r="CF118" s="4">
        <v>44574</v>
      </c>
      <c r="CI118" s="3">
        <v>5</v>
      </c>
      <c r="CJ118" s="3">
        <v>1</v>
      </c>
      <c r="CK118" s="3">
        <v>23</v>
      </c>
      <c r="CL118" s="3" t="s">
        <v>87</v>
      </c>
    </row>
    <row r="119" spans="1:90" x14ac:dyDescent="0.2">
      <c r="A119" s="3" t="s">
        <v>72</v>
      </c>
      <c r="B119" s="3" t="s">
        <v>73</v>
      </c>
      <c r="C119" s="3" t="s">
        <v>74</v>
      </c>
      <c r="E119" s="3" t="str">
        <f>"FES1162844413"</f>
        <v>FES1162844413</v>
      </c>
      <c r="F119" s="4">
        <v>44571</v>
      </c>
      <c r="G119" s="3">
        <v>202207</v>
      </c>
      <c r="H119" s="3" t="s">
        <v>75</v>
      </c>
      <c r="I119" s="3" t="s">
        <v>76</v>
      </c>
      <c r="J119" s="3" t="s">
        <v>77</v>
      </c>
      <c r="K119" s="3" t="s">
        <v>78</v>
      </c>
      <c r="L119" s="3" t="s">
        <v>79</v>
      </c>
      <c r="M119" s="3" t="s">
        <v>80</v>
      </c>
      <c r="N119" s="3" t="s">
        <v>285</v>
      </c>
      <c r="O119" s="3" t="s">
        <v>82</v>
      </c>
      <c r="P119" s="3" t="str">
        <f>"2170816038                    "</f>
        <v xml:space="preserve">2170816038                    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15.46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1</v>
      </c>
      <c r="BI119" s="3">
        <v>1</v>
      </c>
      <c r="BJ119" s="3">
        <v>1.9</v>
      </c>
      <c r="BK119" s="3">
        <v>2</v>
      </c>
      <c r="BL119" s="3">
        <v>59</v>
      </c>
      <c r="BM119" s="3">
        <v>8.85</v>
      </c>
      <c r="BN119" s="3">
        <v>67.849999999999994</v>
      </c>
      <c r="BO119" s="3">
        <v>67.849999999999994</v>
      </c>
      <c r="BQ119" s="3" t="s">
        <v>83</v>
      </c>
      <c r="BR119" s="3" t="s">
        <v>84</v>
      </c>
      <c r="BS119" s="4">
        <v>44572</v>
      </c>
      <c r="BT119" s="5">
        <v>0.37152777777777773</v>
      </c>
      <c r="BU119" s="3" t="s">
        <v>286</v>
      </c>
      <c r="BV119" s="3" t="s">
        <v>105</v>
      </c>
      <c r="BY119" s="3">
        <v>9408</v>
      </c>
      <c r="BZ119" s="3" t="s">
        <v>165</v>
      </c>
      <c r="CA119" s="3" t="s">
        <v>287</v>
      </c>
      <c r="CC119" s="3" t="s">
        <v>80</v>
      </c>
      <c r="CD119" s="3">
        <v>184</v>
      </c>
      <c r="CE119" s="3" t="s">
        <v>86</v>
      </c>
      <c r="CF119" s="4">
        <v>44572</v>
      </c>
      <c r="CI119" s="3">
        <v>1</v>
      </c>
      <c r="CJ119" s="3">
        <v>1</v>
      </c>
      <c r="CK119" s="3">
        <v>21</v>
      </c>
      <c r="CL119" s="3" t="s">
        <v>87</v>
      </c>
    </row>
    <row r="120" spans="1:90" x14ac:dyDescent="0.2">
      <c r="A120" s="3" t="s">
        <v>72</v>
      </c>
      <c r="B120" s="3" t="s">
        <v>73</v>
      </c>
      <c r="C120" s="3" t="s">
        <v>74</v>
      </c>
      <c r="E120" s="3" t="str">
        <f>"FES1162844330"</f>
        <v>FES1162844330</v>
      </c>
      <c r="F120" s="4">
        <v>44571</v>
      </c>
      <c r="G120" s="3">
        <v>202207</v>
      </c>
      <c r="H120" s="3" t="s">
        <v>75</v>
      </c>
      <c r="I120" s="3" t="s">
        <v>76</v>
      </c>
      <c r="J120" s="3" t="s">
        <v>77</v>
      </c>
      <c r="K120" s="3" t="s">
        <v>78</v>
      </c>
      <c r="L120" s="3" t="s">
        <v>90</v>
      </c>
      <c r="M120" s="3" t="s">
        <v>91</v>
      </c>
      <c r="N120" s="3" t="s">
        <v>114</v>
      </c>
      <c r="O120" s="3" t="s">
        <v>82</v>
      </c>
      <c r="P120" s="3" t="str">
        <f>"2170814634                    "</f>
        <v xml:space="preserve">2170814634                    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15.46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1</v>
      </c>
      <c r="BI120" s="3">
        <v>1</v>
      </c>
      <c r="BJ120" s="3">
        <v>0.2</v>
      </c>
      <c r="BK120" s="3">
        <v>1</v>
      </c>
      <c r="BL120" s="3">
        <v>59</v>
      </c>
      <c r="BM120" s="3">
        <v>8.85</v>
      </c>
      <c r="BN120" s="3">
        <v>67.849999999999994</v>
      </c>
      <c r="BO120" s="3">
        <v>67.849999999999994</v>
      </c>
      <c r="BQ120" s="3" t="s">
        <v>89</v>
      </c>
      <c r="BR120" s="3" t="s">
        <v>84</v>
      </c>
      <c r="BS120" s="4">
        <v>44572</v>
      </c>
      <c r="BT120" s="5">
        <v>0.36944444444444446</v>
      </c>
      <c r="BU120" s="3" t="s">
        <v>288</v>
      </c>
      <c r="BV120" s="3" t="s">
        <v>105</v>
      </c>
      <c r="BY120" s="3">
        <v>1200</v>
      </c>
      <c r="BZ120" s="3" t="s">
        <v>165</v>
      </c>
      <c r="CA120" s="3" t="s">
        <v>289</v>
      </c>
      <c r="CC120" s="3" t="s">
        <v>91</v>
      </c>
      <c r="CD120" s="3">
        <v>7441</v>
      </c>
      <c r="CE120" s="3" t="s">
        <v>93</v>
      </c>
      <c r="CF120" s="4">
        <v>44573</v>
      </c>
      <c r="CI120" s="3">
        <v>1</v>
      </c>
      <c r="CJ120" s="3">
        <v>1</v>
      </c>
      <c r="CK120" s="3">
        <v>21</v>
      </c>
      <c r="CL120" s="3" t="s">
        <v>87</v>
      </c>
    </row>
    <row r="121" spans="1:90" x14ac:dyDescent="0.2">
      <c r="A121" s="3" t="s">
        <v>72</v>
      </c>
      <c r="B121" s="3" t="s">
        <v>73</v>
      </c>
      <c r="C121" s="3" t="s">
        <v>74</v>
      </c>
      <c r="E121" s="3" t="str">
        <f>"FES1162844303"</f>
        <v>FES1162844303</v>
      </c>
      <c r="F121" s="4">
        <v>44571</v>
      </c>
      <c r="G121" s="3">
        <v>202207</v>
      </c>
      <c r="H121" s="3" t="s">
        <v>75</v>
      </c>
      <c r="I121" s="3" t="s">
        <v>76</v>
      </c>
      <c r="J121" s="3" t="s">
        <v>77</v>
      </c>
      <c r="K121" s="3" t="s">
        <v>78</v>
      </c>
      <c r="L121" s="3" t="s">
        <v>162</v>
      </c>
      <c r="M121" s="3" t="s">
        <v>163</v>
      </c>
      <c r="N121" s="3" t="s">
        <v>290</v>
      </c>
      <c r="O121" s="3" t="s">
        <v>82</v>
      </c>
      <c r="P121" s="3" t="str">
        <f>"2170812688                    "</f>
        <v xml:space="preserve">2170812688                    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12.07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1</v>
      </c>
      <c r="BI121" s="3">
        <v>2</v>
      </c>
      <c r="BJ121" s="3">
        <v>4.2</v>
      </c>
      <c r="BK121" s="3">
        <v>4.5</v>
      </c>
      <c r="BL121" s="3">
        <v>46.08</v>
      </c>
      <c r="BM121" s="3">
        <v>6.91</v>
      </c>
      <c r="BN121" s="3">
        <v>52.99</v>
      </c>
      <c r="BO121" s="3">
        <v>52.99</v>
      </c>
      <c r="BQ121" s="3" t="s">
        <v>291</v>
      </c>
      <c r="BR121" s="3" t="s">
        <v>84</v>
      </c>
      <c r="BS121" s="4">
        <v>44572</v>
      </c>
      <c r="BT121" s="5">
        <v>0.41388888888888892</v>
      </c>
      <c r="BU121" s="3" t="s">
        <v>292</v>
      </c>
      <c r="BV121" s="3" t="s">
        <v>105</v>
      </c>
      <c r="BY121" s="3">
        <v>20938</v>
      </c>
      <c r="BZ121" s="3" t="s">
        <v>165</v>
      </c>
      <c r="CA121" s="3" t="s">
        <v>293</v>
      </c>
      <c r="CC121" s="3" t="s">
        <v>163</v>
      </c>
      <c r="CD121" s="3">
        <v>1422</v>
      </c>
      <c r="CE121" s="3" t="s">
        <v>86</v>
      </c>
      <c r="CF121" s="4">
        <v>44572</v>
      </c>
      <c r="CI121" s="3">
        <v>1</v>
      </c>
      <c r="CJ121" s="3">
        <v>1</v>
      </c>
      <c r="CK121" s="3">
        <v>22</v>
      </c>
      <c r="CL121" s="3" t="s">
        <v>87</v>
      </c>
    </row>
    <row r="122" spans="1:90" x14ac:dyDescent="0.2">
      <c r="A122" s="3" t="s">
        <v>72</v>
      </c>
      <c r="B122" s="3" t="s">
        <v>73</v>
      </c>
      <c r="C122" s="3" t="s">
        <v>74</v>
      </c>
      <c r="E122" s="3" t="str">
        <f>"FES1162844293"</f>
        <v>FES1162844293</v>
      </c>
      <c r="F122" s="4">
        <v>44571</v>
      </c>
      <c r="G122" s="3">
        <v>202207</v>
      </c>
      <c r="H122" s="3" t="s">
        <v>75</v>
      </c>
      <c r="I122" s="3" t="s">
        <v>76</v>
      </c>
      <c r="J122" s="3" t="s">
        <v>77</v>
      </c>
      <c r="K122" s="3" t="s">
        <v>78</v>
      </c>
      <c r="L122" s="3" t="s">
        <v>115</v>
      </c>
      <c r="M122" s="3" t="s">
        <v>116</v>
      </c>
      <c r="N122" s="3" t="s">
        <v>117</v>
      </c>
      <c r="O122" s="3" t="s">
        <v>82</v>
      </c>
      <c r="P122" s="3" t="str">
        <f>"2170811533                    "</f>
        <v xml:space="preserve">2170811533                    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12.07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1</v>
      </c>
      <c r="BI122" s="3">
        <v>1</v>
      </c>
      <c r="BJ122" s="3">
        <v>0.2</v>
      </c>
      <c r="BK122" s="3">
        <v>1</v>
      </c>
      <c r="BL122" s="3">
        <v>46.08</v>
      </c>
      <c r="BM122" s="3">
        <v>6.91</v>
      </c>
      <c r="BN122" s="3">
        <v>52.99</v>
      </c>
      <c r="BO122" s="3">
        <v>52.99</v>
      </c>
      <c r="BQ122" s="3" t="s">
        <v>89</v>
      </c>
      <c r="BR122" s="3" t="s">
        <v>84</v>
      </c>
      <c r="BS122" s="4">
        <v>44572</v>
      </c>
      <c r="BT122" s="5">
        <v>0.33749999999999997</v>
      </c>
      <c r="BU122" s="3" t="s">
        <v>294</v>
      </c>
      <c r="BV122" s="3" t="s">
        <v>105</v>
      </c>
      <c r="BY122" s="3">
        <v>1200</v>
      </c>
      <c r="BZ122" s="3" t="s">
        <v>165</v>
      </c>
      <c r="CA122" s="3" t="s">
        <v>119</v>
      </c>
      <c r="CC122" s="3" t="s">
        <v>116</v>
      </c>
      <c r="CD122" s="3">
        <v>1559</v>
      </c>
      <c r="CE122" s="3" t="s">
        <v>93</v>
      </c>
      <c r="CF122" s="4">
        <v>44573</v>
      </c>
      <c r="CI122" s="3">
        <v>1</v>
      </c>
      <c r="CJ122" s="3">
        <v>1</v>
      </c>
      <c r="CK122" s="3">
        <v>22</v>
      </c>
      <c r="CL122" s="3" t="s">
        <v>87</v>
      </c>
    </row>
    <row r="123" spans="1:90" x14ac:dyDescent="0.2">
      <c r="A123" s="3" t="s">
        <v>72</v>
      </c>
      <c r="B123" s="3" t="s">
        <v>73</v>
      </c>
      <c r="C123" s="3" t="s">
        <v>74</v>
      </c>
      <c r="E123" s="3" t="str">
        <f>"FES1162844300"</f>
        <v>FES1162844300</v>
      </c>
      <c r="F123" s="4">
        <v>44571</v>
      </c>
      <c r="G123" s="3">
        <v>202207</v>
      </c>
      <c r="H123" s="3" t="s">
        <v>75</v>
      </c>
      <c r="I123" s="3" t="s">
        <v>76</v>
      </c>
      <c r="J123" s="3" t="s">
        <v>77</v>
      </c>
      <c r="K123" s="3" t="s">
        <v>78</v>
      </c>
      <c r="L123" s="3" t="s">
        <v>97</v>
      </c>
      <c r="M123" s="3" t="s">
        <v>98</v>
      </c>
      <c r="N123" s="3" t="s">
        <v>295</v>
      </c>
      <c r="O123" s="3" t="s">
        <v>82</v>
      </c>
      <c r="P123" s="3" t="str">
        <f>"2170812209                    "</f>
        <v xml:space="preserve">2170812209                    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12.07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1</v>
      </c>
      <c r="BI123" s="3">
        <v>1</v>
      </c>
      <c r="BJ123" s="3">
        <v>0.2</v>
      </c>
      <c r="BK123" s="3">
        <v>1</v>
      </c>
      <c r="BL123" s="3">
        <v>46.08</v>
      </c>
      <c r="BM123" s="3">
        <v>6.91</v>
      </c>
      <c r="BN123" s="3">
        <v>52.99</v>
      </c>
      <c r="BO123" s="3">
        <v>52.99</v>
      </c>
      <c r="BR123" s="3" t="s">
        <v>84</v>
      </c>
      <c r="BS123" s="4">
        <v>44572</v>
      </c>
      <c r="BT123" s="5">
        <v>0.39166666666666666</v>
      </c>
      <c r="BU123" s="3" t="s">
        <v>296</v>
      </c>
      <c r="BV123" s="3" t="s">
        <v>105</v>
      </c>
      <c r="BY123" s="3">
        <v>1200</v>
      </c>
      <c r="CA123" s="3" t="s">
        <v>297</v>
      </c>
      <c r="CC123" s="3" t="s">
        <v>98</v>
      </c>
      <c r="CD123" s="3">
        <v>2013</v>
      </c>
      <c r="CE123" s="3" t="s">
        <v>93</v>
      </c>
      <c r="CF123" s="4">
        <v>44573</v>
      </c>
      <c r="CI123" s="3">
        <v>1</v>
      </c>
      <c r="CJ123" s="3">
        <v>1</v>
      </c>
      <c r="CK123" s="3">
        <v>22</v>
      </c>
      <c r="CL123" s="3" t="s">
        <v>87</v>
      </c>
    </row>
    <row r="124" spans="1:90" x14ac:dyDescent="0.2">
      <c r="A124" s="3" t="s">
        <v>72</v>
      </c>
      <c r="B124" s="3" t="s">
        <v>73</v>
      </c>
      <c r="C124" s="3" t="s">
        <v>74</v>
      </c>
      <c r="E124" s="3" t="str">
        <f>"FES1162844279"</f>
        <v>FES1162844279</v>
      </c>
      <c r="F124" s="4">
        <v>44571</v>
      </c>
      <c r="G124" s="3">
        <v>202207</v>
      </c>
      <c r="H124" s="3" t="s">
        <v>75</v>
      </c>
      <c r="I124" s="3" t="s">
        <v>76</v>
      </c>
      <c r="J124" s="3" t="s">
        <v>77</v>
      </c>
      <c r="K124" s="3" t="s">
        <v>78</v>
      </c>
      <c r="L124" s="3" t="s">
        <v>298</v>
      </c>
      <c r="M124" s="3" t="s">
        <v>299</v>
      </c>
      <c r="N124" s="3" t="s">
        <v>300</v>
      </c>
      <c r="O124" s="3" t="s">
        <v>82</v>
      </c>
      <c r="P124" s="3" t="str">
        <f>"2170808421                    "</f>
        <v xml:space="preserve">2170808421                    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29.95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1</v>
      </c>
      <c r="BI124" s="3">
        <v>1</v>
      </c>
      <c r="BJ124" s="3">
        <v>0.2</v>
      </c>
      <c r="BK124" s="3">
        <v>1</v>
      </c>
      <c r="BL124" s="3">
        <v>114.31</v>
      </c>
      <c r="BM124" s="3">
        <v>17.149999999999999</v>
      </c>
      <c r="BN124" s="3">
        <v>131.46</v>
      </c>
      <c r="BO124" s="3">
        <v>131.46</v>
      </c>
      <c r="BR124" s="3" t="s">
        <v>84</v>
      </c>
      <c r="BS124" s="4">
        <v>44572</v>
      </c>
      <c r="BT124" s="5">
        <v>0.375</v>
      </c>
      <c r="BU124" s="3" t="s">
        <v>301</v>
      </c>
      <c r="BV124" s="3" t="s">
        <v>105</v>
      </c>
      <c r="BY124" s="3">
        <v>1200</v>
      </c>
      <c r="BZ124" s="3" t="s">
        <v>165</v>
      </c>
      <c r="CA124" s="3" t="s">
        <v>268</v>
      </c>
      <c r="CC124" s="3" t="s">
        <v>299</v>
      </c>
      <c r="CD124" s="3">
        <v>7349</v>
      </c>
      <c r="CE124" s="3" t="s">
        <v>93</v>
      </c>
      <c r="CF124" s="4">
        <v>44573</v>
      </c>
      <c r="CI124" s="3">
        <v>1</v>
      </c>
      <c r="CJ124" s="3">
        <v>1</v>
      </c>
      <c r="CK124" s="3">
        <v>23</v>
      </c>
      <c r="CL124" s="3" t="s">
        <v>87</v>
      </c>
    </row>
    <row r="125" spans="1:90" x14ac:dyDescent="0.2">
      <c r="A125" s="3" t="s">
        <v>72</v>
      </c>
      <c r="B125" s="3" t="s">
        <v>73</v>
      </c>
      <c r="C125" s="3" t="s">
        <v>74</v>
      </c>
      <c r="E125" s="3" t="str">
        <f>"FES1162844275"</f>
        <v>FES1162844275</v>
      </c>
      <c r="F125" s="4">
        <v>44571</v>
      </c>
      <c r="G125" s="3">
        <v>202207</v>
      </c>
      <c r="H125" s="3" t="s">
        <v>75</v>
      </c>
      <c r="I125" s="3" t="s">
        <v>76</v>
      </c>
      <c r="J125" s="3" t="s">
        <v>77</v>
      </c>
      <c r="K125" s="3" t="s">
        <v>78</v>
      </c>
      <c r="L125" s="3" t="s">
        <v>138</v>
      </c>
      <c r="M125" s="3" t="s">
        <v>139</v>
      </c>
      <c r="N125" s="3" t="s">
        <v>152</v>
      </c>
      <c r="O125" s="3" t="s">
        <v>82</v>
      </c>
      <c r="P125" s="3" t="str">
        <f>"2170807223                    "</f>
        <v xml:space="preserve">2170807223                    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15.46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1</v>
      </c>
      <c r="BI125" s="3">
        <v>1</v>
      </c>
      <c r="BJ125" s="3">
        <v>0.2</v>
      </c>
      <c r="BK125" s="3">
        <v>1</v>
      </c>
      <c r="BL125" s="3">
        <v>59</v>
      </c>
      <c r="BM125" s="3">
        <v>8.85</v>
      </c>
      <c r="BN125" s="3">
        <v>67.849999999999994</v>
      </c>
      <c r="BO125" s="3">
        <v>67.849999999999994</v>
      </c>
      <c r="BQ125" s="3" t="s">
        <v>83</v>
      </c>
      <c r="BR125" s="3" t="s">
        <v>84</v>
      </c>
      <c r="BS125" s="4">
        <v>44572</v>
      </c>
      <c r="BT125" s="5">
        <v>0.39166666666666666</v>
      </c>
      <c r="BU125" s="3" t="s">
        <v>302</v>
      </c>
      <c r="BV125" s="3" t="s">
        <v>105</v>
      </c>
      <c r="BY125" s="3">
        <v>1200</v>
      </c>
      <c r="BZ125" s="3" t="s">
        <v>165</v>
      </c>
      <c r="CA125" s="3" t="s">
        <v>303</v>
      </c>
      <c r="CC125" s="3" t="s">
        <v>139</v>
      </c>
      <c r="CD125" s="3">
        <v>3610</v>
      </c>
      <c r="CE125" s="3" t="s">
        <v>93</v>
      </c>
      <c r="CF125" s="4">
        <v>44572</v>
      </c>
      <c r="CI125" s="3">
        <v>1</v>
      </c>
      <c r="CJ125" s="3">
        <v>1</v>
      </c>
      <c r="CK125" s="3">
        <v>21</v>
      </c>
      <c r="CL125" s="3" t="s">
        <v>87</v>
      </c>
    </row>
    <row r="126" spans="1:90" x14ac:dyDescent="0.2">
      <c r="A126" s="3" t="s">
        <v>72</v>
      </c>
      <c r="B126" s="3" t="s">
        <v>73</v>
      </c>
      <c r="C126" s="3" t="s">
        <v>74</v>
      </c>
      <c r="E126" s="3" t="str">
        <f>"FES1162844342"</f>
        <v>FES1162844342</v>
      </c>
      <c r="F126" s="4">
        <v>44571</v>
      </c>
      <c r="G126" s="3">
        <v>202207</v>
      </c>
      <c r="H126" s="3" t="s">
        <v>75</v>
      </c>
      <c r="I126" s="3" t="s">
        <v>76</v>
      </c>
      <c r="J126" s="3" t="s">
        <v>77</v>
      </c>
      <c r="K126" s="3" t="s">
        <v>78</v>
      </c>
      <c r="L126" s="3" t="s">
        <v>138</v>
      </c>
      <c r="M126" s="3" t="s">
        <v>139</v>
      </c>
      <c r="N126" s="3" t="s">
        <v>304</v>
      </c>
      <c r="O126" s="3" t="s">
        <v>82</v>
      </c>
      <c r="P126" s="3" t="str">
        <f>"2170814726                    "</f>
        <v xml:space="preserve">2170814726                    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15.46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1</v>
      </c>
      <c r="BI126" s="3">
        <v>1</v>
      </c>
      <c r="BJ126" s="3">
        <v>0.2</v>
      </c>
      <c r="BK126" s="3">
        <v>1</v>
      </c>
      <c r="BL126" s="3">
        <v>59</v>
      </c>
      <c r="BM126" s="3">
        <v>8.85</v>
      </c>
      <c r="BN126" s="3">
        <v>67.849999999999994</v>
      </c>
      <c r="BO126" s="3">
        <v>67.849999999999994</v>
      </c>
      <c r="BR126" s="3" t="s">
        <v>84</v>
      </c>
      <c r="BS126" s="4">
        <v>44572</v>
      </c>
      <c r="BT126" s="5">
        <v>0.38125000000000003</v>
      </c>
      <c r="BU126" s="3" t="s">
        <v>305</v>
      </c>
      <c r="BV126" s="3" t="s">
        <v>105</v>
      </c>
      <c r="BY126" s="3">
        <v>1200</v>
      </c>
      <c r="BZ126" s="3" t="s">
        <v>165</v>
      </c>
      <c r="CA126" s="3" t="s">
        <v>303</v>
      </c>
      <c r="CC126" s="3" t="s">
        <v>139</v>
      </c>
      <c r="CD126" s="3">
        <v>3610</v>
      </c>
      <c r="CE126" s="3" t="s">
        <v>93</v>
      </c>
      <c r="CF126" s="4">
        <v>44572</v>
      </c>
      <c r="CI126" s="3">
        <v>1</v>
      </c>
      <c r="CJ126" s="3">
        <v>1</v>
      </c>
      <c r="CK126" s="3">
        <v>21</v>
      </c>
      <c r="CL126" s="3" t="s">
        <v>87</v>
      </c>
    </row>
    <row r="127" spans="1:90" x14ac:dyDescent="0.2">
      <c r="A127" s="3" t="s">
        <v>72</v>
      </c>
      <c r="B127" s="3" t="s">
        <v>73</v>
      </c>
      <c r="C127" s="3" t="s">
        <v>74</v>
      </c>
      <c r="E127" s="3" t="str">
        <f>"FES1162844295"</f>
        <v>FES1162844295</v>
      </c>
      <c r="F127" s="4">
        <v>44571</v>
      </c>
      <c r="G127" s="3">
        <v>202207</v>
      </c>
      <c r="H127" s="3" t="s">
        <v>75</v>
      </c>
      <c r="I127" s="3" t="s">
        <v>76</v>
      </c>
      <c r="J127" s="3" t="s">
        <v>77</v>
      </c>
      <c r="K127" s="3" t="s">
        <v>78</v>
      </c>
      <c r="L127" s="3" t="s">
        <v>187</v>
      </c>
      <c r="M127" s="3" t="s">
        <v>188</v>
      </c>
      <c r="N127" s="3" t="s">
        <v>189</v>
      </c>
      <c r="O127" s="3" t="s">
        <v>82</v>
      </c>
      <c r="P127" s="3" t="str">
        <f>"2170811706                    "</f>
        <v xml:space="preserve">2170811706                    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29.95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1</v>
      </c>
      <c r="BI127" s="3">
        <v>1</v>
      </c>
      <c r="BJ127" s="3">
        <v>2</v>
      </c>
      <c r="BK127" s="3">
        <v>2</v>
      </c>
      <c r="BL127" s="3">
        <v>114.31</v>
      </c>
      <c r="BM127" s="3">
        <v>17.149999999999999</v>
      </c>
      <c r="BN127" s="3">
        <v>131.46</v>
      </c>
      <c r="BO127" s="3">
        <v>131.46</v>
      </c>
      <c r="BQ127" s="3" t="s">
        <v>83</v>
      </c>
      <c r="BR127" s="3" t="s">
        <v>84</v>
      </c>
      <c r="BS127" s="4">
        <v>44572</v>
      </c>
      <c r="BT127" s="5">
        <v>0.4152777777777778</v>
      </c>
      <c r="BU127" s="3" t="s">
        <v>267</v>
      </c>
      <c r="BV127" s="3" t="s">
        <v>105</v>
      </c>
      <c r="BY127" s="3">
        <v>9918</v>
      </c>
      <c r="BZ127" s="3" t="s">
        <v>165</v>
      </c>
      <c r="CA127" s="3" t="s">
        <v>268</v>
      </c>
      <c r="CC127" s="3" t="s">
        <v>188</v>
      </c>
      <c r="CD127" s="3">
        <v>7300</v>
      </c>
      <c r="CE127" s="3" t="s">
        <v>86</v>
      </c>
      <c r="CF127" s="4">
        <v>44573</v>
      </c>
      <c r="CI127" s="3">
        <v>1</v>
      </c>
      <c r="CJ127" s="3">
        <v>1</v>
      </c>
      <c r="CK127" s="3">
        <v>23</v>
      </c>
      <c r="CL127" s="3" t="s">
        <v>87</v>
      </c>
    </row>
    <row r="128" spans="1:90" x14ac:dyDescent="0.2">
      <c r="A128" s="3" t="s">
        <v>72</v>
      </c>
      <c r="B128" s="3" t="s">
        <v>73</v>
      </c>
      <c r="C128" s="3" t="s">
        <v>74</v>
      </c>
      <c r="E128" s="3" t="str">
        <f>"R009942045048"</f>
        <v>R009942045048</v>
      </c>
      <c r="F128" s="4">
        <v>44571</v>
      </c>
      <c r="G128" s="3">
        <v>202207</v>
      </c>
      <c r="H128" s="3" t="s">
        <v>138</v>
      </c>
      <c r="I128" s="3" t="s">
        <v>139</v>
      </c>
      <c r="J128" s="3" t="s">
        <v>306</v>
      </c>
      <c r="K128" s="3" t="s">
        <v>78</v>
      </c>
      <c r="L128" s="3" t="s">
        <v>75</v>
      </c>
      <c r="M128" s="3" t="s">
        <v>76</v>
      </c>
      <c r="N128" s="3" t="s">
        <v>77</v>
      </c>
      <c r="O128" s="3" t="s">
        <v>82</v>
      </c>
      <c r="P128" s="3" t="str">
        <f>"1162840966                    "</f>
        <v xml:space="preserve">1162840966                    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15.46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1</v>
      </c>
      <c r="BI128" s="3">
        <v>1</v>
      </c>
      <c r="BJ128" s="3">
        <v>0.2</v>
      </c>
      <c r="BK128" s="3">
        <v>1</v>
      </c>
      <c r="BL128" s="3">
        <v>59</v>
      </c>
      <c r="BM128" s="3">
        <v>8.85</v>
      </c>
      <c r="BN128" s="3">
        <v>67.849999999999994</v>
      </c>
      <c r="BO128" s="3">
        <v>67.849999999999994</v>
      </c>
      <c r="BP128" s="3" t="s">
        <v>307</v>
      </c>
      <c r="BQ128" s="3" t="s">
        <v>308</v>
      </c>
      <c r="BR128" s="3" t="s">
        <v>309</v>
      </c>
      <c r="BS128" s="4">
        <v>44572</v>
      </c>
      <c r="BT128" s="5">
        <v>0.41041666666666665</v>
      </c>
      <c r="BU128" s="3" t="s">
        <v>310</v>
      </c>
      <c r="BV128" s="3" t="s">
        <v>105</v>
      </c>
      <c r="BY128" s="3">
        <v>1200</v>
      </c>
      <c r="CA128" s="3" t="s">
        <v>311</v>
      </c>
      <c r="CC128" s="3" t="s">
        <v>76</v>
      </c>
      <c r="CD128" s="3">
        <v>1601</v>
      </c>
      <c r="CE128" s="3" t="s">
        <v>93</v>
      </c>
      <c r="CF128" s="4">
        <v>44572</v>
      </c>
      <c r="CI128" s="3">
        <v>1</v>
      </c>
      <c r="CJ128" s="3">
        <v>1</v>
      </c>
      <c r="CK128" s="3">
        <v>21</v>
      </c>
      <c r="CL128" s="3" t="s">
        <v>87</v>
      </c>
    </row>
    <row r="129" spans="1:90" x14ac:dyDescent="0.2">
      <c r="A129" s="3" t="s">
        <v>72</v>
      </c>
      <c r="B129" s="3" t="s">
        <v>73</v>
      </c>
      <c r="C129" s="3" t="s">
        <v>74</v>
      </c>
      <c r="E129" s="3" t="str">
        <f>"FES1162844423"</f>
        <v>FES1162844423</v>
      </c>
      <c r="F129" s="4">
        <v>44571</v>
      </c>
      <c r="G129" s="3">
        <v>202207</v>
      </c>
      <c r="H129" s="3" t="s">
        <v>75</v>
      </c>
      <c r="I129" s="3" t="s">
        <v>76</v>
      </c>
      <c r="J129" s="3" t="s">
        <v>77</v>
      </c>
      <c r="K129" s="3" t="s">
        <v>78</v>
      </c>
      <c r="L129" s="3" t="s">
        <v>312</v>
      </c>
      <c r="M129" s="3" t="s">
        <v>313</v>
      </c>
      <c r="N129" s="3" t="s">
        <v>314</v>
      </c>
      <c r="O129" s="3" t="s">
        <v>82</v>
      </c>
      <c r="P129" s="3" t="str">
        <f>"2170816051                    "</f>
        <v xml:space="preserve">2170816051                    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15.46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1</v>
      </c>
      <c r="BI129" s="3">
        <v>1</v>
      </c>
      <c r="BJ129" s="3">
        <v>0.2</v>
      </c>
      <c r="BK129" s="3">
        <v>1</v>
      </c>
      <c r="BL129" s="3">
        <v>59</v>
      </c>
      <c r="BM129" s="3">
        <v>8.85</v>
      </c>
      <c r="BN129" s="3">
        <v>67.849999999999994</v>
      </c>
      <c r="BO129" s="3">
        <v>67.849999999999994</v>
      </c>
      <c r="BR129" s="3" t="s">
        <v>84</v>
      </c>
      <c r="BS129" s="4">
        <v>44572</v>
      </c>
      <c r="BT129" s="5">
        <v>0.40833333333333338</v>
      </c>
      <c r="BU129" s="3" t="s">
        <v>315</v>
      </c>
      <c r="BV129" s="3" t="s">
        <v>105</v>
      </c>
      <c r="BY129" s="3">
        <v>1200</v>
      </c>
      <c r="BZ129" s="3" t="s">
        <v>165</v>
      </c>
      <c r="CA129" s="3" t="s">
        <v>316</v>
      </c>
      <c r="CC129" s="3" t="s">
        <v>313</v>
      </c>
      <c r="CD129" s="3">
        <v>1240</v>
      </c>
      <c r="CE129" s="3" t="s">
        <v>93</v>
      </c>
      <c r="CF129" s="4">
        <v>44572</v>
      </c>
      <c r="CI129" s="3">
        <v>1</v>
      </c>
      <c r="CJ129" s="3">
        <v>1</v>
      </c>
      <c r="CK129" s="3">
        <v>21</v>
      </c>
      <c r="CL129" s="3" t="s">
        <v>87</v>
      </c>
    </row>
    <row r="130" spans="1:90" x14ac:dyDescent="0.2">
      <c r="A130" s="3" t="s">
        <v>72</v>
      </c>
      <c r="B130" s="3" t="s">
        <v>73</v>
      </c>
      <c r="C130" s="3" t="s">
        <v>74</v>
      </c>
      <c r="E130" s="3" t="str">
        <f>"FES1162844319"</f>
        <v>FES1162844319</v>
      </c>
      <c r="F130" s="4">
        <v>44571</v>
      </c>
      <c r="G130" s="3">
        <v>202207</v>
      </c>
      <c r="H130" s="3" t="s">
        <v>75</v>
      </c>
      <c r="I130" s="3" t="s">
        <v>76</v>
      </c>
      <c r="J130" s="3" t="s">
        <v>77</v>
      </c>
      <c r="K130" s="3" t="s">
        <v>78</v>
      </c>
      <c r="L130" s="3" t="s">
        <v>97</v>
      </c>
      <c r="M130" s="3" t="s">
        <v>98</v>
      </c>
      <c r="N130" s="3" t="s">
        <v>317</v>
      </c>
      <c r="O130" s="3" t="s">
        <v>82</v>
      </c>
      <c r="P130" s="3" t="str">
        <f>"2170814569                    "</f>
        <v xml:space="preserve">2170814569                    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12.07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1</v>
      </c>
      <c r="BI130" s="3">
        <v>1</v>
      </c>
      <c r="BJ130" s="3">
        <v>0.2</v>
      </c>
      <c r="BK130" s="3">
        <v>1</v>
      </c>
      <c r="BL130" s="3">
        <v>46.08</v>
      </c>
      <c r="BM130" s="3">
        <v>6.91</v>
      </c>
      <c r="BN130" s="3">
        <v>52.99</v>
      </c>
      <c r="BO130" s="3">
        <v>52.99</v>
      </c>
      <c r="BQ130" s="3" t="s">
        <v>318</v>
      </c>
      <c r="BR130" s="3" t="s">
        <v>84</v>
      </c>
      <c r="BS130" s="4">
        <v>44572</v>
      </c>
      <c r="BT130" s="5">
        <v>0.34791666666666665</v>
      </c>
      <c r="BU130" s="3" t="s">
        <v>319</v>
      </c>
      <c r="BV130" s="3" t="s">
        <v>105</v>
      </c>
      <c r="BY130" s="3">
        <v>1200</v>
      </c>
      <c r="BZ130" s="3" t="s">
        <v>165</v>
      </c>
      <c r="CA130" s="3" t="s">
        <v>320</v>
      </c>
      <c r="CC130" s="3" t="s">
        <v>98</v>
      </c>
      <c r="CD130" s="3">
        <v>2042</v>
      </c>
      <c r="CE130" s="3" t="s">
        <v>93</v>
      </c>
      <c r="CF130" s="4">
        <v>44572</v>
      </c>
      <c r="CI130" s="3">
        <v>1</v>
      </c>
      <c r="CJ130" s="3">
        <v>1</v>
      </c>
      <c r="CK130" s="3">
        <v>22</v>
      </c>
      <c r="CL130" s="3" t="s">
        <v>87</v>
      </c>
    </row>
    <row r="131" spans="1:90" x14ac:dyDescent="0.2">
      <c r="A131" s="3" t="s">
        <v>72</v>
      </c>
      <c r="B131" s="3" t="s">
        <v>73</v>
      </c>
      <c r="C131" s="3" t="s">
        <v>74</v>
      </c>
      <c r="E131" s="3" t="str">
        <f>"FES1162844030"</f>
        <v>FES1162844030</v>
      </c>
      <c r="F131" s="4">
        <v>44571</v>
      </c>
      <c r="G131" s="3">
        <v>202207</v>
      </c>
      <c r="H131" s="3" t="s">
        <v>75</v>
      </c>
      <c r="I131" s="3" t="s">
        <v>76</v>
      </c>
      <c r="J131" s="3" t="s">
        <v>77</v>
      </c>
      <c r="K131" s="3" t="s">
        <v>78</v>
      </c>
      <c r="L131" s="3" t="s">
        <v>184</v>
      </c>
      <c r="M131" s="3" t="s">
        <v>185</v>
      </c>
      <c r="N131" s="3" t="s">
        <v>321</v>
      </c>
      <c r="O131" s="3" t="s">
        <v>82</v>
      </c>
      <c r="P131" s="3" t="str">
        <f>"2170792064                    "</f>
        <v xml:space="preserve">2170792064                    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15.46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1</v>
      </c>
      <c r="BI131" s="3">
        <v>1</v>
      </c>
      <c r="BJ131" s="3">
        <v>2</v>
      </c>
      <c r="BK131" s="3">
        <v>2</v>
      </c>
      <c r="BL131" s="3">
        <v>59</v>
      </c>
      <c r="BM131" s="3">
        <v>8.85</v>
      </c>
      <c r="BN131" s="3">
        <v>67.849999999999994</v>
      </c>
      <c r="BO131" s="3">
        <v>67.849999999999994</v>
      </c>
      <c r="BQ131" s="3" t="s">
        <v>322</v>
      </c>
      <c r="BR131" s="3" t="s">
        <v>84</v>
      </c>
      <c r="BS131" s="4">
        <v>44572</v>
      </c>
      <c r="BT131" s="5">
        <v>0.36249999999999999</v>
      </c>
      <c r="BU131" s="3" t="s">
        <v>323</v>
      </c>
      <c r="BV131" s="3" t="s">
        <v>105</v>
      </c>
      <c r="BY131" s="3">
        <v>9918</v>
      </c>
      <c r="BZ131" s="3" t="s">
        <v>165</v>
      </c>
      <c r="CA131" s="3" t="s">
        <v>324</v>
      </c>
      <c r="CC131" s="3" t="s">
        <v>185</v>
      </c>
      <c r="CD131" s="3">
        <v>5200</v>
      </c>
      <c r="CE131" s="3" t="s">
        <v>86</v>
      </c>
      <c r="CF131" s="4">
        <v>44572</v>
      </c>
      <c r="CI131" s="3">
        <v>1</v>
      </c>
      <c r="CJ131" s="3">
        <v>1</v>
      </c>
      <c r="CK131" s="3">
        <v>21</v>
      </c>
      <c r="CL131" s="3" t="s">
        <v>87</v>
      </c>
    </row>
    <row r="132" spans="1:90" x14ac:dyDescent="0.2">
      <c r="A132" s="3" t="s">
        <v>72</v>
      </c>
      <c r="B132" s="3" t="s">
        <v>73</v>
      </c>
      <c r="C132" s="3" t="s">
        <v>74</v>
      </c>
      <c r="E132" s="3" t="str">
        <f>"FES1162844238"</f>
        <v>FES1162844238</v>
      </c>
      <c r="F132" s="4">
        <v>44571</v>
      </c>
      <c r="G132" s="3">
        <v>202207</v>
      </c>
      <c r="H132" s="3" t="s">
        <v>75</v>
      </c>
      <c r="I132" s="3" t="s">
        <v>76</v>
      </c>
      <c r="J132" s="3" t="s">
        <v>77</v>
      </c>
      <c r="K132" s="3" t="s">
        <v>78</v>
      </c>
      <c r="L132" s="3" t="s">
        <v>94</v>
      </c>
      <c r="M132" s="3" t="s">
        <v>95</v>
      </c>
      <c r="N132" s="3" t="s">
        <v>325</v>
      </c>
      <c r="O132" s="3" t="s">
        <v>148</v>
      </c>
      <c r="P132" s="3" t="str">
        <f>"2170815921                    "</f>
        <v xml:space="preserve">2170815921                    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34.82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1</v>
      </c>
      <c r="BI132" s="3">
        <v>10</v>
      </c>
      <c r="BJ132" s="3">
        <v>18.3</v>
      </c>
      <c r="BK132" s="3">
        <v>19</v>
      </c>
      <c r="BL132" s="3">
        <v>138.15</v>
      </c>
      <c r="BM132" s="3">
        <v>20.72</v>
      </c>
      <c r="BN132" s="3">
        <v>158.87</v>
      </c>
      <c r="BO132" s="3">
        <v>158.87</v>
      </c>
      <c r="BR132" s="3" t="s">
        <v>84</v>
      </c>
      <c r="BS132" s="4">
        <v>44572</v>
      </c>
      <c r="BT132" s="5">
        <v>0.69444444444444453</v>
      </c>
      <c r="BU132" s="3" t="s">
        <v>326</v>
      </c>
      <c r="BV132" s="3" t="s">
        <v>105</v>
      </c>
      <c r="BY132" s="3">
        <v>91264</v>
      </c>
      <c r="BZ132" s="3" t="s">
        <v>327</v>
      </c>
      <c r="CA132" s="3" t="s">
        <v>328</v>
      </c>
      <c r="CC132" s="3" t="s">
        <v>95</v>
      </c>
      <c r="CD132" s="3">
        <v>3201</v>
      </c>
      <c r="CE132" s="3" t="s">
        <v>86</v>
      </c>
      <c r="CF132" s="4">
        <v>44574</v>
      </c>
      <c r="CI132" s="3">
        <v>1</v>
      </c>
      <c r="CJ132" s="3">
        <v>1</v>
      </c>
      <c r="CK132" s="3">
        <v>41</v>
      </c>
      <c r="CL132" s="3" t="s">
        <v>87</v>
      </c>
    </row>
    <row r="133" spans="1:90" x14ac:dyDescent="0.2">
      <c r="A133" s="3" t="s">
        <v>72</v>
      </c>
      <c r="B133" s="3" t="s">
        <v>73</v>
      </c>
      <c r="C133" s="3" t="s">
        <v>74</v>
      </c>
      <c r="E133" s="3" t="str">
        <f>"FES1162844292"</f>
        <v>FES1162844292</v>
      </c>
      <c r="F133" s="4">
        <v>44571</v>
      </c>
      <c r="G133" s="3">
        <v>202207</v>
      </c>
      <c r="H133" s="3" t="s">
        <v>75</v>
      </c>
      <c r="I133" s="3" t="s">
        <v>76</v>
      </c>
      <c r="J133" s="3" t="s">
        <v>77</v>
      </c>
      <c r="K133" s="3" t="s">
        <v>78</v>
      </c>
      <c r="L133" s="3" t="s">
        <v>171</v>
      </c>
      <c r="M133" s="3" t="s">
        <v>172</v>
      </c>
      <c r="N133" s="3" t="s">
        <v>329</v>
      </c>
      <c r="O133" s="3" t="s">
        <v>82</v>
      </c>
      <c r="P133" s="3" t="str">
        <f>"2170811503                    "</f>
        <v xml:space="preserve">2170811503                    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15.46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1</v>
      </c>
      <c r="BI133" s="3">
        <v>1</v>
      </c>
      <c r="BJ133" s="3">
        <v>0.2</v>
      </c>
      <c r="BK133" s="3">
        <v>1</v>
      </c>
      <c r="BL133" s="3">
        <v>59</v>
      </c>
      <c r="BM133" s="3">
        <v>8.85</v>
      </c>
      <c r="BN133" s="3">
        <v>67.849999999999994</v>
      </c>
      <c r="BO133" s="3">
        <v>67.849999999999994</v>
      </c>
      <c r="BQ133" s="3" t="s">
        <v>83</v>
      </c>
      <c r="BR133" s="3" t="s">
        <v>84</v>
      </c>
      <c r="BS133" s="4">
        <v>44572</v>
      </c>
      <c r="BT133" s="5">
        <v>0.3527777777777778</v>
      </c>
      <c r="BU133" s="3" t="s">
        <v>330</v>
      </c>
      <c r="BV133" s="3" t="s">
        <v>105</v>
      </c>
      <c r="BY133" s="3">
        <v>1200</v>
      </c>
      <c r="BZ133" s="3" t="s">
        <v>165</v>
      </c>
      <c r="CA133" s="3" t="s">
        <v>331</v>
      </c>
      <c r="CC133" s="3" t="s">
        <v>172</v>
      </c>
      <c r="CD133" s="3">
        <v>6001</v>
      </c>
      <c r="CE133" s="3" t="s">
        <v>93</v>
      </c>
      <c r="CF133" s="4">
        <v>44572</v>
      </c>
      <c r="CI133" s="3">
        <v>1</v>
      </c>
      <c r="CJ133" s="3">
        <v>1</v>
      </c>
      <c r="CK133" s="3">
        <v>21</v>
      </c>
      <c r="CL133" s="3" t="s">
        <v>87</v>
      </c>
    </row>
    <row r="134" spans="1:90" x14ac:dyDescent="0.2">
      <c r="A134" s="3" t="s">
        <v>72</v>
      </c>
      <c r="B134" s="3" t="s">
        <v>73</v>
      </c>
      <c r="C134" s="3" t="s">
        <v>74</v>
      </c>
      <c r="E134" s="3" t="str">
        <f>"FES1162844382"</f>
        <v>FES1162844382</v>
      </c>
      <c r="F134" s="4">
        <v>44571</v>
      </c>
      <c r="G134" s="3">
        <v>202207</v>
      </c>
      <c r="H134" s="3" t="s">
        <v>75</v>
      </c>
      <c r="I134" s="3" t="s">
        <v>76</v>
      </c>
      <c r="J134" s="3" t="s">
        <v>77</v>
      </c>
      <c r="K134" s="3" t="s">
        <v>78</v>
      </c>
      <c r="L134" s="3" t="s">
        <v>138</v>
      </c>
      <c r="M134" s="3" t="s">
        <v>139</v>
      </c>
      <c r="N134" s="3" t="s">
        <v>332</v>
      </c>
      <c r="O134" s="3" t="s">
        <v>82</v>
      </c>
      <c r="P134" s="3" t="str">
        <f>"2170815163                    "</f>
        <v xml:space="preserve">2170815163                    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15.46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1</v>
      </c>
      <c r="BI134" s="3">
        <v>1</v>
      </c>
      <c r="BJ134" s="3">
        <v>0.2</v>
      </c>
      <c r="BK134" s="3">
        <v>1</v>
      </c>
      <c r="BL134" s="3">
        <v>59</v>
      </c>
      <c r="BM134" s="3">
        <v>8.85</v>
      </c>
      <c r="BN134" s="3">
        <v>67.849999999999994</v>
      </c>
      <c r="BO134" s="3">
        <v>67.849999999999994</v>
      </c>
      <c r="BQ134" s="3" t="s">
        <v>89</v>
      </c>
      <c r="BR134" s="3" t="s">
        <v>84</v>
      </c>
      <c r="BS134" s="4">
        <v>44572</v>
      </c>
      <c r="BT134" s="5">
        <v>0.38125000000000003</v>
      </c>
      <c r="BU134" s="3" t="s">
        <v>333</v>
      </c>
      <c r="BV134" s="3" t="s">
        <v>105</v>
      </c>
      <c r="BY134" s="3">
        <v>1200</v>
      </c>
      <c r="BZ134" s="3" t="s">
        <v>165</v>
      </c>
      <c r="CA134" s="3" t="s">
        <v>334</v>
      </c>
      <c r="CC134" s="3" t="s">
        <v>139</v>
      </c>
      <c r="CD134" s="3">
        <v>3600</v>
      </c>
      <c r="CE134" s="3" t="s">
        <v>93</v>
      </c>
      <c r="CF134" s="4">
        <v>44572</v>
      </c>
      <c r="CI134" s="3">
        <v>1</v>
      </c>
      <c r="CJ134" s="3">
        <v>1</v>
      </c>
      <c r="CK134" s="3">
        <v>21</v>
      </c>
      <c r="CL134" s="3" t="s">
        <v>87</v>
      </c>
    </row>
    <row r="135" spans="1:90" x14ac:dyDescent="0.2">
      <c r="A135" s="3" t="s">
        <v>72</v>
      </c>
      <c r="B135" s="3" t="s">
        <v>73</v>
      </c>
      <c r="C135" s="3" t="s">
        <v>74</v>
      </c>
      <c r="E135" s="3" t="str">
        <f>"FES1162844246"</f>
        <v>FES1162844246</v>
      </c>
      <c r="F135" s="4">
        <v>44571</v>
      </c>
      <c r="G135" s="3">
        <v>202207</v>
      </c>
      <c r="H135" s="3" t="s">
        <v>75</v>
      </c>
      <c r="I135" s="3" t="s">
        <v>76</v>
      </c>
      <c r="J135" s="3" t="s">
        <v>77</v>
      </c>
      <c r="K135" s="3" t="s">
        <v>78</v>
      </c>
      <c r="L135" s="3" t="s">
        <v>335</v>
      </c>
      <c r="M135" s="3" t="s">
        <v>336</v>
      </c>
      <c r="N135" s="3" t="s">
        <v>337</v>
      </c>
      <c r="O135" s="3" t="s">
        <v>82</v>
      </c>
      <c r="P135" s="3" t="str">
        <f>"2170815994                    "</f>
        <v xml:space="preserve">2170815994                    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15.46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1</v>
      </c>
      <c r="BI135" s="3">
        <v>1</v>
      </c>
      <c r="BJ135" s="3">
        <v>0.2</v>
      </c>
      <c r="BK135" s="3">
        <v>1</v>
      </c>
      <c r="BL135" s="3">
        <v>59</v>
      </c>
      <c r="BM135" s="3">
        <v>8.85</v>
      </c>
      <c r="BN135" s="3">
        <v>67.849999999999994</v>
      </c>
      <c r="BO135" s="3">
        <v>67.849999999999994</v>
      </c>
      <c r="BQ135" s="3" t="s">
        <v>89</v>
      </c>
      <c r="BR135" s="3" t="s">
        <v>84</v>
      </c>
      <c r="BS135" s="4">
        <v>44572</v>
      </c>
      <c r="BT135" s="5">
        <v>0.42986111111111108</v>
      </c>
      <c r="BU135" s="3" t="s">
        <v>338</v>
      </c>
      <c r="BV135" s="3" t="s">
        <v>105</v>
      </c>
      <c r="BY135" s="3">
        <v>1200</v>
      </c>
      <c r="BZ135" s="3" t="s">
        <v>165</v>
      </c>
      <c r="CA135" s="3" t="s">
        <v>339</v>
      </c>
      <c r="CC135" s="3" t="s">
        <v>336</v>
      </c>
      <c r="CD135" s="3">
        <v>4133</v>
      </c>
      <c r="CE135" s="3" t="s">
        <v>93</v>
      </c>
      <c r="CF135" s="4">
        <v>44572</v>
      </c>
      <c r="CI135" s="3">
        <v>1</v>
      </c>
      <c r="CJ135" s="3">
        <v>1</v>
      </c>
      <c r="CK135" s="3">
        <v>21</v>
      </c>
      <c r="CL135" s="3" t="s">
        <v>87</v>
      </c>
    </row>
    <row r="136" spans="1:90" x14ac:dyDescent="0.2">
      <c r="A136" s="3" t="s">
        <v>72</v>
      </c>
      <c r="B136" s="3" t="s">
        <v>73</v>
      </c>
      <c r="C136" s="3" t="s">
        <v>74</v>
      </c>
      <c r="E136" s="3" t="str">
        <f>"FES1162844288"</f>
        <v>FES1162844288</v>
      </c>
      <c r="F136" s="4">
        <v>44571</v>
      </c>
      <c r="G136" s="3">
        <v>202207</v>
      </c>
      <c r="H136" s="3" t="s">
        <v>75</v>
      </c>
      <c r="I136" s="3" t="s">
        <v>76</v>
      </c>
      <c r="J136" s="3" t="s">
        <v>77</v>
      </c>
      <c r="K136" s="3" t="s">
        <v>78</v>
      </c>
      <c r="L136" s="3" t="s">
        <v>171</v>
      </c>
      <c r="M136" s="3" t="s">
        <v>172</v>
      </c>
      <c r="N136" s="3" t="s">
        <v>329</v>
      </c>
      <c r="O136" s="3" t="s">
        <v>82</v>
      </c>
      <c r="P136" s="3" t="str">
        <f>"2170810753                    "</f>
        <v xml:space="preserve">2170810753                    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15.46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1</v>
      </c>
      <c r="BI136" s="3">
        <v>1</v>
      </c>
      <c r="BJ136" s="3">
        <v>0.2</v>
      </c>
      <c r="BK136" s="3">
        <v>1</v>
      </c>
      <c r="BL136" s="3">
        <v>59</v>
      </c>
      <c r="BM136" s="3">
        <v>8.85</v>
      </c>
      <c r="BN136" s="3">
        <v>67.849999999999994</v>
      </c>
      <c r="BO136" s="3">
        <v>67.849999999999994</v>
      </c>
      <c r="BQ136" s="3" t="s">
        <v>83</v>
      </c>
      <c r="BR136" s="3" t="s">
        <v>84</v>
      </c>
      <c r="BS136" s="4">
        <v>44572</v>
      </c>
      <c r="BT136" s="5">
        <v>0.33888888888888885</v>
      </c>
      <c r="BU136" s="3" t="s">
        <v>330</v>
      </c>
      <c r="BV136" s="3" t="s">
        <v>105</v>
      </c>
      <c r="BY136" s="3">
        <v>1200</v>
      </c>
      <c r="BZ136" s="3" t="s">
        <v>165</v>
      </c>
      <c r="CA136" s="3" t="s">
        <v>331</v>
      </c>
      <c r="CC136" s="3" t="s">
        <v>172</v>
      </c>
      <c r="CD136" s="3">
        <v>6001</v>
      </c>
      <c r="CE136" s="3" t="s">
        <v>93</v>
      </c>
      <c r="CF136" s="4">
        <v>44572</v>
      </c>
      <c r="CI136" s="3">
        <v>1</v>
      </c>
      <c r="CJ136" s="3">
        <v>1</v>
      </c>
      <c r="CK136" s="3">
        <v>21</v>
      </c>
      <c r="CL136" s="3" t="s">
        <v>87</v>
      </c>
    </row>
    <row r="137" spans="1:90" x14ac:dyDescent="0.2">
      <c r="A137" s="3" t="s">
        <v>72</v>
      </c>
      <c r="B137" s="3" t="s">
        <v>73</v>
      </c>
      <c r="C137" s="3" t="s">
        <v>74</v>
      </c>
      <c r="E137" s="3" t="str">
        <f>"FES1162844273"</f>
        <v>FES1162844273</v>
      </c>
      <c r="F137" s="4">
        <v>44571</v>
      </c>
      <c r="G137" s="3">
        <v>202207</v>
      </c>
      <c r="H137" s="3" t="s">
        <v>75</v>
      </c>
      <c r="I137" s="3" t="s">
        <v>76</v>
      </c>
      <c r="J137" s="3" t="s">
        <v>77</v>
      </c>
      <c r="K137" s="3" t="s">
        <v>78</v>
      </c>
      <c r="L137" s="3" t="s">
        <v>101</v>
      </c>
      <c r="M137" s="3" t="s">
        <v>102</v>
      </c>
      <c r="N137" s="3" t="s">
        <v>340</v>
      </c>
      <c r="O137" s="3" t="s">
        <v>82</v>
      </c>
      <c r="P137" s="3" t="str">
        <f>"2170804645                    "</f>
        <v xml:space="preserve">2170804645                    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15.46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1</v>
      </c>
      <c r="BI137" s="3">
        <v>1</v>
      </c>
      <c r="BJ137" s="3">
        <v>0.2</v>
      </c>
      <c r="BK137" s="3">
        <v>1</v>
      </c>
      <c r="BL137" s="3">
        <v>59</v>
      </c>
      <c r="BM137" s="3">
        <v>8.85</v>
      </c>
      <c r="BN137" s="3">
        <v>67.849999999999994</v>
      </c>
      <c r="BO137" s="3">
        <v>67.849999999999994</v>
      </c>
      <c r="BQ137" s="3" t="s">
        <v>341</v>
      </c>
      <c r="BR137" s="3" t="s">
        <v>84</v>
      </c>
      <c r="BS137" s="4">
        <v>44572</v>
      </c>
      <c r="BT137" s="5">
        <v>0.37708333333333338</v>
      </c>
      <c r="BU137" s="3" t="s">
        <v>342</v>
      </c>
      <c r="BV137" s="3" t="s">
        <v>105</v>
      </c>
      <c r="BY137" s="3">
        <v>1200</v>
      </c>
      <c r="BZ137" s="3" t="s">
        <v>165</v>
      </c>
      <c r="CA137" s="3" t="s">
        <v>343</v>
      </c>
      <c r="CC137" s="3" t="s">
        <v>102</v>
      </c>
      <c r="CD137" s="3">
        <v>4001</v>
      </c>
      <c r="CE137" s="3" t="s">
        <v>93</v>
      </c>
      <c r="CF137" s="4">
        <v>44572</v>
      </c>
      <c r="CI137" s="3">
        <v>1</v>
      </c>
      <c r="CJ137" s="3">
        <v>1</v>
      </c>
      <c r="CK137" s="3">
        <v>21</v>
      </c>
      <c r="CL137" s="3" t="s">
        <v>87</v>
      </c>
    </row>
    <row r="138" spans="1:90" x14ac:dyDescent="0.2">
      <c r="A138" s="3" t="s">
        <v>72</v>
      </c>
      <c r="B138" s="3" t="s">
        <v>73</v>
      </c>
      <c r="C138" s="3" t="s">
        <v>74</v>
      </c>
      <c r="E138" s="3" t="str">
        <f>"FES1162844304"</f>
        <v>FES1162844304</v>
      </c>
      <c r="F138" s="4">
        <v>44571</v>
      </c>
      <c r="G138" s="3">
        <v>202207</v>
      </c>
      <c r="H138" s="3" t="s">
        <v>75</v>
      </c>
      <c r="I138" s="3" t="s">
        <v>76</v>
      </c>
      <c r="J138" s="3" t="s">
        <v>77</v>
      </c>
      <c r="K138" s="3" t="s">
        <v>78</v>
      </c>
      <c r="L138" s="3" t="s">
        <v>211</v>
      </c>
      <c r="M138" s="3" t="s">
        <v>212</v>
      </c>
      <c r="N138" s="3" t="s">
        <v>213</v>
      </c>
      <c r="O138" s="3" t="s">
        <v>82</v>
      </c>
      <c r="P138" s="3" t="str">
        <f>"2170812825                    "</f>
        <v xml:space="preserve">2170812825                    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12.07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1</v>
      </c>
      <c r="BI138" s="3">
        <v>1</v>
      </c>
      <c r="BJ138" s="3">
        <v>0.2</v>
      </c>
      <c r="BK138" s="3">
        <v>1</v>
      </c>
      <c r="BL138" s="3">
        <v>46.08</v>
      </c>
      <c r="BM138" s="3">
        <v>6.91</v>
      </c>
      <c r="BN138" s="3">
        <v>52.99</v>
      </c>
      <c r="BO138" s="3">
        <v>52.99</v>
      </c>
      <c r="BQ138" s="3" t="s">
        <v>126</v>
      </c>
      <c r="BR138" s="3" t="s">
        <v>84</v>
      </c>
      <c r="BS138" s="4">
        <v>44572</v>
      </c>
      <c r="BT138" s="5">
        <v>0.41666666666666669</v>
      </c>
      <c r="BU138" s="3" t="s">
        <v>344</v>
      </c>
      <c r="BV138" s="3" t="s">
        <v>105</v>
      </c>
      <c r="BY138" s="3">
        <v>1200</v>
      </c>
      <c r="BZ138" s="3" t="s">
        <v>165</v>
      </c>
      <c r="CA138" s="3" t="s">
        <v>345</v>
      </c>
      <c r="CC138" s="3" t="s">
        <v>212</v>
      </c>
      <c r="CD138" s="3">
        <v>2162</v>
      </c>
      <c r="CE138" s="3" t="s">
        <v>93</v>
      </c>
      <c r="CF138" s="4">
        <v>44573</v>
      </c>
      <c r="CI138" s="3">
        <v>1</v>
      </c>
      <c r="CJ138" s="3">
        <v>1</v>
      </c>
      <c r="CK138" s="3">
        <v>22</v>
      </c>
      <c r="CL138" s="3" t="s">
        <v>87</v>
      </c>
    </row>
    <row r="139" spans="1:90" x14ac:dyDescent="0.2">
      <c r="A139" s="3" t="s">
        <v>72</v>
      </c>
      <c r="B139" s="3" t="s">
        <v>73</v>
      </c>
      <c r="C139" s="3" t="s">
        <v>74</v>
      </c>
      <c r="E139" s="3" t="str">
        <f>"FES1162844411"</f>
        <v>FES1162844411</v>
      </c>
      <c r="F139" s="4">
        <v>44571</v>
      </c>
      <c r="G139" s="3">
        <v>202207</v>
      </c>
      <c r="H139" s="3" t="s">
        <v>75</v>
      </c>
      <c r="I139" s="3" t="s">
        <v>76</v>
      </c>
      <c r="J139" s="3" t="s">
        <v>77</v>
      </c>
      <c r="K139" s="3" t="s">
        <v>78</v>
      </c>
      <c r="L139" s="3" t="s">
        <v>120</v>
      </c>
      <c r="M139" s="3" t="s">
        <v>121</v>
      </c>
      <c r="N139" s="3" t="s">
        <v>122</v>
      </c>
      <c r="O139" s="3" t="s">
        <v>82</v>
      </c>
      <c r="P139" s="3" t="str">
        <f>"2170816033                    "</f>
        <v xml:space="preserve">2170816033                    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15.46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1</v>
      </c>
      <c r="BI139" s="3">
        <v>1</v>
      </c>
      <c r="BJ139" s="3">
        <v>0.2</v>
      </c>
      <c r="BK139" s="3">
        <v>1</v>
      </c>
      <c r="BL139" s="3">
        <v>59</v>
      </c>
      <c r="BM139" s="3">
        <v>8.85</v>
      </c>
      <c r="BN139" s="3">
        <v>67.849999999999994</v>
      </c>
      <c r="BO139" s="3">
        <v>67.849999999999994</v>
      </c>
      <c r="BQ139" s="3" t="s">
        <v>89</v>
      </c>
      <c r="BR139" s="3" t="s">
        <v>84</v>
      </c>
      <c r="BS139" s="4">
        <v>44572</v>
      </c>
      <c r="BT139" s="5">
        <v>0.4375</v>
      </c>
      <c r="BU139" s="3" t="s">
        <v>346</v>
      </c>
      <c r="BV139" s="3" t="s">
        <v>105</v>
      </c>
      <c r="BY139" s="3">
        <v>1200</v>
      </c>
      <c r="BZ139" s="3" t="s">
        <v>165</v>
      </c>
      <c r="CC139" s="3" t="s">
        <v>121</v>
      </c>
      <c r="CD139" s="3">
        <v>6230</v>
      </c>
      <c r="CE139" s="3" t="s">
        <v>93</v>
      </c>
      <c r="CF139" s="4">
        <v>44572</v>
      </c>
      <c r="CI139" s="3">
        <v>1</v>
      </c>
      <c r="CJ139" s="3">
        <v>1</v>
      </c>
      <c r="CK139" s="3">
        <v>21</v>
      </c>
      <c r="CL139" s="3" t="s">
        <v>87</v>
      </c>
    </row>
    <row r="140" spans="1:90" x14ac:dyDescent="0.2">
      <c r="A140" s="3" t="s">
        <v>72</v>
      </c>
      <c r="B140" s="3" t="s">
        <v>73</v>
      </c>
      <c r="C140" s="3" t="s">
        <v>74</v>
      </c>
      <c r="E140" s="3" t="str">
        <f>"FES1162844435"</f>
        <v>FES1162844435</v>
      </c>
      <c r="F140" s="4">
        <v>44571</v>
      </c>
      <c r="G140" s="3">
        <v>202207</v>
      </c>
      <c r="H140" s="3" t="s">
        <v>75</v>
      </c>
      <c r="I140" s="3" t="s">
        <v>76</v>
      </c>
      <c r="J140" s="3" t="s">
        <v>77</v>
      </c>
      <c r="K140" s="3" t="s">
        <v>78</v>
      </c>
      <c r="L140" s="3" t="s">
        <v>75</v>
      </c>
      <c r="M140" s="3" t="s">
        <v>76</v>
      </c>
      <c r="N140" s="3" t="s">
        <v>224</v>
      </c>
      <c r="O140" s="3" t="s">
        <v>82</v>
      </c>
      <c r="P140" s="3" t="str">
        <f>"2170816067                    "</f>
        <v xml:space="preserve">2170816067                    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12.07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1</v>
      </c>
      <c r="BI140" s="3">
        <v>1</v>
      </c>
      <c r="BJ140" s="3">
        <v>0.2</v>
      </c>
      <c r="BK140" s="3">
        <v>1</v>
      </c>
      <c r="BL140" s="3">
        <v>46.08</v>
      </c>
      <c r="BM140" s="3">
        <v>6.91</v>
      </c>
      <c r="BN140" s="3">
        <v>52.99</v>
      </c>
      <c r="BO140" s="3">
        <v>52.99</v>
      </c>
      <c r="BQ140" s="3" t="s">
        <v>83</v>
      </c>
      <c r="BR140" s="3" t="s">
        <v>84</v>
      </c>
      <c r="BS140" s="4">
        <v>44572</v>
      </c>
      <c r="BT140" s="5">
        <v>0.3611111111111111</v>
      </c>
      <c r="BU140" s="3" t="s">
        <v>347</v>
      </c>
      <c r="BV140" s="3" t="s">
        <v>105</v>
      </c>
      <c r="BY140" s="3">
        <v>1200</v>
      </c>
      <c r="BZ140" s="3" t="s">
        <v>165</v>
      </c>
      <c r="CA140" s="3" t="s">
        <v>227</v>
      </c>
      <c r="CC140" s="3" t="s">
        <v>76</v>
      </c>
      <c r="CD140" s="3">
        <v>1600</v>
      </c>
      <c r="CE140" s="3" t="s">
        <v>93</v>
      </c>
      <c r="CF140" s="4">
        <v>44573</v>
      </c>
      <c r="CI140" s="3">
        <v>1</v>
      </c>
      <c r="CJ140" s="3">
        <v>1</v>
      </c>
      <c r="CK140" s="3">
        <v>22</v>
      </c>
      <c r="CL140" s="3" t="s">
        <v>87</v>
      </c>
    </row>
    <row r="141" spans="1:90" x14ac:dyDescent="0.2">
      <c r="A141" s="3" t="s">
        <v>72</v>
      </c>
      <c r="B141" s="3" t="s">
        <v>73</v>
      </c>
      <c r="C141" s="3" t="s">
        <v>74</v>
      </c>
      <c r="E141" s="3" t="str">
        <f>"FES1162843198"</f>
        <v>FES1162843198</v>
      </c>
      <c r="F141" s="4">
        <v>44571</v>
      </c>
      <c r="G141" s="3">
        <v>202207</v>
      </c>
      <c r="H141" s="3" t="s">
        <v>75</v>
      </c>
      <c r="I141" s="3" t="s">
        <v>76</v>
      </c>
      <c r="J141" s="3" t="s">
        <v>77</v>
      </c>
      <c r="K141" s="3" t="s">
        <v>78</v>
      </c>
      <c r="L141" s="3" t="s">
        <v>123</v>
      </c>
      <c r="M141" s="3" t="s">
        <v>124</v>
      </c>
      <c r="N141" s="3" t="s">
        <v>348</v>
      </c>
      <c r="O141" s="3" t="s">
        <v>82</v>
      </c>
      <c r="P141" s="3" t="str">
        <f>"2170813059                    "</f>
        <v xml:space="preserve">2170813059                    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12.07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1</v>
      </c>
      <c r="BI141" s="3">
        <v>1</v>
      </c>
      <c r="BJ141" s="3">
        <v>0.2</v>
      </c>
      <c r="BK141" s="3">
        <v>1</v>
      </c>
      <c r="BL141" s="3">
        <v>46.08</v>
      </c>
      <c r="BM141" s="3">
        <v>6.91</v>
      </c>
      <c r="BN141" s="3">
        <v>52.99</v>
      </c>
      <c r="BO141" s="3">
        <v>52.99</v>
      </c>
      <c r="BQ141" s="3" t="s">
        <v>349</v>
      </c>
      <c r="BR141" s="3" t="s">
        <v>84</v>
      </c>
      <c r="BS141" s="4">
        <v>44572</v>
      </c>
      <c r="BT141" s="5">
        <v>0.39583333333333331</v>
      </c>
      <c r="BU141" s="3" t="s">
        <v>350</v>
      </c>
      <c r="BV141" s="3" t="s">
        <v>105</v>
      </c>
      <c r="BY141" s="3">
        <v>1200</v>
      </c>
      <c r="BZ141" s="3" t="s">
        <v>165</v>
      </c>
      <c r="CA141" s="3" t="s">
        <v>351</v>
      </c>
      <c r="CC141" s="3" t="s">
        <v>124</v>
      </c>
      <c r="CD141" s="3">
        <v>1709</v>
      </c>
      <c r="CE141" s="3" t="s">
        <v>93</v>
      </c>
      <c r="CF141" s="4">
        <v>44573</v>
      </c>
      <c r="CI141" s="3">
        <v>1</v>
      </c>
      <c r="CJ141" s="3">
        <v>1</v>
      </c>
      <c r="CK141" s="3">
        <v>22</v>
      </c>
      <c r="CL141" s="3" t="s">
        <v>87</v>
      </c>
    </row>
    <row r="142" spans="1:90" x14ac:dyDescent="0.2">
      <c r="A142" s="3" t="s">
        <v>72</v>
      </c>
      <c r="B142" s="3" t="s">
        <v>73</v>
      </c>
      <c r="C142" s="3" t="s">
        <v>74</v>
      </c>
      <c r="E142" s="3" t="str">
        <f>"FES1162844444"</f>
        <v>FES1162844444</v>
      </c>
      <c r="F142" s="4">
        <v>44571</v>
      </c>
      <c r="G142" s="3">
        <v>202207</v>
      </c>
      <c r="H142" s="3" t="s">
        <v>75</v>
      </c>
      <c r="I142" s="3" t="s">
        <v>76</v>
      </c>
      <c r="J142" s="3" t="s">
        <v>77</v>
      </c>
      <c r="K142" s="3" t="s">
        <v>78</v>
      </c>
      <c r="L142" s="3" t="s">
        <v>90</v>
      </c>
      <c r="M142" s="3" t="s">
        <v>91</v>
      </c>
      <c r="N142" s="3" t="s">
        <v>210</v>
      </c>
      <c r="O142" s="3" t="s">
        <v>82</v>
      </c>
      <c r="P142" s="3" t="str">
        <f>"2170816077                    "</f>
        <v xml:space="preserve">2170816077                    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15.46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1</v>
      </c>
      <c r="BI142" s="3">
        <v>1</v>
      </c>
      <c r="BJ142" s="3">
        <v>0.2</v>
      </c>
      <c r="BK142" s="3">
        <v>1</v>
      </c>
      <c r="BL142" s="3">
        <v>59</v>
      </c>
      <c r="BM142" s="3">
        <v>8.85</v>
      </c>
      <c r="BN142" s="3">
        <v>67.849999999999994</v>
      </c>
      <c r="BO142" s="3">
        <v>67.849999999999994</v>
      </c>
      <c r="BQ142" s="3" t="s">
        <v>89</v>
      </c>
      <c r="BR142" s="3" t="s">
        <v>84</v>
      </c>
      <c r="BS142" s="4">
        <v>44572</v>
      </c>
      <c r="BT142" s="5">
        <v>0.49652777777777773</v>
      </c>
      <c r="BU142" s="3" t="s">
        <v>352</v>
      </c>
      <c r="BV142" s="3" t="s">
        <v>87</v>
      </c>
      <c r="BW142" s="3" t="s">
        <v>353</v>
      </c>
      <c r="BX142" s="3" t="s">
        <v>354</v>
      </c>
      <c r="BY142" s="3">
        <v>1200</v>
      </c>
      <c r="BZ142" s="3" t="s">
        <v>165</v>
      </c>
      <c r="CA142" s="3" t="s">
        <v>289</v>
      </c>
      <c r="CC142" s="3" t="s">
        <v>91</v>
      </c>
      <c r="CD142" s="3">
        <v>7441</v>
      </c>
      <c r="CE142" s="3" t="s">
        <v>93</v>
      </c>
      <c r="CF142" s="4">
        <v>44573</v>
      </c>
      <c r="CI142" s="3">
        <v>1</v>
      </c>
      <c r="CJ142" s="3">
        <v>1</v>
      </c>
      <c r="CK142" s="3">
        <v>21</v>
      </c>
      <c r="CL142" s="3" t="s">
        <v>87</v>
      </c>
    </row>
    <row r="143" spans="1:90" x14ac:dyDescent="0.2">
      <c r="A143" s="3" t="s">
        <v>72</v>
      </c>
      <c r="B143" s="3" t="s">
        <v>73</v>
      </c>
      <c r="C143" s="3" t="s">
        <v>74</v>
      </c>
      <c r="E143" s="3" t="str">
        <f>"FES1162844233"</f>
        <v>FES1162844233</v>
      </c>
      <c r="F143" s="4">
        <v>44571</v>
      </c>
      <c r="G143" s="3">
        <v>202207</v>
      </c>
      <c r="H143" s="3" t="s">
        <v>75</v>
      </c>
      <c r="I143" s="3" t="s">
        <v>76</v>
      </c>
      <c r="J143" s="3" t="s">
        <v>77</v>
      </c>
      <c r="K143" s="3" t="s">
        <v>78</v>
      </c>
      <c r="L143" s="3" t="s">
        <v>184</v>
      </c>
      <c r="M143" s="3" t="s">
        <v>185</v>
      </c>
      <c r="N143" s="3" t="s">
        <v>355</v>
      </c>
      <c r="O143" s="3" t="s">
        <v>82</v>
      </c>
      <c r="P143" s="3" t="str">
        <f>"2170800812                    "</f>
        <v xml:space="preserve">2170800812                    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15.46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1</v>
      </c>
      <c r="BI143" s="3">
        <v>1</v>
      </c>
      <c r="BJ143" s="3">
        <v>0.2</v>
      </c>
      <c r="BK143" s="3">
        <v>1</v>
      </c>
      <c r="BL143" s="3">
        <v>59</v>
      </c>
      <c r="BM143" s="3">
        <v>8.85</v>
      </c>
      <c r="BN143" s="3">
        <v>67.849999999999994</v>
      </c>
      <c r="BO143" s="3">
        <v>67.849999999999994</v>
      </c>
      <c r="BQ143" s="3" t="s">
        <v>89</v>
      </c>
      <c r="BR143" s="3" t="s">
        <v>84</v>
      </c>
      <c r="BS143" s="4">
        <v>44572</v>
      </c>
      <c r="BT143" s="5">
        <v>0.4201388888888889</v>
      </c>
      <c r="BU143" s="3" t="s">
        <v>356</v>
      </c>
      <c r="BV143" s="3" t="s">
        <v>105</v>
      </c>
      <c r="BY143" s="3">
        <v>1200</v>
      </c>
      <c r="BZ143" s="3" t="s">
        <v>165</v>
      </c>
      <c r="CA143" s="3" t="s">
        <v>357</v>
      </c>
      <c r="CC143" s="3" t="s">
        <v>185</v>
      </c>
      <c r="CD143" s="3">
        <v>5201</v>
      </c>
      <c r="CE143" s="3" t="s">
        <v>93</v>
      </c>
      <c r="CF143" s="4">
        <v>44572</v>
      </c>
      <c r="CI143" s="3">
        <v>1</v>
      </c>
      <c r="CJ143" s="3">
        <v>1</v>
      </c>
      <c r="CK143" s="3">
        <v>21</v>
      </c>
      <c r="CL143" s="3" t="s">
        <v>87</v>
      </c>
    </row>
    <row r="144" spans="1:90" x14ac:dyDescent="0.2">
      <c r="A144" s="3" t="s">
        <v>72</v>
      </c>
      <c r="B144" s="3" t="s">
        <v>73</v>
      </c>
      <c r="C144" s="3" t="s">
        <v>74</v>
      </c>
      <c r="E144" s="3" t="str">
        <f>"FES1162844276"</f>
        <v>FES1162844276</v>
      </c>
      <c r="F144" s="4">
        <v>44571</v>
      </c>
      <c r="G144" s="3">
        <v>202207</v>
      </c>
      <c r="H144" s="3" t="s">
        <v>75</v>
      </c>
      <c r="I144" s="3" t="s">
        <v>76</v>
      </c>
      <c r="J144" s="3" t="s">
        <v>77</v>
      </c>
      <c r="K144" s="3" t="s">
        <v>78</v>
      </c>
      <c r="L144" s="3" t="s">
        <v>110</v>
      </c>
      <c r="M144" s="3" t="s">
        <v>110</v>
      </c>
      <c r="N144" s="3" t="s">
        <v>358</v>
      </c>
      <c r="O144" s="3" t="s">
        <v>82</v>
      </c>
      <c r="P144" s="3" t="str">
        <f>"2170808122                    "</f>
        <v xml:space="preserve">2170808122                    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29.95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1</v>
      </c>
      <c r="BI144" s="3">
        <v>1</v>
      </c>
      <c r="BJ144" s="3">
        <v>0.2</v>
      </c>
      <c r="BK144" s="3">
        <v>1</v>
      </c>
      <c r="BL144" s="3">
        <v>114.31</v>
      </c>
      <c r="BM144" s="3">
        <v>17.149999999999999</v>
      </c>
      <c r="BN144" s="3">
        <v>131.46</v>
      </c>
      <c r="BO144" s="3">
        <v>131.46</v>
      </c>
      <c r="BQ144" s="3" t="s">
        <v>89</v>
      </c>
      <c r="BR144" s="3" t="s">
        <v>84</v>
      </c>
      <c r="BS144" s="4">
        <v>44572</v>
      </c>
      <c r="BT144" s="5">
        <v>0.46666666666666662</v>
      </c>
      <c r="BU144" s="3" t="s">
        <v>359</v>
      </c>
      <c r="BV144" s="3" t="s">
        <v>105</v>
      </c>
      <c r="BY144" s="3">
        <v>1200</v>
      </c>
      <c r="BZ144" s="3" t="s">
        <v>165</v>
      </c>
      <c r="CA144" s="3" t="s">
        <v>360</v>
      </c>
      <c r="CC144" s="3" t="s">
        <v>110</v>
      </c>
      <c r="CD144" s="3">
        <v>7646</v>
      </c>
      <c r="CE144" s="3" t="s">
        <v>93</v>
      </c>
      <c r="CF144" s="4">
        <v>44573</v>
      </c>
      <c r="CI144" s="3">
        <v>1</v>
      </c>
      <c r="CJ144" s="3">
        <v>1</v>
      </c>
      <c r="CK144" s="3">
        <v>23</v>
      </c>
      <c r="CL144" s="3" t="s">
        <v>87</v>
      </c>
    </row>
    <row r="145" spans="1:90" x14ac:dyDescent="0.2">
      <c r="A145" s="3" t="s">
        <v>72</v>
      </c>
      <c r="B145" s="3" t="s">
        <v>73</v>
      </c>
      <c r="C145" s="3" t="s">
        <v>74</v>
      </c>
      <c r="E145" s="3" t="str">
        <f>"FES1162844414"</f>
        <v>FES1162844414</v>
      </c>
      <c r="F145" s="4">
        <v>44571</v>
      </c>
      <c r="G145" s="3">
        <v>202207</v>
      </c>
      <c r="H145" s="3" t="s">
        <v>75</v>
      </c>
      <c r="I145" s="3" t="s">
        <v>76</v>
      </c>
      <c r="J145" s="3" t="s">
        <v>77</v>
      </c>
      <c r="K145" s="3" t="s">
        <v>78</v>
      </c>
      <c r="L145" s="3" t="s">
        <v>120</v>
      </c>
      <c r="M145" s="3" t="s">
        <v>121</v>
      </c>
      <c r="N145" s="3" t="s">
        <v>122</v>
      </c>
      <c r="O145" s="3" t="s">
        <v>82</v>
      </c>
      <c r="P145" s="3" t="str">
        <f>"2170816041                    "</f>
        <v xml:space="preserve">2170816041                    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15.46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1</v>
      </c>
      <c r="BI145" s="3">
        <v>1</v>
      </c>
      <c r="BJ145" s="3">
        <v>0.2</v>
      </c>
      <c r="BK145" s="3">
        <v>1</v>
      </c>
      <c r="BL145" s="3">
        <v>59</v>
      </c>
      <c r="BM145" s="3">
        <v>8.85</v>
      </c>
      <c r="BN145" s="3">
        <v>67.849999999999994</v>
      </c>
      <c r="BO145" s="3">
        <v>67.849999999999994</v>
      </c>
      <c r="BQ145" s="3" t="s">
        <v>89</v>
      </c>
      <c r="BR145" s="3" t="s">
        <v>84</v>
      </c>
      <c r="BS145" s="4">
        <v>44572</v>
      </c>
      <c r="BT145" s="5">
        <v>0.4375</v>
      </c>
      <c r="BU145" s="3" t="s">
        <v>346</v>
      </c>
      <c r="BV145" s="3" t="s">
        <v>105</v>
      </c>
      <c r="BY145" s="3">
        <v>1200</v>
      </c>
      <c r="BZ145" s="3" t="s">
        <v>165</v>
      </c>
      <c r="CC145" s="3" t="s">
        <v>121</v>
      </c>
      <c r="CD145" s="3">
        <v>6230</v>
      </c>
      <c r="CE145" s="3" t="s">
        <v>93</v>
      </c>
      <c r="CF145" s="4">
        <v>44572</v>
      </c>
      <c r="CI145" s="3">
        <v>1</v>
      </c>
      <c r="CJ145" s="3">
        <v>1</v>
      </c>
      <c r="CK145" s="3">
        <v>21</v>
      </c>
      <c r="CL145" s="3" t="s">
        <v>87</v>
      </c>
    </row>
    <row r="146" spans="1:90" x14ac:dyDescent="0.2">
      <c r="A146" s="3" t="s">
        <v>72</v>
      </c>
      <c r="B146" s="3" t="s">
        <v>73</v>
      </c>
      <c r="C146" s="3" t="s">
        <v>74</v>
      </c>
      <c r="E146" s="3" t="str">
        <f>"FES1162844422"</f>
        <v>FES1162844422</v>
      </c>
      <c r="F146" s="4">
        <v>44571</v>
      </c>
      <c r="G146" s="3">
        <v>202207</v>
      </c>
      <c r="H146" s="3" t="s">
        <v>75</v>
      </c>
      <c r="I146" s="3" t="s">
        <v>76</v>
      </c>
      <c r="J146" s="3" t="s">
        <v>77</v>
      </c>
      <c r="K146" s="3" t="s">
        <v>78</v>
      </c>
      <c r="L146" s="3" t="s">
        <v>120</v>
      </c>
      <c r="M146" s="3" t="s">
        <v>121</v>
      </c>
      <c r="N146" s="3" t="s">
        <v>122</v>
      </c>
      <c r="O146" s="3" t="s">
        <v>82</v>
      </c>
      <c r="P146" s="3" t="str">
        <f>"2170816050                    "</f>
        <v xml:space="preserve">2170816050                    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15.46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1</v>
      </c>
      <c r="BI146" s="3">
        <v>2</v>
      </c>
      <c r="BJ146" s="3">
        <v>2</v>
      </c>
      <c r="BK146" s="3">
        <v>2</v>
      </c>
      <c r="BL146" s="3">
        <v>59</v>
      </c>
      <c r="BM146" s="3">
        <v>8.85</v>
      </c>
      <c r="BN146" s="3">
        <v>67.849999999999994</v>
      </c>
      <c r="BO146" s="3">
        <v>67.849999999999994</v>
      </c>
      <c r="BQ146" s="3" t="s">
        <v>89</v>
      </c>
      <c r="BR146" s="3" t="s">
        <v>84</v>
      </c>
      <c r="BS146" s="4">
        <v>44572</v>
      </c>
      <c r="BT146" s="5">
        <v>0.4375</v>
      </c>
      <c r="BU146" s="3" t="s">
        <v>346</v>
      </c>
      <c r="BV146" s="3" t="s">
        <v>105</v>
      </c>
      <c r="BY146" s="3">
        <v>9918</v>
      </c>
      <c r="BZ146" s="3" t="s">
        <v>165</v>
      </c>
      <c r="CC146" s="3" t="s">
        <v>121</v>
      </c>
      <c r="CD146" s="3">
        <v>6230</v>
      </c>
      <c r="CE146" s="3" t="s">
        <v>86</v>
      </c>
      <c r="CF146" s="4">
        <v>44572</v>
      </c>
      <c r="CI146" s="3">
        <v>1</v>
      </c>
      <c r="CJ146" s="3">
        <v>1</v>
      </c>
      <c r="CK146" s="3">
        <v>21</v>
      </c>
      <c r="CL146" s="3" t="s">
        <v>87</v>
      </c>
    </row>
    <row r="147" spans="1:90" x14ac:dyDescent="0.2">
      <c r="A147" s="3" t="s">
        <v>72</v>
      </c>
      <c r="B147" s="3" t="s">
        <v>73</v>
      </c>
      <c r="C147" s="3" t="s">
        <v>74</v>
      </c>
      <c r="E147" s="3" t="str">
        <f>"FES1162844412"</f>
        <v>FES1162844412</v>
      </c>
      <c r="F147" s="4">
        <v>44571</v>
      </c>
      <c r="G147" s="3">
        <v>202207</v>
      </c>
      <c r="H147" s="3" t="s">
        <v>75</v>
      </c>
      <c r="I147" s="3" t="s">
        <v>76</v>
      </c>
      <c r="J147" s="3" t="s">
        <v>77</v>
      </c>
      <c r="K147" s="3" t="s">
        <v>78</v>
      </c>
      <c r="L147" s="3" t="s">
        <v>120</v>
      </c>
      <c r="M147" s="3" t="s">
        <v>121</v>
      </c>
      <c r="N147" s="3" t="s">
        <v>122</v>
      </c>
      <c r="O147" s="3" t="s">
        <v>82</v>
      </c>
      <c r="P147" s="3" t="str">
        <f>"2170816034                    "</f>
        <v xml:space="preserve">2170816034                    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15.46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1</v>
      </c>
      <c r="BI147" s="3">
        <v>1</v>
      </c>
      <c r="BJ147" s="3">
        <v>0.2</v>
      </c>
      <c r="BK147" s="3">
        <v>1</v>
      </c>
      <c r="BL147" s="3">
        <v>59</v>
      </c>
      <c r="BM147" s="3">
        <v>8.85</v>
      </c>
      <c r="BN147" s="3">
        <v>67.849999999999994</v>
      </c>
      <c r="BO147" s="3">
        <v>67.849999999999994</v>
      </c>
      <c r="BQ147" s="3" t="s">
        <v>89</v>
      </c>
      <c r="BR147" s="3" t="s">
        <v>84</v>
      </c>
      <c r="BS147" s="4">
        <v>44572</v>
      </c>
      <c r="BT147" s="5">
        <v>0.4375</v>
      </c>
      <c r="BU147" s="3" t="s">
        <v>346</v>
      </c>
      <c r="BV147" s="3" t="s">
        <v>105</v>
      </c>
      <c r="BY147" s="3">
        <v>1200</v>
      </c>
      <c r="BZ147" s="3" t="s">
        <v>165</v>
      </c>
      <c r="CC147" s="3" t="s">
        <v>121</v>
      </c>
      <c r="CD147" s="3">
        <v>6230</v>
      </c>
      <c r="CE147" s="3" t="s">
        <v>93</v>
      </c>
      <c r="CF147" s="4">
        <v>44572</v>
      </c>
      <c r="CI147" s="3">
        <v>1</v>
      </c>
      <c r="CJ147" s="3">
        <v>1</v>
      </c>
      <c r="CK147" s="3">
        <v>21</v>
      </c>
      <c r="CL147" s="3" t="s">
        <v>87</v>
      </c>
    </row>
    <row r="148" spans="1:90" x14ac:dyDescent="0.2">
      <c r="A148" s="3" t="s">
        <v>72</v>
      </c>
      <c r="B148" s="3" t="s">
        <v>73</v>
      </c>
      <c r="C148" s="3" t="s">
        <v>74</v>
      </c>
      <c r="E148" s="3" t="str">
        <f>"FES1162844249"</f>
        <v>FES1162844249</v>
      </c>
      <c r="F148" s="4">
        <v>44571</v>
      </c>
      <c r="G148" s="3">
        <v>202207</v>
      </c>
      <c r="H148" s="3" t="s">
        <v>75</v>
      </c>
      <c r="I148" s="3" t="s">
        <v>76</v>
      </c>
      <c r="J148" s="3" t="s">
        <v>77</v>
      </c>
      <c r="K148" s="3" t="s">
        <v>78</v>
      </c>
      <c r="L148" s="3" t="s">
        <v>79</v>
      </c>
      <c r="M148" s="3" t="s">
        <v>80</v>
      </c>
      <c r="N148" s="3" t="s">
        <v>248</v>
      </c>
      <c r="O148" s="3" t="s">
        <v>82</v>
      </c>
      <c r="P148" s="3" t="str">
        <f>"2170816001 3                  "</f>
        <v xml:space="preserve">2170816001 3                  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15.46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1</v>
      </c>
      <c r="BI148" s="3">
        <v>1</v>
      </c>
      <c r="BJ148" s="3">
        <v>0.2</v>
      </c>
      <c r="BK148" s="3">
        <v>1</v>
      </c>
      <c r="BL148" s="3">
        <v>59</v>
      </c>
      <c r="BM148" s="3">
        <v>8.85</v>
      </c>
      <c r="BN148" s="3">
        <v>67.849999999999994</v>
      </c>
      <c r="BO148" s="3">
        <v>67.849999999999994</v>
      </c>
      <c r="BQ148" s="3" t="s">
        <v>83</v>
      </c>
      <c r="BR148" s="3" t="s">
        <v>84</v>
      </c>
      <c r="BS148" s="4">
        <v>44572</v>
      </c>
      <c r="BT148" s="5">
        <v>0.36041666666666666</v>
      </c>
      <c r="BU148" s="3" t="s">
        <v>361</v>
      </c>
      <c r="BV148" s="3" t="s">
        <v>105</v>
      </c>
      <c r="BY148" s="3">
        <v>1200</v>
      </c>
      <c r="BZ148" s="3" t="s">
        <v>165</v>
      </c>
      <c r="CA148" s="3" t="s">
        <v>362</v>
      </c>
      <c r="CC148" s="3" t="s">
        <v>80</v>
      </c>
      <c r="CD148" s="3">
        <v>1</v>
      </c>
      <c r="CE148" s="3" t="s">
        <v>93</v>
      </c>
      <c r="CF148" s="4">
        <v>44572</v>
      </c>
      <c r="CI148" s="3">
        <v>1</v>
      </c>
      <c r="CJ148" s="3">
        <v>1</v>
      </c>
      <c r="CK148" s="3">
        <v>21</v>
      </c>
      <c r="CL148" s="3" t="s">
        <v>87</v>
      </c>
    </row>
    <row r="149" spans="1:90" x14ac:dyDescent="0.2">
      <c r="A149" s="3" t="s">
        <v>72</v>
      </c>
      <c r="B149" s="3" t="s">
        <v>73</v>
      </c>
      <c r="C149" s="3" t="s">
        <v>74</v>
      </c>
      <c r="E149" s="3" t="str">
        <f>"FES1162844417"</f>
        <v>FES1162844417</v>
      </c>
      <c r="F149" s="4">
        <v>44571</v>
      </c>
      <c r="G149" s="3">
        <v>202207</v>
      </c>
      <c r="H149" s="3" t="s">
        <v>75</v>
      </c>
      <c r="I149" s="3" t="s">
        <v>76</v>
      </c>
      <c r="J149" s="3" t="s">
        <v>77</v>
      </c>
      <c r="K149" s="3" t="s">
        <v>78</v>
      </c>
      <c r="L149" s="3" t="s">
        <v>120</v>
      </c>
      <c r="M149" s="3" t="s">
        <v>121</v>
      </c>
      <c r="N149" s="3" t="s">
        <v>122</v>
      </c>
      <c r="O149" s="3" t="s">
        <v>82</v>
      </c>
      <c r="P149" s="3" t="str">
        <f>"2170816045                    "</f>
        <v xml:space="preserve">2170816045                    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15.46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1</v>
      </c>
      <c r="BI149" s="3">
        <v>1</v>
      </c>
      <c r="BJ149" s="3">
        <v>0.2</v>
      </c>
      <c r="BK149" s="3">
        <v>1</v>
      </c>
      <c r="BL149" s="3">
        <v>59</v>
      </c>
      <c r="BM149" s="3">
        <v>8.85</v>
      </c>
      <c r="BN149" s="3">
        <v>67.849999999999994</v>
      </c>
      <c r="BO149" s="3">
        <v>67.849999999999994</v>
      </c>
      <c r="BQ149" s="3" t="s">
        <v>89</v>
      </c>
      <c r="BR149" s="3" t="s">
        <v>84</v>
      </c>
      <c r="BS149" s="4">
        <v>44572</v>
      </c>
      <c r="BT149" s="5">
        <v>0.4375</v>
      </c>
      <c r="BU149" s="3" t="s">
        <v>346</v>
      </c>
      <c r="BV149" s="3" t="s">
        <v>105</v>
      </c>
      <c r="BY149" s="3">
        <v>1200</v>
      </c>
      <c r="BZ149" s="3" t="s">
        <v>165</v>
      </c>
      <c r="CC149" s="3" t="s">
        <v>121</v>
      </c>
      <c r="CD149" s="3">
        <v>6230</v>
      </c>
      <c r="CE149" s="3" t="s">
        <v>93</v>
      </c>
      <c r="CF149" s="4">
        <v>44572</v>
      </c>
      <c r="CI149" s="3">
        <v>1</v>
      </c>
      <c r="CJ149" s="3">
        <v>1</v>
      </c>
      <c r="CK149" s="3">
        <v>21</v>
      </c>
      <c r="CL149" s="3" t="s">
        <v>87</v>
      </c>
    </row>
    <row r="150" spans="1:90" x14ac:dyDescent="0.2">
      <c r="A150" s="3" t="s">
        <v>72</v>
      </c>
      <c r="B150" s="3" t="s">
        <v>73</v>
      </c>
      <c r="C150" s="3" t="s">
        <v>74</v>
      </c>
      <c r="E150" s="3" t="str">
        <f>"FES1162844175"</f>
        <v>FES1162844175</v>
      </c>
      <c r="F150" s="4">
        <v>44571</v>
      </c>
      <c r="G150" s="3">
        <v>202207</v>
      </c>
      <c r="H150" s="3" t="s">
        <v>75</v>
      </c>
      <c r="I150" s="3" t="s">
        <v>76</v>
      </c>
      <c r="J150" s="3" t="s">
        <v>77</v>
      </c>
      <c r="K150" s="3" t="s">
        <v>78</v>
      </c>
      <c r="L150" s="3" t="s">
        <v>79</v>
      </c>
      <c r="M150" s="3" t="s">
        <v>80</v>
      </c>
      <c r="N150" s="3" t="s">
        <v>363</v>
      </c>
      <c r="O150" s="3" t="s">
        <v>82</v>
      </c>
      <c r="P150" s="3" t="str">
        <f>"2170814669                    "</f>
        <v xml:space="preserve">2170814669                    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15.46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1</v>
      </c>
      <c r="BI150" s="3">
        <v>1</v>
      </c>
      <c r="BJ150" s="3">
        <v>0.7</v>
      </c>
      <c r="BK150" s="3">
        <v>1</v>
      </c>
      <c r="BL150" s="3">
        <v>59</v>
      </c>
      <c r="BM150" s="3">
        <v>8.85</v>
      </c>
      <c r="BN150" s="3">
        <v>67.849999999999994</v>
      </c>
      <c r="BO150" s="3">
        <v>67.849999999999994</v>
      </c>
      <c r="BQ150" s="3" t="s">
        <v>273</v>
      </c>
      <c r="BR150" s="3" t="s">
        <v>364</v>
      </c>
      <c r="BS150" s="4">
        <v>44572</v>
      </c>
      <c r="BT150" s="5">
        <v>0.3888888888888889</v>
      </c>
      <c r="BU150" s="3" t="s">
        <v>365</v>
      </c>
      <c r="BV150" s="3" t="s">
        <v>105</v>
      </c>
      <c r="BY150" s="3">
        <v>3584</v>
      </c>
      <c r="BZ150" s="3" t="s">
        <v>165</v>
      </c>
      <c r="CA150" s="3" t="s">
        <v>366</v>
      </c>
      <c r="CC150" s="3" t="s">
        <v>80</v>
      </c>
      <c r="CD150" s="3">
        <v>200</v>
      </c>
      <c r="CE150" s="3" t="s">
        <v>86</v>
      </c>
      <c r="CF150" s="4">
        <v>44572</v>
      </c>
      <c r="CI150" s="3">
        <v>1</v>
      </c>
      <c r="CJ150" s="3">
        <v>1</v>
      </c>
      <c r="CK150" s="3">
        <v>21</v>
      </c>
      <c r="CL150" s="3" t="s">
        <v>87</v>
      </c>
    </row>
    <row r="151" spans="1:90" x14ac:dyDescent="0.2">
      <c r="A151" s="3" t="s">
        <v>72</v>
      </c>
      <c r="B151" s="3" t="s">
        <v>73</v>
      </c>
      <c r="C151" s="3" t="s">
        <v>74</v>
      </c>
      <c r="E151" s="3" t="str">
        <f>"FES1162844195"</f>
        <v>FES1162844195</v>
      </c>
      <c r="F151" s="4">
        <v>44571</v>
      </c>
      <c r="G151" s="3">
        <v>202207</v>
      </c>
      <c r="H151" s="3" t="s">
        <v>75</v>
      </c>
      <c r="I151" s="3" t="s">
        <v>76</v>
      </c>
      <c r="J151" s="3" t="s">
        <v>77</v>
      </c>
      <c r="K151" s="3" t="s">
        <v>78</v>
      </c>
      <c r="L151" s="3" t="s">
        <v>250</v>
      </c>
      <c r="M151" s="3" t="s">
        <v>251</v>
      </c>
      <c r="N151" s="3" t="s">
        <v>252</v>
      </c>
      <c r="O151" s="3" t="s">
        <v>148</v>
      </c>
      <c r="P151" s="3" t="str">
        <f>"2170813412                    "</f>
        <v xml:space="preserve">2170813412                    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42.16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1</v>
      </c>
      <c r="BI151" s="3">
        <v>1</v>
      </c>
      <c r="BJ151" s="3">
        <v>0.9</v>
      </c>
      <c r="BK151" s="3">
        <v>1</v>
      </c>
      <c r="BL151" s="3">
        <v>166.16</v>
      </c>
      <c r="BM151" s="3">
        <v>24.92</v>
      </c>
      <c r="BN151" s="3">
        <v>191.08</v>
      </c>
      <c r="BO151" s="3">
        <v>191.08</v>
      </c>
      <c r="BQ151" s="3" t="s">
        <v>253</v>
      </c>
      <c r="BR151" s="3" t="s">
        <v>364</v>
      </c>
      <c r="BS151" s="4">
        <v>44574</v>
      </c>
      <c r="BT151" s="5">
        <v>0.55277777777777781</v>
      </c>
      <c r="BU151" s="3" t="s">
        <v>367</v>
      </c>
      <c r="BV151" s="3" t="s">
        <v>105</v>
      </c>
      <c r="BY151" s="3">
        <v>4736</v>
      </c>
      <c r="BZ151" s="3" t="s">
        <v>327</v>
      </c>
      <c r="CA151" s="3" t="s">
        <v>368</v>
      </c>
      <c r="CC151" s="3" t="s">
        <v>251</v>
      </c>
      <c r="CD151" s="3">
        <v>6300</v>
      </c>
      <c r="CE151" s="3" t="s">
        <v>86</v>
      </c>
      <c r="CF151" s="4">
        <v>44575</v>
      </c>
      <c r="CI151" s="3">
        <v>3</v>
      </c>
      <c r="CJ151" s="3">
        <v>3</v>
      </c>
      <c r="CK151" s="3">
        <v>43</v>
      </c>
      <c r="CL151" s="3" t="s">
        <v>87</v>
      </c>
    </row>
    <row r="152" spans="1:90" x14ac:dyDescent="0.2">
      <c r="A152" s="3" t="s">
        <v>72</v>
      </c>
      <c r="B152" s="3" t="s">
        <v>73</v>
      </c>
      <c r="C152" s="3" t="s">
        <v>74</v>
      </c>
      <c r="E152" s="3" t="str">
        <f>"FES1162844391"</f>
        <v>FES1162844391</v>
      </c>
      <c r="F152" s="4">
        <v>44571</v>
      </c>
      <c r="G152" s="3">
        <v>202207</v>
      </c>
      <c r="H152" s="3" t="s">
        <v>75</v>
      </c>
      <c r="I152" s="3" t="s">
        <v>76</v>
      </c>
      <c r="J152" s="3" t="s">
        <v>77</v>
      </c>
      <c r="K152" s="3" t="s">
        <v>78</v>
      </c>
      <c r="L152" s="3" t="s">
        <v>101</v>
      </c>
      <c r="M152" s="3" t="s">
        <v>102</v>
      </c>
      <c r="N152" s="3" t="s">
        <v>170</v>
      </c>
      <c r="O152" s="3" t="s">
        <v>82</v>
      </c>
      <c r="P152" s="3" t="str">
        <f>"2170815757                    "</f>
        <v xml:space="preserve">2170815757                    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15.46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1</v>
      </c>
      <c r="BI152" s="3">
        <v>1</v>
      </c>
      <c r="BJ152" s="3">
        <v>1.1000000000000001</v>
      </c>
      <c r="BK152" s="3">
        <v>1.5</v>
      </c>
      <c r="BL152" s="3">
        <v>59</v>
      </c>
      <c r="BM152" s="3">
        <v>8.85</v>
      </c>
      <c r="BN152" s="3">
        <v>67.849999999999994</v>
      </c>
      <c r="BO152" s="3">
        <v>67.849999999999994</v>
      </c>
      <c r="BQ152" s="3" t="s">
        <v>89</v>
      </c>
      <c r="BR152" s="3" t="s">
        <v>364</v>
      </c>
      <c r="BS152" s="4">
        <v>44572</v>
      </c>
      <c r="BT152" s="5">
        <v>0.62083333333333335</v>
      </c>
      <c r="BU152" s="3" t="s">
        <v>369</v>
      </c>
      <c r="BV152" s="3" t="s">
        <v>87</v>
      </c>
      <c r="BW152" s="3" t="s">
        <v>278</v>
      </c>
      <c r="BX152" s="3" t="s">
        <v>279</v>
      </c>
      <c r="BY152" s="3">
        <v>5320</v>
      </c>
      <c r="BZ152" s="3" t="s">
        <v>165</v>
      </c>
      <c r="CA152" s="3" t="s">
        <v>280</v>
      </c>
      <c r="CC152" s="3" t="s">
        <v>102</v>
      </c>
      <c r="CD152" s="3">
        <v>4001</v>
      </c>
      <c r="CE152" s="3" t="s">
        <v>86</v>
      </c>
      <c r="CF152" s="4">
        <v>44572</v>
      </c>
      <c r="CI152" s="3">
        <v>1</v>
      </c>
      <c r="CJ152" s="3">
        <v>1</v>
      </c>
      <c r="CK152" s="3">
        <v>21</v>
      </c>
      <c r="CL152" s="3" t="s">
        <v>87</v>
      </c>
    </row>
    <row r="153" spans="1:90" x14ac:dyDescent="0.2">
      <c r="A153" s="3" t="s">
        <v>72</v>
      </c>
      <c r="B153" s="3" t="s">
        <v>73</v>
      </c>
      <c r="C153" s="3" t="s">
        <v>74</v>
      </c>
      <c r="E153" s="3" t="str">
        <f>"FES1162844340"</f>
        <v>FES1162844340</v>
      </c>
      <c r="F153" s="4">
        <v>44571</v>
      </c>
      <c r="G153" s="3">
        <v>202207</v>
      </c>
      <c r="H153" s="3" t="s">
        <v>75</v>
      </c>
      <c r="I153" s="3" t="s">
        <v>76</v>
      </c>
      <c r="J153" s="3" t="s">
        <v>77</v>
      </c>
      <c r="K153" s="3" t="s">
        <v>78</v>
      </c>
      <c r="L153" s="3" t="s">
        <v>75</v>
      </c>
      <c r="M153" s="3" t="s">
        <v>76</v>
      </c>
      <c r="N153" s="3" t="s">
        <v>153</v>
      </c>
      <c r="O153" s="3" t="s">
        <v>82</v>
      </c>
      <c r="P153" s="3" t="str">
        <f>"2170814713                    "</f>
        <v xml:space="preserve">2170814713                    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12.07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1</v>
      </c>
      <c r="BI153" s="3">
        <v>1</v>
      </c>
      <c r="BJ153" s="3">
        <v>1.1000000000000001</v>
      </c>
      <c r="BK153" s="3">
        <v>1.5</v>
      </c>
      <c r="BL153" s="3">
        <v>46.08</v>
      </c>
      <c r="BM153" s="3">
        <v>6.91</v>
      </c>
      <c r="BN153" s="3">
        <v>52.99</v>
      </c>
      <c r="BO153" s="3">
        <v>52.99</v>
      </c>
      <c r="BR153" s="3" t="s">
        <v>364</v>
      </c>
      <c r="BS153" s="4">
        <v>44572</v>
      </c>
      <c r="BT153" s="5">
        <v>0.38541666666666669</v>
      </c>
      <c r="BU153" s="3" t="s">
        <v>370</v>
      </c>
      <c r="BV153" s="3" t="s">
        <v>105</v>
      </c>
      <c r="BY153" s="3">
        <v>5320</v>
      </c>
      <c r="BZ153" s="3" t="s">
        <v>165</v>
      </c>
      <c r="CA153" s="3" t="s">
        <v>227</v>
      </c>
      <c r="CC153" s="3" t="s">
        <v>76</v>
      </c>
      <c r="CD153" s="3">
        <v>1600</v>
      </c>
      <c r="CE153" s="3" t="s">
        <v>86</v>
      </c>
      <c r="CF153" s="4">
        <v>44573</v>
      </c>
      <c r="CI153" s="3">
        <v>1</v>
      </c>
      <c r="CJ153" s="3">
        <v>1</v>
      </c>
      <c r="CK153" s="3">
        <v>22</v>
      </c>
      <c r="CL153" s="3" t="s">
        <v>87</v>
      </c>
    </row>
    <row r="154" spans="1:90" x14ac:dyDescent="0.2">
      <c r="A154" s="3" t="s">
        <v>72</v>
      </c>
      <c r="B154" s="3" t="s">
        <v>73</v>
      </c>
      <c r="C154" s="3" t="s">
        <v>74</v>
      </c>
      <c r="E154" s="3" t="str">
        <f>"FES1162844257"</f>
        <v>FES1162844257</v>
      </c>
      <c r="F154" s="4">
        <v>44571</v>
      </c>
      <c r="G154" s="3">
        <v>202207</v>
      </c>
      <c r="H154" s="3" t="s">
        <v>75</v>
      </c>
      <c r="I154" s="3" t="s">
        <v>76</v>
      </c>
      <c r="J154" s="3" t="s">
        <v>77</v>
      </c>
      <c r="K154" s="3" t="s">
        <v>78</v>
      </c>
      <c r="L154" s="3" t="s">
        <v>180</v>
      </c>
      <c r="M154" s="3" t="s">
        <v>181</v>
      </c>
      <c r="N154" s="3" t="s">
        <v>371</v>
      </c>
      <c r="O154" s="3" t="s">
        <v>82</v>
      </c>
      <c r="P154" s="3" t="str">
        <f>"2170816003                    "</f>
        <v xml:space="preserve">2170816003                    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21.74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1</v>
      </c>
      <c r="BI154" s="3">
        <v>1</v>
      </c>
      <c r="BJ154" s="3">
        <v>0.2</v>
      </c>
      <c r="BK154" s="3">
        <v>1</v>
      </c>
      <c r="BL154" s="3">
        <v>82.98</v>
      </c>
      <c r="BM154" s="3">
        <v>12.45</v>
      </c>
      <c r="BN154" s="3">
        <v>95.43</v>
      </c>
      <c r="BO154" s="3">
        <v>95.43</v>
      </c>
      <c r="BR154" s="3" t="s">
        <v>84</v>
      </c>
      <c r="BS154" s="4">
        <v>44572</v>
      </c>
      <c r="BT154" s="5">
        <v>0.41666666666666669</v>
      </c>
      <c r="BU154" s="3" t="s">
        <v>372</v>
      </c>
      <c r="BV154" s="3" t="s">
        <v>105</v>
      </c>
      <c r="BY154" s="3">
        <v>1200</v>
      </c>
      <c r="BZ154" s="3" t="s">
        <v>165</v>
      </c>
      <c r="CA154" s="3" t="s">
        <v>373</v>
      </c>
      <c r="CC154" s="3" t="s">
        <v>181</v>
      </c>
      <c r="CD154" s="3">
        <v>1961</v>
      </c>
      <c r="CE154" s="3" t="s">
        <v>93</v>
      </c>
      <c r="CF154" s="4">
        <v>44573</v>
      </c>
      <c r="CI154" s="3">
        <v>1</v>
      </c>
      <c r="CJ154" s="3">
        <v>1</v>
      </c>
      <c r="CK154" s="3">
        <v>24</v>
      </c>
      <c r="CL154" s="3" t="s">
        <v>87</v>
      </c>
    </row>
    <row r="155" spans="1:90" x14ac:dyDescent="0.2">
      <c r="A155" s="3" t="s">
        <v>72</v>
      </c>
      <c r="B155" s="3" t="s">
        <v>73</v>
      </c>
      <c r="C155" s="3" t="s">
        <v>74</v>
      </c>
      <c r="E155" s="3" t="str">
        <f>"FES1162844302"</f>
        <v>FES1162844302</v>
      </c>
      <c r="F155" s="4">
        <v>44571</v>
      </c>
      <c r="G155" s="3">
        <v>202207</v>
      </c>
      <c r="H155" s="3" t="s">
        <v>75</v>
      </c>
      <c r="I155" s="3" t="s">
        <v>76</v>
      </c>
      <c r="J155" s="3" t="s">
        <v>77</v>
      </c>
      <c r="K155" s="3" t="s">
        <v>78</v>
      </c>
      <c r="L155" s="3" t="s">
        <v>75</v>
      </c>
      <c r="M155" s="3" t="s">
        <v>76</v>
      </c>
      <c r="N155" s="3" t="s">
        <v>374</v>
      </c>
      <c r="O155" s="3" t="s">
        <v>82</v>
      </c>
      <c r="P155" s="3" t="str">
        <f>"2170812605                    "</f>
        <v xml:space="preserve">2170812605                    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12.07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1</v>
      </c>
      <c r="BI155" s="3">
        <v>2</v>
      </c>
      <c r="BJ155" s="3">
        <v>4.0999999999999996</v>
      </c>
      <c r="BK155" s="3">
        <v>4.5</v>
      </c>
      <c r="BL155" s="3">
        <v>46.08</v>
      </c>
      <c r="BM155" s="3">
        <v>6.91</v>
      </c>
      <c r="BN155" s="3">
        <v>52.99</v>
      </c>
      <c r="BO155" s="3">
        <v>52.99</v>
      </c>
      <c r="BQ155" s="3" t="s">
        <v>83</v>
      </c>
      <c r="BR155" s="3" t="s">
        <v>84</v>
      </c>
      <c r="BS155" s="4">
        <v>44573</v>
      </c>
      <c r="BT155" s="5">
        <v>0.43611111111111112</v>
      </c>
      <c r="BU155" s="3" t="s">
        <v>375</v>
      </c>
      <c r="BV155" s="3" t="s">
        <v>87</v>
      </c>
      <c r="BW155" s="3" t="s">
        <v>376</v>
      </c>
      <c r="BX155" s="3" t="s">
        <v>377</v>
      </c>
      <c r="BY155" s="3">
        <v>20358</v>
      </c>
      <c r="BZ155" s="3" t="s">
        <v>165</v>
      </c>
      <c r="CA155" s="3" t="s">
        <v>378</v>
      </c>
      <c r="CC155" s="3" t="s">
        <v>76</v>
      </c>
      <c r="CD155" s="3">
        <v>1609</v>
      </c>
      <c r="CE155" s="3" t="s">
        <v>86</v>
      </c>
      <c r="CF155" s="4">
        <v>44574</v>
      </c>
      <c r="CI155" s="3">
        <v>1</v>
      </c>
      <c r="CJ155" s="3">
        <v>2</v>
      </c>
      <c r="CK155" s="3">
        <v>22</v>
      </c>
      <c r="CL155" s="3" t="s">
        <v>87</v>
      </c>
    </row>
    <row r="156" spans="1:90" x14ac:dyDescent="0.2">
      <c r="A156" s="3" t="s">
        <v>72</v>
      </c>
      <c r="B156" s="3" t="s">
        <v>73</v>
      </c>
      <c r="C156" s="3" t="s">
        <v>74</v>
      </c>
      <c r="E156" s="3" t="str">
        <f>"FES1162844259"</f>
        <v>FES1162844259</v>
      </c>
      <c r="F156" s="4">
        <v>44571</v>
      </c>
      <c r="G156" s="3">
        <v>202207</v>
      </c>
      <c r="H156" s="3" t="s">
        <v>75</v>
      </c>
      <c r="I156" s="3" t="s">
        <v>76</v>
      </c>
      <c r="J156" s="3" t="s">
        <v>77</v>
      </c>
      <c r="K156" s="3" t="s">
        <v>78</v>
      </c>
      <c r="L156" s="3" t="s">
        <v>75</v>
      </c>
      <c r="M156" s="3" t="s">
        <v>76</v>
      </c>
      <c r="N156" s="3" t="s">
        <v>379</v>
      </c>
      <c r="O156" s="3" t="s">
        <v>82</v>
      </c>
      <c r="P156" s="3" t="str">
        <f>"2170816008                    "</f>
        <v xml:space="preserve">2170816008                    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12.07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1</v>
      </c>
      <c r="BI156" s="3">
        <v>5</v>
      </c>
      <c r="BJ156" s="3">
        <v>2.6</v>
      </c>
      <c r="BK156" s="3">
        <v>5</v>
      </c>
      <c r="BL156" s="3">
        <v>46.08</v>
      </c>
      <c r="BM156" s="3">
        <v>6.91</v>
      </c>
      <c r="BN156" s="3">
        <v>52.99</v>
      </c>
      <c r="BO156" s="3">
        <v>52.99</v>
      </c>
      <c r="BQ156" s="3" t="s">
        <v>380</v>
      </c>
      <c r="BR156" s="3" t="s">
        <v>84</v>
      </c>
      <c r="BS156" s="4">
        <v>44572</v>
      </c>
      <c r="BT156" s="5">
        <v>0.42499999999999999</v>
      </c>
      <c r="BU156" s="3" t="s">
        <v>381</v>
      </c>
      <c r="BV156" s="3" t="s">
        <v>105</v>
      </c>
      <c r="BY156" s="3">
        <v>12996</v>
      </c>
      <c r="BZ156" s="3" t="s">
        <v>165</v>
      </c>
      <c r="CA156" s="3" t="s">
        <v>382</v>
      </c>
      <c r="CC156" s="3" t="s">
        <v>76</v>
      </c>
      <c r="CD156" s="3">
        <v>1609</v>
      </c>
      <c r="CE156" s="3" t="s">
        <v>86</v>
      </c>
      <c r="CF156" s="4">
        <v>44574</v>
      </c>
      <c r="CI156" s="3">
        <v>1</v>
      </c>
      <c r="CJ156" s="3">
        <v>1</v>
      </c>
      <c r="CK156" s="3">
        <v>22</v>
      </c>
      <c r="CL156" s="3" t="s">
        <v>87</v>
      </c>
    </row>
    <row r="157" spans="1:90" x14ac:dyDescent="0.2">
      <c r="A157" s="3" t="s">
        <v>72</v>
      </c>
      <c r="B157" s="3" t="s">
        <v>73</v>
      </c>
      <c r="C157" s="3" t="s">
        <v>74</v>
      </c>
      <c r="E157" s="3" t="str">
        <f>"FES1162844262"</f>
        <v>FES1162844262</v>
      </c>
      <c r="F157" s="4">
        <v>44571</v>
      </c>
      <c r="G157" s="3">
        <v>202207</v>
      </c>
      <c r="H157" s="3" t="s">
        <v>75</v>
      </c>
      <c r="I157" s="3" t="s">
        <v>76</v>
      </c>
      <c r="J157" s="3" t="s">
        <v>77</v>
      </c>
      <c r="K157" s="3" t="s">
        <v>78</v>
      </c>
      <c r="L157" s="3" t="s">
        <v>383</v>
      </c>
      <c r="M157" s="3" t="s">
        <v>384</v>
      </c>
      <c r="N157" s="3" t="s">
        <v>385</v>
      </c>
      <c r="O157" s="3" t="s">
        <v>82</v>
      </c>
      <c r="P157" s="3" t="str">
        <f>"2170816007                    "</f>
        <v xml:space="preserve">2170816007                    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29.95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1</v>
      </c>
      <c r="BI157" s="3">
        <v>1</v>
      </c>
      <c r="BJ157" s="3">
        <v>1.1000000000000001</v>
      </c>
      <c r="BK157" s="3">
        <v>1.5</v>
      </c>
      <c r="BL157" s="3">
        <v>114.31</v>
      </c>
      <c r="BM157" s="3">
        <v>17.149999999999999</v>
      </c>
      <c r="BN157" s="3">
        <v>131.46</v>
      </c>
      <c r="BO157" s="3">
        <v>131.46</v>
      </c>
      <c r="BR157" s="3" t="s">
        <v>84</v>
      </c>
      <c r="BS157" s="4">
        <v>44572</v>
      </c>
      <c r="BT157" s="5">
        <v>0.62708333333333333</v>
      </c>
      <c r="BU157" s="3" t="s">
        <v>386</v>
      </c>
      <c r="BV157" s="3" t="s">
        <v>87</v>
      </c>
      <c r="BW157" s="3" t="s">
        <v>376</v>
      </c>
      <c r="BX157" s="3" t="s">
        <v>387</v>
      </c>
      <c r="BY157" s="3">
        <v>5320</v>
      </c>
      <c r="BZ157" s="3" t="s">
        <v>165</v>
      </c>
      <c r="CC157" s="3" t="s">
        <v>384</v>
      </c>
      <c r="CD157" s="3">
        <v>2570</v>
      </c>
      <c r="CE157" s="3" t="s">
        <v>86</v>
      </c>
      <c r="CF157" s="4">
        <v>44573</v>
      </c>
      <c r="CI157" s="3">
        <v>1</v>
      </c>
      <c r="CJ157" s="3">
        <v>1</v>
      </c>
      <c r="CK157" s="3">
        <v>23</v>
      </c>
      <c r="CL157" s="3" t="s">
        <v>87</v>
      </c>
    </row>
    <row r="158" spans="1:90" x14ac:dyDescent="0.2">
      <c r="A158" s="3" t="s">
        <v>72</v>
      </c>
      <c r="B158" s="3" t="s">
        <v>73</v>
      </c>
      <c r="C158" s="3" t="s">
        <v>74</v>
      </c>
      <c r="E158" s="3" t="str">
        <f>"FES1162844218"</f>
        <v>FES1162844218</v>
      </c>
      <c r="F158" s="4">
        <v>44571</v>
      </c>
      <c r="G158" s="3">
        <v>202207</v>
      </c>
      <c r="H158" s="3" t="s">
        <v>75</v>
      </c>
      <c r="I158" s="3" t="s">
        <v>76</v>
      </c>
      <c r="J158" s="3" t="s">
        <v>77</v>
      </c>
      <c r="K158" s="3" t="s">
        <v>78</v>
      </c>
      <c r="L158" s="3" t="s">
        <v>241</v>
      </c>
      <c r="M158" s="3" t="s">
        <v>242</v>
      </c>
      <c r="N158" s="3" t="s">
        <v>243</v>
      </c>
      <c r="O158" s="3" t="s">
        <v>82</v>
      </c>
      <c r="P158" s="3" t="str">
        <f>"2170815937                    "</f>
        <v xml:space="preserve">2170815937                    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15.46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1</v>
      </c>
      <c r="BI158" s="3">
        <v>2</v>
      </c>
      <c r="BJ158" s="3">
        <v>1.1000000000000001</v>
      </c>
      <c r="BK158" s="3">
        <v>2</v>
      </c>
      <c r="BL158" s="3">
        <v>59</v>
      </c>
      <c r="BM158" s="3">
        <v>8.85</v>
      </c>
      <c r="BN158" s="3">
        <v>67.849999999999994</v>
      </c>
      <c r="BO158" s="3">
        <v>67.849999999999994</v>
      </c>
      <c r="BQ158" s="3" t="s">
        <v>83</v>
      </c>
      <c r="BR158" s="3" t="s">
        <v>84</v>
      </c>
      <c r="BS158" s="4">
        <v>44572</v>
      </c>
      <c r="BT158" s="5">
        <v>0.36944444444444446</v>
      </c>
      <c r="BU158" s="3" t="s">
        <v>388</v>
      </c>
      <c r="BV158" s="3" t="s">
        <v>105</v>
      </c>
      <c r="BY158" s="3">
        <v>5320</v>
      </c>
      <c r="BZ158" s="3" t="s">
        <v>165</v>
      </c>
      <c r="CA158" s="3" t="s">
        <v>389</v>
      </c>
      <c r="CC158" s="3" t="s">
        <v>242</v>
      </c>
      <c r="CD158" s="3">
        <v>7600</v>
      </c>
      <c r="CE158" s="3" t="s">
        <v>86</v>
      </c>
      <c r="CF158" s="4">
        <v>44573</v>
      </c>
      <c r="CI158" s="3">
        <v>1</v>
      </c>
      <c r="CJ158" s="3">
        <v>1</v>
      </c>
      <c r="CK158" s="3">
        <v>21</v>
      </c>
      <c r="CL158" s="3" t="s">
        <v>87</v>
      </c>
    </row>
    <row r="159" spans="1:90" x14ac:dyDescent="0.2">
      <c r="A159" s="3" t="s">
        <v>72</v>
      </c>
      <c r="B159" s="3" t="s">
        <v>73</v>
      </c>
      <c r="C159" s="3" t="s">
        <v>74</v>
      </c>
      <c r="E159" s="3" t="str">
        <f>"FES1162844425"</f>
        <v>FES1162844425</v>
      </c>
      <c r="F159" s="4">
        <v>44571</v>
      </c>
      <c r="G159" s="3">
        <v>202207</v>
      </c>
      <c r="H159" s="3" t="s">
        <v>75</v>
      </c>
      <c r="I159" s="3" t="s">
        <v>76</v>
      </c>
      <c r="J159" s="3" t="s">
        <v>77</v>
      </c>
      <c r="K159" s="3" t="s">
        <v>78</v>
      </c>
      <c r="L159" s="3" t="s">
        <v>312</v>
      </c>
      <c r="M159" s="3" t="s">
        <v>313</v>
      </c>
      <c r="N159" s="3" t="s">
        <v>314</v>
      </c>
      <c r="O159" s="3" t="s">
        <v>82</v>
      </c>
      <c r="P159" s="3" t="str">
        <f>"2170816053                    "</f>
        <v xml:space="preserve">2170816053                    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15.46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1</v>
      </c>
      <c r="BI159" s="3">
        <v>1</v>
      </c>
      <c r="BJ159" s="3">
        <v>0.2</v>
      </c>
      <c r="BK159" s="3">
        <v>1</v>
      </c>
      <c r="BL159" s="3">
        <v>59</v>
      </c>
      <c r="BM159" s="3">
        <v>8.85</v>
      </c>
      <c r="BN159" s="3">
        <v>67.849999999999994</v>
      </c>
      <c r="BO159" s="3">
        <v>67.849999999999994</v>
      </c>
      <c r="BR159" s="3" t="s">
        <v>84</v>
      </c>
      <c r="BS159" s="4">
        <v>44572</v>
      </c>
      <c r="BT159" s="5">
        <v>0.40833333333333338</v>
      </c>
      <c r="BU159" s="3" t="s">
        <v>315</v>
      </c>
      <c r="BV159" s="3" t="s">
        <v>105</v>
      </c>
      <c r="BY159" s="3">
        <v>1200</v>
      </c>
      <c r="CA159" s="3" t="s">
        <v>316</v>
      </c>
      <c r="CC159" s="3" t="s">
        <v>313</v>
      </c>
      <c r="CD159" s="3">
        <v>1240</v>
      </c>
      <c r="CE159" s="3" t="s">
        <v>93</v>
      </c>
      <c r="CF159" s="4">
        <v>44572</v>
      </c>
      <c r="CI159" s="3">
        <v>1</v>
      </c>
      <c r="CJ159" s="3">
        <v>1</v>
      </c>
      <c r="CK159" s="3">
        <v>21</v>
      </c>
      <c r="CL159" s="3" t="s">
        <v>87</v>
      </c>
    </row>
    <row r="160" spans="1:90" x14ac:dyDescent="0.2">
      <c r="A160" s="3" t="s">
        <v>72</v>
      </c>
      <c r="B160" s="3" t="s">
        <v>73</v>
      </c>
      <c r="C160" s="3" t="s">
        <v>74</v>
      </c>
      <c r="E160" s="3" t="str">
        <f>"FES1162844365"</f>
        <v>FES1162844365</v>
      </c>
      <c r="F160" s="4">
        <v>44571</v>
      </c>
      <c r="G160" s="3">
        <v>202207</v>
      </c>
      <c r="H160" s="3" t="s">
        <v>75</v>
      </c>
      <c r="I160" s="3" t="s">
        <v>76</v>
      </c>
      <c r="J160" s="3" t="s">
        <v>77</v>
      </c>
      <c r="K160" s="3" t="s">
        <v>78</v>
      </c>
      <c r="L160" s="3" t="s">
        <v>79</v>
      </c>
      <c r="M160" s="3" t="s">
        <v>80</v>
      </c>
      <c r="N160" s="3" t="s">
        <v>390</v>
      </c>
      <c r="O160" s="3" t="s">
        <v>82</v>
      </c>
      <c r="P160" s="3" t="str">
        <f>"2170814877                    "</f>
        <v xml:space="preserve">2170814877                    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15.46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1</v>
      </c>
      <c r="BI160" s="3">
        <v>1</v>
      </c>
      <c r="BJ160" s="3">
        <v>0.2</v>
      </c>
      <c r="BK160" s="3">
        <v>1</v>
      </c>
      <c r="BL160" s="3">
        <v>59</v>
      </c>
      <c r="BM160" s="3">
        <v>8.85</v>
      </c>
      <c r="BN160" s="3">
        <v>67.849999999999994</v>
      </c>
      <c r="BO160" s="3">
        <v>67.849999999999994</v>
      </c>
      <c r="BR160" s="3" t="s">
        <v>84</v>
      </c>
      <c r="BS160" s="4">
        <v>44572</v>
      </c>
      <c r="BT160" s="5">
        <v>0.43055555555555558</v>
      </c>
      <c r="BU160" s="3" t="s">
        <v>391</v>
      </c>
      <c r="BV160" s="3" t="s">
        <v>105</v>
      </c>
      <c r="BY160" s="3">
        <v>1200</v>
      </c>
      <c r="BZ160" s="3" t="s">
        <v>165</v>
      </c>
      <c r="CA160" s="3" t="s">
        <v>366</v>
      </c>
      <c r="CC160" s="3" t="s">
        <v>80</v>
      </c>
      <c r="CD160" s="3">
        <v>200</v>
      </c>
      <c r="CE160" s="3" t="s">
        <v>93</v>
      </c>
      <c r="CF160" s="4">
        <v>44572</v>
      </c>
      <c r="CI160" s="3">
        <v>1</v>
      </c>
      <c r="CJ160" s="3">
        <v>1</v>
      </c>
      <c r="CK160" s="3">
        <v>21</v>
      </c>
      <c r="CL160" s="3" t="s">
        <v>87</v>
      </c>
    </row>
    <row r="161" spans="1:90" x14ac:dyDescent="0.2">
      <c r="A161" s="3" t="s">
        <v>72</v>
      </c>
      <c r="B161" s="3" t="s">
        <v>73</v>
      </c>
      <c r="C161" s="3" t="s">
        <v>74</v>
      </c>
      <c r="E161" s="3" t="str">
        <f>"FES1162844332"</f>
        <v>FES1162844332</v>
      </c>
      <c r="F161" s="4">
        <v>44571</v>
      </c>
      <c r="G161" s="3">
        <v>202207</v>
      </c>
      <c r="H161" s="3" t="s">
        <v>75</v>
      </c>
      <c r="I161" s="3" t="s">
        <v>76</v>
      </c>
      <c r="J161" s="3" t="s">
        <v>77</v>
      </c>
      <c r="K161" s="3" t="s">
        <v>78</v>
      </c>
      <c r="L161" s="3" t="s">
        <v>107</v>
      </c>
      <c r="M161" s="3" t="s">
        <v>108</v>
      </c>
      <c r="N161" s="3" t="s">
        <v>392</v>
      </c>
      <c r="O161" s="3" t="s">
        <v>82</v>
      </c>
      <c r="P161" s="3" t="str">
        <f>"2170814647                    "</f>
        <v xml:space="preserve">2170814647                    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29.95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1</v>
      </c>
      <c r="BI161" s="3">
        <v>1</v>
      </c>
      <c r="BJ161" s="3">
        <v>0.2</v>
      </c>
      <c r="BK161" s="3">
        <v>1</v>
      </c>
      <c r="BL161" s="3">
        <v>114.31</v>
      </c>
      <c r="BM161" s="3">
        <v>17.149999999999999</v>
      </c>
      <c r="BN161" s="3">
        <v>131.46</v>
      </c>
      <c r="BO161" s="3">
        <v>131.46</v>
      </c>
      <c r="BQ161" s="3" t="s">
        <v>83</v>
      </c>
      <c r="BR161" s="3" t="s">
        <v>84</v>
      </c>
      <c r="BS161" s="4">
        <v>44572</v>
      </c>
      <c r="BT161" s="5">
        <v>0.72638888888888886</v>
      </c>
      <c r="BU161" s="3" t="s">
        <v>393</v>
      </c>
      <c r="BV161" s="3" t="s">
        <v>105</v>
      </c>
      <c r="BY161" s="3">
        <v>1200</v>
      </c>
      <c r="BZ161" s="3" t="s">
        <v>165</v>
      </c>
      <c r="CA161" s="3" t="s">
        <v>394</v>
      </c>
      <c r="CC161" s="3" t="s">
        <v>108</v>
      </c>
      <c r="CD161" s="3">
        <v>6849</v>
      </c>
      <c r="CE161" s="3" t="s">
        <v>93</v>
      </c>
      <c r="CF161" s="4">
        <v>44573</v>
      </c>
      <c r="CI161" s="3">
        <v>2</v>
      </c>
      <c r="CJ161" s="3">
        <v>1</v>
      </c>
      <c r="CK161" s="3">
        <v>23</v>
      </c>
      <c r="CL161" s="3" t="s">
        <v>87</v>
      </c>
    </row>
    <row r="162" spans="1:90" x14ac:dyDescent="0.2">
      <c r="A162" s="3" t="s">
        <v>72</v>
      </c>
      <c r="B162" s="3" t="s">
        <v>73</v>
      </c>
      <c r="C162" s="3" t="s">
        <v>74</v>
      </c>
      <c r="E162" s="3" t="str">
        <f>"FES1162844377"</f>
        <v>FES1162844377</v>
      </c>
      <c r="F162" s="4">
        <v>44571</v>
      </c>
      <c r="G162" s="3">
        <v>202207</v>
      </c>
      <c r="H162" s="3" t="s">
        <v>75</v>
      </c>
      <c r="I162" s="3" t="s">
        <v>76</v>
      </c>
      <c r="J162" s="3" t="s">
        <v>77</v>
      </c>
      <c r="K162" s="3" t="s">
        <v>78</v>
      </c>
      <c r="L162" s="3" t="s">
        <v>190</v>
      </c>
      <c r="M162" s="3" t="s">
        <v>191</v>
      </c>
      <c r="N162" s="3" t="s">
        <v>395</v>
      </c>
      <c r="O162" s="3" t="s">
        <v>82</v>
      </c>
      <c r="P162" s="3" t="str">
        <f>"2170815031                    "</f>
        <v xml:space="preserve">2170815031                    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29.95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1</v>
      </c>
      <c r="BI162" s="3">
        <v>1</v>
      </c>
      <c r="BJ162" s="3">
        <v>0.2</v>
      </c>
      <c r="BK162" s="3">
        <v>1</v>
      </c>
      <c r="BL162" s="3">
        <v>114.31</v>
      </c>
      <c r="BM162" s="3">
        <v>17.149999999999999</v>
      </c>
      <c r="BN162" s="3">
        <v>131.46</v>
      </c>
      <c r="BO162" s="3">
        <v>131.46</v>
      </c>
      <c r="BR162" s="3" t="s">
        <v>84</v>
      </c>
      <c r="BS162" s="4">
        <v>44572</v>
      </c>
      <c r="BT162" s="5">
        <v>0.51597222222222217</v>
      </c>
      <c r="BU162" s="3" t="s">
        <v>396</v>
      </c>
      <c r="BV162" s="3" t="s">
        <v>105</v>
      </c>
      <c r="BY162" s="3">
        <v>1200</v>
      </c>
      <c r="CA162" s="3" t="s">
        <v>397</v>
      </c>
      <c r="CC162" s="3" t="s">
        <v>191</v>
      </c>
      <c r="CD162" s="3">
        <v>1050</v>
      </c>
      <c r="CE162" s="3" t="s">
        <v>93</v>
      </c>
      <c r="CF162" s="4">
        <v>44572</v>
      </c>
      <c r="CI162" s="3">
        <v>1</v>
      </c>
      <c r="CJ162" s="3">
        <v>1</v>
      </c>
      <c r="CK162" s="3">
        <v>23</v>
      </c>
      <c r="CL162" s="3" t="s">
        <v>87</v>
      </c>
    </row>
    <row r="163" spans="1:90" x14ac:dyDescent="0.2">
      <c r="A163" s="3" t="s">
        <v>72</v>
      </c>
      <c r="B163" s="3" t="s">
        <v>73</v>
      </c>
      <c r="C163" s="3" t="s">
        <v>74</v>
      </c>
      <c r="E163" s="3" t="str">
        <f>"FES1162844387"</f>
        <v>FES1162844387</v>
      </c>
      <c r="F163" s="4">
        <v>44571</v>
      </c>
      <c r="G163" s="3">
        <v>202207</v>
      </c>
      <c r="H163" s="3" t="s">
        <v>75</v>
      </c>
      <c r="I163" s="3" t="s">
        <v>76</v>
      </c>
      <c r="J163" s="3" t="s">
        <v>77</v>
      </c>
      <c r="K163" s="3" t="s">
        <v>78</v>
      </c>
      <c r="L163" s="3" t="s">
        <v>171</v>
      </c>
      <c r="M163" s="3" t="s">
        <v>172</v>
      </c>
      <c r="N163" s="3" t="s">
        <v>398</v>
      </c>
      <c r="O163" s="3" t="s">
        <v>82</v>
      </c>
      <c r="P163" s="3" t="str">
        <f>"2170815450                    "</f>
        <v xml:space="preserve">2170815450                    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15.46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1</v>
      </c>
      <c r="BI163" s="3">
        <v>1</v>
      </c>
      <c r="BJ163" s="3">
        <v>0.2</v>
      </c>
      <c r="BK163" s="3">
        <v>1</v>
      </c>
      <c r="BL163" s="3">
        <v>59</v>
      </c>
      <c r="BM163" s="3">
        <v>8.85</v>
      </c>
      <c r="BN163" s="3">
        <v>67.849999999999994</v>
      </c>
      <c r="BO163" s="3">
        <v>67.849999999999994</v>
      </c>
      <c r="BQ163" s="3" t="s">
        <v>126</v>
      </c>
      <c r="BR163" s="3" t="s">
        <v>84</v>
      </c>
      <c r="BS163" s="4">
        <v>44572</v>
      </c>
      <c r="BT163" s="5">
        <v>0.41666666666666669</v>
      </c>
      <c r="BU163" s="3" t="s">
        <v>399</v>
      </c>
      <c r="BV163" s="3" t="s">
        <v>105</v>
      </c>
      <c r="BY163" s="3">
        <v>1200</v>
      </c>
      <c r="CC163" s="3" t="s">
        <v>172</v>
      </c>
      <c r="CD163" s="3">
        <v>6014</v>
      </c>
      <c r="CE163" s="3" t="s">
        <v>93</v>
      </c>
      <c r="CF163" s="4">
        <v>44572</v>
      </c>
      <c r="CI163" s="3">
        <v>1</v>
      </c>
      <c r="CJ163" s="3">
        <v>1</v>
      </c>
      <c r="CK163" s="3">
        <v>21</v>
      </c>
      <c r="CL163" s="3" t="s">
        <v>87</v>
      </c>
    </row>
    <row r="164" spans="1:90" x14ac:dyDescent="0.2">
      <c r="A164" s="3" t="s">
        <v>72</v>
      </c>
      <c r="B164" s="3" t="s">
        <v>73</v>
      </c>
      <c r="C164" s="3" t="s">
        <v>74</v>
      </c>
      <c r="E164" s="3" t="str">
        <f>"FES1162844472"</f>
        <v>FES1162844472</v>
      </c>
      <c r="F164" s="4">
        <v>44571</v>
      </c>
      <c r="G164" s="3">
        <v>202207</v>
      </c>
      <c r="H164" s="3" t="s">
        <v>75</v>
      </c>
      <c r="I164" s="3" t="s">
        <v>76</v>
      </c>
      <c r="J164" s="3" t="s">
        <v>77</v>
      </c>
      <c r="K164" s="3" t="s">
        <v>78</v>
      </c>
      <c r="L164" s="3" t="s">
        <v>90</v>
      </c>
      <c r="M164" s="3" t="s">
        <v>91</v>
      </c>
      <c r="N164" s="3" t="s">
        <v>269</v>
      </c>
      <c r="O164" s="3" t="s">
        <v>82</v>
      </c>
      <c r="P164" s="3" t="str">
        <f>"2170816118                    "</f>
        <v xml:space="preserve">2170816118                    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15.46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1</v>
      </c>
      <c r="BI164" s="3">
        <v>1</v>
      </c>
      <c r="BJ164" s="3">
        <v>0.2</v>
      </c>
      <c r="BK164" s="3">
        <v>1</v>
      </c>
      <c r="BL164" s="3">
        <v>59</v>
      </c>
      <c r="BM164" s="3">
        <v>8.85</v>
      </c>
      <c r="BN164" s="3">
        <v>67.849999999999994</v>
      </c>
      <c r="BO164" s="3">
        <v>67.849999999999994</v>
      </c>
      <c r="BQ164" s="3" t="s">
        <v>83</v>
      </c>
      <c r="BR164" s="3" t="s">
        <v>84</v>
      </c>
      <c r="BS164" s="4">
        <v>44572</v>
      </c>
      <c r="BT164" s="5">
        <v>0.34166666666666662</v>
      </c>
      <c r="BU164" s="3" t="s">
        <v>270</v>
      </c>
      <c r="BV164" s="3" t="s">
        <v>105</v>
      </c>
      <c r="BY164" s="3">
        <v>1200</v>
      </c>
      <c r="BZ164" s="3" t="s">
        <v>165</v>
      </c>
      <c r="CA164" s="3" t="s">
        <v>271</v>
      </c>
      <c r="CC164" s="3" t="s">
        <v>91</v>
      </c>
      <c r="CD164" s="3">
        <v>8001</v>
      </c>
      <c r="CE164" s="3" t="s">
        <v>93</v>
      </c>
      <c r="CF164" s="4">
        <v>44573</v>
      </c>
      <c r="CI164" s="3">
        <v>1</v>
      </c>
      <c r="CJ164" s="3">
        <v>1</v>
      </c>
      <c r="CK164" s="3">
        <v>21</v>
      </c>
      <c r="CL164" s="3" t="s">
        <v>87</v>
      </c>
    </row>
    <row r="165" spans="1:90" x14ac:dyDescent="0.2">
      <c r="A165" s="3" t="s">
        <v>72</v>
      </c>
      <c r="B165" s="3" t="s">
        <v>73</v>
      </c>
      <c r="C165" s="3" t="s">
        <v>74</v>
      </c>
      <c r="E165" s="3" t="str">
        <f>"FES1162844234"</f>
        <v>FES1162844234</v>
      </c>
      <c r="F165" s="4">
        <v>44571</v>
      </c>
      <c r="G165" s="3">
        <v>202207</v>
      </c>
      <c r="H165" s="3" t="s">
        <v>75</v>
      </c>
      <c r="I165" s="3" t="s">
        <v>76</v>
      </c>
      <c r="J165" s="3" t="s">
        <v>77</v>
      </c>
      <c r="K165" s="3" t="s">
        <v>78</v>
      </c>
      <c r="L165" s="3" t="s">
        <v>244</v>
      </c>
      <c r="M165" s="3" t="s">
        <v>245</v>
      </c>
      <c r="N165" s="3" t="s">
        <v>400</v>
      </c>
      <c r="O165" s="3" t="s">
        <v>82</v>
      </c>
      <c r="P165" s="3" t="str">
        <f>"2170811678                    "</f>
        <v xml:space="preserve">2170811678                    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29.95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1</v>
      </c>
      <c r="BI165" s="3">
        <v>1</v>
      </c>
      <c r="BJ165" s="3">
        <v>0.2</v>
      </c>
      <c r="BK165" s="3">
        <v>1</v>
      </c>
      <c r="BL165" s="3">
        <v>114.31</v>
      </c>
      <c r="BM165" s="3">
        <v>17.149999999999999</v>
      </c>
      <c r="BN165" s="3">
        <v>131.46</v>
      </c>
      <c r="BO165" s="3">
        <v>131.46</v>
      </c>
      <c r="BQ165" s="3" t="s">
        <v>83</v>
      </c>
      <c r="BR165" s="3" t="s">
        <v>84</v>
      </c>
      <c r="BS165" s="4">
        <v>44572</v>
      </c>
      <c r="BT165" s="5">
        <v>0.40902777777777777</v>
      </c>
      <c r="BU165" s="3" t="s">
        <v>401</v>
      </c>
      <c r="BV165" s="3" t="s">
        <v>105</v>
      </c>
      <c r="BY165" s="3">
        <v>1200</v>
      </c>
      <c r="CA165" s="3" t="s">
        <v>402</v>
      </c>
      <c r="CC165" s="3" t="s">
        <v>245</v>
      </c>
      <c r="CD165" s="3">
        <v>1947</v>
      </c>
      <c r="CE165" s="3" t="s">
        <v>93</v>
      </c>
      <c r="CF165" s="4">
        <v>44573</v>
      </c>
      <c r="CI165" s="3">
        <v>1</v>
      </c>
      <c r="CJ165" s="3">
        <v>1</v>
      </c>
      <c r="CK165" s="3">
        <v>23</v>
      </c>
      <c r="CL165" s="3" t="s">
        <v>87</v>
      </c>
    </row>
    <row r="166" spans="1:90" x14ac:dyDescent="0.2">
      <c r="A166" s="3" t="s">
        <v>72</v>
      </c>
      <c r="B166" s="3" t="s">
        <v>73</v>
      </c>
      <c r="C166" s="3" t="s">
        <v>74</v>
      </c>
      <c r="E166" s="3" t="str">
        <f>"FES1162844334"</f>
        <v>FES1162844334</v>
      </c>
      <c r="F166" s="4">
        <v>44571</v>
      </c>
      <c r="G166" s="3">
        <v>202207</v>
      </c>
      <c r="H166" s="3" t="s">
        <v>75</v>
      </c>
      <c r="I166" s="3" t="s">
        <v>76</v>
      </c>
      <c r="J166" s="3" t="s">
        <v>77</v>
      </c>
      <c r="K166" s="3" t="s">
        <v>78</v>
      </c>
      <c r="L166" s="3" t="s">
        <v>110</v>
      </c>
      <c r="M166" s="3" t="s">
        <v>110</v>
      </c>
      <c r="N166" s="3" t="s">
        <v>146</v>
      </c>
      <c r="O166" s="3" t="s">
        <v>82</v>
      </c>
      <c r="P166" s="3" t="str">
        <f>"2170814661                    "</f>
        <v xml:space="preserve">2170814661                    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29.95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1</v>
      </c>
      <c r="BI166" s="3">
        <v>1</v>
      </c>
      <c r="BJ166" s="3">
        <v>0.2</v>
      </c>
      <c r="BK166" s="3">
        <v>1</v>
      </c>
      <c r="BL166" s="3">
        <v>114.31</v>
      </c>
      <c r="BM166" s="3">
        <v>17.149999999999999</v>
      </c>
      <c r="BN166" s="3">
        <v>131.46</v>
      </c>
      <c r="BO166" s="3">
        <v>131.46</v>
      </c>
      <c r="BQ166" s="3" t="s">
        <v>89</v>
      </c>
      <c r="BR166" s="3" t="s">
        <v>84</v>
      </c>
      <c r="BS166" s="4">
        <v>44572</v>
      </c>
      <c r="BT166" s="5">
        <v>0.46180555555555558</v>
      </c>
      <c r="BU166" s="3" t="s">
        <v>403</v>
      </c>
      <c r="BV166" s="3" t="s">
        <v>105</v>
      </c>
      <c r="BY166" s="3">
        <v>1200</v>
      </c>
      <c r="BZ166" s="3" t="s">
        <v>165</v>
      </c>
      <c r="CA166" s="3" t="s">
        <v>360</v>
      </c>
      <c r="CC166" s="3" t="s">
        <v>110</v>
      </c>
      <c r="CD166" s="3">
        <v>7646</v>
      </c>
      <c r="CE166" s="3" t="s">
        <v>93</v>
      </c>
      <c r="CF166" s="4">
        <v>44573</v>
      </c>
      <c r="CI166" s="3">
        <v>1</v>
      </c>
      <c r="CJ166" s="3">
        <v>1</v>
      </c>
      <c r="CK166" s="3">
        <v>23</v>
      </c>
      <c r="CL166" s="3" t="s">
        <v>87</v>
      </c>
    </row>
    <row r="167" spans="1:90" x14ac:dyDescent="0.2">
      <c r="A167" s="3" t="s">
        <v>72</v>
      </c>
      <c r="B167" s="3" t="s">
        <v>73</v>
      </c>
      <c r="C167" s="3" t="s">
        <v>74</v>
      </c>
      <c r="E167" s="3" t="str">
        <f>"FES1162844393"</f>
        <v>FES1162844393</v>
      </c>
      <c r="F167" s="4">
        <v>44571</v>
      </c>
      <c r="G167" s="3">
        <v>202207</v>
      </c>
      <c r="H167" s="3" t="s">
        <v>75</v>
      </c>
      <c r="I167" s="3" t="s">
        <v>76</v>
      </c>
      <c r="J167" s="3" t="s">
        <v>77</v>
      </c>
      <c r="K167" s="3" t="s">
        <v>78</v>
      </c>
      <c r="L167" s="3" t="s">
        <v>129</v>
      </c>
      <c r="M167" s="3" t="s">
        <v>130</v>
      </c>
      <c r="N167" s="3" t="s">
        <v>404</v>
      </c>
      <c r="O167" s="3" t="s">
        <v>82</v>
      </c>
      <c r="P167" s="3" t="str">
        <f>"2170815794                    "</f>
        <v xml:space="preserve">2170815794                    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29.95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1</v>
      </c>
      <c r="BI167" s="3">
        <v>1</v>
      </c>
      <c r="BJ167" s="3">
        <v>0.2</v>
      </c>
      <c r="BK167" s="3">
        <v>1</v>
      </c>
      <c r="BL167" s="3">
        <v>114.31</v>
      </c>
      <c r="BM167" s="3">
        <v>17.149999999999999</v>
      </c>
      <c r="BN167" s="3">
        <v>131.46</v>
      </c>
      <c r="BO167" s="3">
        <v>131.46</v>
      </c>
      <c r="BQ167" s="3" t="s">
        <v>83</v>
      </c>
      <c r="BR167" s="3" t="s">
        <v>84</v>
      </c>
      <c r="BS167" s="4">
        <v>44572</v>
      </c>
      <c r="BT167" s="5">
        <v>0.45833333333333331</v>
      </c>
      <c r="BU167" s="3" t="s">
        <v>405</v>
      </c>
      <c r="BV167" s="3" t="s">
        <v>105</v>
      </c>
      <c r="BY167" s="3">
        <v>1200</v>
      </c>
      <c r="CA167" s="3" t="s">
        <v>406</v>
      </c>
      <c r="CC167" s="3" t="s">
        <v>130</v>
      </c>
      <c r="CD167" s="3">
        <v>3370</v>
      </c>
      <c r="CE167" s="3" t="s">
        <v>93</v>
      </c>
      <c r="CF167" s="4">
        <v>44573</v>
      </c>
      <c r="CI167" s="3">
        <v>2</v>
      </c>
      <c r="CJ167" s="3">
        <v>1</v>
      </c>
      <c r="CK167" s="3">
        <v>23</v>
      </c>
      <c r="CL167" s="3" t="s">
        <v>87</v>
      </c>
    </row>
    <row r="168" spans="1:90" x14ac:dyDescent="0.2">
      <c r="A168" s="3" t="s">
        <v>72</v>
      </c>
      <c r="B168" s="3" t="s">
        <v>73</v>
      </c>
      <c r="C168" s="3" t="s">
        <v>74</v>
      </c>
      <c r="E168" s="3" t="str">
        <f>"FES1162844394"</f>
        <v>FES1162844394</v>
      </c>
      <c r="F168" s="4">
        <v>44571</v>
      </c>
      <c r="G168" s="3">
        <v>202207</v>
      </c>
      <c r="H168" s="3" t="s">
        <v>75</v>
      </c>
      <c r="I168" s="3" t="s">
        <v>76</v>
      </c>
      <c r="J168" s="3" t="s">
        <v>77</v>
      </c>
      <c r="K168" s="3" t="s">
        <v>78</v>
      </c>
      <c r="L168" s="3" t="s">
        <v>171</v>
      </c>
      <c r="M168" s="3" t="s">
        <v>172</v>
      </c>
      <c r="N168" s="3" t="s">
        <v>199</v>
      </c>
      <c r="O168" s="3" t="s">
        <v>82</v>
      </c>
      <c r="P168" s="3" t="str">
        <f>"2170815873                    "</f>
        <v xml:space="preserve">2170815873                    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15.46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1</v>
      </c>
      <c r="BI168" s="3">
        <v>1</v>
      </c>
      <c r="BJ168" s="3">
        <v>0.2</v>
      </c>
      <c r="BK168" s="3">
        <v>1</v>
      </c>
      <c r="BL168" s="3">
        <v>59</v>
      </c>
      <c r="BM168" s="3">
        <v>8.85</v>
      </c>
      <c r="BN168" s="3">
        <v>67.849999999999994</v>
      </c>
      <c r="BO168" s="3">
        <v>67.849999999999994</v>
      </c>
      <c r="BR168" s="3" t="s">
        <v>84</v>
      </c>
      <c r="BS168" s="4">
        <v>44572</v>
      </c>
      <c r="BT168" s="5">
        <v>0.32083333333333336</v>
      </c>
      <c r="BU168" s="3" t="s">
        <v>407</v>
      </c>
      <c r="BV168" s="3" t="s">
        <v>105</v>
      </c>
      <c r="BY168" s="3">
        <v>1200</v>
      </c>
      <c r="CA168" s="3" t="s">
        <v>408</v>
      </c>
      <c r="CC168" s="3" t="s">
        <v>172</v>
      </c>
      <c r="CD168" s="3">
        <v>6000</v>
      </c>
      <c r="CE168" s="3" t="s">
        <v>93</v>
      </c>
      <c r="CF168" s="4">
        <v>44572</v>
      </c>
      <c r="CI168" s="3">
        <v>1</v>
      </c>
      <c r="CJ168" s="3">
        <v>1</v>
      </c>
      <c r="CK168" s="3">
        <v>21</v>
      </c>
      <c r="CL168" s="3" t="s">
        <v>87</v>
      </c>
    </row>
    <row r="169" spans="1:90" x14ac:dyDescent="0.2">
      <c r="A169" s="3" t="s">
        <v>72</v>
      </c>
      <c r="B169" s="3" t="s">
        <v>73</v>
      </c>
      <c r="C169" s="3" t="s">
        <v>74</v>
      </c>
      <c r="E169" s="3" t="str">
        <f>"FES1162844353"</f>
        <v>FES1162844353</v>
      </c>
      <c r="F169" s="4">
        <v>44571</v>
      </c>
      <c r="G169" s="3">
        <v>202207</v>
      </c>
      <c r="H169" s="3" t="s">
        <v>75</v>
      </c>
      <c r="I169" s="3" t="s">
        <v>76</v>
      </c>
      <c r="J169" s="3" t="s">
        <v>77</v>
      </c>
      <c r="K169" s="3" t="s">
        <v>78</v>
      </c>
      <c r="L169" s="3" t="s">
        <v>129</v>
      </c>
      <c r="M169" s="3" t="s">
        <v>130</v>
      </c>
      <c r="N169" s="3" t="s">
        <v>404</v>
      </c>
      <c r="O169" s="3" t="s">
        <v>82</v>
      </c>
      <c r="P169" s="3" t="str">
        <f>"2170814802                    "</f>
        <v xml:space="preserve">2170814802                    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29.95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1</v>
      </c>
      <c r="BI169" s="3">
        <v>1</v>
      </c>
      <c r="BJ169" s="3">
        <v>0.2</v>
      </c>
      <c r="BK169" s="3">
        <v>1</v>
      </c>
      <c r="BL169" s="3">
        <v>114.31</v>
      </c>
      <c r="BM169" s="3">
        <v>17.149999999999999</v>
      </c>
      <c r="BN169" s="3">
        <v>131.46</v>
      </c>
      <c r="BO169" s="3">
        <v>131.46</v>
      </c>
      <c r="BQ169" s="3" t="s">
        <v>83</v>
      </c>
      <c r="BR169" s="3" t="s">
        <v>84</v>
      </c>
      <c r="BS169" s="4">
        <v>44572</v>
      </c>
      <c r="BT169" s="5">
        <v>0.45833333333333331</v>
      </c>
      <c r="BU169" s="3" t="s">
        <v>405</v>
      </c>
      <c r="BV169" s="3" t="s">
        <v>105</v>
      </c>
      <c r="BY169" s="3">
        <v>1200</v>
      </c>
      <c r="CA169" s="3" t="s">
        <v>406</v>
      </c>
      <c r="CC169" s="3" t="s">
        <v>130</v>
      </c>
      <c r="CD169" s="3">
        <v>3370</v>
      </c>
      <c r="CE169" s="3" t="s">
        <v>93</v>
      </c>
      <c r="CF169" s="4">
        <v>44573</v>
      </c>
      <c r="CI169" s="3">
        <v>2</v>
      </c>
      <c r="CJ169" s="3">
        <v>1</v>
      </c>
      <c r="CK169" s="3">
        <v>23</v>
      </c>
      <c r="CL169" s="3" t="s">
        <v>87</v>
      </c>
    </row>
    <row r="170" spans="1:90" x14ac:dyDescent="0.2">
      <c r="A170" s="3" t="s">
        <v>72</v>
      </c>
      <c r="B170" s="3" t="s">
        <v>73</v>
      </c>
      <c r="C170" s="3" t="s">
        <v>74</v>
      </c>
      <c r="E170" s="3" t="str">
        <f>"FES1162847537"</f>
        <v>FES1162847537</v>
      </c>
      <c r="F170" s="4">
        <v>44589</v>
      </c>
      <c r="G170" s="3">
        <v>202207</v>
      </c>
      <c r="H170" s="3" t="s">
        <v>75</v>
      </c>
      <c r="I170" s="3" t="s">
        <v>76</v>
      </c>
      <c r="J170" s="3" t="s">
        <v>77</v>
      </c>
      <c r="K170" s="3" t="s">
        <v>78</v>
      </c>
      <c r="L170" s="3" t="s">
        <v>138</v>
      </c>
      <c r="M170" s="3" t="s">
        <v>139</v>
      </c>
      <c r="N170" s="3" t="s">
        <v>214</v>
      </c>
      <c r="O170" s="3" t="s">
        <v>82</v>
      </c>
      <c r="P170" s="3" t="str">
        <f>"2170816345                    "</f>
        <v xml:space="preserve">2170816345                    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15.46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1</v>
      </c>
      <c r="BI170" s="3">
        <v>1</v>
      </c>
      <c r="BJ170" s="3">
        <v>0.2</v>
      </c>
      <c r="BK170" s="3">
        <v>1</v>
      </c>
      <c r="BL170" s="3">
        <v>59</v>
      </c>
      <c r="BM170" s="3">
        <v>8.85</v>
      </c>
      <c r="BN170" s="3">
        <v>67.849999999999994</v>
      </c>
      <c r="BO170" s="3">
        <v>67.849999999999994</v>
      </c>
      <c r="BQ170" s="3" t="s">
        <v>126</v>
      </c>
      <c r="BR170" s="3" t="s">
        <v>84</v>
      </c>
      <c r="BS170" s="3" t="s">
        <v>85</v>
      </c>
      <c r="BY170" s="3">
        <v>1200</v>
      </c>
      <c r="BZ170" s="3" t="s">
        <v>165</v>
      </c>
      <c r="CC170" s="3" t="s">
        <v>139</v>
      </c>
      <c r="CD170" s="3">
        <v>3610</v>
      </c>
      <c r="CE170" s="3" t="s">
        <v>93</v>
      </c>
      <c r="CI170" s="3">
        <v>1</v>
      </c>
      <c r="CJ170" s="3" t="s">
        <v>85</v>
      </c>
      <c r="CK170" s="3">
        <v>21</v>
      </c>
      <c r="CL170" s="3" t="s">
        <v>87</v>
      </c>
    </row>
    <row r="171" spans="1:90" x14ac:dyDescent="0.2">
      <c r="A171" s="3" t="s">
        <v>72</v>
      </c>
      <c r="B171" s="3" t="s">
        <v>73</v>
      </c>
      <c r="C171" s="3" t="s">
        <v>74</v>
      </c>
      <c r="E171" s="3" t="str">
        <f>"FES1162847481"</f>
        <v>FES1162847481</v>
      </c>
      <c r="F171" s="4">
        <v>44589</v>
      </c>
      <c r="G171" s="3">
        <v>202207</v>
      </c>
      <c r="H171" s="3" t="s">
        <v>75</v>
      </c>
      <c r="I171" s="3" t="s">
        <v>76</v>
      </c>
      <c r="J171" s="3" t="s">
        <v>77</v>
      </c>
      <c r="K171" s="3" t="s">
        <v>78</v>
      </c>
      <c r="L171" s="3" t="s">
        <v>94</v>
      </c>
      <c r="M171" s="3" t="s">
        <v>95</v>
      </c>
      <c r="N171" s="3" t="s">
        <v>179</v>
      </c>
      <c r="O171" s="3" t="s">
        <v>82</v>
      </c>
      <c r="P171" s="3" t="str">
        <f>"2170818738                    "</f>
        <v xml:space="preserve">2170818738                    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30.91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1</v>
      </c>
      <c r="BI171" s="3">
        <v>4</v>
      </c>
      <c r="BJ171" s="3">
        <v>1.4</v>
      </c>
      <c r="BK171" s="3">
        <v>4</v>
      </c>
      <c r="BL171" s="3">
        <v>117.97</v>
      </c>
      <c r="BM171" s="3">
        <v>17.7</v>
      </c>
      <c r="BN171" s="3">
        <v>135.66999999999999</v>
      </c>
      <c r="BO171" s="3">
        <v>135.66999999999999</v>
      </c>
      <c r="BQ171" s="3" t="s">
        <v>83</v>
      </c>
      <c r="BR171" s="3" t="s">
        <v>84</v>
      </c>
      <c r="BS171" s="3" t="s">
        <v>85</v>
      </c>
      <c r="BY171" s="3">
        <v>6760</v>
      </c>
      <c r="BZ171" s="3" t="s">
        <v>165</v>
      </c>
      <c r="CC171" s="3" t="s">
        <v>95</v>
      </c>
      <c r="CD171" s="3">
        <v>3201</v>
      </c>
      <c r="CE171" s="3" t="s">
        <v>86</v>
      </c>
      <c r="CI171" s="3">
        <v>1</v>
      </c>
      <c r="CJ171" s="3" t="s">
        <v>85</v>
      </c>
      <c r="CK171" s="3">
        <v>21</v>
      </c>
      <c r="CL171" s="3" t="s">
        <v>87</v>
      </c>
    </row>
    <row r="172" spans="1:90" x14ac:dyDescent="0.2">
      <c r="A172" s="3" t="s">
        <v>72</v>
      </c>
      <c r="B172" s="3" t="s">
        <v>73</v>
      </c>
      <c r="C172" s="3" t="s">
        <v>74</v>
      </c>
      <c r="E172" s="3" t="str">
        <f>"FES1162847559"</f>
        <v>FES1162847559</v>
      </c>
      <c r="F172" s="4">
        <v>44589</v>
      </c>
      <c r="G172" s="3">
        <v>202207</v>
      </c>
      <c r="H172" s="3" t="s">
        <v>75</v>
      </c>
      <c r="I172" s="3" t="s">
        <v>76</v>
      </c>
      <c r="J172" s="3" t="s">
        <v>77</v>
      </c>
      <c r="K172" s="3" t="s">
        <v>78</v>
      </c>
      <c r="L172" s="3" t="s">
        <v>75</v>
      </c>
      <c r="M172" s="3" t="s">
        <v>76</v>
      </c>
      <c r="N172" s="3" t="s">
        <v>409</v>
      </c>
      <c r="O172" s="3" t="s">
        <v>82</v>
      </c>
      <c r="P172" s="3" t="str">
        <f>"2170816495                    "</f>
        <v xml:space="preserve">2170816495                    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12.07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1</v>
      </c>
      <c r="BI172" s="3">
        <v>5</v>
      </c>
      <c r="BJ172" s="3">
        <v>4.0999999999999996</v>
      </c>
      <c r="BK172" s="3">
        <v>5</v>
      </c>
      <c r="BL172" s="3">
        <v>46.08</v>
      </c>
      <c r="BM172" s="3">
        <v>6.91</v>
      </c>
      <c r="BN172" s="3">
        <v>52.99</v>
      </c>
      <c r="BO172" s="3">
        <v>52.99</v>
      </c>
      <c r="BR172" s="3" t="s">
        <v>84</v>
      </c>
      <c r="BS172" s="3" t="s">
        <v>85</v>
      </c>
      <c r="BY172" s="3">
        <v>20358</v>
      </c>
      <c r="BZ172" s="3" t="s">
        <v>165</v>
      </c>
      <c r="CC172" s="3" t="s">
        <v>76</v>
      </c>
      <c r="CD172" s="3">
        <v>1600</v>
      </c>
      <c r="CE172" s="3" t="s">
        <v>86</v>
      </c>
      <c r="CI172" s="3">
        <v>1</v>
      </c>
      <c r="CJ172" s="3" t="s">
        <v>85</v>
      </c>
      <c r="CK172" s="3">
        <v>22</v>
      </c>
      <c r="CL172" s="3" t="s">
        <v>87</v>
      </c>
    </row>
    <row r="173" spans="1:90" x14ac:dyDescent="0.2">
      <c r="A173" s="3" t="s">
        <v>72</v>
      </c>
      <c r="B173" s="3" t="s">
        <v>73</v>
      </c>
      <c r="C173" s="3" t="s">
        <v>74</v>
      </c>
      <c r="E173" s="3" t="str">
        <f>"FES1162847540"</f>
        <v>FES1162847540</v>
      </c>
      <c r="F173" s="4">
        <v>44589</v>
      </c>
      <c r="G173" s="3">
        <v>202207</v>
      </c>
      <c r="H173" s="3" t="s">
        <v>75</v>
      </c>
      <c r="I173" s="3" t="s">
        <v>76</v>
      </c>
      <c r="J173" s="3" t="s">
        <v>77</v>
      </c>
      <c r="K173" s="3" t="s">
        <v>78</v>
      </c>
      <c r="L173" s="3" t="s">
        <v>90</v>
      </c>
      <c r="M173" s="3" t="s">
        <v>91</v>
      </c>
      <c r="N173" s="3" t="s">
        <v>132</v>
      </c>
      <c r="O173" s="3" t="s">
        <v>82</v>
      </c>
      <c r="P173" s="3" t="str">
        <f>"2170816362                    "</f>
        <v xml:space="preserve">2170816362                    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69.53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1</v>
      </c>
      <c r="BI173" s="3">
        <v>9</v>
      </c>
      <c r="BJ173" s="3">
        <v>4.0999999999999996</v>
      </c>
      <c r="BK173" s="3">
        <v>9</v>
      </c>
      <c r="BL173" s="3">
        <v>265.39</v>
      </c>
      <c r="BM173" s="3">
        <v>39.81</v>
      </c>
      <c r="BN173" s="3">
        <v>305.2</v>
      </c>
      <c r="BO173" s="3">
        <v>305.2</v>
      </c>
      <c r="BQ173" s="3" t="s">
        <v>83</v>
      </c>
      <c r="BR173" s="3" t="s">
        <v>84</v>
      </c>
      <c r="BS173" s="3" t="s">
        <v>85</v>
      </c>
      <c r="BY173" s="3">
        <v>20358</v>
      </c>
      <c r="BZ173" s="3" t="s">
        <v>165</v>
      </c>
      <c r="CC173" s="3" t="s">
        <v>91</v>
      </c>
      <c r="CD173" s="3">
        <v>7530</v>
      </c>
      <c r="CE173" s="3" t="s">
        <v>86</v>
      </c>
      <c r="CI173" s="3">
        <v>1</v>
      </c>
      <c r="CJ173" s="3" t="s">
        <v>85</v>
      </c>
      <c r="CK173" s="3">
        <v>21</v>
      </c>
      <c r="CL173" s="3" t="s">
        <v>87</v>
      </c>
    </row>
    <row r="174" spans="1:90" x14ac:dyDescent="0.2">
      <c r="A174" s="3" t="s">
        <v>72</v>
      </c>
      <c r="B174" s="3" t="s">
        <v>73</v>
      </c>
      <c r="C174" s="3" t="s">
        <v>74</v>
      </c>
      <c r="E174" s="3" t="str">
        <f>"FES1162847529"</f>
        <v>FES1162847529</v>
      </c>
      <c r="F174" s="4">
        <v>44589</v>
      </c>
      <c r="G174" s="3">
        <v>202207</v>
      </c>
      <c r="H174" s="3" t="s">
        <v>75</v>
      </c>
      <c r="I174" s="3" t="s">
        <v>76</v>
      </c>
      <c r="J174" s="3" t="s">
        <v>77</v>
      </c>
      <c r="K174" s="3" t="s">
        <v>78</v>
      </c>
      <c r="L174" s="3" t="s">
        <v>171</v>
      </c>
      <c r="M174" s="3" t="s">
        <v>172</v>
      </c>
      <c r="N174" s="3" t="s">
        <v>200</v>
      </c>
      <c r="O174" s="3" t="s">
        <v>82</v>
      </c>
      <c r="P174" s="3" t="str">
        <f>"2170815950                    "</f>
        <v xml:space="preserve">2170815950                    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54.08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1</v>
      </c>
      <c r="BI174" s="3">
        <v>7</v>
      </c>
      <c r="BJ174" s="3">
        <v>4.0999999999999996</v>
      </c>
      <c r="BK174" s="3">
        <v>7</v>
      </c>
      <c r="BL174" s="3">
        <v>206.42</v>
      </c>
      <c r="BM174" s="3">
        <v>30.96</v>
      </c>
      <c r="BN174" s="3">
        <v>237.38</v>
      </c>
      <c r="BO174" s="3">
        <v>237.38</v>
      </c>
      <c r="BQ174" s="3" t="s">
        <v>89</v>
      </c>
      <c r="BR174" s="3" t="s">
        <v>84</v>
      </c>
      <c r="BS174" s="3" t="s">
        <v>85</v>
      </c>
      <c r="BY174" s="3">
        <v>20358</v>
      </c>
      <c r="BZ174" s="3" t="s">
        <v>165</v>
      </c>
      <c r="CC174" s="3" t="s">
        <v>172</v>
      </c>
      <c r="CD174" s="3">
        <v>6001</v>
      </c>
      <c r="CE174" s="3" t="s">
        <v>86</v>
      </c>
      <c r="CI174" s="3">
        <v>1</v>
      </c>
      <c r="CJ174" s="3" t="s">
        <v>85</v>
      </c>
      <c r="CK174" s="3">
        <v>21</v>
      </c>
      <c r="CL174" s="3" t="s">
        <v>87</v>
      </c>
    </row>
    <row r="175" spans="1:90" x14ac:dyDescent="0.2">
      <c r="A175" s="3" t="s">
        <v>72</v>
      </c>
      <c r="B175" s="3" t="s">
        <v>73</v>
      </c>
      <c r="C175" s="3" t="s">
        <v>74</v>
      </c>
      <c r="E175" s="3" t="str">
        <f>"FES1162847533"</f>
        <v>FES1162847533</v>
      </c>
      <c r="F175" s="4">
        <v>44589</v>
      </c>
      <c r="G175" s="3">
        <v>202207</v>
      </c>
      <c r="H175" s="3" t="s">
        <v>75</v>
      </c>
      <c r="I175" s="3" t="s">
        <v>76</v>
      </c>
      <c r="J175" s="3" t="s">
        <v>77</v>
      </c>
      <c r="K175" s="3" t="s">
        <v>78</v>
      </c>
      <c r="L175" s="3" t="s">
        <v>101</v>
      </c>
      <c r="M175" s="3" t="s">
        <v>102</v>
      </c>
      <c r="N175" s="3" t="s">
        <v>103</v>
      </c>
      <c r="O175" s="3" t="s">
        <v>82</v>
      </c>
      <c r="P175" s="3" t="str">
        <f>"2170816294                    "</f>
        <v xml:space="preserve">2170816294                    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34.770000000000003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1</v>
      </c>
      <c r="BI175" s="3">
        <v>2</v>
      </c>
      <c r="BJ175" s="3">
        <v>4.0999999999999996</v>
      </c>
      <c r="BK175" s="3">
        <v>4.5</v>
      </c>
      <c r="BL175" s="3">
        <v>132.71</v>
      </c>
      <c r="BM175" s="3">
        <v>19.91</v>
      </c>
      <c r="BN175" s="3">
        <v>152.62</v>
      </c>
      <c r="BO175" s="3">
        <v>152.62</v>
      </c>
      <c r="BQ175" s="3" t="s">
        <v>83</v>
      </c>
      <c r="BR175" s="3" t="s">
        <v>84</v>
      </c>
      <c r="BS175" s="4">
        <v>44592</v>
      </c>
      <c r="BT175" s="5">
        <v>0.31597222222222221</v>
      </c>
      <c r="BU175" s="3" t="s">
        <v>104</v>
      </c>
      <c r="BV175" s="3" t="s">
        <v>105</v>
      </c>
      <c r="BY175" s="3">
        <v>20358</v>
      </c>
      <c r="BZ175" s="3" t="s">
        <v>165</v>
      </c>
      <c r="CA175" s="3" t="s">
        <v>106</v>
      </c>
      <c r="CC175" s="3" t="s">
        <v>102</v>
      </c>
      <c r="CD175" s="3">
        <v>4001</v>
      </c>
      <c r="CE175" s="3" t="s">
        <v>86</v>
      </c>
      <c r="CI175" s="3">
        <v>1</v>
      </c>
      <c r="CJ175" s="3">
        <v>1</v>
      </c>
      <c r="CK175" s="3">
        <v>21</v>
      </c>
      <c r="CL175" s="3" t="s">
        <v>87</v>
      </c>
    </row>
    <row r="176" spans="1:90" x14ac:dyDescent="0.2">
      <c r="A176" s="3" t="s">
        <v>72</v>
      </c>
      <c r="B176" s="3" t="s">
        <v>73</v>
      </c>
      <c r="C176" s="3" t="s">
        <v>74</v>
      </c>
      <c r="E176" s="3" t="str">
        <f>"FES1162847440"</f>
        <v>FES1162847440</v>
      </c>
      <c r="F176" s="4">
        <v>44589</v>
      </c>
      <c r="G176" s="3">
        <v>202207</v>
      </c>
      <c r="H176" s="3" t="s">
        <v>75</v>
      </c>
      <c r="I176" s="3" t="s">
        <v>76</v>
      </c>
      <c r="J176" s="3" t="s">
        <v>77</v>
      </c>
      <c r="K176" s="3" t="s">
        <v>78</v>
      </c>
      <c r="L176" s="3" t="s">
        <v>75</v>
      </c>
      <c r="M176" s="3" t="s">
        <v>76</v>
      </c>
      <c r="N176" s="3" t="s">
        <v>166</v>
      </c>
      <c r="O176" s="3" t="s">
        <v>82</v>
      </c>
      <c r="P176" s="3" t="str">
        <f>"2170818717                    "</f>
        <v xml:space="preserve">2170818717                    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12.07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1</v>
      </c>
      <c r="BI176" s="3">
        <v>1</v>
      </c>
      <c r="BJ176" s="3">
        <v>0.2</v>
      </c>
      <c r="BK176" s="3">
        <v>1</v>
      </c>
      <c r="BL176" s="3">
        <v>46.08</v>
      </c>
      <c r="BM176" s="3">
        <v>6.91</v>
      </c>
      <c r="BN176" s="3">
        <v>52.99</v>
      </c>
      <c r="BO176" s="3">
        <v>52.99</v>
      </c>
      <c r="BQ176" s="3" t="s">
        <v>89</v>
      </c>
      <c r="BR176" s="3" t="s">
        <v>84</v>
      </c>
      <c r="BS176" s="3" t="s">
        <v>85</v>
      </c>
      <c r="BY176" s="3">
        <v>1200</v>
      </c>
      <c r="BZ176" s="3" t="s">
        <v>165</v>
      </c>
      <c r="CC176" s="3" t="s">
        <v>76</v>
      </c>
      <c r="CD176" s="3">
        <v>1665</v>
      </c>
      <c r="CE176" s="3" t="s">
        <v>93</v>
      </c>
      <c r="CI176" s="3">
        <v>1</v>
      </c>
      <c r="CJ176" s="3" t="s">
        <v>85</v>
      </c>
      <c r="CK176" s="3">
        <v>22</v>
      </c>
      <c r="CL176" s="3" t="s">
        <v>87</v>
      </c>
    </row>
    <row r="177" spans="1:90" x14ac:dyDescent="0.2">
      <c r="A177" s="3" t="s">
        <v>72</v>
      </c>
      <c r="B177" s="3" t="s">
        <v>73</v>
      </c>
      <c r="C177" s="3" t="s">
        <v>74</v>
      </c>
      <c r="E177" s="3" t="str">
        <f>"FES1162847556"</f>
        <v>FES1162847556</v>
      </c>
      <c r="F177" s="4">
        <v>44589</v>
      </c>
      <c r="G177" s="3">
        <v>202207</v>
      </c>
      <c r="H177" s="3" t="s">
        <v>75</v>
      </c>
      <c r="I177" s="3" t="s">
        <v>76</v>
      </c>
      <c r="J177" s="3" t="s">
        <v>77</v>
      </c>
      <c r="K177" s="3" t="s">
        <v>78</v>
      </c>
      <c r="L177" s="3" t="s">
        <v>120</v>
      </c>
      <c r="M177" s="3" t="s">
        <v>121</v>
      </c>
      <c r="N177" s="3" t="s">
        <v>410</v>
      </c>
      <c r="O177" s="3" t="s">
        <v>82</v>
      </c>
      <c r="P177" s="3" t="str">
        <f>"2170816469                    "</f>
        <v xml:space="preserve">2170816469                    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15.46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1</v>
      </c>
      <c r="BI177" s="3">
        <v>1</v>
      </c>
      <c r="BJ177" s="3">
        <v>0.2</v>
      </c>
      <c r="BK177" s="3">
        <v>1</v>
      </c>
      <c r="BL177" s="3">
        <v>59</v>
      </c>
      <c r="BM177" s="3">
        <v>8.85</v>
      </c>
      <c r="BN177" s="3">
        <v>67.849999999999994</v>
      </c>
      <c r="BO177" s="3">
        <v>67.849999999999994</v>
      </c>
      <c r="BQ177" s="3" t="s">
        <v>411</v>
      </c>
      <c r="BR177" s="3" t="s">
        <v>84</v>
      </c>
      <c r="BS177" s="3" t="s">
        <v>85</v>
      </c>
      <c r="BY177" s="3">
        <v>1200</v>
      </c>
      <c r="BZ177" s="3" t="s">
        <v>165</v>
      </c>
      <c r="CC177" s="3" t="s">
        <v>121</v>
      </c>
      <c r="CD177" s="3">
        <v>6230</v>
      </c>
      <c r="CE177" s="3" t="s">
        <v>93</v>
      </c>
      <c r="CI177" s="3">
        <v>1</v>
      </c>
      <c r="CJ177" s="3" t="s">
        <v>85</v>
      </c>
      <c r="CK177" s="3">
        <v>21</v>
      </c>
      <c r="CL177" s="3" t="s">
        <v>87</v>
      </c>
    </row>
    <row r="178" spans="1:90" x14ac:dyDescent="0.2">
      <c r="A178" s="3" t="s">
        <v>72</v>
      </c>
      <c r="B178" s="3" t="s">
        <v>73</v>
      </c>
      <c r="C178" s="3" t="s">
        <v>74</v>
      </c>
      <c r="E178" s="3" t="str">
        <f>"FES1162847598"</f>
        <v>FES1162847598</v>
      </c>
      <c r="F178" s="4">
        <v>44589</v>
      </c>
      <c r="G178" s="3">
        <v>202207</v>
      </c>
      <c r="H178" s="3" t="s">
        <v>75</v>
      </c>
      <c r="I178" s="3" t="s">
        <v>76</v>
      </c>
      <c r="J178" s="3" t="s">
        <v>77</v>
      </c>
      <c r="K178" s="3" t="s">
        <v>78</v>
      </c>
      <c r="L178" s="3" t="s">
        <v>258</v>
      </c>
      <c r="M178" s="3" t="s">
        <v>259</v>
      </c>
      <c r="N178" s="3" t="s">
        <v>412</v>
      </c>
      <c r="O178" s="3" t="s">
        <v>148</v>
      </c>
      <c r="P178" s="3" t="str">
        <f>"2170810418                    "</f>
        <v xml:space="preserve">2170810418                    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36.450000000000003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1</v>
      </c>
      <c r="BI178" s="3">
        <v>16</v>
      </c>
      <c r="BJ178" s="3">
        <v>18.3</v>
      </c>
      <c r="BK178" s="3">
        <v>19</v>
      </c>
      <c r="BL178" s="3">
        <v>144.37</v>
      </c>
      <c r="BM178" s="3">
        <v>21.66</v>
      </c>
      <c r="BN178" s="3">
        <v>166.03</v>
      </c>
      <c r="BO178" s="3">
        <v>166.03</v>
      </c>
      <c r="BQ178" s="3" t="s">
        <v>83</v>
      </c>
      <c r="BR178" s="3" t="s">
        <v>84</v>
      </c>
      <c r="BS178" s="3" t="s">
        <v>85</v>
      </c>
      <c r="BY178" s="3">
        <v>91264</v>
      </c>
      <c r="BZ178" s="3" t="s">
        <v>327</v>
      </c>
      <c r="CC178" s="3" t="s">
        <v>259</v>
      </c>
      <c r="CD178" s="3">
        <v>2302</v>
      </c>
      <c r="CE178" s="3" t="s">
        <v>86</v>
      </c>
      <c r="CI178" s="3">
        <v>1</v>
      </c>
      <c r="CJ178" s="3" t="s">
        <v>85</v>
      </c>
      <c r="CK178" s="3">
        <v>44</v>
      </c>
      <c r="CL178" s="3" t="s">
        <v>87</v>
      </c>
    </row>
    <row r="179" spans="1:90" x14ac:dyDescent="0.2">
      <c r="A179" s="3" t="s">
        <v>72</v>
      </c>
      <c r="B179" s="3" t="s">
        <v>73</v>
      </c>
      <c r="C179" s="3" t="s">
        <v>74</v>
      </c>
      <c r="E179" s="3" t="str">
        <f>"FES1162847470"</f>
        <v>FES1162847470</v>
      </c>
      <c r="F179" s="4">
        <v>44589</v>
      </c>
      <c r="G179" s="3">
        <v>202207</v>
      </c>
      <c r="H179" s="3" t="s">
        <v>75</v>
      </c>
      <c r="I179" s="3" t="s">
        <v>76</v>
      </c>
      <c r="J179" s="3" t="s">
        <v>77</v>
      </c>
      <c r="K179" s="3" t="s">
        <v>78</v>
      </c>
      <c r="L179" s="3" t="s">
        <v>171</v>
      </c>
      <c r="M179" s="3" t="s">
        <v>172</v>
      </c>
      <c r="N179" s="3" t="s">
        <v>200</v>
      </c>
      <c r="O179" s="3" t="s">
        <v>82</v>
      </c>
      <c r="P179" s="3" t="str">
        <f>"2170815950                    "</f>
        <v xml:space="preserve">2170815950                    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34.770000000000003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1</v>
      </c>
      <c r="BI179" s="3">
        <v>1</v>
      </c>
      <c r="BJ179" s="3">
        <v>4.0999999999999996</v>
      </c>
      <c r="BK179" s="3">
        <v>4.5</v>
      </c>
      <c r="BL179" s="3">
        <v>132.71</v>
      </c>
      <c r="BM179" s="3">
        <v>19.91</v>
      </c>
      <c r="BN179" s="3">
        <v>152.62</v>
      </c>
      <c r="BO179" s="3">
        <v>152.62</v>
      </c>
      <c r="BQ179" s="3" t="s">
        <v>89</v>
      </c>
      <c r="BR179" s="3" t="s">
        <v>84</v>
      </c>
      <c r="BS179" s="3" t="s">
        <v>85</v>
      </c>
      <c r="BY179" s="3">
        <v>20358</v>
      </c>
      <c r="BZ179" s="3" t="s">
        <v>165</v>
      </c>
      <c r="CC179" s="3" t="s">
        <v>172</v>
      </c>
      <c r="CD179" s="3">
        <v>6001</v>
      </c>
      <c r="CE179" s="3" t="s">
        <v>86</v>
      </c>
      <c r="CI179" s="3">
        <v>1</v>
      </c>
      <c r="CJ179" s="3" t="s">
        <v>85</v>
      </c>
      <c r="CK179" s="3">
        <v>21</v>
      </c>
      <c r="CL179" s="3" t="s">
        <v>87</v>
      </c>
    </row>
    <row r="180" spans="1:90" x14ac:dyDescent="0.2">
      <c r="A180" s="3" t="s">
        <v>72</v>
      </c>
      <c r="B180" s="3" t="s">
        <v>73</v>
      </c>
      <c r="C180" s="3" t="s">
        <v>74</v>
      </c>
      <c r="E180" s="3" t="str">
        <f>"FES1162847603"</f>
        <v>FES1162847603</v>
      </c>
      <c r="F180" s="4">
        <v>44589</v>
      </c>
      <c r="G180" s="3">
        <v>202207</v>
      </c>
      <c r="H180" s="3" t="s">
        <v>75</v>
      </c>
      <c r="I180" s="3" t="s">
        <v>76</v>
      </c>
      <c r="J180" s="3" t="s">
        <v>77</v>
      </c>
      <c r="K180" s="3" t="s">
        <v>78</v>
      </c>
      <c r="L180" s="3" t="s">
        <v>171</v>
      </c>
      <c r="M180" s="3" t="s">
        <v>172</v>
      </c>
      <c r="N180" s="3" t="s">
        <v>199</v>
      </c>
      <c r="O180" s="3" t="s">
        <v>82</v>
      </c>
      <c r="P180" s="3" t="str">
        <f>"2170815873                    "</f>
        <v xml:space="preserve">2170815873                    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15.46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1</v>
      </c>
      <c r="BI180" s="3">
        <v>1</v>
      </c>
      <c r="BJ180" s="3">
        <v>0.2</v>
      </c>
      <c r="BK180" s="3">
        <v>1</v>
      </c>
      <c r="BL180" s="3">
        <v>59</v>
      </c>
      <c r="BM180" s="3">
        <v>8.85</v>
      </c>
      <c r="BN180" s="3">
        <v>67.849999999999994</v>
      </c>
      <c r="BO180" s="3">
        <v>67.849999999999994</v>
      </c>
      <c r="BR180" s="3" t="s">
        <v>84</v>
      </c>
      <c r="BS180" s="3" t="s">
        <v>85</v>
      </c>
      <c r="BY180" s="3">
        <v>1200</v>
      </c>
      <c r="BZ180" s="3" t="s">
        <v>165</v>
      </c>
      <c r="CC180" s="3" t="s">
        <v>172</v>
      </c>
      <c r="CD180" s="3">
        <v>6000</v>
      </c>
      <c r="CE180" s="3" t="s">
        <v>93</v>
      </c>
      <c r="CI180" s="3">
        <v>1</v>
      </c>
      <c r="CJ180" s="3" t="s">
        <v>85</v>
      </c>
      <c r="CK180" s="3">
        <v>21</v>
      </c>
      <c r="CL180" s="3" t="s">
        <v>87</v>
      </c>
    </row>
    <row r="181" spans="1:90" x14ac:dyDescent="0.2">
      <c r="A181" s="3" t="s">
        <v>72</v>
      </c>
      <c r="B181" s="3" t="s">
        <v>73</v>
      </c>
      <c r="C181" s="3" t="s">
        <v>74</v>
      </c>
      <c r="E181" s="3" t="str">
        <f>"FES1162847543"</f>
        <v>FES1162847543</v>
      </c>
      <c r="F181" s="4">
        <v>44589</v>
      </c>
      <c r="G181" s="3">
        <v>202207</v>
      </c>
      <c r="H181" s="3" t="s">
        <v>75</v>
      </c>
      <c r="I181" s="3" t="s">
        <v>76</v>
      </c>
      <c r="J181" s="3" t="s">
        <v>77</v>
      </c>
      <c r="K181" s="3" t="s">
        <v>78</v>
      </c>
      <c r="L181" s="3" t="s">
        <v>97</v>
      </c>
      <c r="M181" s="3" t="s">
        <v>98</v>
      </c>
      <c r="N181" s="3" t="s">
        <v>413</v>
      </c>
      <c r="O181" s="3" t="s">
        <v>82</v>
      </c>
      <c r="P181" s="3" t="str">
        <f>"2170816369                    "</f>
        <v xml:space="preserve">2170816369                    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12.07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1</v>
      </c>
      <c r="BI181" s="3">
        <v>1</v>
      </c>
      <c r="BJ181" s="3">
        <v>2</v>
      </c>
      <c r="BK181" s="3">
        <v>2</v>
      </c>
      <c r="BL181" s="3">
        <v>46.08</v>
      </c>
      <c r="BM181" s="3">
        <v>6.91</v>
      </c>
      <c r="BN181" s="3">
        <v>52.99</v>
      </c>
      <c r="BO181" s="3">
        <v>52.99</v>
      </c>
      <c r="BQ181" s="3" t="s">
        <v>83</v>
      </c>
      <c r="BR181" s="3" t="s">
        <v>84</v>
      </c>
      <c r="BS181" s="3" t="s">
        <v>85</v>
      </c>
      <c r="BY181" s="3">
        <v>9918</v>
      </c>
      <c r="BZ181" s="3" t="s">
        <v>165</v>
      </c>
      <c r="CC181" s="3" t="s">
        <v>98</v>
      </c>
      <c r="CD181" s="3">
        <v>2094</v>
      </c>
      <c r="CE181" s="3" t="s">
        <v>86</v>
      </c>
      <c r="CI181" s="3">
        <v>1</v>
      </c>
      <c r="CJ181" s="3" t="s">
        <v>85</v>
      </c>
      <c r="CK181" s="3">
        <v>22</v>
      </c>
      <c r="CL181" s="3" t="s">
        <v>87</v>
      </c>
    </row>
    <row r="182" spans="1:90" x14ac:dyDescent="0.2">
      <c r="A182" s="3" t="s">
        <v>72</v>
      </c>
      <c r="B182" s="3" t="s">
        <v>73</v>
      </c>
      <c r="C182" s="3" t="s">
        <v>74</v>
      </c>
      <c r="E182" s="3" t="str">
        <f>"FES1162847609"</f>
        <v>FES1162847609</v>
      </c>
      <c r="F182" s="4">
        <v>44589</v>
      </c>
      <c r="G182" s="3">
        <v>202207</v>
      </c>
      <c r="H182" s="3" t="s">
        <v>75</v>
      </c>
      <c r="I182" s="3" t="s">
        <v>76</v>
      </c>
      <c r="J182" s="3" t="s">
        <v>77</v>
      </c>
      <c r="K182" s="3" t="s">
        <v>78</v>
      </c>
      <c r="L182" s="3" t="s">
        <v>101</v>
      </c>
      <c r="M182" s="3" t="s">
        <v>102</v>
      </c>
      <c r="N182" s="3" t="s">
        <v>414</v>
      </c>
      <c r="O182" s="3" t="s">
        <v>82</v>
      </c>
      <c r="P182" s="3" t="str">
        <f>"2170816216                    "</f>
        <v xml:space="preserve">2170816216                    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15.46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0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1</v>
      </c>
      <c r="BI182" s="3">
        <v>1</v>
      </c>
      <c r="BJ182" s="3">
        <v>0.2</v>
      </c>
      <c r="BK182" s="3">
        <v>1</v>
      </c>
      <c r="BL182" s="3">
        <v>59</v>
      </c>
      <c r="BM182" s="3">
        <v>8.85</v>
      </c>
      <c r="BN182" s="3">
        <v>67.849999999999994</v>
      </c>
      <c r="BO182" s="3">
        <v>67.849999999999994</v>
      </c>
      <c r="BQ182" s="3" t="s">
        <v>83</v>
      </c>
      <c r="BR182" s="3" t="s">
        <v>84</v>
      </c>
      <c r="BS182" s="3" t="s">
        <v>85</v>
      </c>
      <c r="BY182" s="3">
        <v>1200</v>
      </c>
      <c r="BZ182" s="3" t="s">
        <v>165</v>
      </c>
      <c r="CC182" s="3" t="s">
        <v>102</v>
      </c>
      <c r="CD182" s="3">
        <v>4001</v>
      </c>
      <c r="CE182" s="3" t="s">
        <v>93</v>
      </c>
      <c r="CI182" s="3">
        <v>1</v>
      </c>
      <c r="CJ182" s="3" t="s">
        <v>85</v>
      </c>
      <c r="CK182" s="3">
        <v>21</v>
      </c>
      <c r="CL182" s="3" t="s">
        <v>87</v>
      </c>
    </row>
    <row r="183" spans="1:90" x14ac:dyDescent="0.2">
      <c r="A183" s="3" t="s">
        <v>72</v>
      </c>
      <c r="B183" s="3" t="s">
        <v>73</v>
      </c>
      <c r="C183" s="3" t="s">
        <v>74</v>
      </c>
      <c r="E183" s="3" t="str">
        <f>"FES1162847633"</f>
        <v>FES1162847633</v>
      </c>
      <c r="F183" s="4">
        <v>44589</v>
      </c>
      <c r="G183" s="3">
        <v>202207</v>
      </c>
      <c r="H183" s="3" t="s">
        <v>75</v>
      </c>
      <c r="I183" s="3" t="s">
        <v>76</v>
      </c>
      <c r="J183" s="3" t="s">
        <v>77</v>
      </c>
      <c r="K183" s="3" t="s">
        <v>78</v>
      </c>
      <c r="L183" s="3" t="s">
        <v>79</v>
      </c>
      <c r="M183" s="3" t="s">
        <v>80</v>
      </c>
      <c r="N183" s="3" t="s">
        <v>415</v>
      </c>
      <c r="O183" s="3" t="s">
        <v>82</v>
      </c>
      <c r="P183" s="3" t="str">
        <f>"2170818778                    "</f>
        <v xml:space="preserve">2170818778                    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15.46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1</v>
      </c>
      <c r="BI183" s="3">
        <v>1</v>
      </c>
      <c r="BJ183" s="3">
        <v>0.2</v>
      </c>
      <c r="BK183" s="3">
        <v>1</v>
      </c>
      <c r="BL183" s="3">
        <v>59</v>
      </c>
      <c r="BM183" s="3">
        <v>8.85</v>
      </c>
      <c r="BN183" s="3">
        <v>67.849999999999994</v>
      </c>
      <c r="BO183" s="3">
        <v>67.849999999999994</v>
      </c>
      <c r="BQ183" s="3" t="s">
        <v>83</v>
      </c>
      <c r="BR183" s="3" t="s">
        <v>84</v>
      </c>
      <c r="BS183" s="3" t="s">
        <v>85</v>
      </c>
      <c r="BY183" s="3">
        <v>1200</v>
      </c>
      <c r="BZ183" s="3" t="s">
        <v>165</v>
      </c>
      <c r="CC183" s="3" t="s">
        <v>80</v>
      </c>
      <c r="CD183" s="3">
        <v>183</v>
      </c>
      <c r="CE183" s="3" t="s">
        <v>93</v>
      </c>
      <c r="CI183" s="3">
        <v>1</v>
      </c>
      <c r="CJ183" s="3" t="s">
        <v>85</v>
      </c>
      <c r="CK183" s="3">
        <v>21</v>
      </c>
      <c r="CL183" s="3" t="s">
        <v>87</v>
      </c>
    </row>
    <row r="184" spans="1:90" x14ac:dyDescent="0.2">
      <c r="A184" s="3" t="s">
        <v>72</v>
      </c>
      <c r="B184" s="3" t="s">
        <v>73</v>
      </c>
      <c r="C184" s="3" t="s">
        <v>74</v>
      </c>
      <c r="E184" s="3" t="str">
        <f>"FES1162847424"</f>
        <v>FES1162847424</v>
      </c>
      <c r="F184" s="4">
        <v>44589</v>
      </c>
      <c r="G184" s="3">
        <v>202207</v>
      </c>
      <c r="H184" s="3" t="s">
        <v>75</v>
      </c>
      <c r="I184" s="3" t="s">
        <v>76</v>
      </c>
      <c r="J184" s="3" t="s">
        <v>77</v>
      </c>
      <c r="K184" s="3" t="s">
        <v>78</v>
      </c>
      <c r="L184" s="3" t="s">
        <v>171</v>
      </c>
      <c r="M184" s="3" t="s">
        <v>172</v>
      </c>
      <c r="N184" s="3" t="s">
        <v>329</v>
      </c>
      <c r="O184" s="3" t="s">
        <v>148</v>
      </c>
      <c r="P184" s="3" t="str">
        <f>"2170805612                    "</f>
        <v xml:space="preserve">2170805612                    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29.89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1</v>
      </c>
      <c r="BI184" s="3">
        <v>10</v>
      </c>
      <c r="BJ184" s="3">
        <v>14.4</v>
      </c>
      <c r="BK184" s="3">
        <v>15</v>
      </c>
      <c r="BL184" s="3">
        <v>119.34</v>
      </c>
      <c r="BM184" s="3">
        <v>17.899999999999999</v>
      </c>
      <c r="BN184" s="3">
        <v>137.24</v>
      </c>
      <c r="BO184" s="3">
        <v>137.24</v>
      </c>
      <c r="BQ184" s="3" t="s">
        <v>83</v>
      </c>
      <c r="BR184" s="3" t="s">
        <v>84</v>
      </c>
      <c r="BS184" s="3" t="s">
        <v>85</v>
      </c>
      <c r="BY184" s="3">
        <v>72000</v>
      </c>
      <c r="BZ184" s="3" t="s">
        <v>327</v>
      </c>
      <c r="CC184" s="3" t="s">
        <v>172</v>
      </c>
      <c r="CD184" s="3">
        <v>6001</v>
      </c>
      <c r="CE184" s="3" t="s">
        <v>86</v>
      </c>
      <c r="CI184" s="3">
        <v>2</v>
      </c>
      <c r="CJ184" s="3" t="s">
        <v>85</v>
      </c>
      <c r="CK184" s="3">
        <v>41</v>
      </c>
      <c r="CL184" s="3" t="s">
        <v>87</v>
      </c>
    </row>
    <row r="185" spans="1:90" x14ac:dyDescent="0.2">
      <c r="A185" s="3" t="s">
        <v>72</v>
      </c>
      <c r="B185" s="3" t="s">
        <v>73</v>
      </c>
      <c r="C185" s="3" t="s">
        <v>74</v>
      </c>
      <c r="E185" s="3" t="str">
        <f>"FES1162847649"</f>
        <v>FES1162847649</v>
      </c>
      <c r="F185" s="4">
        <v>44589</v>
      </c>
      <c r="G185" s="3">
        <v>202207</v>
      </c>
      <c r="H185" s="3" t="s">
        <v>75</v>
      </c>
      <c r="I185" s="3" t="s">
        <v>76</v>
      </c>
      <c r="J185" s="3" t="s">
        <v>77</v>
      </c>
      <c r="K185" s="3" t="s">
        <v>78</v>
      </c>
      <c r="L185" s="3" t="s">
        <v>171</v>
      </c>
      <c r="M185" s="3" t="s">
        <v>172</v>
      </c>
      <c r="N185" s="3" t="s">
        <v>174</v>
      </c>
      <c r="O185" s="3" t="s">
        <v>82</v>
      </c>
      <c r="P185" s="3" t="str">
        <f>"2170818798                    "</f>
        <v xml:space="preserve">2170818798                    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15.46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0</v>
      </c>
      <c r="AZ185" s="3">
        <v>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1</v>
      </c>
      <c r="BI185" s="3">
        <v>1</v>
      </c>
      <c r="BJ185" s="3">
        <v>0.2</v>
      </c>
      <c r="BK185" s="3">
        <v>1</v>
      </c>
      <c r="BL185" s="3">
        <v>59</v>
      </c>
      <c r="BM185" s="3">
        <v>8.85</v>
      </c>
      <c r="BN185" s="3">
        <v>67.849999999999994</v>
      </c>
      <c r="BO185" s="3">
        <v>67.849999999999994</v>
      </c>
      <c r="BQ185" s="3" t="s">
        <v>83</v>
      </c>
      <c r="BR185" s="3" t="s">
        <v>84</v>
      </c>
      <c r="BS185" s="3" t="s">
        <v>85</v>
      </c>
      <c r="BY185" s="3">
        <v>1200</v>
      </c>
      <c r="BZ185" s="3" t="s">
        <v>165</v>
      </c>
      <c r="CC185" s="3" t="s">
        <v>172</v>
      </c>
      <c r="CD185" s="3">
        <v>6001</v>
      </c>
      <c r="CE185" s="3" t="s">
        <v>93</v>
      </c>
      <c r="CI185" s="3">
        <v>1</v>
      </c>
      <c r="CJ185" s="3" t="s">
        <v>85</v>
      </c>
      <c r="CK185" s="3">
        <v>21</v>
      </c>
      <c r="CL185" s="3" t="s">
        <v>87</v>
      </c>
    </row>
    <row r="186" spans="1:90" x14ac:dyDescent="0.2">
      <c r="A186" s="3" t="s">
        <v>72</v>
      </c>
      <c r="B186" s="3" t="s">
        <v>73</v>
      </c>
      <c r="C186" s="3" t="s">
        <v>74</v>
      </c>
      <c r="E186" s="3" t="str">
        <f>"FES1162847485"</f>
        <v>FES1162847485</v>
      </c>
      <c r="F186" s="4">
        <v>44589</v>
      </c>
      <c r="G186" s="3">
        <v>202207</v>
      </c>
      <c r="H186" s="3" t="s">
        <v>75</v>
      </c>
      <c r="I186" s="3" t="s">
        <v>76</v>
      </c>
      <c r="J186" s="3" t="s">
        <v>77</v>
      </c>
      <c r="K186" s="3" t="s">
        <v>78</v>
      </c>
      <c r="L186" s="3" t="s">
        <v>79</v>
      </c>
      <c r="M186" s="3" t="s">
        <v>80</v>
      </c>
      <c r="N186" s="3" t="s">
        <v>416</v>
      </c>
      <c r="O186" s="3" t="s">
        <v>82</v>
      </c>
      <c r="P186" s="3" t="str">
        <f>"2170796672                    "</f>
        <v xml:space="preserve">2170796672                    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30.91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1</v>
      </c>
      <c r="BI186" s="3">
        <v>2</v>
      </c>
      <c r="BJ186" s="3">
        <v>3.7</v>
      </c>
      <c r="BK186" s="3">
        <v>4</v>
      </c>
      <c r="BL186" s="3">
        <v>117.97</v>
      </c>
      <c r="BM186" s="3">
        <v>17.7</v>
      </c>
      <c r="BN186" s="3">
        <v>135.66999999999999</v>
      </c>
      <c r="BO186" s="3">
        <v>135.66999999999999</v>
      </c>
      <c r="BQ186" s="3" t="s">
        <v>126</v>
      </c>
      <c r="BR186" s="3" t="s">
        <v>84</v>
      </c>
      <c r="BS186" s="3" t="s">
        <v>85</v>
      </c>
      <c r="BY186" s="3">
        <v>18515</v>
      </c>
      <c r="CC186" s="3" t="s">
        <v>80</v>
      </c>
      <c r="CD186" s="3">
        <v>186</v>
      </c>
      <c r="CE186" s="3" t="s">
        <v>86</v>
      </c>
      <c r="CI186" s="3">
        <v>1</v>
      </c>
      <c r="CJ186" s="3" t="s">
        <v>85</v>
      </c>
      <c r="CK186" s="3">
        <v>21</v>
      </c>
      <c r="CL186" s="3" t="s">
        <v>87</v>
      </c>
    </row>
    <row r="187" spans="1:90" x14ac:dyDescent="0.2">
      <c r="A187" s="3" t="s">
        <v>72</v>
      </c>
      <c r="B187" s="3" t="s">
        <v>73</v>
      </c>
      <c r="C187" s="3" t="s">
        <v>74</v>
      </c>
      <c r="E187" s="3" t="str">
        <f>"FES1162847520"</f>
        <v>FES1162847520</v>
      </c>
      <c r="F187" s="4">
        <v>44589</v>
      </c>
      <c r="G187" s="3">
        <v>202207</v>
      </c>
      <c r="H187" s="3" t="s">
        <v>75</v>
      </c>
      <c r="I187" s="3" t="s">
        <v>76</v>
      </c>
      <c r="J187" s="3" t="s">
        <v>77</v>
      </c>
      <c r="K187" s="3" t="s">
        <v>78</v>
      </c>
      <c r="L187" s="3" t="s">
        <v>158</v>
      </c>
      <c r="M187" s="3" t="s">
        <v>159</v>
      </c>
      <c r="N187" s="3" t="s">
        <v>417</v>
      </c>
      <c r="O187" s="3" t="s">
        <v>82</v>
      </c>
      <c r="P187" s="3" t="str">
        <f>"2170813997                    "</f>
        <v xml:space="preserve">2170813997                    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12.07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1</v>
      </c>
      <c r="BI187" s="3">
        <v>2</v>
      </c>
      <c r="BJ187" s="3">
        <v>4.0999999999999996</v>
      </c>
      <c r="BK187" s="3">
        <v>4.5</v>
      </c>
      <c r="BL187" s="3">
        <v>46.08</v>
      </c>
      <c r="BM187" s="3">
        <v>6.91</v>
      </c>
      <c r="BN187" s="3">
        <v>52.99</v>
      </c>
      <c r="BO187" s="3">
        <v>52.99</v>
      </c>
      <c r="BQ187" s="3" t="s">
        <v>83</v>
      </c>
      <c r="BR187" s="3" t="s">
        <v>84</v>
      </c>
      <c r="BS187" s="3" t="s">
        <v>85</v>
      </c>
      <c r="BY187" s="3">
        <v>20358</v>
      </c>
      <c r="CC187" s="3" t="s">
        <v>159</v>
      </c>
      <c r="CD187" s="3">
        <v>1459</v>
      </c>
      <c r="CE187" s="3" t="s">
        <v>86</v>
      </c>
      <c r="CI187" s="3">
        <v>1</v>
      </c>
      <c r="CJ187" s="3" t="s">
        <v>85</v>
      </c>
      <c r="CK187" s="3">
        <v>22</v>
      </c>
      <c r="CL187" s="3" t="s">
        <v>87</v>
      </c>
    </row>
    <row r="188" spans="1:90" x14ac:dyDescent="0.2">
      <c r="A188" s="3" t="s">
        <v>72</v>
      </c>
      <c r="B188" s="3" t="s">
        <v>73</v>
      </c>
      <c r="C188" s="3" t="s">
        <v>74</v>
      </c>
      <c r="E188" s="3" t="str">
        <f>"FES1162847472"</f>
        <v>FES1162847472</v>
      </c>
      <c r="F188" s="4">
        <v>44589</v>
      </c>
      <c r="G188" s="3">
        <v>202207</v>
      </c>
      <c r="H188" s="3" t="s">
        <v>75</v>
      </c>
      <c r="I188" s="3" t="s">
        <v>76</v>
      </c>
      <c r="J188" s="3" t="s">
        <v>77</v>
      </c>
      <c r="K188" s="3" t="s">
        <v>78</v>
      </c>
      <c r="L188" s="3" t="s">
        <v>171</v>
      </c>
      <c r="M188" s="3" t="s">
        <v>172</v>
      </c>
      <c r="N188" s="3" t="s">
        <v>235</v>
      </c>
      <c r="O188" s="3" t="s">
        <v>82</v>
      </c>
      <c r="P188" s="3" t="str">
        <f>"2170816059                    "</f>
        <v xml:space="preserve">2170816059                    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46.36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1</v>
      </c>
      <c r="BI188" s="3">
        <v>5</v>
      </c>
      <c r="BJ188" s="3">
        <v>5.6</v>
      </c>
      <c r="BK188" s="3">
        <v>6</v>
      </c>
      <c r="BL188" s="3">
        <v>176.94</v>
      </c>
      <c r="BM188" s="3">
        <v>26.54</v>
      </c>
      <c r="BN188" s="3">
        <v>203.48</v>
      </c>
      <c r="BO188" s="3">
        <v>203.48</v>
      </c>
      <c r="BQ188" s="3" t="s">
        <v>89</v>
      </c>
      <c r="BR188" s="3" t="s">
        <v>84</v>
      </c>
      <c r="BS188" s="3" t="s">
        <v>85</v>
      </c>
      <c r="BY188" s="3">
        <v>28000</v>
      </c>
      <c r="CC188" s="3" t="s">
        <v>172</v>
      </c>
      <c r="CD188" s="3">
        <v>6001</v>
      </c>
      <c r="CE188" s="3" t="s">
        <v>86</v>
      </c>
      <c r="CI188" s="3">
        <v>1</v>
      </c>
      <c r="CJ188" s="3" t="s">
        <v>85</v>
      </c>
      <c r="CK188" s="3">
        <v>21</v>
      </c>
      <c r="CL188" s="3" t="s">
        <v>87</v>
      </c>
    </row>
    <row r="189" spans="1:90" x14ac:dyDescent="0.2">
      <c r="A189" s="3" t="s">
        <v>72</v>
      </c>
      <c r="B189" s="3" t="s">
        <v>73</v>
      </c>
      <c r="C189" s="3" t="s">
        <v>74</v>
      </c>
      <c r="E189" s="3" t="str">
        <f>"FES1162847461"</f>
        <v>FES1162847461</v>
      </c>
      <c r="F189" s="4">
        <v>44589</v>
      </c>
      <c r="G189" s="3">
        <v>202207</v>
      </c>
      <c r="H189" s="3" t="s">
        <v>75</v>
      </c>
      <c r="I189" s="3" t="s">
        <v>76</v>
      </c>
      <c r="J189" s="3" t="s">
        <v>77</v>
      </c>
      <c r="K189" s="3" t="s">
        <v>78</v>
      </c>
      <c r="L189" s="3" t="s">
        <v>79</v>
      </c>
      <c r="M189" s="3" t="s">
        <v>80</v>
      </c>
      <c r="N189" s="3" t="s">
        <v>136</v>
      </c>
      <c r="O189" s="3" t="s">
        <v>82</v>
      </c>
      <c r="P189" s="3" t="str">
        <f>"2170815176                    "</f>
        <v xml:space="preserve">2170815176                    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57.94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1</v>
      </c>
      <c r="BI189" s="3">
        <v>3</v>
      </c>
      <c r="BJ189" s="3">
        <v>7.2</v>
      </c>
      <c r="BK189" s="3">
        <v>7.5</v>
      </c>
      <c r="BL189" s="3">
        <v>221.16</v>
      </c>
      <c r="BM189" s="3">
        <v>33.17</v>
      </c>
      <c r="BN189" s="3">
        <v>254.33</v>
      </c>
      <c r="BO189" s="3">
        <v>254.33</v>
      </c>
      <c r="BQ189" s="3" t="s">
        <v>89</v>
      </c>
      <c r="BR189" s="3" t="s">
        <v>84</v>
      </c>
      <c r="BS189" s="3" t="s">
        <v>85</v>
      </c>
      <c r="BY189" s="3">
        <v>36192</v>
      </c>
      <c r="CC189" s="3" t="s">
        <v>80</v>
      </c>
      <c r="CD189" s="3">
        <v>82</v>
      </c>
      <c r="CE189" s="3" t="s">
        <v>86</v>
      </c>
      <c r="CI189" s="3">
        <v>1</v>
      </c>
      <c r="CJ189" s="3" t="s">
        <v>85</v>
      </c>
      <c r="CK189" s="3">
        <v>21</v>
      </c>
      <c r="CL189" s="3" t="s">
        <v>87</v>
      </c>
    </row>
    <row r="190" spans="1:90" x14ac:dyDescent="0.2">
      <c r="A190" s="3" t="s">
        <v>72</v>
      </c>
      <c r="B190" s="3" t="s">
        <v>73</v>
      </c>
      <c r="C190" s="3" t="s">
        <v>74</v>
      </c>
      <c r="E190" s="3" t="str">
        <f>"FES1162847641"</f>
        <v>FES1162847641</v>
      </c>
      <c r="F190" s="4">
        <v>44589</v>
      </c>
      <c r="G190" s="3">
        <v>202207</v>
      </c>
      <c r="H190" s="3" t="s">
        <v>75</v>
      </c>
      <c r="I190" s="3" t="s">
        <v>76</v>
      </c>
      <c r="J190" s="3" t="s">
        <v>77</v>
      </c>
      <c r="K190" s="3" t="s">
        <v>78</v>
      </c>
      <c r="L190" s="3" t="s">
        <v>90</v>
      </c>
      <c r="M190" s="3" t="s">
        <v>91</v>
      </c>
      <c r="N190" s="3" t="s">
        <v>418</v>
      </c>
      <c r="O190" s="3" t="s">
        <v>82</v>
      </c>
      <c r="P190" s="3" t="str">
        <f>"2170818788                    "</f>
        <v xml:space="preserve">2170818788                    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15.46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1</v>
      </c>
      <c r="BI190" s="3">
        <v>1</v>
      </c>
      <c r="BJ190" s="3">
        <v>0.2</v>
      </c>
      <c r="BK190" s="3">
        <v>1</v>
      </c>
      <c r="BL190" s="3">
        <v>59</v>
      </c>
      <c r="BM190" s="3">
        <v>8.85</v>
      </c>
      <c r="BN190" s="3">
        <v>67.849999999999994</v>
      </c>
      <c r="BO190" s="3">
        <v>67.849999999999994</v>
      </c>
      <c r="BQ190" s="3" t="s">
        <v>141</v>
      </c>
      <c r="BR190" s="3" t="s">
        <v>84</v>
      </c>
      <c r="BS190" s="3" t="s">
        <v>85</v>
      </c>
      <c r="BY190" s="3">
        <v>1200</v>
      </c>
      <c r="BZ190" s="3" t="s">
        <v>165</v>
      </c>
      <c r="CC190" s="3" t="s">
        <v>91</v>
      </c>
      <c r="CD190" s="3">
        <v>7441</v>
      </c>
      <c r="CE190" s="3" t="s">
        <v>93</v>
      </c>
      <c r="CI190" s="3">
        <v>1</v>
      </c>
      <c r="CJ190" s="3" t="s">
        <v>85</v>
      </c>
      <c r="CK190" s="3">
        <v>21</v>
      </c>
      <c r="CL190" s="3" t="s">
        <v>87</v>
      </c>
    </row>
    <row r="191" spans="1:90" x14ac:dyDescent="0.2">
      <c r="A191" s="3" t="s">
        <v>72</v>
      </c>
      <c r="B191" s="3" t="s">
        <v>73</v>
      </c>
      <c r="C191" s="3" t="s">
        <v>74</v>
      </c>
      <c r="E191" s="3" t="str">
        <f>"FES1162847619"</f>
        <v>FES1162847619</v>
      </c>
      <c r="F191" s="4">
        <v>44589</v>
      </c>
      <c r="G191" s="3">
        <v>202207</v>
      </c>
      <c r="H191" s="3" t="s">
        <v>75</v>
      </c>
      <c r="I191" s="3" t="s">
        <v>76</v>
      </c>
      <c r="J191" s="3" t="s">
        <v>77</v>
      </c>
      <c r="K191" s="3" t="s">
        <v>78</v>
      </c>
      <c r="L191" s="3" t="s">
        <v>115</v>
      </c>
      <c r="M191" s="3" t="s">
        <v>116</v>
      </c>
      <c r="N191" s="3" t="s">
        <v>419</v>
      </c>
      <c r="O191" s="3" t="s">
        <v>82</v>
      </c>
      <c r="P191" s="3" t="str">
        <f>"2170817245                    "</f>
        <v xml:space="preserve">2170817245                    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12.07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1</v>
      </c>
      <c r="BI191" s="3">
        <v>1</v>
      </c>
      <c r="BJ191" s="3">
        <v>0.2</v>
      </c>
      <c r="BK191" s="3">
        <v>1</v>
      </c>
      <c r="BL191" s="3">
        <v>46.08</v>
      </c>
      <c r="BM191" s="3">
        <v>6.91</v>
      </c>
      <c r="BN191" s="3">
        <v>52.99</v>
      </c>
      <c r="BO191" s="3">
        <v>52.99</v>
      </c>
      <c r="BQ191" s="3" t="s">
        <v>89</v>
      </c>
      <c r="BR191" s="3" t="s">
        <v>84</v>
      </c>
      <c r="BS191" s="3" t="s">
        <v>85</v>
      </c>
      <c r="BY191" s="3">
        <v>1200</v>
      </c>
      <c r="BZ191" s="3" t="s">
        <v>165</v>
      </c>
      <c r="CC191" s="3" t="s">
        <v>116</v>
      </c>
      <c r="CD191" s="3">
        <v>1559</v>
      </c>
      <c r="CE191" s="3" t="s">
        <v>93</v>
      </c>
      <c r="CI191" s="3">
        <v>1</v>
      </c>
      <c r="CJ191" s="3" t="s">
        <v>85</v>
      </c>
      <c r="CK191" s="3">
        <v>22</v>
      </c>
      <c r="CL191" s="3" t="s">
        <v>87</v>
      </c>
    </row>
    <row r="192" spans="1:90" x14ac:dyDescent="0.2">
      <c r="A192" s="3" t="s">
        <v>72</v>
      </c>
      <c r="B192" s="3" t="s">
        <v>73</v>
      </c>
      <c r="C192" s="3" t="s">
        <v>74</v>
      </c>
      <c r="E192" s="3" t="str">
        <f>"FES1162847636"</f>
        <v>FES1162847636</v>
      </c>
      <c r="F192" s="4">
        <v>44589</v>
      </c>
      <c r="G192" s="3">
        <v>202207</v>
      </c>
      <c r="H192" s="3" t="s">
        <v>75</v>
      </c>
      <c r="I192" s="3" t="s">
        <v>76</v>
      </c>
      <c r="J192" s="3" t="s">
        <v>77</v>
      </c>
      <c r="K192" s="3" t="s">
        <v>78</v>
      </c>
      <c r="L192" s="3" t="s">
        <v>420</v>
      </c>
      <c r="M192" s="3" t="s">
        <v>421</v>
      </c>
      <c r="N192" s="3" t="s">
        <v>422</v>
      </c>
      <c r="O192" s="3" t="s">
        <v>82</v>
      </c>
      <c r="P192" s="3" t="str">
        <f>"2170818782                    "</f>
        <v xml:space="preserve">2170818782                    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29.95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1</v>
      </c>
      <c r="BI192" s="3">
        <v>1</v>
      </c>
      <c r="BJ192" s="3">
        <v>0.2</v>
      </c>
      <c r="BK192" s="3">
        <v>1</v>
      </c>
      <c r="BL192" s="3">
        <v>114.31</v>
      </c>
      <c r="BM192" s="3">
        <v>17.149999999999999</v>
      </c>
      <c r="BN192" s="3">
        <v>131.46</v>
      </c>
      <c r="BO192" s="3">
        <v>131.46</v>
      </c>
      <c r="BR192" s="3" t="s">
        <v>84</v>
      </c>
      <c r="BS192" s="3" t="s">
        <v>85</v>
      </c>
      <c r="BY192" s="3">
        <v>1200</v>
      </c>
      <c r="BZ192" s="3" t="s">
        <v>165</v>
      </c>
      <c r="CC192" s="3" t="s">
        <v>421</v>
      </c>
      <c r="CD192" s="3">
        <v>6742</v>
      </c>
      <c r="CE192" s="3" t="s">
        <v>93</v>
      </c>
      <c r="CI192" s="3">
        <v>2</v>
      </c>
      <c r="CJ192" s="3" t="s">
        <v>85</v>
      </c>
      <c r="CK192" s="3">
        <v>23</v>
      </c>
      <c r="CL192" s="3" t="s">
        <v>87</v>
      </c>
    </row>
    <row r="193" spans="1:90" x14ac:dyDescent="0.2">
      <c r="A193" s="3" t="s">
        <v>72</v>
      </c>
      <c r="B193" s="3" t="s">
        <v>73</v>
      </c>
      <c r="C193" s="3" t="s">
        <v>74</v>
      </c>
      <c r="E193" s="3" t="str">
        <f>"FES1162847642"</f>
        <v>FES1162847642</v>
      </c>
      <c r="F193" s="4">
        <v>44589</v>
      </c>
      <c r="G193" s="3">
        <v>202207</v>
      </c>
      <c r="H193" s="3" t="s">
        <v>75</v>
      </c>
      <c r="I193" s="3" t="s">
        <v>76</v>
      </c>
      <c r="J193" s="3" t="s">
        <v>77</v>
      </c>
      <c r="K193" s="3" t="s">
        <v>78</v>
      </c>
      <c r="L193" s="3" t="s">
        <v>184</v>
      </c>
      <c r="M193" s="3" t="s">
        <v>185</v>
      </c>
      <c r="N193" s="3" t="s">
        <v>186</v>
      </c>
      <c r="O193" s="3" t="s">
        <v>82</v>
      </c>
      <c r="P193" s="3" t="str">
        <f>"2170818790                    "</f>
        <v xml:space="preserve">2170818790                    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15.46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1</v>
      </c>
      <c r="BI193" s="3">
        <v>1</v>
      </c>
      <c r="BJ193" s="3">
        <v>0.2</v>
      </c>
      <c r="BK193" s="3">
        <v>1</v>
      </c>
      <c r="BL193" s="3">
        <v>59</v>
      </c>
      <c r="BM193" s="3">
        <v>8.85</v>
      </c>
      <c r="BN193" s="3">
        <v>67.849999999999994</v>
      </c>
      <c r="BO193" s="3">
        <v>67.849999999999994</v>
      </c>
      <c r="BQ193" s="3" t="s">
        <v>83</v>
      </c>
      <c r="BR193" s="3" t="s">
        <v>84</v>
      </c>
      <c r="BS193" s="3" t="s">
        <v>85</v>
      </c>
      <c r="BY193" s="3">
        <v>1200</v>
      </c>
      <c r="BZ193" s="3" t="s">
        <v>165</v>
      </c>
      <c r="CC193" s="3" t="s">
        <v>185</v>
      </c>
      <c r="CD193" s="3">
        <v>5201</v>
      </c>
      <c r="CE193" s="3" t="s">
        <v>93</v>
      </c>
      <c r="CI193" s="3">
        <v>1</v>
      </c>
      <c r="CJ193" s="3" t="s">
        <v>85</v>
      </c>
      <c r="CK193" s="3">
        <v>21</v>
      </c>
      <c r="CL193" s="3" t="s">
        <v>87</v>
      </c>
    </row>
    <row r="194" spans="1:90" x14ac:dyDescent="0.2">
      <c r="A194" s="3" t="s">
        <v>72</v>
      </c>
      <c r="B194" s="3" t="s">
        <v>73</v>
      </c>
      <c r="C194" s="3" t="s">
        <v>74</v>
      </c>
      <c r="E194" s="3" t="str">
        <f>"FES1162847617"</f>
        <v>FES1162847617</v>
      </c>
      <c r="F194" s="4">
        <v>44589</v>
      </c>
      <c r="G194" s="3">
        <v>202207</v>
      </c>
      <c r="H194" s="3" t="s">
        <v>75</v>
      </c>
      <c r="I194" s="3" t="s">
        <v>76</v>
      </c>
      <c r="J194" s="3" t="s">
        <v>77</v>
      </c>
      <c r="K194" s="3" t="s">
        <v>78</v>
      </c>
      <c r="L194" s="3" t="s">
        <v>97</v>
      </c>
      <c r="M194" s="3" t="s">
        <v>98</v>
      </c>
      <c r="N194" s="3" t="s">
        <v>423</v>
      </c>
      <c r="O194" s="3" t="s">
        <v>82</v>
      </c>
      <c r="P194" s="3" t="str">
        <f>"2170816993                    "</f>
        <v xml:space="preserve">2170816993                    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12.07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1</v>
      </c>
      <c r="BI194" s="3">
        <v>1</v>
      </c>
      <c r="BJ194" s="3">
        <v>0.2</v>
      </c>
      <c r="BK194" s="3">
        <v>1</v>
      </c>
      <c r="BL194" s="3">
        <v>46.08</v>
      </c>
      <c r="BM194" s="3">
        <v>6.91</v>
      </c>
      <c r="BN194" s="3">
        <v>52.99</v>
      </c>
      <c r="BO194" s="3">
        <v>52.99</v>
      </c>
      <c r="BR194" s="3" t="s">
        <v>84</v>
      </c>
      <c r="BS194" s="3" t="s">
        <v>85</v>
      </c>
      <c r="BY194" s="3">
        <v>1200</v>
      </c>
      <c r="BZ194" s="3" t="s">
        <v>165</v>
      </c>
      <c r="CC194" s="3" t="s">
        <v>98</v>
      </c>
      <c r="CD194" s="3">
        <v>2001</v>
      </c>
      <c r="CE194" s="3" t="s">
        <v>93</v>
      </c>
      <c r="CI194" s="3">
        <v>1</v>
      </c>
      <c r="CJ194" s="3" t="s">
        <v>85</v>
      </c>
      <c r="CK194" s="3">
        <v>22</v>
      </c>
      <c r="CL194" s="3" t="s">
        <v>87</v>
      </c>
    </row>
    <row r="195" spans="1:90" x14ac:dyDescent="0.2">
      <c r="A195" s="3" t="s">
        <v>72</v>
      </c>
      <c r="B195" s="3" t="s">
        <v>73</v>
      </c>
      <c r="C195" s="3" t="s">
        <v>74</v>
      </c>
      <c r="E195" s="3" t="str">
        <f>"FES1162847629"</f>
        <v>FES1162847629</v>
      </c>
      <c r="F195" s="4">
        <v>44589</v>
      </c>
      <c r="G195" s="3">
        <v>202207</v>
      </c>
      <c r="H195" s="3" t="s">
        <v>75</v>
      </c>
      <c r="I195" s="3" t="s">
        <v>76</v>
      </c>
      <c r="J195" s="3" t="s">
        <v>77</v>
      </c>
      <c r="K195" s="3" t="s">
        <v>78</v>
      </c>
      <c r="L195" s="3" t="s">
        <v>335</v>
      </c>
      <c r="M195" s="3" t="s">
        <v>336</v>
      </c>
      <c r="N195" s="3" t="s">
        <v>424</v>
      </c>
      <c r="O195" s="3" t="s">
        <v>148</v>
      </c>
      <c r="P195" s="3" t="str">
        <f>"2170816960                    "</f>
        <v xml:space="preserve">2170816960                    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44.67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15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1</v>
      </c>
      <c r="BI195" s="3">
        <v>27</v>
      </c>
      <c r="BJ195" s="3">
        <v>18.3</v>
      </c>
      <c r="BK195" s="3">
        <v>27</v>
      </c>
      <c r="BL195" s="3">
        <v>190.76</v>
      </c>
      <c r="BM195" s="3">
        <v>28.61</v>
      </c>
      <c r="BN195" s="3">
        <v>219.37</v>
      </c>
      <c r="BO195" s="3">
        <v>219.37</v>
      </c>
      <c r="BQ195" s="3" t="s">
        <v>425</v>
      </c>
      <c r="BR195" s="3" t="s">
        <v>84</v>
      </c>
      <c r="BS195" s="3" t="s">
        <v>85</v>
      </c>
      <c r="BY195" s="3">
        <v>91264</v>
      </c>
      <c r="BZ195" s="3" t="s">
        <v>426</v>
      </c>
      <c r="CC195" s="3" t="s">
        <v>336</v>
      </c>
      <c r="CD195" s="3">
        <v>4110</v>
      </c>
      <c r="CE195" s="3" t="s">
        <v>86</v>
      </c>
      <c r="CI195" s="3">
        <v>1</v>
      </c>
      <c r="CJ195" s="3" t="s">
        <v>85</v>
      </c>
      <c r="CK195" s="3">
        <v>41</v>
      </c>
      <c r="CL195" s="3" t="s">
        <v>87</v>
      </c>
    </row>
    <row r="196" spans="1:90" x14ac:dyDescent="0.2">
      <c r="A196" s="3" t="s">
        <v>72</v>
      </c>
      <c r="B196" s="3" t="s">
        <v>73</v>
      </c>
      <c r="C196" s="3" t="s">
        <v>74</v>
      </c>
      <c r="E196" s="3" t="str">
        <f>"FES1162847640"</f>
        <v>FES1162847640</v>
      </c>
      <c r="F196" s="4">
        <v>44589</v>
      </c>
      <c r="G196" s="3">
        <v>202207</v>
      </c>
      <c r="H196" s="3" t="s">
        <v>75</v>
      </c>
      <c r="I196" s="3" t="s">
        <v>76</v>
      </c>
      <c r="J196" s="3" t="s">
        <v>77</v>
      </c>
      <c r="K196" s="3" t="s">
        <v>78</v>
      </c>
      <c r="L196" s="3" t="s">
        <v>427</v>
      </c>
      <c r="M196" s="3" t="s">
        <v>428</v>
      </c>
      <c r="N196" s="3" t="s">
        <v>429</v>
      </c>
      <c r="O196" s="3" t="s">
        <v>82</v>
      </c>
      <c r="P196" s="3" t="str">
        <f>"2170818758                    "</f>
        <v xml:space="preserve">2170818758                    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138.15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1</v>
      </c>
      <c r="BI196" s="3">
        <v>10</v>
      </c>
      <c r="BJ196" s="3">
        <v>9.1</v>
      </c>
      <c r="BK196" s="3">
        <v>10</v>
      </c>
      <c r="BL196" s="3">
        <v>527.30999999999995</v>
      </c>
      <c r="BM196" s="3">
        <v>79.099999999999994</v>
      </c>
      <c r="BN196" s="3">
        <v>606.41</v>
      </c>
      <c r="BO196" s="3">
        <v>606.41</v>
      </c>
      <c r="BQ196" s="3" t="s">
        <v>83</v>
      </c>
      <c r="BR196" s="3" t="s">
        <v>84</v>
      </c>
      <c r="BS196" s="3" t="s">
        <v>85</v>
      </c>
      <c r="BY196" s="3">
        <v>45632</v>
      </c>
      <c r="BZ196" s="3" t="s">
        <v>165</v>
      </c>
      <c r="CC196" s="3" t="s">
        <v>428</v>
      </c>
      <c r="CD196" s="3">
        <v>7130</v>
      </c>
      <c r="CE196" s="3" t="s">
        <v>86</v>
      </c>
      <c r="CI196" s="3">
        <v>1</v>
      </c>
      <c r="CJ196" s="3" t="s">
        <v>85</v>
      </c>
      <c r="CK196" s="3">
        <v>23</v>
      </c>
      <c r="CL196" s="3" t="s">
        <v>87</v>
      </c>
    </row>
    <row r="197" spans="1:90" x14ac:dyDescent="0.2">
      <c r="A197" s="3" t="s">
        <v>72</v>
      </c>
      <c r="B197" s="3" t="s">
        <v>73</v>
      </c>
      <c r="C197" s="3" t="s">
        <v>74</v>
      </c>
      <c r="E197" s="3" t="str">
        <f>"FES1162847608"</f>
        <v>FES1162847608</v>
      </c>
      <c r="F197" s="4">
        <v>44589</v>
      </c>
      <c r="G197" s="3">
        <v>202207</v>
      </c>
      <c r="H197" s="3" t="s">
        <v>75</v>
      </c>
      <c r="I197" s="3" t="s">
        <v>76</v>
      </c>
      <c r="J197" s="3" t="s">
        <v>77</v>
      </c>
      <c r="K197" s="3" t="s">
        <v>78</v>
      </c>
      <c r="L197" s="3" t="s">
        <v>79</v>
      </c>
      <c r="M197" s="3" t="s">
        <v>80</v>
      </c>
      <c r="N197" s="3" t="s">
        <v>237</v>
      </c>
      <c r="O197" s="3" t="s">
        <v>82</v>
      </c>
      <c r="P197" s="3" t="str">
        <f>"2170816068                    "</f>
        <v xml:space="preserve">2170816068                    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15.46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1</v>
      </c>
      <c r="BI197" s="3">
        <v>1</v>
      </c>
      <c r="BJ197" s="3">
        <v>0.2</v>
      </c>
      <c r="BK197" s="3">
        <v>1</v>
      </c>
      <c r="BL197" s="3">
        <v>59</v>
      </c>
      <c r="BM197" s="3">
        <v>8.85</v>
      </c>
      <c r="BN197" s="3">
        <v>67.849999999999994</v>
      </c>
      <c r="BO197" s="3">
        <v>67.849999999999994</v>
      </c>
      <c r="BQ197" s="3" t="s">
        <v>83</v>
      </c>
      <c r="BR197" s="3" t="s">
        <v>84</v>
      </c>
      <c r="BS197" s="3" t="s">
        <v>85</v>
      </c>
      <c r="BY197" s="3">
        <v>1200</v>
      </c>
      <c r="BZ197" s="3" t="s">
        <v>165</v>
      </c>
      <c r="CC197" s="3" t="s">
        <v>80</v>
      </c>
      <c r="CD197" s="3">
        <v>1</v>
      </c>
      <c r="CE197" s="3" t="s">
        <v>93</v>
      </c>
      <c r="CI197" s="3">
        <v>1</v>
      </c>
      <c r="CJ197" s="3" t="s">
        <v>85</v>
      </c>
      <c r="CK197" s="3">
        <v>21</v>
      </c>
      <c r="CL197" s="3" t="s">
        <v>87</v>
      </c>
    </row>
    <row r="198" spans="1:90" x14ac:dyDescent="0.2">
      <c r="A198" s="3" t="s">
        <v>72</v>
      </c>
      <c r="B198" s="3" t="s">
        <v>73</v>
      </c>
      <c r="C198" s="3" t="s">
        <v>74</v>
      </c>
      <c r="E198" s="3" t="str">
        <f>"FES1162847691"</f>
        <v>FES1162847691</v>
      </c>
      <c r="F198" s="4">
        <v>44589</v>
      </c>
      <c r="G198" s="3">
        <v>202207</v>
      </c>
      <c r="H198" s="3" t="s">
        <v>75</v>
      </c>
      <c r="I198" s="3" t="s">
        <v>76</v>
      </c>
      <c r="J198" s="3" t="s">
        <v>77</v>
      </c>
      <c r="K198" s="3" t="s">
        <v>78</v>
      </c>
      <c r="L198" s="3" t="s">
        <v>97</v>
      </c>
      <c r="M198" s="3" t="s">
        <v>98</v>
      </c>
      <c r="N198" s="3" t="s">
        <v>430</v>
      </c>
      <c r="O198" s="3" t="s">
        <v>82</v>
      </c>
      <c r="P198" s="3" t="str">
        <f>"2170818171                    "</f>
        <v xml:space="preserve">2170818171                    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12.07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1</v>
      </c>
      <c r="BI198" s="3">
        <v>1</v>
      </c>
      <c r="BJ198" s="3">
        <v>3.3</v>
      </c>
      <c r="BK198" s="3">
        <v>3.5</v>
      </c>
      <c r="BL198" s="3">
        <v>46.08</v>
      </c>
      <c r="BM198" s="3">
        <v>6.91</v>
      </c>
      <c r="BN198" s="3">
        <v>52.99</v>
      </c>
      <c r="BO198" s="3">
        <v>52.99</v>
      </c>
      <c r="BQ198" s="3" t="s">
        <v>431</v>
      </c>
      <c r="BR198" s="3" t="s">
        <v>84</v>
      </c>
      <c r="BS198" s="4">
        <v>44592</v>
      </c>
      <c r="BT198" s="5">
        <v>0.3444444444444445</v>
      </c>
      <c r="BU198" s="3" t="s">
        <v>432</v>
      </c>
      <c r="BY198" s="3">
        <v>16384</v>
      </c>
      <c r="BZ198" s="3" t="s">
        <v>165</v>
      </c>
      <c r="CC198" s="3" t="s">
        <v>98</v>
      </c>
      <c r="CD198" s="3">
        <v>2001</v>
      </c>
      <c r="CE198" s="3" t="s">
        <v>86</v>
      </c>
      <c r="CI198" s="3">
        <v>1</v>
      </c>
      <c r="CJ198" s="3">
        <v>1</v>
      </c>
      <c r="CK198" s="3">
        <v>22</v>
      </c>
      <c r="CL198" s="3" t="s">
        <v>87</v>
      </c>
    </row>
    <row r="199" spans="1:90" x14ac:dyDescent="0.2">
      <c r="A199" s="3" t="s">
        <v>72</v>
      </c>
      <c r="B199" s="3" t="s">
        <v>73</v>
      </c>
      <c r="C199" s="3" t="s">
        <v>74</v>
      </c>
      <c r="E199" s="3" t="str">
        <f>"009942045123"</f>
        <v>009942045123</v>
      </c>
      <c r="F199" s="4">
        <v>44589</v>
      </c>
      <c r="G199" s="3">
        <v>202207</v>
      </c>
      <c r="H199" s="3" t="s">
        <v>75</v>
      </c>
      <c r="I199" s="3" t="s">
        <v>76</v>
      </c>
      <c r="J199" s="3" t="s">
        <v>77</v>
      </c>
      <c r="K199" s="3" t="s">
        <v>78</v>
      </c>
      <c r="L199" s="3" t="s">
        <v>244</v>
      </c>
      <c r="M199" s="3" t="s">
        <v>245</v>
      </c>
      <c r="N199" s="3" t="s">
        <v>400</v>
      </c>
      <c r="O199" s="3" t="s">
        <v>82</v>
      </c>
      <c r="P199" s="3" t="str">
        <f>"1162847330                    "</f>
        <v xml:space="preserve">1162847330                    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63.76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1</v>
      </c>
      <c r="BI199" s="3">
        <v>2</v>
      </c>
      <c r="BJ199" s="3">
        <v>4.0999999999999996</v>
      </c>
      <c r="BK199" s="3">
        <v>4.5</v>
      </c>
      <c r="BL199" s="3">
        <v>243.37</v>
      </c>
      <c r="BM199" s="3">
        <v>36.51</v>
      </c>
      <c r="BN199" s="3">
        <v>279.88</v>
      </c>
      <c r="BO199" s="3">
        <v>279.88</v>
      </c>
      <c r="BQ199" s="3" t="s">
        <v>83</v>
      </c>
      <c r="BR199" s="3" t="s">
        <v>84</v>
      </c>
      <c r="BS199" s="3" t="s">
        <v>85</v>
      </c>
      <c r="BY199" s="3">
        <v>20358</v>
      </c>
      <c r="BZ199" s="3" t="s">
        <v>165</v>
      </c>
      <c r="CC199" s="3" t="s">
        <v>245</v>
      </c>
      <c r="CD199" s="3">
        <v>1947</v>
      </c>
      <c r="CE199" s="3" t="s">
        <v>86</v>
      </c>
      <c r="CI199" s="3">
        <v>1</v>
      </c>
      <c r="CJ199" s="3" t="s">
        <v>85</v>
      </c>
      <c r="CK199" s="3">
        <v>23</v>
      </c>
      <c r="CL199" s="3" t="s">
        <v>87</v>
      </c>
    </row>
    <row r="200" spans="1:90" x14ac:dyDescent="0.2">
      <c r="A200" s="3" t="s">
        <v>72</v>
      </c>
      <c r="B200" s="3" t="s">
        <v>73</v>
      </c>
      <c r="C200" s="3" t="s">
        <v>74</v>
      </c>
      <c r="E200" s="3" t="str">
        <f>"FES1162847596"</f>
        <v>FES1162847596</v>
      </c>
      <c r="F200" s="4">
        <v>44589</v>
      </c>
      <c r="G200" s="3">
        <v>202207</v>
      </c>
      <c r="H200" s="3" t="s">
        <v>75</v>
      </c>
      <c r="I200" s="3" t="s">
        <v>76</v>
      </c>
      <c r="J200" s="3" t="s">
        <v>77</v>
      </c>
      <c r="K200" s="3" t="s">
        <v>78</v>
      </c>
      <c r="L200" s="3" t="s">
        <v>195</v>
      </c>
      <c r="M200" s="3" t="s">
        <v>196</v>
      </c>
      <c r="N200" s="3" t="s">
        <v>433</v>
      </c>
      <c r="O200" s="3" t="s">
        <v>148</v>
      </c>
      <c r="P200" s="3" t="str">
        <f>"2170808004                    "</f>
        <v xml:space="preserve">2170808004                    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38.51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1</v>
      </c>
      <c r="BI200" s="3">
        <v>22</v>
      </c>
      <c r="BJ200" s="3">
        <v>18.3</v>
      </c>
      <c r="BK200" s="3">
        <v>22</v>
      </c>
      <c r="BL200" s="3">
        <v>152.25</v>
      </c>
      <c r="BM200" s="3">
        <v>22.84</v>
      </c>
      <c r="BN200" s="3">
        <v>175.09</v>
      </c>
      <c r="BO200" s="3">
        <v>175.09</v>
      </c>
      <c r="BQ200" s="3" t="s">
        <v>89</v>
      </c>
      <c r="BR200" s="3" t="s">
        <v>84</v>
      </c>
      <c r="BS200" s="4">
        <v>44592</v>
      </c>
      <c r="BT200" s="5">
        <v>0.31319444444444444</v>
      </c>
      <c r="BU200" s="3" t="s">
        <v>434</v>
      </c>
      <c r="BV200" s="3" t="s">
        <v>105</v>
      </c>
      <c r="BY200" s="3">
        <v>91264</v>
      </c>
      <c r="BZ200" s="3" t="s">
        <v>327</v>
      </c>
      <c r="CA200" s="3" t="s">
        <v>435</v>
      </c>
      <c r="CC200" s="3" t="s">
        <v>196</v>
      </c>
      <c r="CD200" s="3">
        <v>4319</v>
      </c>
      <c r="CE200" s="3" t="s">
        <v>86</v>
      </c>
      <c r="CI200" s="3">
        <v>1</v>
      </c>
      <c r="CJ200" s="3">
        <v>1</v>
      </c>
      <c r="CK200" s="3">
        <v>41</v>
      </c>
      <c r="CL200" s="3" t="s">
        <v>87</v>
      </c>
    </row>
    <row r="201" spans="1:90" x14ac:dyDescent="0.2">
      <c r="A201" s="3" t="s">
        <v>72</v>
      </c>
      <c r="B201" s="3" t="s">
        <v>73</v>
      </c>
      <c r="C201" s="3" t="s">
        <v>74</v>
      </c>
      <c r="E201" s="3" t="str">
        <f>"FES1162847600"</f>
        <v>FES1162847600</v>
      </c>
      <c r="F201" s="4">
        <v>44589</v>
      </c>
      <c r="G201" s="3">
        <v>202207</v>
      </c>
      <c r="H201" s="3" t="s">
        <v>75</v>
      </c>
      <c r="I201" s="3" t="s">
        <v>76</v>
      </c>
      <c r="J201" s="3" t="s">
        <v>77</v>
      </c>
      <c r="K201" s="3" t="s">
        <v>78</v>
      </c>
      <c r="L201" s="3" t="s">
        <v>171</v>
      </c>
      <c r="M201" s="3" t="s">
        <v>172</v>
      </c>
      <c r="N201" s="3" t="s">
        <v>235</v>
      </c>
      <c r="O201" s="3" t="s">
        <v>82</v>
      </c>
      <c r="P201" s="3" t="str">
        <f>"217815413                     "</f>
        <v xml:space="preserve">217815413                     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15.46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1</v>
      </c>
      <c r="BI201" s="3">
        <v>1</v>
      </c>
      <c r="BJ201" s="3">
        <v>0.2</v>
      </c>
      <c r="BK201" s="3">
        <v>1</v>
      </c>
      <c r="BL201" s="3">
        <v>59</v>
      </c>
      <c r="BM201" s="3">
        <v>8.85</v>
      </c>
      <c r="BN201" s="3">
        <v>67.849999999999994</v>
      </c>
      <c r="BO201" s="3">
        <v>67.849999999999994</v>
      </c>
      <c r="BQ201" s="3" t="s">
        <v>83</v>
      </c>
      <c r="BR201" s="3" t="s">
        <v>84</v>
      </c>
      <c r="BS201" s="3" t="s">
        <v>85</v>
      </c>
      <c r="BY201" s="3">
        <v>1200</v>
      </c>
      <c r="BZ201" s="3" t="s">
        <v>165</v>
      </c>
      <c r="CC201" s="3" t="s">
        <v>172</v>
      </c>
      <c r="CD201" s="3">
        <v>6001</v>
      </c>
      <c r="CE201" s="3" t="s">
        <v>93</v>
      </c>
      <c r="CI201" s="3">
        <v>1</v>
      </c>
      <c r="CJ201" s="3" t="s">
        <v>85</v>
      </c>
      <c r="CK201" s="3">
        <v>21</v>
      </c>
      <c r="CL201" s="3" t="s">
        <v>87</v>
      </c>
    </row>
    <row r="202" spans="1:90" x14ac:dyDescent="0.2">
      <c r="A202" s="3" t="s">
        <v>72</v>
      </c>
      <c r="B202" s="3" t="s">
        <v>73</v>
      </c>
      <c r="C202" s="3" t="s">
        <v>74</v>
      </c>
      <c r="E202" s="3" t="str">
        <f>"FES1162847635"</f>
        <v>FES1162847635</v>
      </c>
      <c r="F202" s="4">
        <v>44589</v>
      </c>
      <c r="G202" s="3">
        <v>202207</v>
      </c>
      <c r="H202" s="3" t="s">
        <v>75</v>
      </c>
      <c r="I202" s="3" t="s">
        <v>76</v>
      </c>
      <c r="J202" s="3" t="s">
        <v>77</v>
      </c>
      <c r="K202" s="3" t="s">
        <v>78</v>
      </c>
      <c r="L202" s="3" t="s">
        <v>90</v>
      </c>
      <c r="M202" s="3" t="s">
        <v>91</v>
      </c>
      <c r="N202" s="3" t="s">
        <v>436</v>
      </c>
      <c r="O202" s="3" t="s">
        <v>82</v>
      </c>
      <c r="P202" s="3" t="str">
        <f>"2170818780                    "</f>
        <v xml:space="preserve">2170818780                    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27.04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1</v>
      </c>
      <c r="BI202" s="3">
        <v>3</v>
      </c>
      <c r="BJ202" s="3">
        <v>3.1</v>
      </c>
      <c r="BK202" s="3">
        <v>3.5</v>
      </c>
      <c r="BL202" s="3">
        <v>103.22</v>
      </c>
      <c r="BM202" s="3">
        <v>15.48</v>
      </c>
      <c r="BN202" s="3">
        <v>118.7</v>
      </c>
      <c r="BO202" s="3">
        <v>118.7</v>
      </c>
      <c r="BQ202" s="3" t="s">
        <v>83</v>
      </c>
      <c r="BR202" s="3" t="s">
        <v>84</v>
      </c>
      <c r="BS202" s="3" t="s">
        <v>85</v>
      </c>
      <c r="BY202" s="3">
        <v>15360</v>
      </c>
      <c r="BZ202" s="3" t="s">
        <v>165</v>
      </c>
      <c r="CC202" s="3" t="s">
        <v>91</v>
      </c>
      <c r="CD202" s="3">
        <v>7800</v>
      </c>
      <c r="CE202" s="3" t="s">
        <v>86</v>
      </c>
      <c r="CI202" s="3">
        <v>1</v>
      </c>
      <c r="CJ202" s="3" t="s">
        <v>85</v>
      </c>
      <c r="CK202" s="3">
        <v>21</v>
      </c>
      <c r="CL202" s="3" t="s">
        <v>87</v>
      </c>
    </row>
    <row r="203" spans="1:90" x14ac:dyDescent="0.2">
      <c r="A203" s="3" t="s">
        <v>72</v>
      </c>
      <c r="B203" s="3" t="s">
        <v>73</v>
      </c>
      <c r="C203" s="3" t="s">
        <v>74</v>
      </c>
      <c r="E203" s="3" t="str">
        <f>"FES1162847618"</f>
        <v>FES1162847618</v>
      </c>
      <c r="F203" s="4">
        <v>44589</v>
      </c>
      <c r="G203" s="3">
        <v>202207</v>
      </c>
      <c r="H203" s="3" t="s">
        <v>75</v>
      </c>
      <c r="I203" s="3" t="s">
        <v>76</v>
      </c>
      <c r="J203" s="3" t="s">
        <v>77</v>
      </c>
      <c r="K203" s="3" t="s">
        <v>78</v>
      </c>
      <c r="L203" s="3" t="s">
        <v>79</v>
      </c>
      <c r="M203" s="3" t="s">
        <v>80</v>
      </c>
      <c r="N203" s="3" t="s">
        <v>415</v>
      </c>
      <c r="O203" s="3" t="s">
        <v>82</v>
      </c>
      <c r="P203" s="3" t="str">
        <f>"2170817227                    "</f>
        <v xml:space="preserve">2170817227                    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15.46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1</v>
      </c>
      <c r="BI203" s="3">
        <v>1</v>
      </c>
      <c r="BJ203" s="3">
        <v>0.2</v>
      </c>
      <c r="BK203" s="3">
        <v>1</v>
      </c>
      <c r="BL203" s="3">
        <v>59</v>
      </c>
      <c r="BM203" s="3">
        <v>8.85</v>
      </c>
      <c r="BN203" s="3">
        <v>67.849999999999994</v>
      </c>
      <c r="BO203" s="3">
        <v>67.849999999999994</v>
      </c>
      <c r="BQ203" s="3" t="s">
        <v>83</v>
      </c>
      <c r="BR203" s="3" t="s">
        <v>84</v>
      </c>
      <c r="BS203" s="3" t="s">
        <v>85</v>
      </c>
      <c r="BY203" s="3">
        <v>1200</v>
      </c>
      <c r="BZ203" s="3" t="s">
        <v>165</v>
      </c>
      <c r="CC203" s="3" t="s">
        <v>80</v>
      </c>
      <c r="CD203" s="3">
        <v>183</v>
      </c>
      <c r="CE203" s="3" t="s">
        <v>93</v>
      </c>
      <c r="CI203" s="3">
        <v>1</v>
      </c>
      <c r="CJ203" s="3" t="s">
        <v>85</v>
      </c>
      <c r="CK203" s="3">
        <v>21</v>
      </c>
      <c r="CL203" s="3" t="s">
        <v>87</v>
      </c>
    </row>
    <row r="204" spans="1:90" x14ac:dyDescent="0.2">
      <c r="A204" s="3" t="s">
        <v>72</v>
      </c>
      <c r="B204" s="3" t="s">
        <v>73</v>
      </c>
      <c r="C204" s="3" t="s">
        <v>74</v>
      </c>
      <c r="E204" s="3" t="str">
        <f>"FES1162847623"</f>
        <v>FES1162847623</v>
      </c>
      <c r="F204" s="4">
        <v>44589</v>
      </c>
      <c r="G204" s="3">
        <v>202207</v>
      </c>
      <c r="H204" s="3" t="s">
        <v>75</v>
      </c>
      <c r="I204" s="3" t="s">
        <v>76</v>
      </c>
      <c r="J204" s="3" t="s">
        <v>77</v>
      </c>
      <c r="K204" s="3" t="s">
        <v>78</v>
      </c>
      <c r="L204" s="3" t="s">
        <v>97</v>
      </c>
      <c r="M204" s="3" t="s">
        <v>98</v>
      </c>
      <c r="N204" s="3" t="s">
        <v>437</v>
      </c>
      <c r="O204" s="3" t="s">
        <v>82</v>
      </c>
      <c r="P204" s="3" t="str">
        <f>"2170818304                    "</f>
        <v xml:space="preserve">2170818304                    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12.07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1</v>
      </c>
      <c r="BI204" s="3">
        <v>1</v>
      </c>
      <c r="BJ204" s="3">
        <v>0.2</v>
      </c>
      <c r="BK204" s="3">
        <v>1</v>
      </c>
      <c r="BL204" s="3">
        <v>46.08</v>
      </c>
      <c r="BM204" s="3">
        <v>6.91</v>
      </c>
      <c r="BN204" s="3">
        <v>52.99</v>
      </c>
      <c r="BO204" s="3">
        <v>52.99</v>
      </c>
      <c r="BR204" s="3" t="s">
        <v>84</v>
      </c>
      <c r="BS204" s="3" t="s">
        <v>85</v>
      </c>
      <c r="BY204" s="3">
        <v>1200</v>
      </c>
      <c r="BZ204" s="3" t="s">
        <v>165</v>
      </c>
      <c r="CC204" s="3" t="s">
        <v>98</v>
      </c>
      <c r="CD204" s="3">
        <v>2197</v>
      </c>
      <c r="CE204" s="3" t="s">
        <v>93</v>
      </c>
      <c r="CI204" s="3">
        <v>1</v>
      </c>
      <c r="CJ204" s="3" t="s">
        <v>85</v>
      </c>
      <c r="CK204" s="3">
        <v>22</v>
      </c>
      <c r="CL204" s="3" t="s">
        <v>87</v>
      </c>
    </row>
    <row r="205" spans="1:90" x14ac:dyDescent="0.2">
      <c r="A205" s="3" t="s">
        <v>72</v>
      </c>
      <c r="B205" s="3" t="s">
        <v>73</v>
      </c>
      <c r="C205" s="3" t="s">
        <v>74</v>
      </c>
      <c r="E205" s="3" t="str">
        <f>"FES1162847554"</f>
        <v>FES1162847554</v>
      </c>
      <c r="F205" s="4">
        <v>44589</v>
      </c>
      <c r="G205" s="3">
        <v>202207</v>
      </c>
      <c r="H205" s="3" t="s">
        <v>75</v>
      </c>
      <c r="I205" s="3" t="s">
        <v>76</v>
      </c>
      <c r="J205" s="3" t="s">
        <v>77</v>
      </c>
      <c r="K205" s="3" t="s">
        <v>78</v>
      </c>
      <c r="L205" s="3" t="s">
        <v>90</v>
      </c>
      <c r="M205" s="3" t="s">
        <v>91</v>
      </c>
      <c r="N205" s="3" t="s">
        <v>157</v>
      </c>
      <c r="O205" s="3" t="s">
        <v>82</v>
      </c>
      <c r="P205" s="3" t="str">
        <f>"2170816453                    "</f>
        <v xml:space="preserve">2170816453                    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30.91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1</v>
      </c>
      <c r="BI205" s="3">
        <v>4</v>
      </c>
      <c r="BJ205" s="3">
        <v>2</v>
      </c>
      <c r="BK205" s="3">
        <v>4</v>
      </c>
      <c r="BL205" s="3">
        <v>117.97</v>
      </c>
      <c r="BM205" s="3">
        <v>17.7</v>
      </c>
      <c r="BN205" s="3">
        <v>135.66999999999999</v>
      </c>
      <c r="BO205" s="3">
        <v>135.66999999999999</v>
      </c>
      <c r="BQ205" s="3" t="s">
        <v>89</v>
      </c>
      <c r="BR205" s="3" t="s">
        <v>84</v>
      </c>
      <c r="BS205" s="3" t="s">
        <v>85</v>
      </c>
      <c r="BY205" s="3">
        <v>9918</v>
      </c>
      <c r="BZ205" s="3" t="s">
        <v>165</v>
      </c>
      <c r="CC205" s="3" t="s">
        <v>91</v>
      </c>
      <c r="CD205" s="3">
        <v>7441</v>
      </c>
      <c r="CE205" s="3" t="s">
        <v>86</v>
      </c>
      <c r="CI205" s="3">
        <v>1</v>
      </c>
      <c r="CJ205" s="3" t="s">
        <v>85</v>
      </c>
      <c r="CK205" s="3">
        <v>21</v>
      </c>
      <c r="CL205" s="3" t="s">
        <v>87</v>
      </c>
    </row>
    <row r="206" spans="1:90" x14ac:dyDescent="0.2">
      <c r="A206" s="3" t="s">
        <v>72</v>
      </c>
      <c r="B206" s="3" t="s">
        <v>73</v>
      </c>
      <c r="C206" s="3" t="s">
        <v>74</v>
      </c>
      <c r="E206" s="3" t="str">
        <f>"FES1162847591"</f>
        <v>FES1162847591</v>
      </c>
      <c r="F206" s="4">
        <v>44589</v>
      </c>
      <c r="G206" s="3">
        <v>202207</v>
      </c>
      <c r="H206" s="3" t="s">
        <v>75</v>
      </c>
      <c r="I206" s="3" t="s">
        <v>76</v>
      </c>
      <c r="J206" s="3" t="s">
        <v>77</v>
      </c>
      <c r="K206" s="3" t="s">
        <v>78</v>
      </c>
      <c r="L206" s="3" t="s">
        <v>90</v>
      </c>
      <c r="M206" s="3" t="s">
        <v>91</v>
      </c>
      <c r="N206" s="3" t="s">
        <v>210</v>
      </c>
      <c r="O206" s="3" t="s">
        <v>82</v>
      </c>
      <c r="P206" s="3" t="str">
        <f>"2170818765                    "</f>
        <v xml:space="preserve">2170818765                    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15.46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1</v>
      </c>
      <c r="BI206" s="3">
        <v>2</v>
      </c>
      <c r="BJ206" s="3">
        <v>2</v>
      </c>
      <c r="BK206" s="3">
        <v>2</v>
      </c>
      <c r="BL206" s="3">
        <v>59</v>
      </c>
      <c r="BM206" s="3">
        <v>8.85</v>
      </c>
      <c r="BN206" s="3">
        <v>67.849999999999994</v>
      </c>
      <c r="BO206" s="3">
        <v>67.849999999999994</v>
      </c>
      <c r="BQ206" s="3" t="s">
        <v>89</v>
      </c>
      <c r="BR206" s="3" t="s">
        <v>84</v>
      </c>
      <c r="BS206" s="3" t="s">
        <v>85</v>
      </c>
      <c r="BY206" s="3">
        <v>9900</v>
      </c>
      <c r="BZ206" s="3" t="s">
        <v>165</v>
      </c>
      <c r="CC206" s="3" t="s">
        <v>91</v>
      </c>
      <c r="CD206" s="3">
        <v>7441</v>
      </c>
      <c r="CE206" s="3" t="s">
        <v>86</v>
      </c>
      <c r="CI206" s="3">
        <v>1</v>
      </c>
      <c r="CJ206" s="3" t="s">
        <v>85</v>
      </c>
      <c r="CK206" s="3">
        <v>21</v>
      </c>
      <c r="CL206" s="3" t="s">
        <v>87</v>
      </c>
    </row>
    <row r="207" spans="1:90" x14ac:dyDescent="0.2">
      <c r="A207" s="3" t="s">
        <v>72</v>
      </c>
      <c r="B207" s="3" t="s">
        <v>73</v>
      </c>
      <c r="C207" s="3" t="s">
        <v>74</v>
      </c>
      <c r="E207" s="3" t="str">
        <f>"FES1162847593"</f>
        <v>FES1162847593</v>
      </c>
      <c r="F207" s="4">
        <v>44589</v>
      </c>
      <c r="G207" s="3">
        <v>202207</v>
      </c>
      <c r="H207" s="3" t="s">
        <v>75</v>
      </c>
      <c r="I207" s="3" t="s">
        <v>76</v>
      </c>
      <c r="J207" s="3" t="s">
        <v>77</v>
      </c>
      <c r="K207" s="3" t="s">
        <v>78</v>
      </c>
      <c r="L207" s="3" t="s">
        <v>438</v>
      </c>
      <c r="M207" s="3" t="s">
        <v>439</v>
      </c>
      <c r="N207" s="3" t="s">
        <v>440</v>
      </c>
      <c r="O207" s="3" t="s">
        <v>82</v>
      </c>
      <c r="P207" s="3" t="str">
        <f>"2170818767                    "</f>
        <v xml:space="preserve">2170818767                    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96.57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1</v>
      </c>
      <c r="BI207" s="3">
        <v>8</v>
      </c>
      <c r="BJ207" s="3">
        <v>12.5</v>
      </c>
      <c r="BK207" s="3">
        <v>12.5</v>
      </c>
      <c r="BL207" s="3">
        <v>368.59</v>
      </c>
      <c r="BM207" s="3">
        <v>55.29</v>
      </c>
      <c r="BN207" s="3">
        <v>423.88</v>
      </c>
      <c r="BO207" s="3">
        <v>423.88</v>
      </c>
      <c r="BQ207" s="3" t="s">
        <v>441</v>
      </c>
      <c r="BR207" s="3" t="s">
        <v>84</v>
      </c>
      <c r="BS207" s="3" t="s">
        <v>85</v>
      </c>
      <c r="BY207" s="3">
        <v>62500</v>
      </c>
      <c r="BZ207" s="3" t="s">
        <v>165</v>
      </c>
      <c r="CC207" s="3" t="s">
        <v>439</v>
      </c>
      <c r="CD207" s="3">
        <v>4126</v>
      </c>
      <c r="CE207" s="3" t="s">
        <v>86</v>
      </c>
      <c r="CI207" s="3">
        <v>1</v>
      </c>
      <c r="CJ207" s="3" t="s">
        <v>85</v>
      </c>
      <c r="CK207" s="3">
        <v>21</v>
      </c>
      <c r="CL207" s="3" t="s">
        <v>87</v>
      </c>
    </row>
    <row r="208" spans="1:90" x14ac:dyDescent="0.2">
      <c r="A208" s="3" t="s">
        <v>72</v>
      </c>
      <c r="B208" s="3" t="s">
        <v>73</v>
      </c>
      <c r="C208" s="3" t="s">
        <v>74</v>
      </c>
      <c r="E208" s="3" t="str">
        <f>"FES1162847521"</f>
        <v>FES1162847521</v>
      </c>
      <c r="F208" s="4">
        <v>44589</v>
      </c>
      <c r="G208" s="3">
        <v>202207</v>
      </c>
      <c r="H208" s="3" t="s">
        <v>75</v>
      </c>
      <c r="I208" s="3" t="s">
        <v>76</v>
      </c>
      <c r="J208" s="3" t="s">
        <v>77</v>
      </c>
      <c r="K208" s="3" t="s">
        <v>78</v>
      </c>
      <c r="L208" s="3" t="s">
        <v>115</v>
      </c>
      <c r="M208" s="3" t="s">
        <v>116</v>
      </c>
      <c r="N208" s="3" t="s">
        <v>442</v>
      </c>
      <c r="O208" s="3" t="s">
        <v>82</v>
      </c>
      <c r="P208" s="3" t="str">
        <f>"2170814317                    "</f>
        <v xml:space="preserve">2170814317                    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12.07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1</v>
      </c>
      <c r="BI208" s="3">
        <v>1</v>
      </c>
      <c r="BJ208" s="3">
        <v>0.2</v>
      </c>
      <c r="BK208" s="3">
        <v>1</v>
      </c>
      <c r="BL208" s="3">
        <v>46.08</v>
      </c>
      <c r="BM208" s="3">
        <v>6.91</v>
      </c>
      <c r="BN208" s="3">
        <v>52.99</v>
      </c>
      <c r="BO208" s="3">
        <v>52.99</v>
      </c>
      <c r="BQ208" s="3" t="s">
        <v>83</v>
      </c>
      <c r="BR208" s="3" t="s">
        <v>84</v>
      </c>
      <c r="BS208" s="3" t="s">
        <v>85</v>
      </c>
      <c r="BY208" s="3">
        <v>1200</v>
      </c>
      <c r="BZ208" s="3" t="s">
        <v>165</v>
      </c>
      <c r="CC208" s="3" t="s">
        <v>116</v>
      </c>
      <c r="CD208" s="3">
        <v>1559</v>
      </c>
      <c r="CE208" s="3" t="s">
        <v>93</v>
      </c>
      <c r="CI208" s="3">
        <v>1</v>
      </c>
      <c r="CJ208" s="3" t="s">
        <v>85</v>
      </c>
      <c r="CK208" s="3">
        <v>22</v>
      </c>
      <c r="CL208" s="3" t="s">
        <v>87</v>
      </c>
    </row>
    <row r="209" spans="1:90" x14ac:dyDescent="0.2">
      <c r="A209" s="3" t="s">
        <v>72</v>
      </c>
      <c r="B209" s="3" t="s">
        <v>73</v>
      </c>
      <c r="C209" s="3" t="s">
        <v>74</v>
      </c>
      <c r="E209" s="3" t="str">
        <f>"FES1162847575"</f>
        <v>FES1162847575</v>
      </c>
      <c r="F209" s="4">
        <v>44589</v>
      </c>
      <c r="G209" s="3">
        <v>202207</v>
      </c>
      <c r="H209" s="3" t="s">
        <v>75</v>
      </c>
      <c r="I209" s="3" t="s">
        <v>76</v>
      </c>
      <c r="J209" s="3" t="s">
        <v>77</v>
      </c>
      <c r="K209" s="3" t="s">
        <v>78</v>
      </c>
      <c r="L209" s="3" t="s">
        <v>94</v>
      </c>
      <c r="M209" s="3" t="s">
        <v>95</v>
      </c>
      <c r="N209" s="3" t="s">
        <v>443</v>
      </c>
      <c r="O209" s="3" t="s">
        <v>82</v>
      </c>
      <c r="P209" s="3" t="str">
        <f>"2170817020                    "</f>
        <v xml:space="preserve">2170817020                    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15.46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1</v>
      </c>
      <c r="BI209" s="3">
        <v>1</v>
      </c>
      <c r="BJ209" s="3">
        <v>0.2</v>
      </c>
      <c r="BK209" s="3">
        <v>1</v>
      </c>
      <c r="BL209" s="3">
        <v>59</v>
      </c>
      <c r="BM209" s="3">
        <v>8.85</v>
      </c>
      <c r="BN209" s="3">
        <v>67.849999999999994</v>
      </c>
      <c r="BO209" s="3">
        <v>67.849999999999994</v>
      </c>
      <c r="BQ209" s="3" t="s">
        <v>83</v>
      </c>
      <c r="BR209" s="3" t="s">
        <v>84</v>
      </c>
      <c r="BS209" s="3" t="s">
        <v>85</v>
      </c>
      <c r="BY209" s="3">
        <v>1200</v>
      </c>
      <c r="BZ209" s="3" t="s">
        <v>165</v>
      </c>
      <c r="CC209" s="3" t="s">
        <v>95</v>
      </c>
      <c r="CD209" s="3">
        <v>3212</v>
      </c>
      <c r="CE209" s="3" t="s">
        <v>93</v>
      </c>
      <c r="CI209" s="3">
        <v>1</v>
      </c>
      <c r="CJ209" s="3" t="s">
        <v>85</v>
      </c>
      <c r="CK209" s="3">
        <v>21</v>
      </c>
      <c r="CL209" s="3" t="s">
        <v>87</v>
      </c>
    </row>
    <row r="210" spans="1:90" x14ac:dyDescent="0.2">
      <c r="A210" s="3" t="s">
        <v>72</v>
      </c>
      <c r="B210" s="3" t="s">
        <v>73</v>
      </c>
      <c r="C210" s="3" t="s">
        <v>74</v>
      </c>
      <c r="E210" s="3" t="str">
        <f>"FES1162847547"</f>
        <v>FES1162847547</v>
      </c>
      <c r="F210" s="4">
        <v>44589</v>
      </c>
      <c r="G210" s="3">
        <v>202207</v>
      </c>
      <c r="H210" s="3" t="s">
        <v>75</v>
      </c>
      <c r="I210" s="3" t="s">
        <v>76</v>
      </c>
      <c r="J210" s="3" t="s">
        <v>77</v>
      </c>
      <c r="K210" s="3" t="s">
        <v>78</v>
      </c>
      <c r="L210" s="3" t="s">
        <v>133</v>
      </c>
      <c r="M210" s="3" t="s">
        <v>134</v>
      </c>
      <c r="N210" s="3" t="s">
        <v>135</v>
      </c>
      <c r="O210" s="3" t="s">
        <v>82</v>
      </c>
      <c r="P210" s="3" t="str">
        <f>"2170816384                    "</f>
        <v xml:space="preserve">2170816384                    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21.74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1</v>
      </c>
      <c r="BI210" s="3">
        <v>1</v>
      </c>
      <c r="BJ210" s="3">
        <v>0.2</v>
      </c>
      <c r="BK210" s="3">
        <v>1</v>
      </c>
      <c r="BL210" s="3">
        <v>82.98</v>
      </c>
      <c r="BM210" s="3">
        <v>12.45</v>
      </c>
      <c r="BN210" s="3">
        <v>95.43</v>
      </c>
      <c r="BO210" s="3">
        <v>95.43</v>
      </c>
      <c r="BQ210" s="3" t="s">
        <v>83</v>
      </c>
      <c r="BR210" s="3" t="s">
        <v>84</v>
      </c>
      <c r="BS210" s="3" t="s">
        <v>85</v>
      </c>
      <c r="BY210" s="3">
        <v>1200</v>
      </c>
      <c r="BZ210" s="3" t="s">
        <v>165</v>
      </c>
      <c r="CC210" s="3" t="s">
        <v>134</v>
      </c>
      <c r="CD210" s="3">
        <v>1911</v>
      </c>
      <c r="CE210" s="3" t="s">
        <v>93</v>
      </c>
      <c r="CI210" s="3">
        <v>1</v>
      </c>
      <c r="CJ210" s="3" t="s">
        <v>85</v>
      </c>
      <c r="CK210" s="3">
        <v>24</v>
      </c>
      <c r="CL210" s="3" t="s">
        <v>87</v>
      </c>
    </row>
    <row r="211" spans="1:90" x14ac:dyDescent="0.2">
      <c r="A211" s="3" t="s">
        <v>72</v>
      </c>
      <c r="B211" s="3" t="s">
        <v>73</v>
      </c>
      <c r="C211" s="3" t="s">
        <v>74</v>
      </c>
      <c r="E211" s="3" t="str">
        <f>"FES1162847646"</f>
        <v>FES1162847646</v>
      </c>
      <c r="F211" s="4">
        <v>44589</v>
      </c>
      <c r="G211" s="3">
        <v>202207</v>
      </c>
      <c r="H211" s="3" t="s">
        <v>75</v>
      </c>
      <c r="I211" s="3" t="s">
        <v>76</v>
      </c>
      <c r="J211" s="3" t="s">
        <v>77</v>
      </c>
      <c r="K211" s="3" t="s">
        <v>78</v>
      </c>
      <c r="L211" s="3" t="s">
        <v>101</v>
      </c>
      <c r="M211" s="3" t="s">
        <v>102</v>
      </c>
      <c r="N211" s="3" t="s">
        <v>170</v>
      </c>
      <c r="O211" s="3" t="s">
        <v>82</v>
      </c>
      <c r="P211" s="3" t="str">
        <f>"2170818794                    "</f>
        <v xml:space="preserve">2170818794                    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15.46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1</v>
      </c>
      <c r="BI211" s="3">
        <v>1</v>
      </c>
      <c r="BJ211" s="3">
        <v>0.2</v>
      </c>
      <c r="BK211" s="3">
        <v>1</v>
      </c>
      <c r="BL211" s="3">
        <v>59</v>
      </c>
      <c r="BM211" s="3">
        <v>8.85</v>
      </c>
      <c r="BN211" s="3">
        <v>67.849999999999994</v>
      </c>
      <c r="BO211" s="3">
        <v>67.849999999999994</v>
      </c>
      <c r="BQ211" s="3" t="s">
        <v>89</v>
      </c>
      <c r="BR211" s="3" t="s">
        <v>84</v>
      </c>
      <c r="BS211" s="3" t="s">
        <v>85</v>
      </c>
      <c r="BY211" s="3">
        <v>1200</v>
      </c>
      <c r="BZ211" s="3" t="s">
        <v>165</v>
      </c>
      <c r="CC211" s="3" t="s">
        <v>102</v>
      </c>
      <c r="CD211" s="3">
        <v>4001</v>
      </c>
      <c r="CE211" s="3" t="s">
        <v>93</v>
      </c>
      <c r="CI211" s="3">
        <v>1</v>
      </c>
      <c r="CJ211" s="3" t="s">
        <v>85</v>
      </c>
      <c r="CK211" s="3">
        <v>21</v>
      </c>
      <c r="CL211" s="3" t="s">
        <v>87</v>
      </c>
    </row>
    <row r="212" spans="1:90" x14ac:dyDescent="0.2">
      <c r="A212" s="3" t="s">
        <v>72</v>
      </c>
      <c r="B212" s="3" t="s">
        <v>73</v>
      </c>
      <c r="C212" s="3" t="s">
        <v>74</v>
      </c>
      <c r="E212" s="3" t="str">
        <f>"FES1162847576"</f>
        <v>FES1162847576</v>
      </c>
      <c r="F212" s="4">
        <v>44589</v>
      </c>
      <c r="G212" s="3">
        <v>202207</v>
      </c>
      <c r="H212" s="3" t="s">
        <v>75</v>
      </c>
      <c r="I212" s="3" t="s">
        <v>76</v>
      </c>
      <c r="J212" s="3" t="s">
        <v>77</v>
      </c>
      <c r="K212" s="3" t="s">
        <v>78</v>
      </c>
      <c r="L212" s="3" t="s">
        <v>171</v>
      </c>
      <c r="M212" s="3" t="s">
        <v>172</v>
      </c>
      <c r="N212" s="3" t="s">
        <v>329</v>
      </c>
      <c r="O212" s="3" t="s">
        <v>82</v>
      </c>
      <c r="P212" s="3" t="str">
        <f>"2170817125                    "</f>
        <v xml:space="preserve">2170817125                    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15.46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1</v>
      </c>
      <c r="BI212" s="3">
        <v>1</v>
      </c>
      <c r="BJ212" s="3">
        <v>1.1000000000000001</v>
      </c>
      <c r="BK212" s="3">
        <v>1.5</v>
      </c>
      <c r="BL212" s="3">
        <v>59</v>
      </c>
      <c r="BM212" s="3">
        <v>8.85</v>
      </c>
      <c r="BN212" s="3">
        <v>67.849999999999994</v>
      </c>
      <c r="BO212" s="3">
        <v>67.849999999999994</v>
      </c>
      <c r="BQ212" s="3" t="s">
        <v>83</v>
      </c>
      <c r="BR212" s="3" t="s">
        <v>84</v>
      </c>
      <c r="BS212" s="3" t="s">
        <v>85</v>
      </c>
      <c r="BY212" s="3">
        <v>5320</v>
      </c>
      <c r="BZ212" s="3" t="s">
        <v>165</v>
      </c>
      <c r="CC212" s="3" t="s">
        <v>172</v>
      </c>
      <c r="CD212" s="3">
        <v>6001</v>
      </c>
      <c r="CE212" s="3" t="s">
        <v>86</v>
      </c>
      <c r="CI212" s="3">
        <v>1</v>
      </c>
      <c r="CJ212" s="3" t="s">
        <v>85</v>
      </c>
      <c r="CK212" s="3">
        <v>21</v>
      </c>
      <c r="CL212" s="3" t="s">
        <v>87</v>
      </c>
    </row>
    <row r="213" spans="1:90" x14ac:dyDescent="0.2">
      <c r="A213" s="3" t="s">
        <v>72</v>
      </c>
      <c r="B213" s="3" t="s">
        <v>73</v>
      </c>
      <c r="C213" s="3" t="s">
        <v>74</v>
      </c>
      <c r="E213" s="3" t="str">
        <f>"FES1162847621"</f>
        <v>FES1162847621</v>
      </c>
      <c r="F213" s="4">
        <v>44589</v>
      </c>
      <c r="G213" s="3">
        <v>202207</v>
      </c>
      <c r="H213" s="3" t="s">
        <v>75</v>
      </c>
      <c r="I213" s="3" t="s">
        <v>76</v>
      </c>
      <c r="J213" s="3" t="s">
        <v>77</v>
      </c>
      <c r="K213" s="3" t="s">
        <v>78</v>
      </c>
      <c r="L213" s="3" t="s">
        <v>90</v>
      </c>
      <c r="M213" s="3" t="s">
        <v>91</v>
      </c>
      <c r="N213" s="3" t="s">
        <v>444</v>
      </c>
      <c r="O213" s="3" t="s">
        <v>82</v>
      </c>
      <c r="P213" s="3" t="str">
        <f>"217818145                     "</f>
        <v xml:space="preserve">217818145                     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15.46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3">
        <v>0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1</v>
      </c>
      <c r="BI213" s="3">
        <v>1</v>
      </c>
      <c r="BJ213" s="3">
        <v>0.2</v>
      </c>
      <c r="BK213" s="3">
        <v>1</v>
      </c>
      <c r="BL213" s="3">
        <v>59</v>
      </c>
      <c r="BM213" s="3">
        <v>8.85</v>
      </c>
      <c r="BN213" s="3">
        <v>67.849999999999994</v>
      </c>
      <c r="BO213" s="3">
        <v>67.849999999999994</v>
      </c>
      <c r="BQ213" s="3" t="s">
        <v>145</v>
      </c>
      <c r="BR213" s="3" t="s">
        <v>84</v>
      </c>
      <c r="BS213" s="3" t="s">
        <v>85</v>
      </c>
      <c r="BY213" s="3">
        <v>1200</v>
      </c>
      <c r="BZ213" s="3" t="s">
        <v>165</v>
      </c>
      <c r="CC213" s="3" t="s">
        <v>91</v>
      </c>
      <c r="CD213" s="3">
        <v>7500</v>
      </c>
      <c r="CE213" s="3" t="s">
        <v>93</v>
      </c>
      <c r="CI213" s="3">
        <v>1</v>
      </c>
      <c r="CJ213" s="3" t="s">
        <v>85</v>
      </c>
      <c r="CK213" s="3">
        <v>21</v>
      </c>
      <c r="CL213" s="3" t="s">
        <v>87</v>
      </c>
    </row>
    <row r="214" spans="1:90" x14ac:dyDescent="0.2">
      <c r="A214" s="3" t="s">
        <v>72</v>
      </c>
      <c r="B214" s="3" t="s">
        <v>73</v>
      </c>
      <c r="C214" s="3" t="s">
        <v>74</v>
      </c>
      <c r="E214" s="3" t="str">
        <f>"FES1162847545"</f>
        <v>FES1162847545</v>
      </c>
      <c r="F214" s="4">
        <v>44589</v>
      </c>
      <c r="G214" s="3">
        <v>202207</v>
      </c>
      <c r="H214" s="3" t="s">
        <v>75</v>
      </c>
      <c r="I214" s="3" t="s">
        <v>76</v>
      </c>
      <c r="J214" s="3" t="s">
        <v>77</v>
      </c>
      <c r="K214" s="3" t="s">
        <v>78</v>
      </c>
      <c r="L214" s="3" t="s">
        <v>206</v>
      </c>
      <c r="M214" s="3" t="s">
        <v>207</v>
      </c>
      <c r="N214" s="3" t="s">
        <v>445</v>
      </c>
      <c r="O214" s="3" t="s">
        <v>82</v>
      </c>
      <c r="P214" s="3" t="str">
        <f>"2170816376                    "</f>
        <v xml:space="preserve">2170816376                    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48.21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15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1</v>
      </c>
      <c r="BI214" s="3">
        <v>3</v>
      </c>
      <c r="BJ214" s="3">
        <v>4.0999999999999996</v>
      </c>
      <c r="BK214" s="3">
        <v>4.5</v>
      </c>
      <c r="BL214" s="3">
        <v>199</v>
      </c>
      <c r="BM214" s="3">
        <v>29.85</v>
      </c>
      <c r="BN214" s="3">
        <v>228.85</v>
      </c>
      <c r="BO214" s="3">
        <v>228.85</v>
      </c>
      <c r="BQ214" s="3" t="s">
        <v>83</v>
      </c>
      <c r="BR214" s="3" t="s">
        <v>84</v>
      </c>
      <c r="BS214" s="3" t="s">
        <v>85</v>
      </c>
      <c r="BY214" s="3">
        <v>20358</v>
      </c>
      <c r="BZ214" s="3" t="s">
        <v>446</v>
      </c>
      <c r="CC214" s="3" t="s">
        <v>207</v>
      </c>
      <c r="CD214" s="3">
        <v>1754</v>
      </c>
      <c r="CE214" s="3" t="s">
        <v>86</v>
      </c>
      <c r="CI214" s="3">
        <v>1</v>
      </c>
      <c r="CJ214" s="3" t="s">
        <v>85</v>
      </c>
      <c r="CK214" s="3">
        <v>24</v>
      </c>
      <c r="CL214" s="3" t="s">
        <v>87</v>
      </c>
    </row>
    <row r="215" spans="1:90" x14ac:dyDescent="0.2">
      <c r="A215" s="3" t="s">
        <v>72</v>
      </c>
      <c r="B215" s="3" t="s">
        <v>73</v>
      </c>
      <c r="C215" s="3" t="s">
        <v>74</v>
      </c>
      <c r="E215" s="3" t="str">
        <f>"FES1162847552"</f>
        <v>FES1162847552</v>
      </c>
      <c r="F215" s="4">
        <v>44589</v>
      </c>
      <c r="G215" s="3">
        <v>202207</v>
      </c>
      <c r="H215" s="3" t="s">
        <v>75</v>
      </c>
      <c r="I215" s="3" t="s">
        <v>76</v>
      </c>
      <c r="J215" s="3" t="s">
        <v>77</v>
      </c>
      <c r="K215" s="3" t="s">
        <v>78</v>
      </c>
      <c r="L215" s="3" t="s">
        <v>427</v>
      </c>
      <c r="M215" s="3" t="s">
        <v>428</v>
      </c>
      <c r="N215" s="3" t="s">
        <v>447</v>
      </c>
      <c r="O215" s="3" t="s">
        <v>82</v>
      </c>
      <c r="P215" s="3" t="str">
        <f>"2170816434                    "</f>
        <v xml:space="preserve">2170816434                    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29.95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1</v>
      </c>
      <c r="BI215" s="3">
        <v>1</v>
      </c>
      <c r="BJ215" s="3">
        <v>0.2</v>
      </c>
      <c r="BK215" s="3">
        <v>1</v>
      </c>
      <c r="BL215" s="3">
        <v>114.31</v>
      </c>
      <c r="BM215" s="3">
        <v>17.149999999999999</v>
      </c>
      <c r="BN215" s="3">
        <v>131.46</v>
      </c>
      <c r="BO215" s="3">
        <v>131.46</v>
      </c>
      <c r="BQ215" s="3" t="s">
        <v>89</v>
      </c>
      <c r="BR215" s="3" t="s">
        <v>84</v>
      </c>
      <c r="BS215" s="3" t="s">
        <v>85</v>
      </c>
      <c r="BY215" s="3">
        <v>1200</v>
      </c>
      <c r="BZ215" s="3" t="s">
        <v>165</v>
      </c>
      <c r="CC215" s="3" t="s">
        <v>428</v>
      </c>
      <c r="CD215" s="3">
        <v>7130</v>
      </c>
      <c r="CE215" s="3" t="s">
        <v>93</v>
      </c>
      <c r="CI215" s="3">
        <v>1</v>
      </c>
      <c r="CJ215" s="3" t="s">
        <v>85</v>
      </c>
      <c r="CK215" s="3">
        <v>23</v>
      </c>
      <c r="CL215" s="3" t="s">
        <v>87</v>
      </c>
    </row>
    <row r="216" spans="1:90" x14ac:dyDescent="0.2">
      <c r="A216" s="3" t="s">
        <v>72</v>
      </c>
      <c r="B216" s="3" t="s">
        <v>73</v>
      </c>
      <c r="C216" s="3" t="s">
        <v>74</v>
      </c>
      <c r="E216" s="3" t="str">
        <f>"FES1162847587"</f>
        <v>FES1162847587</v>
      </c>
      <c r="F216" s="4">
        <v>44589</v>
      </c>
      <c r="G216" s="3">
        <v>202207</v>
      </c>
      <c r="H216" s="3" t="s">
        <v>75</v>
      </c>
      <c r="I216" s="3" t="s">
        <v>76</v>
      </c>
      <c r="J216" s="3" t="s">
        <v>77</v>
      </c>
      <c r="K216" s="3" t="s">
        <v>78</v>
      </c>
      <c r="L216" s="3" t="s">
        <v>171</v>
      </c>
      <c r="M216" s="3" t="s">
        <v>172</v>
      </c>
      <c r="N216" s="3" t="s">
        <v>329</v>
      </c>
      <c r="O216" s="3" t="s">
        <v>82</v>
      </c>
      <c r="P216" s="3" t="str">
        <f>"2170818618                    "</f>
        <v xml:space="preserve">2170818618                    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73.39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1</v>
      </c>
      <c r="BI216" s="3">
        <v>3</v>
      </c>
      <c r="BJ216" s="3">
        <v>9.1</v>
      </c>
      <c r="BK216" s="3">
        <v>9.5</v>
      </c>
      <c r="BL216" s="3">
        <v>280.13</v>
      </c>
      <c r="BM216" s="3">
        <v>42.02</v>
      </c>
      <c r="BN216" s="3">
        <v>322.14999999999998</v>
      </c>
      <c r="BO216" s="3">
        <v>322.14999999999998</v>
      </c>
      <c r="BQ216" s="3" t="s">
        <v>83</v>
      </c>
      <c r="BR216" s="3" t="s">
        <v>84</v>
      </c>
      <c r="BS216" s="3" t="s">
        <v>85</v>
      </c>
      <c r="BY216" s="3">
        <v>45632</v>
      </c>
      <c r="BZ216" s="3" t="s">
        <v>165</v>
      </c>
      <c r="CC216" s="3" t="s">
        <v>172</v>
      </c>
      <c r="CD216" s="3">
        <v>6001</v>
      </c>
      <c r="CE216" s="3" t="s">
        <v>86</v>
      </c>
      <c r="CI216" s="3">
        <v>1</v>
      </c>
      <c r="CJ216" s="3" t="s">
        <v>85</v>
      </c>
      <c r="CK216" s="3">
        <v>21</v>
      </c>
      <c r="CL216" s="3" t="s">
        <v>87</v>
      </c>
    </row>
    <row r="217" spans="1:90" x14ac:dyDescent="0.2">
      <c r="A217" s="3" t="s">
        <v>72</v>
      </c>
      <c r="B217" s="3" t="s">
        <v>73</v>
      </c>
      <c r="C217" s="3" t="s">
        <v>74</v>
      </c>
      <c r="E217" s="3" t="str">
        <f>"FES1162847574"</f>
        <v>FES1162847574</v>
      </c>
      <c r="F217" s="4">
        <v>44589</v>
      </c>
      <c r="G217" s="3">
        <v>202207</v>
      </c>
      <c r="H217" s="3" t="s">
        <v>75</v>
      </c>
      <c r="I217" s="3" t="s">
        <v>76</v>
      </c>
      <c r="J217" s="3" t="s">
        <v>77</v>
      </c>
      <c r="K217" s="3" t="s">
        <v>78</v>
      </c>
      <c r="L217" s="3" t="s">
        <v>79</v>
      </c>
      <c r="M217" s="3" t="s">
        <v>80</v>
      </c>
      <c r="N217" s="3" t="s">
        <v>415</v>
      </c>
      <c r="O217" s="3" t="s">
        <v>82</v>
      </c>
      <c r="P217" s="3" t="str">
        <f>"2170816959                    "</f>
        <v xml:space="preserve">2170816959                    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15.46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0</v>
      </c>
      <c r="AZ217" s="3">
        <v>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1</v>
      </c>
      <c r="BI217" s="3">
        <v>1</v>
      </c>
      <c r="BJ217" s="3">
        <v>0.2</v>
      </c>
      <c r="BK217" s="3">
        <v>1</v>
      </c>
      <c r="BL217" s="3">
        <v>59</v>
      </c>
      <c r="BM217" s="3">
        <v>8.85</v>
      </c>
      <c r="BN217" s="3">
        <v>67.849999999999994</v>
      </c>
      <c r="BO217" s="3">
        <v>67.849999999999994</v>
      </c>
      <c r="BQ217" s="3" t="s">
        <v>83</v>
      </c>
      <c r="BR217" s="3" t="s">
        <v>84</v>
      </c>
      <c r="BS217" s="3" t="s">
        <v>85</v>
      </c>
      <c r="BY217" s="3">
        <v>1200</v>
      </c>
      <c r="BZ217" s="3" t="s">
        <v>165</v>
      </c>
      <c r="CC217" s="3" t="s">
        <v>80</v>
      </c>
      <c r="CD217" s="3">
        <v>183</v>
      </c>
      <c r="CE217" s="3" t="s">
        <v>93</v>
      </c>
      <c r="CI217" s="3">
        <v>1</v>
      </c>
      <c r="CJ217" s="3" t="s">
        <v>85</v>
      </c>
      <c r="CK217" s="3">
        <v>21</v>
      </c>
      <c r="CL217" s="3" t="s">
        <v>87</v>
      </c>
    </row>
    <row r="218" spans="1:90" x14ac:dyDescent="0.2">
      <c r="A218" s="3" t="s">
        <v>72</v>
      </c>
      <c r="B218" s="3" t="s">
        <v>73</v>
      </c>
      <c r="C218" s="3" t="s">
        <v>74</v>
      </c>
      <c r="E218" s="3" t="str">
        <f>"FES1162847526"</f>
        <v>FES1162847526</v>
      </c>
      <c r="F218" s="4">
        <v>44589</v>
      </c>
      <c r="G218" s="3">
        <v>202207</v>
      </c>
      <c r="H218" s="3" t="s">
        <v>75</v>
      </c>
      <c r="I218" s="3" t="s">
        <v>76</v>
      </c>
      <c r="J218" s="3" t="s">
        <v>77</v>
      </c>
      <c r="K218" s="3" t="s">
        <v>78</v>
      </c>
      <c r="L218" s="3" t="s">
        <v>79</v>
      </c>
      <c r="M218" s="3" t="s">
        <v>80</v>
      </c>
      <c r="N218" s="3" t="s">
        <v>415</v>
      </c>
      <c r="O218" s="3" t="s">
        <v>82</v>
      </c>
      <c r="P218" s="3" t="str">
        <f>"2170815528                    "</f>
        <v xml:space="preserve">2170815528                    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15.46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1</v>
      </c>
      <c r="BI218" s="3">
        <v>1</v>
      </c>
      <c r="BJ218" s="3">
        <v>0.2</v>
      </c>
      <c r="BK218" s="3">
        <v>1</v>
      </c>
      <c r="BL218" s="3">
        <v>59</v>
      </c>
      <c r="BM218" s="3">
        <v>8.85</v>
      </c>
      <c r="BN218" s="3">
        <v>67.849999999999994</v>
      </c>
      <c r="BO218" s="3">
        <v>67.849999999999994</v>
      </c>
      <c r="BQ218" s="3" t="s">
        <v>83</v>
      </c>
      <c r="BR218" s="3" t="s">
        <v>84</v>
      </c>
      <c r="BS218" s="3" t="s">
        <v>85</v>
      </c>
      <c r="BY218" s="3">
        <v>1200</v>
      </c>
      <c r="BZ218" s="3" t="s">
        <v>165</v>
      </c>
      <c r="CC218" s="3" t="s">
        <v>80</v>
      </c>
      <c r="CD218" s="3">
        <v>183</v>
      </c>
      <c r="CE218" s="3" t="s">
        <v>93</v>
      </c>
      <c r="CI218" s="3">
        <v>1</v>
      </c>
      <c r="CJ218" s="3" t="s">
        <v>85</v>
      </c>
      <c r="CK218" s="3">
        <v>21</v>
      </c>
      <c r="CL218" s="3" t="s">
        <v>87</v>
      </c>
    </row>
    <row r="219" spans="1:90" x14ac:dyDescent="0.2">
      <c r="A219" s="3" t="s">
        <v>72</v>
      </c>
      <c r="B219" s="3" t="s">
        <v>73</v>
      </c>
      <c r="C219" s="3" t="s">
        <v>74</v>
      </c>
      <c r="E219" s="3" t="str">
        <f>"FES1162847563"</f>
        <v>FES1162847563</v>
      </c>
      <c r="F219" s="4">
        <v>44589</v>
      </c>
      <c r="G219" s="3">
        <v>202207</v>
      </c>
      <c r="H219" s="3" t="s">
        <v>75</v>
      </c>
      <c r="I219" s="3" t="s">
        <v>76</v>
      </c>
      <c r="J219" s="3" t="s">
        <v>77</v>
      </c>
      <c r="K219" s="3" t="s">
        <v>78</v>
      </c>
      <c r="L219" s="3" t="s">
        <v>79</v>
      </c>
      <c r="M219" s="3" t="s">
        <v>80</v>
      </c>
      <c r="N219" s="3" t="s">
        <v>248</v>
      </c>
      <c r="O219" s="3" t="s">
        <v>82</v>
      </c>
      <c r="P219" s="3" t="str">
        <f>"2170816566                    "</f>
        <v xml:space="preserve">2170816566                    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15.46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1</v>
      </c>
      <c r="BI219" s="3">
        <v>1</v>
      </c>
      <c r="BJ219" s="3">
        <v>0.9</v>
      </c>
      <c r="BK219" s="3">
        <v>1</v>
      </c>
      <c r="BL219" s="3">
        <v>59</v>
      </c>
      <c r="BM219" s="3">
        <v>8.85</v>
      </c>
      <c r="BN219" s="3">
        <v>67.849999999999994</v>
      </c>
      <c r="BO219" s="3">
        <v>67.849999999999994</v>
      </c>
      <c r="BQ219" s="3" t="s">
        <v>83</v>
      </c>
      <c r="BR219" s="3" t="s">
        <v>84</v>
      </c>
      <c r="BS219" s="3" t="s">
        <v>85</v>
      </c>
      <c r="BY219" s="3">
        <v>4275</v>
      </c>
      <c r="BZ219" s="3" t="s">
        <v>165</v>
      </c>
      <c r="CC219" s="3" t="s">
        <v>80</v>
      </c>
      <c r="CD219" s="3">
        <v>1</v>
      </c>
      <c r="CE219" s="3" t="s">
        <v>86</v>
      </c>
      <c r="CI219" s="3">
        <v>1</v>
      </c>
      <c r="CJ219" s="3" t="s">
        <v>85</v>
      </c>
      <c r="CK219" s="3">
        <v>21</v>
      </c>
      <c r="CL219" s="3" t="s">
        <v>87</v>
      </c>
    </row>
    <row r="220" spans="1:90" x14ac:dyDescent="0.2">
      <c r="A220" s="3" t="s">
        <v>72</v>
      </c>
      <c r="B220" s="3" t="s">
        <v>73</v>
      </c>
      <c r="C220" s="3" t="s">
        <v>74</v>
      </c>
      <c r="E220" s="3" t="str">
        <f>"FES1162847551"</f>
        <v>FES1162847551</v>
      </c>
      <c r="F220" s="4">
        <v>44589</v>
      </c>
      <c r="G220" s="3">
        <v>202207</v>
      </c>
      <c r="H220" s="3" t="s">
        <v>75</v>
      </c>
      <c r="I220" s="3" t="s">
        <v>76</v>
      </c>
      <c r="J220" s="3" t="s">
        <v>77</v>
      </c>
      <c r="K220" s="3" t="s">
        <v>78</v>
      </c>
      <c r="L220" s="3" t="s">
        <v>138</v>
      </c>
      <c r="M220" s="3" t="s">
        <v>139</v>
      </c>
      <c r="N220" s="3" t="s">
        <v>448</v>
      </c>
      <c r="O220" s="3" t="s">
        <v>82</v>
      </c>
      <c r="P220" s="3" t="str">
        <f>"2170816415                    "</f>
        <v xml:space="preserve">2170816415                    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15.46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3">
        <v>0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1</v>
      </c>
      <c r="BI220" s="3">
        <v>1</v>
      </c>
      <c r="BJ220" s="3">
        <v>1.1000000000000001</v>
      </c>
      <c r="BK220" s="3">
        <v>1.5</v>
      </c>
      <c r="BL220" s="3">
        <v>59</v>
      </c>
      <c r="BM220" s="3">
        <v>8.85</v>
      </c>
      <c r="BN220" s="3">
        <v>67.849999999999994</v>
      </c>
      <c r="BO220" s="3">
        <v>67.849999999999994</v>
      </c>
      <c r="BQ220" s="3" t="s">
        <v>89</v>
      </c>
      <c r="BR220" s="3" t="s">
        <v>84</v>
      </c>
      <c r="BS220" s="3" t="s">
        <v>85</v>
      </c>
      <c r="BY220" s="3">
        <v>5320</v>
      </c>
      <c r="BZ220" s="3" t="s">
        <v>165</v>
      </c>
      <c r="CC220" s="3" t="s">
        <v>139</v>
      </c>
      <c r="CD220" s="3">
        <v>3610</v>
      </c>
      <c r="CE220" s="3" t="s">
        <v>86</v>
      </c>
      <c r="CI220" s="3">
        <v>1</v>
      </c>
      <c r="CJ220" s="3" t="s">
        <v>85</v>
      </c>
      <c r="CK220" s="3">
        <v>21</v>
      </c>
      <c r="CL220" s="3" t="s">
        <v>87</v>
      </c>
    </row>
    <row r="221" spans="1:90" x14ac:dyDescent="0.2">
      <c r="A221" s="3" t="s">
        <v>72</v>
      </c>
      <c r="B221" s="3" t="s">
        <v>73</v>
      </c>
      <c r="C221" s="3" t="s">
        <v>74</v>
      </c>
      <c r="E221" s="3" t="str">
        <f>"FES1162845439"</f>
        <v>FES1162845439</v>
      </c>
      <c r="F221" s="4">
        <v>44589</v>
      </c>
      <c r="G221" s="3">
        <v>202207</v>
      </c>
      <c r="H221" s="3" t="s">
        <v>75</v>
      </c>
      <c r="I221" s="3" t="s">
        <v>76</v>
      </c>
      <c r="J221" s="3" t="s">
        <v>77</v>
      </c>
      <c r="K221" s="3" t="s">
        <v>78</v>
      </c>
      <c r="L221" s="3" t="s">
        <v>241</v>
      </c>
      <c r="M221" s="3" t="s">
        <v>242</v>
      </c>
      <c r="N221" s="3" t="s">
        <v>243</v>
      </c>
      <c r="O221" s="3" t="s">
        <v>82</v>
      </c>
      <c r="P221" s="3" t="str">
        <f>"2170816973                    "</f>
        <v xml:space="preserve">2170816973                    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30.91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3">
        <v>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1</v>
      </c>
      <c r="BI221" s="3">
        <v>4</v>
      </c>
      <c r="BJ221" s="3">
        <v>2</v>
      </c>
      <c r="BK221" s="3">
        <v>4</v>
      </c>
      <c r="BL221" s="3">
        <v>117.97</v>
      </c>
      <c r="BM221" s="3">
        <v>17.7</v>
      </c>
      <c r="BN221" s="3">
        <v>135.66999999999999</v>
      </c>
      <c r="BO221" s="3">
        <v>135.66999999999999</v>
      </c>
      <c r="BQ221" s="3" t="s">
        <v>83</v>
      </c>
      <c r="BR221" s="3" t="s">
        <v>84</v>
      </c>
      <c r="BS221" s="3" t="s">
        <v>85</v>
      </c>
      <c r="BY221" s="3">
        <v>9900</v>
      </c>
      <c r="BZ221" s="3" t="s">
        <v>165</v>
      </c>
      <c r="CC221" s="3" t="s">
        <v>242</v>
      </c>
      <c r="CD221" s="3">
        <v>7600</v>
      </c>
      <c r="CE221" s="3" t="s">
        <v>86</v>
      </c>
      <c r="CI221" s="3">
        <v>1</v>
      </c>
      <c r="CJ221" s="3" t="s">
        <v>85</v>
      </c>
      <c r="CK221" s="3">
        <v>21</v>
      </c>
      <c r="CL221" s="3" t="s">
        <v>87</v>
      </c>
    </row>
    <row r="222" spans="1:90" x14ac:dyDescent="0.2">
      <c r="A222" s="3" t="s">
        <v>72</v>
      </c>
      <c r="B222" s="3" t="s">
        <v>73</v>
      </c>
      <c r="C222" s="3" t="s">
        <v>74</v>
      </c>
      <c r="E222" s="3" t="str">
        <f>"FES1162847523"</f>
        <v>FES1162847523</v>
      </c>
      <c r="F222" s="4">
        <v>44589</v>
      </c>
      <c r="G222" s="3">
        <v>202207</v>
      </c>
      <c r="H222" s="3" t="s">
        <v>75</v>
      </c>
      <c r="I222" s="3" t="s">
        <v>76</v>
      </c>
      <c r="J222" s="3" t="s">
        <v>77</v>
      </c>
      <c r="K222" s="3" t="s">
        <v>78</v>
      </c>
      <c r="L222" s="3" t="s">
        <v>195</v>
      </c>
      <c r="M222" s="3" t="s">
        <v>196</v>
      </c>
      <c r="N222" s="3" t="s">
        <v>449</v>
      </c>
      <c r="O222" s="3" t="s">
        <v>148</v>
      </c>
      <c r="P222" s="3" t="str">
        <f>"2170815202                    "</f>
        <v xml:space="preserve">2170815202                    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39.75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2</v>
      </c>
      <c r="BI222" s="3">
        <v>15</v>
      </c>
      <c r="BJ222" s="3">
        <v>22.3</v>
      </c>
      <c r="BK222" s="3">
        <v>23</v>
      </c>
      <c r="BL222" s="3">
        <v>156.96</v>
      </c>
      <c r="BM222" s="3">
        <v>23.54</v>
      </c>
      <c r="BN222" s="3">
        <v>180.5</v>
      </c>
      <c r="BO222" s="3">
        <v>180.5</v>
      </c>
      <c r="BQ222" s="3" t="s">
        <v>83</v>
      </c>
      <c r="BR222" s="3" t="s">
        <v>84</v>
      </c>
      <c r="BS222" s="3" t="s">
        <v>85</v>
      </c>
      <c r="BY222" s="3">
        <v>111622</v>
      </c>
      <c r="BZ222" s="3" t="s">
        <v>327</v>
      </c>
      <c r="CC222" s="3" t="s">
        <v>196</v>
      </c>
      <c r="CD222" s="3">
        <v>4302</v>
      </c>
      <c r="CE222" s="3" t="s">
        <v>221</v>
      </c>
      <c r="CI222" s="3">
        <v>1</v>
      </c>
      <c r="CJ222" s="3" t="s">
        <v>85</v>
      </c>
      <c r="CK222" s="3">
        <v>41</v>
      </c>
      <c r="CL222" s="3" t="s">
        <v>87</v>
      </c>
    </row>
    <row r="223" spans="1:90" x14ac:dyDescent="0.2">
      <c r="A223" s="3" t="s">
        <v>72</v>
      </c>
      <c r="B223" s="3" t="s">
        <v>73</v>
      </c>
      <c r="C223" s="3" t="s">
        <v>74</v>
      </c>
      <c r="E223" s="3" t="str">
        <f>"FES1162847557"</f>
        <v>FES1162847557</v>
      </c>
      <c r="F223" s="4">
        <v>44589</v>
      </c>
      <c r="G223" s="3">
        <v>202207</v>
      </c>
      <c r="H223" s="3" t="s">
        <v>75</v>
      </c>
      <c r="I223" s="3" t="s">
        <v>76</v>
      </c>
      <c r="J223" s="3" t="s">
        <v>77</v>
      </c>
      <c r="K223" s="3" t="s">
        <v>78</v>
      </c>
      <c r="L223" s="3" t="s">
        <v>75</v>
      </c>
      <c r="M223" s="3" t="s">
        <v>76</v>
      </c>
      <c r="N223" s="3" t="s">
        <v>224</v>
      </c>
      <c r="O223" s="3" t="s">
        <v>82</v>
      </c>
      <c r="P223" s="3" t="str">
        <f>"2170816477                    "</f>
        <v xml:space="preserve">2170816477                    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12.07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1</v>
      </c>
      <c r="BI223" s="3">
        <v>1</v>
      </c>
      <c r="BJ223" s="3">
        <v>0.2</v>
      </c>
      <c r="BK223" s="3">
        <v>1</v>
      </c>
      <c r="BL223" s="3">
        <v>46.08</v>
      </c>
      <c r="BM223" s="3">
        <v>6.91</v>
      </c>
      <c r="BN223" s="3">
        <v>52.99</v>
      </c>
      <c r="BO223" s="3">
        <v>52.99</v>
      </c>
      <c r="BQ223" s="3" t="s">
        <v>83</v>
      </c>
      <c r="BR223" s="3" t="s">
        <v>84</v>
      </c>
      <c r="BS223" s="3" t="s">
        <v>85</v>
      </c>
      <c r="BY223" s="3">
        <v>1200</v>
      </c>
      <c r="BZ223" s="3" t="s">
        <v>165</v>
      </c>
      <c r="CC223" s="3" t="s">
        <v>76</v>
      </c>
      <c r="CD223" s="3">
        <v>1600</v>
      </c>
      <c r="CE223" s="3" t="s">
        <v>93</v>
      </c>
      <c r="CI223" s="3">
        <v>1</v>
      </c>
      <c r="CJ223" s="3" t="s">
        <v>85</v>
      </c>
      <c r="CK223" s="3">
        <v>22</v>
      </c>
      <c r="CL223" s="3" t="s">
        <v>87</v>
      </c>
    </row>
    <row r="224" spans="1:90" x14ac:dyDescent="0.2">
      <c r="A224" s="3" t="s">
        <v>72</v>
      </c>
      <c r="B224" s="3" t="s">
        <v>73</v>
      </c>
      <c r="C224" s="3" t="s">
        <v>74</v>
      </c>
      <c r="E224" s="3" t="str">
        <f>"FES1162847527"</f>
        <v>FES1162847527</v>
      </c>
      <c r="F224" s="4">
        <v>44589</v>
      </c>
      <c r="G224" s="3">
        <v>202207</v>
      </c>
      <c r="H224" s="3" t="s">
        <v>75</v>
      </c>
      <c r="I224" s="3" t="s">
        <v>76</v>
      </c>
      <c r="J224" s="3" t="s">
        <v>77</v>
      </c>
      <c r="K224" s="3" t="s">
        <v>78</v>
      </c>
      <c r="L224" s="3" t="s">
        <v>94</v>
      </c>
      <c r="M224" s="3" t="s">
        <v>95</v>
      </c>
      <c r="N224" s="3" t="s">
        <v>443</v>
      </c>
      <c r="O224" s="3" t="s">
        <v>82</v>
      </c>
      <c r="P224" s="3" t="str">
        <f>"2170815564                    "</f>
        <v xml:space="preserve">2170815564                    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15.46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1</v>
      </c>
      <c r="BI224" s="3">
        <v>1</v>
      </c>
      <c r="BJ224" s="3">
        <v>0.2</v>
      </c>
      <c r="BK224" s="3">
        <v>1</v>
      </c>
      <c r="BL224" s="3">
        <v>59</v>
      </c>
      <c r="BM224" s="3">
        <v>8.85</v>
      </c>
      <c r="BN224" s="3">
        <v>67.849999999999994</v>
      </c>
      <c r="BO224" s="3">
        <v>67.849999999999994</v>
      </c>
      <c r="BQ224" s="3" t="s">
        <v>83</v>
      </c>
      <c r="BR224" s="3" t="s">
        <v>84</v>
      </c>
      <c r="BS224" s="3" t="s">
        <v>85</v>
      </c>
      <c r="BY224" s="3">
        <v>1200</v>
      </c>
      <c r="BZ224" s="3" t="s">
        <v>165</v>
      </c>
      <c r="CC224" s="3" t="s">
        <v>95</v>
      </c>
      <c r="CD224" s="3">
        <v>3212</v>
      </c>
      <c r="CE224" s="3" t="s">
        <v>93</v>
      </c>
      <c r="CI224" s="3">
        <v>1</v>
      </c>
      <c r="CJ224" s="3" t="s">
        <v>85</v>
      </c>
      <c r="CK224" s="3">
        <v>21</v>
      </c>
      <c r="CL224" s="3" t="s">
        <v>87</v>
      </c>
    </row>
    <row r="225" spans="1:90" x14ac:dyDescent="0.2">
      <c r="A225" s="3" t="s">
        <v>72</v>
      </c>
      <c r="B225" s="3" t="s">
        <v>73</v>
      </c>
      <c r="C225" s="3" t="s">
        <v>74</v>
      </c>
      <c r="E225" s="3" t="str">
        <f>"FES1162847445"</f>
        <v>FES1162847445</v>
      </c>
      <c r="F225" s="4">
        <v>44589</v>
      </c>
      <c r="G225" s="3">
        <v>202207</v>
      </c>
      <c r="H225" s="3" t="s">
        <v>75</v>
      </c>
      <c r="I225" s="3" t="s">
        <v>76</v>
      </c>
      <c r="J225" s="3" t="s">
        <v>77</v>
      </c>
      <c r="K225" s="3" t="s">
        <v>78</v>
      </c>
      <c r="L225" s="3" t="s">
        <v>79</v>
      </c>
      <c r="M225" s="3" t="s">
        <v>80</v>
      </c>
      <c r="N225" s="3" t="s">
        <v>208</v>
      </c>
      <c r="O225" s="3" t="s">
        <v>82</v>
      </c>
      <c r="P225" s="3" t="str">
        <f>"2170818723                    "</f>
        <v xml:space="preserve">2170818723                    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23.18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1</v>
      </c>
      <c r="BI225" s="3">
        <v>3</v>
      </c>
      <c r="BJ225" s="3">
        <v>2</v>
      </c>
      <c r="BK225" s="3">
        <v>3</v>
      </c>
      <c r="BL225" s="3">
        <v>88.48</v>
      </c>
      <c r="BM225" s="3">
        <v>13.27</v>
      </c>
      <c r="BN225" s="3">
        <v>101.75</v>
      </c>
      <c r="BO225" s="3">
        <v>101.75</v>
      </c>
      <c r="BQ225" s="3" t="s">
        <v>450</v>
      </c>
      <c r="BR225" s="3" t="s">
        <v>84</v>
      </c>
      <c r="BS225" s="3" t="s">
        <v>85</v>
      </c>
      <c r="BY225" s="3">
        <v>9918</v>
      </c>
      <c r="BZ225" s="3" t="s">
        <v>165</v>
      </c>
      <c r="CC225" s="3" t="s">
        <v>80</v>
      </c>
      <c r="CD225" s="3">
        <v>183</v>
      </c>
      <c r="CE225" s="3" t="s">
        <v>86</v>
      </c>
      <c r="CI225" s="3">
        <v>1</v>
      </c>
      <c r="CJ225" s="3" t="s">
        <v>85</v>
      </c>
      <c r="CK225" s="3">
        <v>21</v>
      </c>
      <c r="CL225" s="3" t="s">
        <v>87</v>
      </c>
    </row>
    <row r="226" spans="1:90" x14ac:dyDescent="0.2">
      <c r="A226" s="3" t="s">
        <v>72</v>
      </c>
      <c r="B226" s="3" t="s">
        <v>73</v>
      </c>
      <c r="C226" s="3" t="s">
        <v>74</v>
      </c>
      <c r="E226" s="3" t="str">
        <f>"FES1162844465"</f>
        <v>FES1162844465</v>
      </c>
      <c r="F226" s="4">
        <v>44571</v>
      </c>
      <c r="G226" s="3">
        <v>202207</v>
      </c>
      <c r="H226" s="3" t="s">
        <v>75</v>
      </c>
      <c r="I226" s="3" t="s">
        <v>76</v>
      </c>
      <c r="J226" s="3" t="s">
        <v>77</v>
      </c>
      <c r="K226" s="3" t="s">
        <v>78</v>
      </c>
      <c r="L226" s="3" t="s">
        <v>94</v>
      </c>
      <c r="M226" s="3" t="s">
        <v>95</v>
      </c>
      <c r="N226" s="3" t="s">
        <v>451</v>
      </c>
      <c r="O226" s="3" t="s">
        <v>82</v>
      </c>
      <c r="P226" s="3" t="str">
        <f>"2170816075                    "</f>
        <v xml:space="preserve">2170816075                    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15.46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1</v>
      </c>
      <c r="BI226" s="3">
        <v>1</v>
      </c>
      <c r="BJ226" s="3">
        <v>0.2</v>
      </c>
      <c r="BK226" s="3">
        <v>1</v>
      </c>
      <c r="BL226" s="3">
        <v>59</v>
      </c>
      <c r="BM226" s="3">
        <v>8.85</v>
      </c>
      <c r="BN226" s="3">
        <v>67.849999999999994</v>
      </c>
      <c r="BO226" s="3">
        <v>67.849999999999994</v>
      </c>
      <c r="BQ226" s="3" t="s">
        <v>83</v>
      </c>
      <c r="BR226" s="3" t="s">
        <v>84</v>
      </c>
      <c r="BS226" s="4">
        <v>44572</v>
      </c>
      <c r="BT226" s="5">
        <v>0.57986111111111105</v>
      </c>
      <c r="BU226" s="3" t="s">
        <v>452</v>
      </c>
      <c r="BV226" s="3" t="s">
        <v>87</v>
      </c>
      <c r="BW226" s="3" t="s">
        <v>453</v>
      </c>
      <c r="BX226" s="3" t="s">
        <v>279</v>
      </c>
      <c r="BY226" s="3">
        <v>1200</v>
      </c>
      <c r="BZ226" s="3" t="s">
        <v>165</v>
      </c>
      <c r="CA226" s="3" t="s">
        <v>328</v>
      </c>
      <c r="CC226" s="3" t="s">
        <v>95</v>
      </c>
      <c r="CD226" s="3">
        <v>3201</v>
      </c>
      <c r="CE226" s="3" t="s">
        <v>93</v>
      </c>
      <c r="CF226" s="4">
        <v>44574</v>
      </c>
      <c r="CI226" s="3">
        <v>1</v>
      </c>
      <c r="CJ226" s="3">
        <v>1</v>
      </c>
      <c r="CK226" s="3">
        <v>21</v>
      </c>
      <c r="CL226" s="3" t="s">
        <v>87</v>
      </c>
    </row>
    <row r="227" spans="1:90" x14ac:dyDescent="0.2">
      <c r="A227" s="3" t="s">
        <v>72</v>
      </c>
      <c r="B227" s="3" t="s">
        <v>73</v>
      </c>
      <c r="C227" s="3" t="s">
        <v>74</v>
      </c>
      <c r="E227" s="3" t="str">
        <f>"FES1162844443"</f>
        <v>FES1162844443</v>
      </c>
      <c r="F227" s="4">
        <v>44571</v>
      </c>
      <c r="G227" s="3">
        <v>202207</v>
      </c>
      <c r="H227" s="3" t="s">
        <v>75</v>
      </c>
      <c r="I227" s="3" t="s">
        <v>76</v>
      </c>
      <c r="J227" s="3" t="s">
        <v>77</v>
      </c>
      <c r="K227" s="3" t="s">
        <v>78</v>
      </c>
      <c r="L227" s="3" t="s">
        <v>171</v>
      </c>
      <c r="M227" s="3" t="s">
        <v>172</v>
      </c>
      <c r="N227" s="3" t="s">
        <v>454</v>
      </c>
      <c r="O227" s="3" t="s">
        <v>82</v>
      </c>
      <c r="P227" s="3" t="str">
        <f>"2170816076                    "</f>
        <v xml:space="preserve">2170816076                    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23.18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1</v>
      </c>
      <c r="BI227" s="3">
        <v>3</v>
      </c>
      <c r="BJ227" s="3">
        <v>1.5</v>
      </c>
      <c r="BK227" s="3">
        <v>3</v>
      </c>
      <c r="BL227" s="3">
        <v>88.48</v>
      </c>
      <c r="BM227" s="3">
        <v>13.27</v>
      </c>
      <c r="BN227" s="3">
        <v>101.75</v>
      </c>
      <c r="BO227" s="3">
        <v>101.75</v>
      </c>
      <c r="BQ227" s="3" t="s">
        <v>89</v>
      </c>
      <c r="BR227" s="3" t="s">
        <v>84</v>
      </c>
      <c r="BS227" s="4">
        <v>44572</v>
      </c>
      <c r="BT227" s="5">
        <v>0.35138888888888892</v>
      </c>
      <c r="BU227" s="3" t="s">
        <v>455</v>
      </c>
      <c r="BV227" s="3" t="s">
        <v>105</v>
      </c>
      <c r="BY227" s="3">
        <v>7540</v>
      </c>
      <c r="BZ227" s="3" t="s">
        <v>165</v>
      </c>
      <c r="CC227" s="3" t="s">
        <v>172</v>
      </c>
      <c r="CD227" s="3">
        <v>6001</v>
      </c>
      <c r="CE227" s="3" t="s">
        <v>86</v>
      </c>
      <c r="CF227" s="4">
        <v>44572</v>
      </c>
      <c r="CI227" s="3">
        <v>1</v>
      </c>
      <c r="CJ227" s="3">
        <v>1</v>
      </c>
      <c r="CK227" s="3">
        <v>21</v>
      </c>
      <c r="CL227" s="3" t="s">
        <v>87</v>
      </c>
    </row>
    <row r="228" spans="1:90" x14ac:dyDescent="0.2">
      <c r="A228" s="3" t="s">
        <v>72</v>
      </c>
      <c r="B228" s="3" t="s">
        <v>73</v>
      </c>
      <c r="C228" s="3" t="s">
        <v>74</v>
      </c>
      <c r="E228" s="3" t="str">
        <f>"FES1162844284"</f>
        <v>FES1162844284</v>
      </c>
      <c r="F228" s="4">
        <v>44571</v>
      </c>
      <c r="G228" s="3">
        <v>202207</v>
      </c>
      <c r="H228" s="3" t="s">
        <v>75</v>
      </c>
      <c r="I228" s="3" t="s">
        <v>76</v>
      </c>
      <c r="J228" s="3" t="s">
        <v>77</v>
      </c>
      <c r="K228" s="3" t="s">
        <v>78</v>
      </c>
      <c r="L228" s="3" t="s">
        <v>167</v>
      </c>
      <c r="M228" s="3" t="s">
        <v>168</v>
      </c>
      <c r="N228" s="3" t="s">
        <v>194</v>
      </c>
      <c r="O228" s="3" t="s">
        <v>82</v>
      </c>
      <c r="P228" s="3" t="str">
        <f>"2170809798                    "</f>
        <v xml:space="preserve">2170809798                    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15.46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0</v>
      </c>
      <c r="AZ228" s="3">
        <v>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1</v>
      </c>
      <c r="BI228" s="3">
        <v>1</v>
      </c>
      <c r="BJ228" s="3">
        <v>1.1000000000000001</v>
      </c>
      <c r="BK228" s="3">
        <v>1.5</v>
      </c>
      <c r="BL228" s="3">
        <v>59</v>
      </c>
      <c r="BM228" s="3">
        <v>8.85</v>
      </c>
      <c r="BN228" s="3">
        <v>67.849999999999994</v>
      </c>
      <c r="BO228" s="3">
        <v>67.849999999999994</v>
      </c>
      <c r="BQ228" s="3" t="s">
        <v>89</v>
      </c>
      <c r="BR228" s="3" t="s">
        <v>84</v>
      </c>
      <c r="BS228" s="4">
        <v>44572</v>
      </c>
      <c r="BT228" s="5">
        <v>0.51527777777777783</v>
      </c>
      <c r="BU228" s="3" t="s">
        <v>456</v>
      </c>
      <c r="BV228" s="3" t="s">
        <v>87</v>
      </c>
      <c r="BW228" s="3" t="s">
        <v>457</v>
      </c>
      <c r="BX228" s="3" t="s">
        <v>458</v>
      </c>
      <c r="BY228" s="3">
        <v>5320</v>
      </c>
      <c r="BZ228" s="3" t="s">
        <v>165</v>
      </c>
      <c r="CC228" s="3" t="s">
        <v>168</v>
      </c>
      <c r="CD228" s="3">
        <v>6229</v>
      </c>
      <c r="CE228" s="3" t="s">
        <v>86</v>
      </c>
      <c r="CF228" s="4">
        <v>44572</v>
      </c>
      <c r="CI228" s="3">
        <v>1</v>
      </c>
      <c r="CJ228" s="3">
        <v>1</v>
      </c>
      <c r="CK228" s="3">
        <v>21</v>
      </c>
      <c r="CL228" s="3" t="s">
        <v>87</v>
      </c>
    </row>
    <row r="229" spans="1:90" x14ac:dyDescent="0.2">
      <c r="A229" s="3" t="s">
        <v>72</v>
      </c>
      <c r="B229" s="3" t="s">
        <v>73</v>
      </c>
      <c r="C229" s="3" t="s">
        <v>74</v>
      </c>
      <c r="E229" s="3" t="str">
        <f>"RFES1162839841"</f>
        <v>RFES1162839841</v>
      </c>
      <c r="F229" s="4">
        <v>44571</v>
      </c>
      <c r="G229" s="3">
        <v>202207</v>
      </c>
      <c r="H229" s="3" t="s">
        <v>75</v>
      </c>
      <c r="I229" s="3" t="s">
        <v>76</v>
      </c>
      <c r="J229" s="3" t="s">
        <v>459</v>
      </c>
      <c r="K229" s="3" t="s">
        <v>78</v>
      </c>
      <c r="L229" s="3" t="s">
        <v>75</v>
      </c>
      <c r="M229" s="3" t="s">
        <v>76</v>
      </c>
      <c r="N229" s="3" t="s">
        <v>77</v>
      </c>
      <c r="O229" s="3" t="s">
        <v>82</v>
      </c>
      <c r="P229" s="3" t="str">
        <f>"2170811808                    "</f>
        <v xml:space="preserve">2170811808                    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12.07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1</v>
      </c>
      <c r="BI229" s="3">
        <v>1</v>
      </c>
      <c r="BJ229" s="3">
        <v>1.1000000000000001</v>
      </c>
      <c r="BK229" s="3">
        <v>1.5</v>
      </c>
      <c r="BL229" s="3">
        <v>46.08</v>
      </c>
      <c r="BM229" s="3">
        <v>6.91</v>
      </c>
      <c r="BN229" s="3">
        <v>52.99</v>
      </c>
      <c r="BO229" s="3">
        <v>52.99</v>
      </c>
      <c r="BQ229" s="3" t="s">
        <v>308</v>
      </c>
      <c r="BR229" s="3" t="s">
        <v>83</v>
      </c>
      <c r="BS229" s="4">
        <v>44572</v>
      </c>
      <c r="BT229" s="5">
        <v>0.41041666666666665</v>
      </c>
      <c r="BU229" s="3" t="s">
        <v>310</v>
      </c>
      <c r="BV229" s="3" t="s">
        <v>105</v>
      </c>
      <c r="BY229" s="3">
        <v>5320</v>
      </c>
      <c r="BZ229" s="3" t="s">
        <v>165</v>
      </c>
      <c r="CA229" s="3" t="s">
        <v>311</v>
      </c>
      <c r="CC229" s="3" t="s">
        <v>76</v>
      </c>
      <c r="CD229" s="3">
        <v>1601</v>
      </c>
      <c r="CE229" s="3" t="s">
        <v>86</v>
      </c>
      <c r="CF229" s="4">
        <v>44572</v>
      </c>
      <c r="CI229" s="3">
        <v>1</v>
      </c>
      <c r="CJ229" s="3">
        <v>1</v>
      </c>
      <c r="CK229" s="3">
        <v>22</v>
      </c>
      <c r="CL229" s="3" t="s">
        <v>87</v>
      </c>
    </row>
    <row r="230" spans="1:90" x14ac:dyDescent="0.2">
      <c r="A230" s="3" t="s">
        <v>72</v>
      </c>
      <c r="B230" s="3" t="s">
        <v>73</v>
      </c>
      <c r="C230" s="3" t="s">
        <v>74</v>
      </c>
      <c r="E230" s="3" t="str">
        <f>"FES1162844281"</f>
        <v>FES1162844281</v>
      </c>
      <c r="F230" s="4">
        <v>44571</v>
      </c>
      <c r="G230" s="3">
        <v>202207</v>
      </c>
      <c r="H230" s="3" t="s">
        <v>75</v>
      </c>
      <c r="I230" s="3" t="s">
        <v>76</v>
      </c>
      <c r="J230" s="3" t="s">
        <v>77</v>
      </c>
      <c r="K230" s="3" t="s">
        <v>78</v>
      </c>
      <c r="L230" s="3" t="s">
        <v>97</v>
      </c>
      <c r="M230" s="3" t="s">
        <v>98</v>
      </c>
      <c r="N230" s="3" t="s">
        <v>460</v>
      </c>
      <c r="O230" s="3" t="s">
        <v>148</v>
      </c>
      <c r="P230" s="3" t="str">
        <f>"2170808968                    "</f>
        <v xml:space="preserve">2170808968                    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25.76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1</v>
      </c>
      <c r="BI230" s="3">
        <v>12</v>
      </c>
      <c r="BJ230" s="3">
        <v>18.3</v>
      </c>
      <c r="BK230" s="3">
        <v>19</v>
      </c>
      <c r="BL230" s="3">
        <v>103.58</v>
      </c>
      <c r="BM230" s="3">
        <v>15.54</v>
      </c>
      <c r="BN230" s="3">
        <v>119.12</v>
      </c>
      <c r="BO230" s="3">
        <v>119.12</v>
      </c>
      <c r="BQ230" s="3" t="s">
        <v>461</v>
      </c>
      <c r="BR230" s="3" t="s">
        <v>84</v>
      </c>
      <c r="BS230" s="4">
        <v>44572</v>
      </c>
      <c r="BT230" s="5">
        <v>0.3354166666666667</v>
      </c>
      <c r="BU230" s="3" t="s">
        <v>462</v>
      </c>
      <c r="BV230" s="3" t="s">
        <v>105</v>
      </c>
      <c r="BY230" s="3">
        <v>91264</v>
      </c>
      <c r="BZ230" s="3" t="s">
        <v>327</v>
      </c>
      <c r="CA230" s="3" t="s">
        <v>320</v>
      </c>
      <c r="CC230" s="3" t="s">
        <v>98</v>
      </c>
      <c r="CD230" s="3">
        <v>2093</v>
      </c>
      <c r="CE230" s="3" t="s">
        <v>86</v>
      </c>
      <c r="CF230" s="4">
        <v>44572</v>
      </c>
      <c r="CI230" s="3">
        <v>1</v>
      </c>
      <c r="CJ230" s="3">
        <v>1</v>
      </c>
      <c r="CK230" s="3">
        <v>42</v>
      </c>
      <c r="CL230" s="3" t="s">
        <v>87</v>
      </c>
    </row>
    <row r="231" spans="1:90" x14ac:dyDescent="0.2">
      <c r="A231" s="3" t="s">
        <v>72</v>
      </c>
      <c r="B231" s="3" t="s">
        <v>73</v>
      </c>
      <c r="C231" s="3" t="s">
        <v>74</v>
      </c>
      <c r="E231" s="3" t="str">
        <f>"FES1162844390"</f>
        <v>FES1162844390</v>
      </c>
      <c r="F231" s="4">
        <v>44571</v>
      </c>
      <c r="G231" s="3">
        <v>202207</v>
      </c>
      <c r="H231" s="3" t="s">
        <v>75</v>
      </c>
      <c r="I231" s="3" t="s">
        <v>76</v>
      </c>
      <c r="J231" s="3" t="s">
        <v>77</v>
      </c>
      <c r="K231" s="3" t="s">
        <v>78</v>
      </c>
      <c r="L231" s="3" t="s">
        <v>101</v>
      </c>
      <c r="M231" s="3" t="s">
        <v>102</v>
      </c>
      <c r="N231" s="3" t="s">
        <v>103</v>
      </c>
      <c r="O231" s="3" t="s">
        <v>82</v>
      </c>
      <c r="P231" s="3" t="str">
        <f>"2170815734                    "</f>
        <v xml:space="preserve">2170815734                    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15.46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1</v>
      </c>
      <c r="BI231" s="3">
        <v>1</v>
      </c>
      <c r="BJ231" s="3">
        <v>0.2</v>
      </c>
      <c r="BK231" s="3">
        <v>1</v>
      </c>
      <c r="BL231" s="3">
        <v>59</v>
      </c>
      <c r="BM231" s="3">
        <v>8.85</v>
      </c>
      <c r="BN231" s="3">
        <v>67.849999999999994</v>
      </c>
      <c r="BO231" s="3">
        <v>67.849999999999994</v>
      </c>
      <c r="BQ231" s="3" t="s">
        <v>83</v>
      </c>
      <c r="BR231" s="3" t="s">
        <v>84</v>
      </c>
      <c r="BS231" s="4">
        <v>44572</v>
      </c>
      <c r="BT231" s="5">
        <v>0.34027777777777773</v>
      </c>
      <c r="BU231" s="3" t="s">
        <v>463</v>
      </c>
      <c r="BV231" s="3" t="s">
        <v>105</v>
      </c>
      <c r="BY231" s="3">
        <v>1200</v>
      </c>
      <c r="BZ231" s="3" t="s">
        <v>165</v>
      </c>
      <c r="CA231" s="3" t="s">
        <v>334</v>
      </c>
      <c r="CC231" s="3" t="s">
        <v>102</v>
      </c>
      <c r="CD231" s="3">
        <v>4001</v>
      </c>
      <c r="CE231" s="3" t="s">
        <v>93</v>
      </c>
      <c r="CF231" s="4">
        <v>44572</v>
      </c>
      <c r="CI231" s="3">
        <v>1</v>
      </c>
      <c r="CJ231" s="3">
        <v>1</v>
      </c>
      <c r="CK231" s="3">
        <v>21</v>
      </c>
      <c r="CL231" s="3" t="s">
        <v>87</v>
      </c>
    </row>
    <row r="232" spans="1:90" x14ac:dyDescent="0.2">
      <c r="A232" s="3" t="s">
        <v>72</v>
      </c>
      <c r="B232" s="3" t="s">
        <v>73</v>
      </c>
      <c r="C232" s="3" t="s">
        <v>74</v>
      </c>
      <c r="E232" s="3" t="str">
        <f>"FES1162844433"</f>
        <v>FES1162844433</v>
      </c>
      <c r="F232" s="4">
        <v>44571</v>
      </c>
      <c r="G232" s="3">
        <v>202207</v>
      </c>
      <c r="H232" s="3" t="s">
        <v>75</v>
      </c>
      <c r="I232" s="3" t="s">
        <v>76</v>
      </c>
      <c r="J232" s="3" t="s">
        <v>77</v>
      </c>
      <c r="K232" s="3" t="s">
        <v>78</v>
      </c>
      <c r="L232" s="3" t="s">
        <v>464</v>
      </c>
      <c r="M232" s="3" t="s">
        <v>465</v>
      </c>
      <c r="N232" s="3" t="s">
        <v>466</v>
      </c>
      <c r="O232" s="3" t="s">
        <v>148</v>
      </c>
      <c r="P232" s="3" t="str">
        <f>"2170807305                    "</f>
        <v xml:space="preserve">2170807305                    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27.11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3">
        <v>0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1</v>
      </c>
      <c r="BI232" s="3">
        <v>21</v>
      </c>
      <c r="BJ232" s="3">
        <v>6.8</v>
      </c>
      <c r="BK232" s="3">
        <v>21</v>
      </c>
      <c r="BL232" s="3">
        <v>108.73</v>
      </c>
      <c r="BM232" s="3">
        <v>16.309999999999999</v>
      </c>
      <c r="BN232" s="3">
        <v>125.04</v>
      </c>
      <c r="BO232" s="3">
        <v>125.04</v>
      </c>
      <c r="BQ232" s="3" t="s">
        <v>145</v>
      </c>
      <c r="BR232" s="3" t="s">
        <v>84</v>
      </c>
      <c r="BS232" s="4">
        <v>44572</v>
      </c>
      <c r="BT232" s="5">
        <v>0.46527777777777773</v>
      </c>
      <c r="BU232" s="3" t="s">
        <v>467</v>
      </c>
      <c r="BV232" s="3" t="s">
        <v>105</v>
      </c>
      <c r="BY232" s="3">
        <v>33858</v>
      </c>
      <c r="BZ232" s="3" t="s">
        <v>327</v>
      </c>
      <c r="CA232" s="3" t="s">
        <v>468</v>
      </c>
      <c r="CC232" s="3" t="s">
        <v>465</v>
      </c>
      <c r="CD232" s="3">
        <v>1500</v>
      </c>
      <c r="CE232" s="3" t="s">
        <v>86</v>
      </c>
      <c r="CF232" s="4">
        <v>44572</v>
      </c>
      <c r="CI232" s="3">
        <v>1</v>
      </c>
      <c r="CJ232" s="3">
        <v>1</v>
      </c>
      <c r="CK232" s="3">
        <v>42</v>
      </c>
      <c r="CL232" s="3" t="s">
        <v>87</v>
      </c>
    </row>
    <row r="233" spans="1:90" x14ac:dyDescent="0.2">
      <c r="A233" s="3" t="s">
        <v>72</v>
      </c>
      <c r="B233" s="3" t="s">
        <v>73</v>
      </c>
      <c r="C233" s="3" t="s">
        <v>74</v>
      </c>
      <c r="E233" s="3" t="str">
        <f>"FES1162844349"</f>
        <v>FES1162844349</v>
      </c>
      <c r="F233" s="4">
        <v>44571</v>
      </c>
      <c r="G233" s="3">
        <v>202207</v>
      </c>
      <c r="H233" s="3" t="s">
        <v>75</v>
      </c>
      <c r="I233" s="3" t="s">
        <v>76</v>
      </c>
      <c r="J233" s="3" t="s">
        <v>77</v>
      </c>
      <c r="K233" s="3" t="s">
        <v>78</v>
      </c>
      <c r="L233" s="3" t="s">
        <v>138</v>
      </c>
      <c r="M233" s="3" t="s">
        <v>139</v>
      </c>
      <c r="N233" s="3" t="s">
        <v>238</v>
      </c>
      <c r="O233" s="3" t="s">
        <v>82</v>
      </c>
      <c r="P233" s="3" t="str">
        <f>"2170814780                    "</f>
        <v xml:space="preserve">2170814780                    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15.46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1</v>
      </c>
      <c r="BI233" s="3">
        <v>1</v>
      </c>
      <c r="BJ233" s="3">
        <v>0.2</v>
      </c>
      <c r="BK233" s="3">
        <v>1</v>
      </c>
      <c r="BL233" s="3">
        <v>59</v>
      </c>
      <c r="BM233" s="3">
        <v>8.85</v>
      </c>
      <c r="BN233" s="3">
        <v>67.849999999999994</v>
      </c>
      <c r="BO233" s="3">
        <v>67.849999999999994</v>
      </c>
      <c r="BQ233" s="3" t="s">
        <v>89</v>
      </c>
      <c r="BR233" s="3" t="s">
        <v>84</v>
      </c>
      <c r="BS233" s="4">
        <v>44572</v>
      </c>
      <c r="BT233" s="5">
        <v>0.35347222222222219</v>
      </c>
      <c r="BU233" s="3" t="s">
        <v>469</v>
      </c>
      <c r="BV233" s="3" t="s">
        <v>105</v>
      </c>
      <c r="BY233" s="3">
        <v>1200</v>
      </c>
      <c r="BZ233" s="3" t="s">
        <v>165</v>
      </c>
      <c r="CA233" s="3" t="s">
        <v>303</v>
      </c>
      <c r="CC233" s="3" t="s">
        <v>139</v>
      </c>
      <c r="CD233" s="3">
        <v>3610</v>
      </c>
      <c r="CE233" s="3" t="s">
        <v>93</v>
      </c>
      <c r="CF233" s="4">
        <v>44572</v>
      </c>
      <c r="CI233" s="3">
        <v>1</v>
      </c>
      <c r="CJ233" s="3">
        <v>1</v>
      </c>
      <c r="CK233" s="3">
        <v>21</v>
      </c>
      <c r="CL233" s="3" t="s">
        <v>87</v>
      </c>
    </row>
    <row r="234" spans="1:90" x14ac:dyDescent="0.2">
      <c r="A234" s="3" t="s">
        <v>72</v>
      </c>
      <c r="B234" s="3" t="s">
        <v>73</v>
      </c>
      <c r="C234" s="3" t="s">
        <v>74</v>
      </c>
      <c r="E234" s="3" t="str">
        <f>"FES1162844333"</f>
        <v>FES1162844333</v>
      </c>
      <c r="F234" s="4">
        <v>44571</v>
      </c>
      <c r="G234" s="3">
        <v>202207</v>
      </c>
      <c r="H234" s="3" t="s">
        <v>75</v>
      </c>
      <c r="I234" s="3" t="s">
        <v>76</v>
      </c>
      <c r="J234" s="3" t="s">
        <v>77</v>
      </c>
      <c r="K234" s="3" t="s">
        <v>78</v>
      </c>
      <c r="L234" s="3" t="s">
        <v>142</v>
      </c>
      <c r="M234" s="3" t="s">
        <v>143</v>
      </c>
      <c r="N234" s="3" t="s">
        <v>337</v>
      </c>
      <c r="O234" s="3" t="s">
        <v>82</v>
      </c>
      <c r="P234" s="3" t="str">
        <f>"2170814657                    "</f>
        <v xml:space="preserve">2170814657                    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12.07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0</v>
      </c>
      <c r="AZ234" s="3">
        <v>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1</v>
      </c>
      <c r="BI234" s="3">
        <v>2</v>
      </c>
      <c r="BJ234" s="3">
        <v>2</v>
      </c>
      <c r="BK234" s="3">
        <v>2</v>
      </c>
      <c r="BL234" s="3">
        <v>46.08</v>
      </c>
      <c r="BM234" s="3">
        <v>6.91</v>
      </c>
      <c r="BN234" s="3">
        <v>52.99</v>
      </c>
      <c r="BO234" s="3">
        <v>52.99</v>
      </c>
      <c r="BQ234" s="3" t="s">
        <v>89</v>
      </c>
      <c r="BR234" s="3" t="s">
        <v>84</v>
      </c>
      <c r="BS234" s="4">
        <v>44572</v>
      </c>
      <c r="BT234" s="5">
        <v>0.3347222222222222</v>
      </c>
      <c r="BU234" s="3" t="s">
        <v>470</v>
      </c>
      <c r="BV234" s="3" t="s">
        <v>105</v>
      </c>
      <c r="BY234" s="3">
        <v>9918</v>
      </c>
      <c r="BZ234" s="3" t="s">
        <v>165</v>
      </c>
      <c r="CA234" s="3" t="s">
        <v>471</v>
      </c>
      <c r="CC234" s="3" t="s">
        <v>143</v>
      </c>
      <c r="CD234" s="3">
        <v>1451</v>
      </c>
      <c r="CE234" s="3" t="s">
        <v>86</v>
      </c>
      <c r="CF234" s="4">
        <v>44572</v>
      </c>
      <c r="CI234" s="3">
        <v>1</v>
      </c>
      <c r="CJ234" s="3">
        <v>1</v>
      </c>
      <c r="CK234" s="3">
        <v>22</v>
      </c>
      <c r="CL234" s="3" t="s">
        <v>87</v>
      </c>
    </row>
    <row r="235" spans="1:90" x14ac:dyDescent="0.2">
      <c r="A235" s="3" t="s">
        <v>72</v>
      </c>
      <c r="B235" s="3" t="s">
        <v>73</v>
      </c>
      <c r="C235" s="3" t="s">
        <v>74</v>
      </c>
      <c r="E235" s="3" t="str">
        <f>"FES1162844335"</f>
        <v>FES1162844335</v>
      </c>
      <c r="F235" s="4">
        <v>44571</v>
      </c>
      <c r="G235" s="3">
        <v>202207</v>
      </c>
      <c r="H235" s="3" t="s">
        <v>75</v>
      </c>
      <c r="I235" s="3" t="s">
        <v>76</v>
      </c>
      <c r="J235" s="3" t="s">
        <v>77</v>
      </c>
      <c r="K235" s="3" t="s">
        <v>78</v>
      </c>
      <c r="L235" s="3" t="s">
        <v>472</v>
      </c>
      <c r="M235" s="3" t="s">
        <v>473</v>
      </c>
      <c r="N235" s="3" t="s">
        <v>474</v>
      </c>
      <c r="O235" s="3" t="s">
        <v>82</v>
      </c>
      <c r="P235" s="3" t="str">
        <f>"2170814670                    "</f>
        <v xml:space="preserve">2170814670                    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29.95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1</v>
      </c>
      <c r="BI235" s="3">
        <v>1</v>
      </c>
      <c r="BJ235" s="3">
        <v>0.2</v>
      </c>
      <c r="BK235" s="3">
        <v>1</v>
      </c>
      <c r="BL235" s="3">
        <v>114.31</v>
      </c>
      <c r="BM235" s="3">
        <v>17.149999999999999</v>
      </c>
      <c r="BN235" s="3">
        <v>131.46</v>
      </c>
      <c r="BO235" s="3">
        <v>131.46</v>
      </c>
      <c r="BQ235" s="3" t="s">
        <v>83</v>
      </c>
      <c r="BR235" s="3" t="s">
        <v>84</v>
      </c>
      <c r="BS235" s="4">
        <v>44572</v>
      </c>
      <c r="BT235" s="5">
        <v>0.44513888888888892</v>
      </c>
      <c r="BU235" s="3" t="s">
        <v>475</v>
      </c>
      <c r="BV235" s="3" t="s">
        <v>105</v>
      </c>
      <c r="BY235" s="3">
        <v>1200</v>
      </c>
      <c r="CA235" s="3" t="s">
        <v>324</v>
      </c>
      <c r="CC235" s="3" t="s">
        <v>473</v>
      </c>
      <c r="CD235" s="3">
        <v>5257</v>
      </c>
      <c r="CE235" s="3" t="s">
        <v>93</v>
      </c>
      <c r="CF235" s="4">
        <v>44572</v>
      </c>
      <c r="CI235" s="3">
        <v>1</v>
      </c>
      <c r="CJ235" s="3">
        <v>1</v>
      </c>
      <c r="CK235" s="3">
        <v>23</v>
      </c>
      <c r="CL235" s="3" t="s">
        <v>87</v>
      </c>
    </row>
    <row r="236" spans="1:90" x14ac:dyDescent="0.2">
      <c r="A236" s="3" t="s">
        <v>72</v>
      </c>
      <c r="B236" s="3" t="s">
        <v>73</v>
      </c>
      <c r="C236" s="3" t="s">
        <v>74</v>
      </c>
      <c r="E236" s="3" t="str">
        <f>"FES1162844315"</f>
        <v>FES1162844315</v>
      </c>
      <c r="F236" s="4">
        <v>44571</v>
      </c>
      <c r="G236" s="3">
        <v>202207</v>
      </c>
      <c r="H236" s="3" t="s">
        <v>75</v>
      </c>
      <c r="I236" s="3" t="s">
        <v>76</v>
      </c>
      <c r="J236" s="3" t="s">
        <v>77</v>
      </c>
      <c r="K236" s="3" t="s">
        <v>78</v>
      </c>
      <c r="L236" s="3" t="s">
        <v>75</v>
      </c>
      <c r="M236" s="3" t="s">
        <v>76</v>
      </c>
      <c r="N236" s="3" t="s">
        <v>147</v>
      </c>
      <c r="O236" s="3" t="s">
        <v>82</v>
      </c>
      <c r="P236" s="3" t="str">
        <f>"2170814322                    "</f>
        <v xml:space="preserve">2170814322                    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12.07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1</v>
      </c>
      <c r="BI236" s="3">
        <v>5</v>
      </c>
      <c r="BJ236" s="3">
        <v>1.5</v>
      </c>
      <c r="BK236" s="3">
        <v>5</v>
      </c>
      <c r="BL236" s="3">
        <v>46.08</v>
      </c>
      <c r="BM236" s="3">
        <v>6.91</v>
      </c>
      <c r="BN236" s="3">
        <v>52.99</v>
      </c>
      <c r="BO236" s="3">
        <v>52.99</v>
      </c>
      <c r="BQ236" s="3" t="s">
        <v>89</v>
      </c>
      <c r="BR236" s="3" t="s">
        <v>84</v>
      </c>
      <c r="BS236" s="4">
        <v>44572</v>
      </c>
      <c r="BT236" s="5">
        <v>0.4291666666666667</v>
      </c>
      <c r="BU236" s="3" t="s">
        <v>476</v>
      </c>
      <c r="BV236" s="3" t="s">
        <v>105</v>
      </c>
      <c r="BY236" s="3">
        <v>7540</v>
      </c>
      <c r="BZ236" s="3" t="s">
        <v>165</v>
      </c>
      <c r="CA236" s="3" t="s">
        <v>477</v>
      </c>
      <c r="CC236" s="3" t="s">
        <v>76</v>
      </c>
      <c r="CD236" s="3">
        <v>1645</v>
      </c>
      <c r="CE236" s="3" t="s">
        <v>86</v>
      </c>
      <c r="CF236" s="4">
        <v>44573</v>
      </c>
      <c r="CI236" s="3">
        <v>1</v>
      </c>
      <c r="CJ236" s="3">
        <v>1</v>
      </c>
      <c r="CK236" s="3">
        <v>22</v>
      </c>
      <c r="CL236" s="3" t="s">
        <v>87</v>
      </c>
    </row>
    <row r="237" spans="1:90" x14ac:dyDescent="0.2">
      <c r="A237" s="3" t="s">
        <v>72</v>
      </c>
      <c r="B237" s="3" t="s">
        <v>73</v>
      </c>
      <c r="C237" s="3" t="s">
        <v>74</v>
      </c>
      <c r="E237" s="3" t="str">
        <f>"FES1162844453"</f>
        <v>FES1162844453</v>
      </c>
      <c r="F237" s="4">
        <v>44571</v>
      </c>
      <c r="G237" s="3">
        <v>202207</v>
      </c>
      <c r="H237" s="3" t="s">
        <v>75</v>
      </c>
      <c r="I237" s="3" t="s">
        <v>76</v>
      </c>
      <c r="J237" s="3" t="s">
        <v>77</v>
      </c>
      <c r="K237" s="3" t="s">
        <v>78</v>
      </c>
      <c r="L237" s="3" t="s">
        <v>138</v>
      </c>
      <c r="M237" s="3" t="s">
        <v>139</v>
      </c>
      <c r="N237" s="3" t="s">
        <v>478</v>
      </c>
      <c r="O237" s="3" t="s">
        <v>82</v>
      </c>
      <c r="P237" s="3" t="str">
        <f>"2170816086                    "</f>
        <v xml:space="preserve">2170816086                    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15.46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1</v>
      </c>
      <c r="BI237" s="3">
        <v>1</v>
      </c>
      <c r="BJ237" s="3">
        <v>0.2</v>
      </c>
      <c r="BK237" s="3">
        <v>1</v>
      </c>
      <c r="BL237" s="3">
        <v>59</v>
      </c>
      <c r="BM237" s="3">
        <v>8.85</v>
      </c>
      <c r="BN237" s="3">
        <v>67.849999999999994</v>
      </c>
      <c r="BO237" s="3">
        <v>67.849999999999994</v>
      </c>
      <c r="BQ237" s="3" t="s">
        <v>83</v>
      </c>
      <c r="BR237" s="3" t="s">
        <v>84</v>
      </c>
      <c r="BS237" s="4">
        <v>44572</v>
      </c>
      <c r="BT237" s="5">
        <v>0.41875000000000001</v>
      </c>
      <c r="BU237" s="3" t="s">
        <v>479</v>
      </c>
      <c r="BV237" s="3" t="s">
        <v>105</v>
      </c>
      <c r="BY237" s="3">
        <v>1200</v>
      </c>
      <c r="BZ237" s="3" t="s">
        <v>165</v>
      </c>
      <c r="CA237" s="3" t="s">
        <v>303</v>
      </c>
      <c r="CC237" s="3" t="s">
        <v>139</v>
      </c>
      <c r="CD237" s="3">
        <v>3610</v>
      </c>
      <c r="CE237" s="3" t="s">
        <v>93</v>
      </c>
      <c r="CF237" s="4">
        <v>44572</v>
      </c>
      <c r="CI237" s="3">
        <v>1</v>
      </c>
      <c r="CJ237" s="3">
        <v>1</v>
      </c>
      <c r="CK237" s="3">
        <v>21</v>
      </c>
      <c r="CL237" s="3" t="s">
        <v>87</v>
      </c>
    </row>
    <row r="238" spans="1:90" x14ac:dyDescent="0.2">
      <c r="A238" s="3" t="s">
        <v>72</v>
      </c>
      <c r="B238" s="3" t="s">
        <v>73</v>
      </c>
      <c r="C238" s="3" t="s">
        <v>74</v>
      </c>
      <c r="E238" s="3" t="str">
        <f>"FES1162844436"</f>
        <v>FES1162844436</v>
      </c>
      <c r="F238" s="4">
        <v>44571</v>
      </c>
      <c r="G238" s="3">
        <v>202207</v>
      </c>
      <c r="H238" s="3" t="s">
        <v>75</v>
      </c>
      <c r="I238" s="3" t="s">
        <v>76</v>
      </c>
      <c r="J238" s="3" t="s">
        <v>77</v>
      </c>
      <c r="K238" s="3" t="s">
        <v>78</v>
      </c>
      <c r="L238" s="3" t="s">
        <v>79</v>
      </c>
      <c r="M238" s="3" t="s">
        <v>80</v>
      </c>
      <c r="N238" s="3" t="s">
        <v>237</v>
      </c>
      <c r="O238" s="3" t="s">
        <v>82</v>
      </c>
      <c r="P238" s="3" t="str">
        <f>"2170816068                    "</f>
        <v xml:space="preserve">2170816068                    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15.46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1</v>
      </c>
      <c r="BI238" s="3">
        <v>2</v>
      </c>
      <c r="BJ238" s="3">
        <v>1.1000000000000001</v>
      </c>
      <c r="BK238" s="3">
        <v>2</v>
      </c>
      <c r="BL238" s="3">
        <v>59</v>
      </c>
      <c r="BM238" s="3">
        <v>8.85</v>
      </c>
      <c r="BN238" s="3">
        <v>67.849999999999994</v>
      </c>
      <c r="BO238" s="3">
        <v>67.849999999999994</v>
      </c>
      <c r="BQ238" s="3" t="s">
        <v>83</v>
      </c>
      <c r="BR238" s="3" t="s">
        <v>84</v>
      </c>
      <c r="BS238" s="4">
        <v>44572</v>
      </c>
      <c r="BT238" s="5">
        <v>0.34722222222222227</v>
      </c>
      <c r="BU238" s="3" t="s">
        <v>480</v>
      </c>
      <c r="BV238" s="3" t="s">
        <v>105</v>
      </c>
      <c r="BY238" s="3">
        <v>5320</v>
      </c>
      <c r="BZ238" s="3" t="s">
        <v>165</v>
      </c>
      <c r="CA238" s="3" t="s">
        <v>481</v>
      </c>
      <c r="CC238" s="3" t="s">
        <v>80</v>
      </c>
      <c r="CD238" s="3">
        <v>1</v>
      </c>
      <c r="CE238" s="3" t="s">
        <v>86</v>
      </c>
      <c r="CF238" s="4">
        <v>44572</v>
      </c>
      <c r="CI238" s="3">
        <v>1</v>
      </c>
      <c r="CJ238" s="3">
        <v>1</v>
      </c>
      <c r="CK238" s="3">
        <v>21</v>
      </c>
      <c r="CL238" s="3" t="s">
        <v>87</v>
      </c>
    </row>
    <row r="239" spans="1:90" x14ac:dyDescent="0.2">
      <c r="A239" s="3" t="s">
        <v>72</v>
      </c>
      <c r="B239" s="3" t="s">
        <v>73</v>
      </c>
      <c r="C239" s="3" t="s">
        <v>74</v>
      </c>
      <c r="E239" s="3" t="str">
        <f>"FES1162844380"</f>
        <v>FES1162844380</v>
      </c>
      <c r="F239" s="4">
        <v>44571</v>
      </c>
      <c r="G239" s="3">
        <v>202207</v>
      </c>
      <c r="H239" s="3" t="s">
        <v>75</v>
      </c>
      <c r="I239" s="3" t="s">
        <v>76</v>
      </c>
      <c r="J239" s="3" t="s">
        <v>77</v>
      </c>
      <c r="K239" s="3" t="s">
        <v>78</v>
      </c>
      <c r="L239" s="3" t="s">
        <v>190</v>
      </c>
      <c r="M239" s="3" t="s">
        <v>191</v>
      </c>
      <c r="N239" s="3" t="s">
        <v>395</v>
      </c>
      <c r="O239" s="3" t="s">
        <v>82</v>
      </c>
      <c r="P239" s="3" t="str">
        <f>"2170815096                    "</f>
        <v xml:space="preserve">2170815096                    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29.95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1</v>
      </c>
      <c r="BI239" s="3">
        <v>1</v>
      </c>
      <c r="BJ239" s="3">
        <v>0.2</v>
      </c>
      <c r="BK239" s="3">
        <v>1</v>
      </c>
      <c r="BL239" s="3">
        <v>114.31</v>
      </c>
      <c r="BM239" s="3">
        <v>17.149999999999999</v>
      </c>
      <c r="BN239" s="3">
        <v>131.46</v>
      </c>
      <c r="BO239" s="3">
        <v>131.46</v>
      </c>
      <c r="BR239" s="3" t="s">
        <v>84</v>
      </c>
      <c r="BS239" s="4">
        <v>44572</v>
      </c>
      <c r="BT239" s="5">
        <v>0.51597222222222217</v>
      </c>
      <c r="BU239" s="3" t="s">
        <v>396</v>
      </c>
      <c r="BV239" s="3" t="s">
        <v>105</v>
      </c>
      <c r="BY239" s="3">
        <v>1200</v>
      </c>
      <c r="CA239" s="3" t="s">
        <v>397</v>
      </c>
      <c r="CC239" s="3" t="s">
        <v>191</v>
      </c>
      <c r="CD239" s="3">
        <v>1050</v>
      </c>
      <c r="CE239" s="3" t="s">
        <v>93</v>
      </c>
      <c r="CF239" s="4">
        <v>44572</v>
      </c>
      <c r="CI239" s="3">
        <v>1</v>
      </c>
      <c r="CJ239" s="3">
        <v>1</v>
      </c>
      <c r="CK239" s="3">
        <v>23</v>
      </c>
      <c r="CL239" s="3" t="s">
        <v>87</v>
      </c>
    </row>
    <row r="240" spans="1:90" x14ac:dyDescent="0.2">
      <c r="A240" s="3" t="s">
        <v>72</v>
      </c>
      <c r="B240" s="3" t="s">
        <v>73</v>
      </c>
      <c r="C240" s="3" t="s">
        <v>74</v>
      </c>
      <c r="E240" s="3" t="str">
        <f>"FES1162844312"</f>
        <v>FES1162844312</v>
      </c>
      <c r="F240" s="4">
        <v>44571</v>
      </c>
      <c r="G240" s="3">
        <v>202207</v>
      </c>
      <c r="H240" s="3" t="s">
        <v>75</v>
      </c>
      <c r="I240" s="3" t="s">
        <v>76</v>
      </c>
      <c r="J240" s="3" t="s">
        <v>77</v>
      </c>
      <c r="K240" s="3" t="s">
        <v>78</v>
      </c>
      <c r="L240" s="3" t="s">
        <v>75</v>
      </c>
      <c r="M240" s="3" t="s">
        <v>76</v>
      </c>
      <c r="N240" s="3" t="s">
        <v>153</v>
      </c>
      <c r="O240" s="3" t="s">
        <v>82</v>
      </c>
      <c r="P240" s="3" t="str">
        <f>"2170813350                    "</f>
        <v xml:space="preserve">2170813350                    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12.07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1</v>
      </c>
      <c r="BI240" s="3">
        <v>4</v>
      </c>
      <c r="BJ240" s="3">
        <v>0.7</v>
      </c>
      <c r="BK240" s="3">
        <v>4</v>
      </c>
      <c r="BL240" s="3">
        <v>46.08</v>
      </c>
      <c r="BM240" s="3">
        <v>6.91</v>
      </c>
      <c r="BN240" s="3">
        <v>52.99</v>
      </c>
      <c r="BO240" s="3">
        <v>52.99</v>
      </c>
      <c r="BR240" s="3" t="s">
        <v>84</v>
      </c>
      <c r="BS240" s="4">
        <v>44572</v>
      </c>
      <c r="BT240" s="5">
        <v>0.38541666666666669</v>
      </c>
      <c r="BU240" s="3" t="s">
        <v>370</v>
      </c>
      <c r="BV240" s="3" t="s">
        <v>105</v>
      </c>
      <c r="BY240" s="3">
        <v>3744</v>
      </c>
      <c r="BZ240" s="3" t="s">
        <v>165</v>
      </c>
      <c r="CA240" s="3" t="s">
        <v>227</v>
      </c>
      <c r="CC240" s="3" t="s">
        <v>76</v>
      </c>
      <c r="CD240" s="3">
        <v>1600</v>
      </c>
      <c r="CE240" s="3" t="s">
        <v>86</v>
      </c>
      <c r="CF240" s="4">
        <v>44573</v>
      </c>
      <c r="CI240" s="3">
        <v>1</v>
      </c>
      <c r="CJ240" s="3">
        <v>1</v>
      </c>
      <c r="CK240" s="3">
        <v>22</v>
      </c>
      <c r="CL240" s="3" t="s">
        <v>87</v>
      </c>
    </row>
    <row r="241" spans="1:90" x14ac:dyDescent="0.2">
      <c r="A241" s="3" t="s">
        <v>72</v>
      </c>
      <c r="B241" s="3" t="s">
        <v>73</v>
      </c>
      <c r="C241" s="3" t="s">
        <v>74</v>
      </c>
      <c r="E241" s="3" t="str">
        <f>"FES1162844419"</f>
        <v>FES1162844419</v>
      </c>
      <c r="F241" s="4">
        <v>44571</v>
      </c>
      <c r="G241" s="3">
        <v>202207</v>
      </c>
      <c r="H241" s="3" t="s">
        <v>75</v>
      </c>
      <c r="I241" s="3" t="s">
        <v>76</v>
      </c>
      <c r="J241" s="3" t="s">
        <v>77</v>
      </c>
      <c r="K241" s="3" t="s">
        <v>78</v>
      </c>
      <c r="L241" s="3" t="s">
        <v>97</v>
      </c>
      <c r="M241" s="3" t="s">
        <v>98</v>
      </c>
      <c r="N241" s="3" t="s">
        <v>482</v>
      </c>
      <c r="O241" s="3" t="s">
        <v>82</v>
      </c>
      <c r="P241" s="3" t="str">
        <f>"2170816048                    "</f>
        <v xml:space="preserve">2170816048                    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12.07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1</v>
      </c>
      <c r="BI241" s="3">
        <v>5</v>
      </c>
      <c r="BJ241" s="3">
        <v>4.0999999999999996</v>
      </c>
      <c r="BK241" s="3">
        <v>5</v>
      </c>
      <c r="BL241" s="3">
        <v>46.08</v>
      </c>
      <c r="BM241" s="3">
        <v>6.91</v>
      </c>
      <c r="BN241" s="3">
        <v>52.99</v>
      </c>
      <c r="BO241" s="3">
        <v>52.99</v>
      </c>
      <c r="BQ241" s="3" t="s">
        <v>89</v>
      </c>
      <c r="BR241" s="3" t="s">
        <v>84</v>
      </c>
      <c r="BS241" s="4">
        <v>44572</v>
      </c>
      <c r="BT241" s="5">
        <v>0.4375</v>
      </c>
      <c r="BU241" s="3" t="s">
        <v>483</v>
      </c>
      <c r="BV241" s="3" t="s">
        <v>105</v>
      </c>
      <c r="BY241" s="3">
        <v>20358</v>
      </c>
      <c r="BZ241" s="3" t="s">
        <v>165</v>
      </c>
      <c r="CC241" s="3" t="s">
        <v>98</v>
      </c>
      <c r="CD241" s="3">
        <v>2197</v>
      </c>
      <c r="CE241" s="3" t="s">
        <v>86</v>
      </c>
      <c r="CF241" s="4">
        <v>44572</v>
      </c>
      <c r="CI241" s="3">
        <v>1</v>
      </c>
      <c r="CJ241" s="3">
        <v>1</v>
      </c>
      <c r="CK241" s="3">
        <v>22</v>
      </c>
      <c r="CL241" s="3" t="s">
        <v>87</v>
      </c>
    </row>
    <row r="242" spans="1:90" x14ac:dyDescent="0.2">
      <c r="A242" s="3" t="s">
        <v>72</v>
      </c>
      <c r="B242" s="3" t="s">
        <v>73</v>
      </c>
      <c r="C242" s="3" t="s">
        <v>74</v>
      </c>
      <c r="E242" s="3" t="str">
        <f>"FES1162844372"</f>
        <v>FES1162844372</v>
      </c>
      <c r="F242" s="4">
        <v>44571</v>
      </c>
      <c r="G242" s="3">
        <v>202207</v>
      </c>
      <c r="H242" s="3" t="s">
        <v>75</v>
      </c>
      <c r="I242" s="3" t="s">
        <v>76</v>
      </c>
      <c r="J242" s="3" t="s">
        <v>77</v>
      </c>
      <c r="K242" s="3" t="s">
        <v>78</v>
      </c>
      <c r="L242" s="3" t="s">
        <v>129</v>
      </c>
      <c r="M242" s="3" t="s">
        <v>130</v>
      </c>
      <c r="N242" s="3" t="s">
        <v>404</v>
      </c>
      <c r="O242" s="3" t="s">
        <v>82</v>
      </c>
      <c r="P242" s="3" t="str">
        <f>"217084957                     "</f>
        <v xml:space="preserve">217084957                     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29.95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1</v>
      </c>
      <c r="BI242" s="3">
        <v>1</v>
      </c>
      <c r="BJ242" s="3">
        <v>0.2</v>
      </c>
      <c r="BK242" s="3">
        <v>1</v>
      </c>
      <c r="BL242" s="3">
        <v>114.31</v>
      </c>
      <c r="BM242" s="3">
        <v>17.149999999999999</v>
      </c>
      <c r="BN242" s="3">
        <v>131.46</v>
      </c>
      <c r="BO242" s="3">
        <v>131.46</v>
      </c>
      <c r="BQ242" s="3" t="s">
        <v>83</v>
      </c>
      <c r="BR242" s="3" t="s">
        <v>84</v>
      </c>
      <c r="BS242" s="4">
        <v>44572</v>
      </c>
      <c r="BT242" s="5">
        <v>0.45833333333333331</v>
      </c>
      <c r="BU242" s="3" t="s">
        <v>405</v>
      </c>
      <c r="BV242" s="3" t="s">
        <v>105</v>
      </c>
      <c r="BY242" s="3">
        <v>1200</v>
      </c>
      <c r="CA242" s="3" t="s">
        <v>406</v>
      </c>
      <c r="CC242" s="3" t="s">
        <v>130</v>
      </c>
      <c r="CD242" s="3">
        <v>3370</v>
      </c>
      <c r="CE242" s="3" t="s">
        <v>93</v>
      </c>
      <c r="CF242" s="4">
        <v>44573</v>
      </c>
      <c r="CI242" s="3">
        <v>2</v>
      </c>
      <c r="CJ242" s="3">
        <v>1</v>
      </c>
      <c r="CK242" s="3">
        <v>23</v>
      </c>
      <c r="CL242" s="3" t="s">
        <v>87</v>
      </c>
    </row>
    <row r="243" spans="1:90" x14ac:dyDescent="0.2">
      <c r="A243" s="3" t="s">
        <v>72</v>
      </c>
      <c r="B243" s="3" t="s">
        <v>73</v>
      </c>
      <c r="C243" s="3" t="s">
        <v>74</v>
      </c>
      <c r="E243" s="3" t="str">
        <f>"FES1162844416"</f>
        <v>FES1162844416</v>
      </c>
      <c r="F243" s="4">
        <v>44571</v>
      </c>
      <c r="G243" s="3">
        <v>202207</v>
      </c>
      <c r="H243" s="3" t="s">
        <v>75</v>
      </c>
      <c r="I243" s="3" t="s">
        <v>76</v>
      </c>
      <c r="J243" s="3" t="s">
        <v>77</v>
      </c>
      <c r="K243" s="3" t="s">
        <v>78</v>
      </c>
      <c r="L243" s="3" t="s">
        <v>120</v>
      </c>
      <c r="M243" s="3" t="s">
        <v>121</v>
      </c>
      <c r="N243" s="3" t="s">
        <v>122</v>
      </c>
      <c r="O243" s="3" t="s">
        <v>82</v>
      </c>
      <c r="P243" s="3" t="str">
        <f>"2170816044                    "</f>
        <v xml:space="preserve">2170816044                    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23.18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1</v>
      </c>
      <c r="BI243" s="3">
        <v>2</v>
      </c>
      <c r="BJ243" s="3">
        <v>2.9</v>
      </c>
      <c r="BK243" s="3">
        <v>3</v>
      </c>
      <c r="BL243" s="3">
        <v>88.48</v>
      </c>
      <c r="BM243" s="3">
        <v>13.27</v>
      </c>
      <c r="BN243" s="3">
        <v>101.75</v>
      </c>
      <c r="BO243" s="3">
        <v>101.75</v>
      </c>
      <c r="BQ243" s="3" t="s">
        <v>89</v>
      </c>
      <c r="BR243" s="3" t="s">
        <v>84</v>
      </c>
      <c r="BS243" s="4">
        <v>44572</v>
      </c>
      <c r="BT243" s="5">
        <v>0.4375</v>
      </c>
      <c r="BU243" s="3" t="s">
        <v>346</v>
      </c>
      <c r="BV243" s="3" t="s">
        <v>105</v>
      </c>
      <c r="BY243" s="3">
        <v>14336</v>
      </c>
      <c r="BZ243" s="3" t="s">
        <v>165</v>
      </c>
      <c r="CC243" s="3" t="s">
        <v>121</v>
      </c>
      <c r="CD243" s="3">
        <v>6230</v>
      </c>
      <c r="CE243" s="3" t="s">
        <v>86</v>
      </c>
      <c r="CF243" s="4">
        <v>44572</v>
      </c>
      <c r="CI243" s="3">
        <v>1</v>
      </c>
      <c r="CJ243" s="3">
        <v>1</v>
      </c>
      <c r="CK243" s="3">
        <v>21</v>
      </c>
      <c r="CL243" s="3" t="s">
        <v>87</v>
      </c>
    </row>
    <row r="244" spans="1:90" x14ac:dyDescent="0.2">
      <c r="A244" s="3" t="s">
        <v>72</v>
      </c>
      <c r="B244" s="3" t="s">
        <v>73</v>
      </c>
      <c r="C244" s="3" t="s">
        <v>74</v>
      </c>
      <c r="E244" s="3" t="str">
        <f>"FES1162844337"</f>
        <v>FES1162844337</v>
      </c>
      <c r="F244" s="4">
        <v>44571</v>
      </c>
      <c r="G244" s="3">
        <v>202207</v>
      </c>
      <c r="H244" s="3" t="s">
        <v>75</v>
      </c>
      <c r="I244" s="3" t="s">
        <v>76</v>
      </c>
      <c r="J244" s="3" t="s">
        <v>77</v>
      </c>
      <c r="K244" s="3" t="s">
        <v>78</v>
      </c>
      <c r="L244" s="3" t="s">
        <v>75</v>
      </c>
      <c r="M244" s="3" t="s">
        <v>76</v>
      </c>
      <c r="N244" s="3" t="s">
        <v>409</v>
      </c>
      <c r="O244" s="3" t="s">
        <v>82</v>
      </c>
      <c r="P244" s="3" t="str">
        <f>"2170814680                    "</f>
        <v xml:space="preserve">2170814680                    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12.07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1</v>
      </c>
      <c r="BI244" s="3">
        <v>2</v>
      </c>
      <c r="BJ244" s="3">
        <v>0.9</v>
      </c>
      <c r="BK244" s="3">
        <v>2</v>
      </c>
      <c r="BL244" s="3">
        <v>46.08</v>
      </c>
      <c r="BM244" s="3">
        <v>6.91</v>
      </c>
      <c r="BN244" s="3">
        <v>52.99</v>
      </c>
      <c r="BO244" s="3">
        <v>52.99</v>
      </c>
      <c r="BR244" s="3" t="s">
        <v>84</v>
      </c>
      <c r="BS244" s="4">
        <v>44572</v>
      </c>
      <c r="BT244" s="5">
        <v>0.3659722222222222</v>
      </c>
      <c r="BU244" s="3" t="s">
        <v>484</v>
      </c>
      <c r="BV244" s="3" t="s">
        <v>105</v>
      </c>
      <c r="BY244" s="3">
        <v>4275</v>
      </c>
      <c r="BZ244" s="3" t="s">
        <v>165</v>
      </c>
      <c r="CA244" s="3" t="s">
        <v>227</v>
      </c>
      <c r="CC244" s="3" t="s">
        <v>76</v>
      </c>
      <c r="CD244" s="3">
        <v>1600</v>
      </c>
      <c r="CE244" s="3" t="s">
        <v>86</v>
      </c>
      <c r="CF244" s="4">
        <v>44573</v>
      </c>
      <c r="CI244" s="3">
        <v>1</v>
      </c>
      <c r="CJ244" s="3">
        <v>1</v>
      </c>
      <c r="CK244" s="3">
        <v>22</v>
      </c>
      <c r="CL244" s="3" t="s">
        <v>87</v>
      </c>
    </row>
    <row r="245" spans="1:90" x14ac:dyDescent="0.2">
      <c r="A245" s="3" t="s">
        <v>72</v>
      </c>
      <c r="B245" s="3" t="s">
        <v>73</v>
      </c>
      <c r="C245" s="3" t="s">
        <v>74</v>
      </c>
      <c r="E245" s="3" t="str">
        <f>"FES1162844344"</f>
        <v>FES1162844344</v>
      </c>
      <c r="F245" s="4">
        <v>44571</v>
      </c>
      <c r="G245" s="3">
        <v>202207</v>
      </c>
      <c r="H245" s="3" t="s">
        <v>75</v>
      </c>
      <c r="I245" s="3" t="s">
        <v>76</v>
      </c>
      <c r="J245" s="3" t="s">
        <v>77</v>
      </c>
      <c r="K245" s="3" t="s">
        <v>78</v>
      </c>
      <c r="L245" s="3" t="s">
        <v>167</v>
      </c>
      <c r="M245" s="3" t="s">
        <v>168</v>
      </c>
      <c r="N245" s="3" t="s">
        <v>337</v>
      </c>
      <c r="O245" s="3" t="s">
        <v>82</v>
      </c>
      <c r="P245" s="3" t="str">
        <f>"2170814730                    "</f>
        <v xml:space="preserve">2170814730                    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15.46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1</v>
      </c>
      <c r="BI245" s="3">
        <v>1</v>
      </c>
      <c r="BJ245" s="3">
        <v>1.1000000000000001</v>
      </c>
      <c r="BK245" s="3">
        <v>1.5</v>
      </c>
      <c r="BL245" s="3">
        <v>59</v>
      </c>
      <c r="BM245" s="3">
        <v>8.85</v>
      </c>
      <c r="BN245" s="3">
        <v>67.849999999999994</v>
      </c>
      <c r="BO245" s="3">
        <v>67.849999999999994</v>
      </c>
      <c r="BQ245" s="3" t="s">
        <v>89</v>
      </c>
      <c r="BR245" s="3" t="s">
        <v>84</v>
      </c>
      <c r="BS245" s="4">
        <v>44573</v>
      </c>
      <c r="BT245" s="5">
        <v>0.42569444444444443</v>
      </c>
      <c r="BU245" s="3" t="s">
        <v>485</v>
      </c>
      <c r="BV245" s="3" t="s">
        <v>87</v>
      </c>
      <c r="BW245" s="3" t="s">
        <v>457</v>
      </c>
      <c r="BX245" s="3" t="s">
        <v>486</v>
      </c>
      <c r="BY245" s="3">
        <v>5320</v>
      </c>
      <c r="BZ245" s="3" t="s">
        <v>165</v>
      </c>
      <c r="CA245" s="3" t="s">
        <v>263</v>
      </c>
      <c r="CC245" s="3" t="s">
        <v>168</v>
      </c>
      <c r="CD245" s="3">
        <v>6220</v>
      </c>
      <c r="CE245" s="3" t="s">
        <v>86</v>
      </c>
      <c r="CF245" s="4">
        <v>44574</v>
      </c>
      <c r="CI245" s="3">
        <v>1</v>
      </c>
      <c r="CJ245" s="3">
        <v>2</v>
      </c>
      <c r="CK245" s="3">
        <v>21</v>
      </c>
      <c r="CL245" s="3" t="s">
        <v>87</v>
      </c>
    </row>
    <row r="246" spans="1:90" x14ac:dyDescent="0.2">
      <c r="A246" s="3" t="s">
        <v>72</v>
      </c>
      <c r="B246" s="3" t="s">
        <v>73</v>
      </c>
      <c r="C246" s="3" t="s">
        <v>74</v>
      </c>
      <c r="E246" s="3" t="str">
        <f>"FES1162844447"</f>
        <v>FES1162844447</v>
      </c>
      <c r="F246" s="4">
        <v>44571</v>
      </c>
      <c r="G246" s="3">
        <v>202207</v>
      </c>
      <c r="H246" s="3" t="s">
        <v>75</v>
      </c>
      <c r="I246" s="3" t="s">
        <v>76</v>
      </c>
      <c r="J246" s="3" t="s">
        <v>77</v>
      </c>
      <c r="K246" s="3" t="s">
        <v>78</v>
      </c>
      <c r="L246" s="3" t="s">
        <v>75</v>
      </c>
      <c r="M246" s="3" t="s">
        <v>76</v>
      </c>
      <c r="N246" s="3" t="s">
        <v>147</v>
      </c>
      <c r="O246" s="3" t="s">
        <v>148</v>
      </c>
      <c r="P246" s="3" t="str">
        <f>"2170816080                    "</f>
        <v xml:space="preserve">2170816080                    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25.76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1</v>
      </c>
      <c r="BI246" s="3">
        <v>4</v>
      </c>
      <c r="BJ246" s="3">
        <v>18.3</v>
      </c>
      <c r="BK246" s="3">
        <v>19</v>
      </c>
      <c r="BL246" s="3">
        <v>103.58</v>
      </c>
      <c r="BM246" s="3">
        <v>15.54</v>
      </c>
      <c r="BN246" s="3">
        <v>119.12</v>
      </c>
      <c r="BO246" s="3">
        <v>119.12</v>
      </c>
      <c r="BQ246" s="3" t="s">
        <v>89</v>
      </c>
      <c r="BR246" s="3" t="s">
        <v>84</v>
      </c>
      <c r="BS246" s="4">
        <v>44572</v>
      </c>
      <c r="BT246" s="5">
        <v>0.4291666666666667</v>
      </c>
      <c r="BU246" s="3" t="s">
        <v>476</v>
      </c>
      <c r="BV246" s="3" t="s">
        <v>105</v>
      </c>
      <c r="BY246" s="3">
        <v>91264</v>
      </c>
      <c r="BZ246" s="3" t="s">
        <v>327</v>
      </c>
      <c r="CA246" s="3" t="s">
        <v>477</v>
      </c>
      <c r="CC246" s="3" t="s">
        <v>76</v>
      </c>
      <c r="CD246" s="3">
        <v>1645</v>
      </c>
      <c r="CE246" s="3" t="s">
        <v>86</v>
      </c>
      <c r="CF246" s="4">
        <v>44573</v>
      </c>
      <c r="CI246" s="3">
        <v>1</v>
      </c>
      <c r="CJ246" s="3">
        <v>1</v>
      </c>
      <c r="CK246" s="3">
        <v>42</v>
      </c>
      <c r="CL246" s="3" t="s">
        <v>87</v>
      </c>
    </row>
    <row r="247" spans="1:90" x14ac:dyDescent="0.2">
      <c r="A247" s="3" t="s">
        <v>72</v>
      </c>
      <c r="B247" s="3" t="s">
        <v>73</v>
      </c>
      <c r="C247" s="3" t="s">
        <v>74</v>
      </c>
      <c r="E247" s="3" t="str">
        <f>"FES1162844311"</f>
        <v>FES1162844311</v>
      </c>
      <c r="F247" s="4">
        <v>44571</v>
      </c>
      <c r="G247" s="3">
        <v>202207</v>
      </c>
      <c r="H247" s="3" t="s">
        <v>75</v>
      </c>
      <c r="I247" s="3" t="s">
        <v>76</v>
      </c>
      <c r="J247" s="3" t="s">
        <v>77</v>
      </c>
      <c r="K247" s="3" t="s">
        <v>78</v>
      </c>
      <c r="L247" s="3" t="s">
        <v>427</v>
      </c>
      <c r="M247" s="3" t="s">
        <v>428</v>
      </c>
      <c r="N247" s="3" t="s">
        <v>429</v>
      </c>
      <c r="O247" s="3" t="s">
        <v>82</v>
      </c>
      <c r="P247" s="3" t="str">
        <f>"2170813309                    "</f>
        <v xml:space="preserve">2170813309                    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29.95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1</v>
      </c>
      <c r="BI247" s="3">
        <v>2</v>
      </c>
      <c r="BJ247" s="3">
        <v>1.1000000000000001</v>
      </c>
      <c r="BK247" s="3">
        <v>2</v>
      </c>
      <c r="BL247" s="3">
        <v>114.31</v>
      </c>
      <c r="BM247" s="3">
        <v>17.149999999999999</v>
      </c>
      <c r="BN247" s="3">
        <v>131.46</v>
      </c>
      <c r="BO247" s="3">
        <v>131.46</v>
      </c>
      <c r="BQ247" s="3" t="s">
        <v>83</v>
      </c>
      <c r="BR247" s="3" t="s">
        <v>84</v>
      </c>
      <c r="BS247" s="4">
        <v>44572</v>
      </c>
      <c r="BT247" s="5">
        <v>0.54999999999999993</v>
      </c>
      <c r="BU247" s="3" t="s">
        <v>487</v>
      </c>
      <c r="BV247" s="3" t="s">
        <v>87</v>
      </c>
      <c r="BW247" s="3" t="s">
        <v>353</v>
      </c>
      <c r="BX247" s="3" t="s">
        <v>354</v>
      </c>
      <c r="BY247" s="3">
        <v>5320</v>
      </c>
      <c r="BZ247" s="3" t="s">
        <v>165</v>
      </c>
      <c r="CA247" s="3" t="s">
        <v>488</v>
      </c>
      <c r="CC247" s="3" t="s">
        <v>428</v>
      </c>
      <c r="CD247" s="3">
        <v>7130</v>
      </c>
      <c r="CE247" s="3" t="s">
        <v>86</v>
      </c>
      <c r="CF247" s="4">
        <v>44573</v>
      </c>
      <c r="CI247" s="3">
        <v>1</v>
      </c>
      <c r="CJ247" s="3">
        <v>1</v>
      </c>
      <c r="CK247" s="3">
        <v>23</v>
      </c>
      <c r="CL247" s="3" t="s">
        <v>87</v>
      </c>
    </row>
    <row r="248" spans="1:90" x14ac:dyDescent="0.2">
      <c r="A248" s="3" t="s">
        <v>72</v>
      </c>
      <c r="B248" s="3" t="s">
        <v>73</v>
      </c>
      <c r="C248" s="3" t="s">
        <v>74</v>
      </c>
      <c r="E248" s="3" t="str">
        <f>"FES1162844290"</f>
        <v>FES1162844290</v>
      </c>
      <c r="F248" s="4">
        <v>44571</v>
      </c>
      <c r="G248" s="3">
        <v>202207</v>
      </c>
      <c r="H248" s="3" t="s">
        <v>75</v>
      </c>
      <c r="I248" s="3" t="s">
        <v>76</v>
      </c>
      <c r="J248" s="3" t="s">
        <v>77</v>
      </c>
      <c r="K248" s="3" t="s">
        <v>78</v>
      </c>
      <c r="L248" s="3" t="s">
        <v>489</v>
      </c>
      <c r="M248" s="3" t="s">
        <v>490</v>
      </c>
      <c r="N248" s="3" t="s">
        <v>491</v>
      </c>
      <c r="O248" s="3" t="s">
        <v>82</v>
      </c>
      <c r="P248" s="3" t="str">
        <f>"2170811023                    "</f>
        <v xml:space="preserve">2170811023                    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29.95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15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1</v>
      </c>
      <c r="BI248" s="3">
        <v>2</v>
      </c>
      <c r="BJ248" s="3">
        <v>2</v>
      </c>
      <c r="BK248" s="3">
        <v>2</v>
      </c>
      <c r="BL248" s="3">
        <v>129.31</v>
      </c>
      <c r="BM248" s="3">
        <v>19.399999999999999</v>
      </c>
      <c r="BN248" s="3">
        <v>148.71</v>
      </c>
      <c r="BO248" s="3">
        <v>148.71</v>
      </c>
      <c r="BQ248" s="3" t="s">
        <v>83</v>
      </c>
      <c r="BR248" s="3" t="s">
        <v>84</v>
      </c>
      <c r="BS248" s="4">
        <v>44572</v>
      </c>
      <c r="BT248" s="5">
        <v>0.57430555555555551</v>
      </c>
      <c r="BU248" s="3" t="s">
        <v>492</v>
      </c>
      <c r="BV248" s="3" t="s">
        <v>87</v>
      </c>
      <c r="BW248" s="3" t="s">
        <v>493</v>
      </c>
      <c r="BX248" s="3" t="s">
        <v>494</v>
      </c>
      <c r="BY248" s="3">
        <v>9918</v>
      </c>
      <c r="BZ248" s="3" t="s">
        <v>446</v>
      </c>
      <c r="CA248" s="3" t="s">
        <v>495</v>
      </c>
      <c r="CC248" s="3" t="s">
        <v>490</v>
      </c>
      <c r="CD248" s="3">
        <v>250</v>
      </c>
      <c r="CE248" s="3" t="s">
        <v>86</v>
      </c>
      <c r="CF248" s="4">
        <v>44572</v>
      </c>
      <c r="CI248" s="3">
        <v>1</v>
      </c>
      <c r="CJ248" s="3">
        <v>1</v>
      </c>
      <c r="CK248" s="3">
        <v>23</v>
      </c>
      <c r="CL248" s="3" t="s">
        <v>87</v>
      </c>
    </row>
    <row r="249" spans="1:90" x14ac:dyDescent="0.2">
      <c r="A249" s="3" t="s">
        <v>72</v>
      </c>
      <c r="B249" s="3" t="s">
        <v>73</v>
      </c>
      <c r="C249" s="3" t="s">
        <v>74</v>
      </c>
      <c r="E249" s="3" t="str">
        <f>"FES1162844343"</f>
        <v>FES1162844343</v>
      </c>
      <c r="F249" s="4">
        <v>44571</v>
      </c>
      <c r="G249" s="3">
        <v>202207</v>
      </c>
      <c r="H249" s="3" t="s">
        <v>75</v>
      </c>
      <c r="I249" s="3" t="s">
        <v>76</v>
      </c>
      <c r="J249" s="3" t="s">
        <v>77</v>
      </c>
      <c r="K249" s="3" t="s">
        <v>78</v>
      </c>
      <c r="L249" s="3" t="s">
        <v>211</v>
      </c>
      <c r="M249" s="3" t="s">
        <v>212</v>
      </c>
      <c r="N249" s="3" t="s">
        <v>496</v>
      </c>
      <c r="O249" s="3" t="s">
        <v>82</v>
      </c>
      <c r="P249" s="3" t="str">
        <f>"2170814728                    "</f>
        <v xml:space="preserve">2170814728                    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12.07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1</v>
      </c>
      <c r="BI249" s="3">
        <v>1</v>
      </c>
      <c r="BJ249" s="3">
        <v>0.2</v>
      </c>
      <c r="BK249" s="3">
        <v>1</v>
      </c>
      <c r="BL249" s="3">
        <v>46.08</v>
      </c>
      <c r="BM249" s="3">
        <v>6.91</v>
      </c>
      <c r="BN249" s="3">
        <v>52.99</v>
      </c>
      <c r="BO249" s="3">
        <v>52.99</v>
      </c>
      <c r="BQ249" s="3" t="s">
        <v>83</v>
      </c>
      <c r="BR249" s="3" t="s">
        <v>84</v>
      </c>
      <c r="BS249" s="4">
        <v>44572</v>
      </c>
      <c r="BT249" s="5">
        <v>0.4375</v>
      </c>
      <c r="BU249" s="3" t="s">
        <v>497</v>
      </c>
      <c r="BV249" s="3" t="s">
        <v>105</v>
      </c>
      <c r="BY249" s="3">
        <v>1200</v>
      </c>
      <c r="CA249" s="3" t="s">
        <v>345</v>
      </c>
      <c r="CC249" s="3" t="s">
        <v>212</v>
      </c>
      <c r="CD249" s="3">
        <v>2163</v>
      </c>
      <c r="CE249" s="3" t="s">
        <v>93</v>
      </c>
      <c r="CF249" s="4">
        <v>44573</v>
      </c>
      <c r="CI249" s="3">
        <v>1</v>
      </c>
      <c r="CJ249" s="3">
        <v>1</v>
      </c>
      <c r="CK249" s="3">
        <v>22</v>
      </c>
      <c r="CL249" s="3" t="s">
        <v>87</v>
      </c>
    </row>
    <row r="250" spans="1:90" x14ac:dyDescent="0.2">
      <c r="A250" s="3" t="s">
        <v>72</v>
      </c>
      <c r="B250" s="3" t="s">
        <v>73</v>
      </c>
      <c r="C250" s="3" t="s">
        <v>74</v>
      </c>
      <c r="E250" s="3" t="str">
        <f>"FES1162844434"</f>
        <v>FES1162844434</v>
      </c>
      <c r="F250" s="4">
        <v>44571</v>
      </c>
      <c r="G250" s="3">
        <v>202207</v>
      </c>
      <c r="H250" s="3" t="s">
        <v>75</v>
      </c>
      <c r="I250" s="3" t="s">
        <v>76</v>
      </c>
      <c r="J250" s="3" t="s">
        <v>77</v>
      </c>
      <c r="K250" s="3" t="s">
        <v>78</v>
      </c>
      <c r="L250" s="3" t="s">
        <v>75</v>
      </c>
      <c r="M250" s="3" t="s">
        <v>76</v>
      </c>
      <c r="N250" s="3" t="s">
        <v>224</v>
      </c>
      <c r="O250" s="3" t="s">
        <v>82</v>
      </c>
      <c r="P250" s="3" t="str">
        <f>"2170816066                    "</f>
        <v xml:space="preserve">2170816066                    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12.07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1</v>
      </c>
      <c r="BI250" s="3">
        <v>1</v>
      </c>
      <c r="BJ250" s="3">
        <v>0.2</v>
      </c>
      <c r="BK250" s="3">
        <v>1</v>
      </c>
      <c r="BL250" s="3">
        <v>46.08</v>
      </c>
      <c r="BM250" s="3">
        <v>6.91</v>
      </c>
      <c r="BN250" s="3">
        <v>52.99</v>
      </c>
      <c r="BO250" s="3">
        <v>52.99</v>
      </c>
      <c r="BQ250" s="3" t="s">
        <v>83</v>
      </c>
      <c r="BR250" s="3" t="s">
        <v>84</v>
      </c>
      <c r="BS250" s="4">
        <v>44572</v>
      </c>
      <c r="BT250" s="5">
        <v>0.3611111111111111</v>
      </c>
      <c r="BU250" s="3" t="s">
        <v>347</v>
      </c>
      <c r="BV250" s="3" t="s">
        <v>105</v>
      </c>
      <c r="BY250" s="3">
        <v>1200</v>
      </c>
      <c r="BZ250" s="3" t="s">
        <v>165</v>
      </c>
      <c r="CA250" s="3" t="s">
        <v>227</v>
      </c>
      <c r="CC250" s="3" t="s">
        <v>76</v>
      </c>
      <c r="CD250" s="3">
        <v>1600</v>
      </c>
      <c r="CE250" s="3" t="s">
        <v>93</v>
      </c>
      <c r="CF250" s="4">
        <v>44573</v>
      </c>
      <c r="CI250" s="3">
        <v>1</v>
      </c>
      <c r="CJ250" s="3">
        <v>1</v>
      </c>
      <c r="CK250" s="3">
        <v>22</v>
      </c>
      <c r="CL250" s="3" t="s">
        <v>87</v>
      </c>
    </row>
    <row r="251" spans="1:90" x14ac:dyDescent="0.2">
      <c r="A251" s="3" t="s">
        <v>72</v>
      </c>
      <c r="B251" s="3" t="s">
        <v>73</v>
      </c>
      <c r="C251" s="3" t="s">
        <v>74</v>
      </c>
      <c r="E251" s="3" t="str">
        <f>"FES1162844348"</f>
        <v>FES1162844348</v>
      </c>
      <c r="F251" s="4">
        <v>44571</v>
      </c>
      <c r="G251" s="3">
        <v>202207</v>
      </c>
      <c r="H251" s="3" t="s">
        <v>75</v>
      </c>
      <c r="I251" s="3" t="s">
        <v>76</v>
      </c>
      <c r="J251" s="3" t="s">
        <v>77</v>
      </c>
      <c r="K251" s="3" t="s">
        <v>78</v>
      </c>
      <c r="L251" s="3" t="s">
        <v>498</v>
      </c>
      <c r="M251" s="3" t="s">
        <v>499</v>
      </c>
      <c r="N251" s="3" t="s">
        <v>500</v>
      </c>
      <c r="O251" s="3" t="s">
        <v>82</v>
      </c>
      <c r="P251" s="3" t="str">
        <f>"2170814758                    "</f>
        <v xml:space="preserve">2170814758                    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29.95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1</v>
      </c>
      <c r="BI251" s="3">
        <v>1</v>
      </c>
      <c r="BJ251" s="3">
        <v>0.2</v>
      </c>
      <c r="BK251" s="3">
        <v>1</v>
      </c>
      <c r="BL251" s="3">
        <v>114.31</v>
      </c>
      <c r="BM251" s="3">
        <v>17.149999999999999</v>
      </c>
      <c r="BN251" s="3">
        <v>131.46</v>
      </c>
      <c r="BO251" s="3">
        <v>131.46</v>
      </c>
      <c r="BR251" s="3" t="s">
        <v>84</v>
      </c>
      <c r="BS251" s="4">
        <v>44572</v>
      </c>
      <c r="BT251" s="5">
        <v>0.50347222222222221</v>
      </c>
      <c r="BU251" s="3" t="s">
        <v>501</v>
      </c>
      <c r="BV251" s="3" t="s">
        <v>105</v>
      </c>
      <c r="BY251" s="3">
        <v>1200</v>
      </c>
      <c r="CA251" s="3" t="s">
        <v>502</v>
      </c>
      <c r="CC251" s="3" t="s">
        <v>499</v>
      </c>
      <c r="CD251" s="3">
        <v>2309</v>
      </c>
      <c r="CE251" s="3" t="s">
        <v>93</v>
      </c>
      <c r="CF251" s="4">
        <v>44572</v>
      </c>
      <c r="CI251" s="3">
        <v>1</v>
      </c>
      <c r="CJ251" s="3">
        <v>1</v>
      </c>
      <c r="CK251" s="3">
        <v>23</v>
      </c>
      <c r="CL251" s="3" t="s">
        <v>87</v>
      </c>
    </row>
    <row r="252" spans="1:90" x14ac:dyDescent="0.2">
      <c r="A252" s="3" t="s">
        <v>72</v>
      </c>
      <c r="B252" s="3" t="s">
        <v>73</v>
      </c>
      <c r="C252" s="3" t="s">
        <v>74</v>
      </c>
      <c r="E252" s="3" t="str">
        <f>"FES1162844226"</f>
        <v>FES1162844226</v>
      </c>
      <c r="F252" s="4">
        <v>44571</v>
      </c>
      <c r="G252" s="3">
        <v>202207</v>
      </c>
      <c r="H252" s="3" t="s">
        <v>75</v>
      </c>
      <c r="I252" s="3" t="s">
        <v>76</v>
      </c>
      <c r="J252" s="3" t="s">
        <v>77</v>
      </c>
      <c r="K252" s="3" t="s">
        <v>78</v>
      </c>
      <c r="L252" s="3" t="s">
        <v>184</v>
      </c>
      <c r="M252" s="3" t="s">
        <v>185</v>
      </c>
      <c r="N252" s="3" t="s">
        <v>503</v>
      </c>
      <c r="O252" s="3" t="s">
        <v>148</v>
      </c>
      <c r="P252" s="3" t="str">
        <f>"2170815316                    "</f>
        <v xml:space="preserve">2170815316                    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29.89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1</v>
      </c>
      <c r="BI252" s="3">
        <v>6</v>
      </c>
      <c r="BJ252" s="3">
        <v>2.8</v>
      </c>
      <c r="BK252" s="3">
        <v>6</v>
      </c>
      <c r="BL252" s="3">
        <v>119.34</v>
      </c>
      <c r="BM252" s="3">
        <v>17.899999999999999</v>
      </c>
      <c r="BN252" s="3">
        <v>137.24</v>
      </c>
      <c r="BO252" s="3">
        <v>137.24</v>
      </c>
      <c r="BQ252" s="3" t="s">
        <v>89</v>
      </c>
      <c r="BR252" s="3" t="s">
        <v>84</v>
      </c>
      <c r="BS252" s="4">
        <v>44573</v>
      </c>
      <c r="BT252" s="5">
        <v>0.62708333333333333</v>
      </c>
      <c r="BU252" s="3" t="s">
        <v>504</v>
      </c>
      <c r="BV252" s="3" t="s">
        <v>105</v>
      </c>
      <c r="BY252" s="3">
        <v>14000</v>
      </c>
      <c r="BZ252" s="3" t="s">
        <v>327</v>
      </c>
      <c r="CA252" s="3" t="s">
        <v>357</v>
      </c>
      <c r="CC252" s="3" t="s">
        <v>185</v>
      </c>
      <c r="CD252" s="3">
        <v>5201</v>
      </c>
      <c r="CE252" s="3" t="s">
        <v>86</v>
      </c>
      <c r="CF252" s="4">
        <v>44573</v>
      </c>
      <c r="CI252" s="3">
        <v>3</v>
      </c>
      <c r="CJ252" s="3">
        <v>2</v>
      </c>
      <c r="CK252" s="3">
        <v>41</v>
      </c>
      <c r="CL252" s="3" t="s">
        <v>87</v>
      </c>
    </row>
    <row r="253" spans="1:90" x14ac:dyDescent="0.2">
      <c r="A253" s="3" t="s">
        <v>72</v>
      </c>
      <c r="B253" s="3" t="s">
        <v>73</v>
      </c>
      <c r="C253" s="3" t="s">
        <v>74</v>
      </c>
      <c r="E253" s="3" t="str">
        <f>"FES1162844524"</f>
        <v>FES1162844524</v>
      </c>
      <c r="F253" s="4">
        <v>44572</v>
      </c>
      <c r="G253" s="3">
        <v>202207</v>
      </c>
      <c r="H253" s="3" t="s">
        <v>75</v>
      </c>
      <c r="I253" s="3" t="s">
        <v>76</v>
      </c>
      <c r="J253" s="3" t="s">
        <v>77</v>
      </c>
      <c r="K253" s="3" t="s">
        <v>78</v>
      </c>
      <c r="L253" s="3" t="s">
        <v>97</v>
      </c>
      <c r="M253" s="3" t="s">
        <v>98</v>
      </c>
      <c r="N253" s="3" t="s">
        <v>505</v>
      </c>
      <c r="O253" s="3" t="s">
        <v>82</v>
      </c>
      <c r="P253" s="3" t="str">
        <f>"2170816176                    "</f>
        <v xml:space="preserve">2170816176                    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12.07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1</v>
      </c>
      <c r="BI253" s="3">
        <v>1</v>
      </c>
      <c r="BJ253" s="3">
        <v>0.2</v>
      </c>
      <c r="BK253" s="3">
        <v>1</v>
      </c>
      <c r="BL253" s="3">
        <v>46.08</v>
      </c>
      <c r="BM253" s="3">
        <v>6.91</v>
      </c>
      <c r="BN253" s="3">
        <v>52.99</v>
      </c>
      <c r="BO253" s="3">
        <v>52.99</v>
      </c>
      <c r="BQ253" s="3" t="s">
        <v>83</v>
      </c>
      <c r="BR253" s="3" t="s">
        <v>84</v>
      </c>
      <c r="BS253" s="4">
        <v>44573</v>
      </c>
      <c r="BT253" s="5">
        <v>0.39305555555555555</v>
      </c>
      <c r="BU253" s="3" t="s">
        <v>506</v>
      </c>
      <c r="BV253" s="3" t="s">
        <v>105</v>
      </c>
      <c r="BY253" s="3">
        <v>1200</v>
      </c>
      <c r="BZ253" s="3" t="s">
        <v>165</v>
      </c>
      <c r="CC253" s="3" t="s">
        <v>98</v>
      </c>
      <c r="CD253" s="3">
        <v>2094</v>
      </c>
      <c r="CE253" s="3" t="s">
        <v>93</v>
      </c>
      <c r="CF253" s="4">
        <v>44573</v>
      </c>
      <c r="CI253" s="3">
        <v>1</v>
      </c>
      <c r="CJ253" s="3">
        <v>1</v>
      </c>
      <c r="CK253" s="3">
        <v>22</v>
      </c>
      <c r="CL253" s="3" t="s">
        <v>87</v>
      </c>
    </row>
    <row r="254" spans="1:90" x14ac:dyDescent="0.2">
      <c r="A254" s="3" t="s">
        <v>72</v>
      </c>
      <c r="B254" s="3" t="s">
        <v>73</v>
      </c>
      <c r="C254" s="3" t="s">
        <v>74</v>
      </c>
      <c r="E254" s="3" t="str">
        <f>"FES1162844537"</f>
        <v>FES1162844537</v>
      </c>
      <c r="F254" s="4">
        <v>44572</v>
      </c>
      <c r="G254" s="3">
        <v>202207</v>
      </c>
      <c r="H254" s="3" t="s">
        <v>75</v>
      </c>
      <c r="I254" s="3" t="s">
        <v>76</v>
      </c>
      <c r="J254" s="3" t="s">
        <v>77</v>
      </c>
      <c r="K254" s="3" t="s">
        <v>78</v>
      </c>
      <c r="L254" s="3" t="s">
        <v>79</v>
      </c>
      <c r="M254" s="3" t="s">
        <v>80</v>
      </c>
      <c r="N254" s="3" t="s">
        <v>248</v>
      </c>
      <c r="O254" s="3" t="s">
        <v>82</v>
      </c>
      <c r="P254" s="3" t="str">
        <f>"2170816193                    "</f>
        <v xml:space="preserve">2170816193                    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15.46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1</v>
      </c>
      <c r="BI254" s="3">
        <v>1</v>
      </c>
      <c r="BJ254" s="3">
        <v>0.2</v>
      </c>
      <c r="BK254" s="3">
        <v>1</v>
      </c>
      <c r="BL254" s="3">
        <v>59</v>
      </c>
      <c r="BM254" s="3">
        <v>8.85</v>
      </c>
      <c r="BN254" s="3">
        <v>67.849999999999994</v>
      </c>
      <c r="BO254" s="3">
        <v>67.849999999999994</v>
      </c>
      <c r="BQ254" s="3" t="s">
        <v>83</v>
      </c>
      <c r="BR254" s="3" t="s">
        <v>84</v>
      </c>
      <c r="BS254" s="4">
        <v>44573</v>
      </c>
      <c r="BT254" s="5">
        <v>0.40833333333333338</v>
      </c>
      <c r="BU254" s="3" t="s">
        <v>507</v>
      </c>
      <c r="BV254" s="3" t="s">
        <v>105</v>
      </c>
      <c r="BY254" s="3">
        <v>1200</v>
      </c>
      <c r="BZ254" s="3" t="s">
        <v>165</v>
      </c>
      <c r="CA254" s="3" t="s">
        <v>362</v>
      </c>
      <c r="CC254" s="3" t="s">
        <v>80</v>
      </c>
      <c r="CD254" s="3">
        <v>1</v>
      </c>
      <c r="CE254" s="3" t="s">
        <v>93</v>
      </c>
      <c r="CF254" s="4">
        <v>44573</v>
      </c>
      <c r="CI254" s="3">
        <v>1</v>
      </c>
      <c r="CJ254" s="3">
        <v>1</v>
      </c>
      <c r="CK254" s="3">
        <v>21</v>
      </c>
      <c r="CL254" s="3" t="s">
        <v>87</v>
      </c>
    </row>
    <row r="255" spans="1:90" x14ac:dyDescent="0.2">
      <c r="A255" s="3" t="s">
        <v>72</v>
      </c>
      <c r="B255" s="3" t="s">
        <v>73</v>
      </c>
      <c r="C255" s="3" t="s">
        <v>74</v>
      </c>
      <c r="E255" s="3" t="str">
        <f>"FES1162844485"</f>
        <v>FES1162844485</v>
      </c>
      <c r="F255" s="4">
        <v>44572</v>
      </c>
      <c r="G255" s="3">
        <v>202207</v>
      </c>
      <c r="H255" s="3" t="s">
        <v>75</v>
      </c>
      <c r="I255" s="3" t="s">
        <v>76</v>
      </c>
      <c r="J255" s="3" t="s">
        <v>77</v>
      </c>
      <c r="K255" s="3" t="s">
        <v>78</v>
      </c>
      <c r="L255" s="3" t="s">
        <v>171</v>
      </c>
      <c r="M255" s="3" t="s">
        <v>172</v>
      </c>
      <c r="N255" s="3" t="s">
        <v>249</v>
      </c>
      <c r="O255" s="3" t="s">
        <v>82</v>
      </c>
      <c r="P255" s="3" t="str">
        <f>"2170816131                    "</f>
        <v xml:space="preserve">2170816131                    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15.46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1</v>
      </c>
      <c r="BI255" s="3">
        <v>1</v>
      </c>
      <c r="BJ255" s="3">
        <v>0.2</v>
      </c>
      <c r="BK255" s="3">
        <v>1</v>
      </c>
      <c r="BL255" s="3">
        <v>59</v>
      </c>
      <c r="BM255" s="3">
        <v>8.85</v>
      </c>
      <c r="BN255" s="3">
        <v>67.849999999999994</v>
      </c>
      <c r="BO255" s="3">
        <v>67.849999999999994</v>
      </c>
      <c r="BQ255" s="3" t="s">
        <v>89</v>
      </c>
      <c r="BR255" s="3" t="s">
        <v>84</v>
      </c>
      <c r="BS255" s="4">
        <v>44573</v>
      </c>
      <c r="BT255" s="5">
        <v>0.38125000000000003</v>
      </c>
      <c r="BU255" s="3" t="s">
        <v>508</v>
      </c>
      <c r="BV255" s="3" t="s">
        <v>105</v>
      </c>
      <c r="BY255" s="3">
        <v>1200</v>
      </c>
      <c r="BZ255" s="3" t="s">
        <v>165</v>
      </c>
      <c r="CA255" s="3" t="s">
        <v>509</v>
      </c>
      <c r="CC255" s="3" t="s">
        <v>172</v>
      </c>
      <c r="CD255" s="3">
        <v>6001</v>
      </c>
      <c r="CE255" s="3" t="s">
        <v>93</v>
      </c>
      <c r="CF255" s="4">
        <v>44574</v>
      </c>
      <c r="CI255" s="3">
        <v>1</v>
      </c>
      <c r="CJ255" s="3">
        <v>1</v>
      </c>
      <c r="CK255" s="3">
        <v>21</v>
      </c>
      <c r="CL255" s="3" t="s">
        <v>87</v>
      </c>
    </row>
    <row r="256" spans="1:90" x14ac:dyDescent="0.2">
      <c r="A256" s="3" t="s">
        <v>72</v>
      </c>
      <c r="B256" s="3" t="s">
        <v>73</v>
      </c>
      <c r="C256" s="3" t="s">
        <v>74</v>
      </c>
      <c r="E256" s="3" t="str">
        <f>"FES1162844633"</f>
        <v>FES1162844633</v>
      </c>
      <c r="F256" s="4">
        <v>44572</v>
      </c>
      <c r="G256" s="3">
        <v>202207</v>
      </c>
      <c r="H256" s="3" t="s">
        <v>75</v>
      </c>
      <c r="I256" s="3" t="s">
        <v>76</v>
      </c>
      <c r="J256" s="3" t="s">
        <v>77</v>
      </c>
      <c r="K256" s="3" t="s">
        <v>78</v>
      </c>
      <c r="L256" s="3" t="s">
        <v>510</v>
      </c>
      <c r="M256" s="3" t="s">
        <v>511</v>
      </c>
      <c r="N256" s="3" t="s">
        <v>512</v>
      </c>
      <c r="O256" s="3" t="s">
        <v>82</v>
      </c>
      <c r="P256" s="3" t="str">
        <f>"2170813617                    "</f>
        <v xml:space="preserve">2170813617                    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12.07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1</v>
      </c>
      <c r="BI256" s="3">
        <v>1</v>
      </c>
      <c r="BJ256" s="3">
        <v>0.2</v>
      </c>
      <c r="BK256" s="3">
        <v>1</v>
      </c>
      <c r="BL256" s="3">
        <v>46.08</v>
      </c>
      <c r="BM256" s="3">
        <v>6.91</v>
      </c>
      <c r="BN256" s="3">
        <v>52.99</v>
      </c>
      <c r="BO256" s="3">
        <v>52.99</v>
      </c>
      <c r="BR256" s="3" t="s">
        <v>84</v>
      </c>
      <c r="BS256" s="4">
        <v>44573</v>
      </c>
      <c r="BT256" s="5">
        <v>0.40416666666666662</v>
      </c>
      <c r="BU256" s="3" t="s">
        <v>513</v>
      </c>
      <c r="BV256" s="3" t="s">
        <v>105</v>
      </c>
      <c r="BY256" s="3">
        <v>1200</v>
      </c>
      <c r="BZ256" s="3" t="s">
        <v>165</v>
      </c>
      <c r="CA256" s="3" t="s">
        <v>514</v>
      </c>
      <c r="CC256" s="3" t="s">
        <v>511</v>
      </c>
      <c r="CD256" s="3">
        <v>1554</v>
      </c>
      <c r="CE256" s="3" t="s">
        <v>93</v>
      </c>
      <c r="CF256" s="4">
        <v>44574</v>
      </c>
      <c r="CI256" s="3">
        <v>1</v>
      </c>
      <c r="CJ256" s="3">
        <v>1</v>
      </c>
      <c r="CK256" s="3">
        <v>22</v>
      </c>
      <c r="CL256" s="3" t="s">
        <v>87</v>
      </c>
    </row>
    <row r="257" spans="1:90" x14ac:dyDescent="0.2">
      <c r="A257" s="3" t="s">
        <v>72</v>
      </c>
      <c r="B257" s="3" t="s">
        <v>73</v>
      </c>
      <c r="C257" s="3" t="s">
        <v>74</v>
      </c>
      <c r="E257" s="3" t="str">
        <f>"FES1162844528"</f>
        <v>FES1162844528</v>
      </c>
      <c r="F257" s="4">
        <v>44572</v>
      </c>
      <c r="G257" s="3">
        <v>202207</v>
      </c>
      <c r="H257" s="3" t="s">
        <v>75</v>
      </c>
      <c r="I257" s="3" t="s">
        <v>76</v>
      </c>
      <c r="J257" s="3" t="s">
        <v>77</v>
      </c>
      <c r="K257" s="3" t="s">
        <v>78</v>
      </c>
      <c r="L257" s="3" t="s">
        <v>90</v>
      </c>
      <c r="M257" s="3" t="s">
        <v>91</v>
      </c>
      <c r="N257" s="3" t="s">
        <v>418</v>
      </c>
      <c r="O257" s="3" t="s">
        <v>82</v>
      </c>
      <c r="P257" s="3" t="str">
        <f>"2170816184                    "</f>
        <v xml:space="preserve">2170816184                    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15.46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1</v>
      </c>
      <c r="BI257" s="3">
        <v>1</v>
      </c>
      <c r="BJ257" s="3">
        <v>0.2</v>
      </c>
      <c r="BK257" s="3">
        <v>1</v>
      </c>
      <c r="BL257" s="3">
        <v>59</v>
      </c>
      <c r="BM257" s="3">
        <v>8.85</v>
      </c>
      <c r="BN257" s="3">
        <v>67.849999999999994</v>
      </c>
      <c r="BO257" s="3">
        <v>67.849999999999994</v>
      </c>
      <c r="BQ257" s="3" t="s">
        <v>128</v>
      </c>
      <c r="BR257" s="3" t="s">
        <v>84</v>
      </c>
      <c r="BS257" s="4">
        <v>44573</v>
      </c>
      <c r="BT257" s="5">
        <v>0.36805555555555558</v>
      </c>
      <c r="BU257" s="3" t="s">
        <v>515</v>
      </c>
      <c r="BV257" s="3" t="s">
        <v>105</v>
      </c>
      <c r="BY257" s="3">
        <v>1200</v>
      </c>
      <c r="BZ257" s="3" t="s">
        <v>165</v>
      </c>
      <c r="CA257" s="3" t="s">
        <v>271</v>
      </c>
      <c r="CC257" s="3" t="s">
        <v>91</v>
      </c>
      <c r="CD257" s="3">
        <v>7441</v>
      </c>
      <c r="CE257" s="3" t="s">
        <v>93</v>
      </c>
      <c r="CF257" s="4">
        <v>44574</v>
      </c>
      <c r="CI257" s="3">
        <v>1</v>
      </c>
      <c r="CJ257" s="3">
        <v>1</v>
      </c>
      <c r="CK257" s="3">
        <v>21</v>
      </c>
      <c r="CL257" s="3" t="s">
        <v>87</v>
      </c>
    </row>
    <row r="258" spans="1:90" x14ac:dyDescent="0.2">
      <c r="A258" s="3" t="s">
        <v>72</v>
      </c>
      <c r="B258" s="3" t="s">
        <v>73</v>
      </c>
      <c r="C258" s="3" t="s">
        <v>74</v>
      </c>
      <c r="E258" s="3" t="str">
        <f>"FES1162844619"</f>
        <v>FES1162844619</v>
      </c>
      <c r="F258" s="4">
        <v>44572</v>
      </c>
      <c r="G258" s="3">
        <v>202207</v>
      </c>
      <c r="H258" s="3" t="s">
        <v>75</v>
      </c>
      <c r="I258" s="3" t="s">
        <v>76</v>
      </c>
      <c r="J258" s="3" t="s">
        <v>77</v>
      </c>
      <c r="K258" s="3" t="s">
        <v>78</v>
      </c>
      <c r="L258" s="3" t="s">
        <v>90</v>
      </c>
      <c r="M258" s="3" t="s">
        <v>91</v>
      </c>
      <c r="N258" s="3" t="s">
        <v>516</v>
      </c>
      <c r="O258" s="3" t="s">
        <v>82</v>
      </c>
      <c r="P258" s="3" t="str">
        <f>"2170808450                    "</f>
        <v xml:space="preserve">2170808450                    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15.46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1</v>
      </c>
      <c r="BI258" s="3">
        <v>1</v>
      </c>
      <c r="BJ258" s="3">
        <v>2</v>
      </c>
      <c r="BK258" s="3">
        <v>2</v>
      </c>
      <c r="BL258" s="3">
        <v>59</v>
      </c>
      <c r="BM258" s="3">
        <v>8.85</v>
      </c>
      <c r="BN258" s="3">
        <v>67.849999999999994</v>
      </c>
      <c r="BO258" s="3">
        <v>67.849999999999994</v>
      </c>
      <c r="BR258" s="3" t="s">
        <v>84</v>
      </c>
      <c r="BS258" s="4">
        <v>44573</v>
      </c>
      <c r="BT258" s="5">
        <v>0.35000000000000003</v>
      </c>
      <c r="BU258" s="3" t="s">
        <v>517</v>
      </c>
      <c r="BV258" s="3" t="s">
        <v>105</v>
      </c>
      <c r="BY258" s="3">
        <v>9900</v>
      </c>
      <c r="BZ258" s="3" t="s">
        <v>165</v>
      </c>
      <c r="CA258" s="3" t="s">
        <v>518</v>
      </c>
      <c r="CC258" s="3" t="s">
        <v>91</v>
      </c>
      <c r="CD258" s="3">
        <v>7945</v>
      </c>
      <c r="CE258" s="3" t="s">
        <v>86</v>
      </c>
      <c r="CF258" s="4">
        <v>44574</v>
      </c>
      <c r="CI258" s="3">
        <v>1</v>
      </c>
      <c r="CJ258" s="3">
        <v>1</v>
      </c>
      <c r="CK258" s="3">
        <v>21</v>
      </c>
      <c r="CL258" s="3" t="s">
        <v>87</v>
      </c>
    </row>
    <row r="259" spans="1:90" x14ac:dyDescent="0.2">
      <c r="A259" s="3" t="s">
        <v>72</v>
      </c>
      <c r="B259" s="3" t="s">
        <v>73</v>
      </c>
      <c r="C259" s="3" t="s">
        <v>74</v>
      </c>
      <c r="E259" s="3" t="str">
        <f>"FES1162844580"</f>
        <v>FES1162844580</v>
      </c>
      <c r="F259" s="4">
        <v>44572</v>
      </c>
      <c r="G259" s="3">
        <v>202207</v>
      </c>
      <c r="H259" s="3" t="s">
        <v>75</v>
      </c>
      <c r="I259" s="3" t="s">
        <v>76</v>
      </c>
      <c r="J259" s="3" t="s">
        <v>77</v>
      </c>
      <c r="K259" s="3" t="s">
        <v>78</v>
      </c>
      <c r="L259" s="3" t="s">
        <v>97</v>
      </c>
      <c r="M259" s="3" t="s">
        <v>98</v>
      </c>
      <c r="N259" s="3" t="s">
        <v>519</v>
      </c>
      <c r="O259" s="3" t="s">
        <v>82</v>
      </c>
      <c r="P259" s="3" t="str">
        <f>"2170815034                    "</f>
        <v xml:space="preserve">2170815034                    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12.07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15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1</v>
      </c>
      <c r="BI259" s="3">
        <v>1</v>
      </c>
      <c r="BJ259" s="3">
        <v>0.2</v>
      </c>
      <c r="BK259" s="3">
        <v>1</v>
      </c>
      <c r="BL259" s="3">
        <v>61.08</v>
      </c>
      <c r="BM259" s="3">
        <v>9.16</v>
      </c>
      <c r="BN259" s="3">
        <v>70.239999999999995</v>
      </c>
      <c r="BO259" s="3">
        <v>70.239999999999995</v>
      </c>
      <c r="BQ259" s="3" t="s">
        <v>83</v>
      </c>
      <c r="BR259" s="3" t="s">
        <v>84</v>
      </c>
      <c r="BS259" s="4">
        <v>44573</v>
      </c>
      <c r="BT259" s="5">
        <v>0.41250000000000003</v>
      </c>
      <c r="BU259" s="3" t="s">
        <v>520</v>
      </c>
      <c r="BV259" s="3" t="s">
        <v>105</v>
      </c>
      <c r="BY259" s="3">
        <v>1200</v>
      </c>
      <c r="BZ259" s="3" t="s">
        <v>446</v>
      </c>
      <c r="CA259" s="3" t="s">
        <v>477</v>
      </c>
      <c r="CC259" s="3" t="s">
        <v>98</v>
      </c>
      <c r="CD259" s="3">
        <v>2001</v>
      </c>
      <c r="CE259" s="3" t="s">
        <v>93</v>
      </c>
      <c r="CF259" s="4">
        <v>44574</v>
      </c>
      <c r="CI259" s="3">
        <v>1</v>
      </c>
      <c r="CJ259" s="3">
        <v>1</v>
      </c>
      <c r="CK259" s="3">
        <v>22</v>
      </c>
      <c r="CL259" s="3" t="s">
        <v>87</v>
      </c>
    </row>
    <row r="260" spans="1:90" x14ac:dyDescent="0.2">
      <c r="A260" s="3" t="s">
        <v>72</v>
      </c>
      <c r="B260" s="3" t="s">
        <v>73</v>
      </c>
      <c r="C260" s="3" t="s">
        <v>74</v>
      </c>
      <c r="E260" s="3" t="str">
        <f>"FES1162844638"</f>
        <v>FES1162844638</v>
      </c>
      <c r="F260" s="4">
        <v>44572</v>
      </c>
      <c r="G260" s="3">
        <v>202207</v>
      </c>
      <c r="H260" s="3" t="s">
        <v>75</v>
      </c>
      <c r="I260" s="3" t="s">
        <v>76</v>
      </c>
      <c r="J260" s="3" t="s">
        <v>77</v>
      </c>
      <c r="K260" s="3" t="s">
        <v>78</v>
      </c>
      <c r="L260" s="3" t="s">
        <v>154</v>
      </c>
      <c r="M260" s="3" t="s">
        <v>155</v>
      </c>
      <c r="N260" s="3" t="s">
        <v>521</v>
      </c>
      <c r="O260" s="3" t="s">
        <v>82</v>
      </c>
      <c r="P260" s="3" t="str">
        <f>"2170815141                    "</f>
        <v xml:space="preserve">2170815141                    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12.07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1</v>
      </c>
      <c r="BI260" s="3">
        <v>4</v>
      </c>
      <c r="BJ260" s="3">
        <v>2</v>
      </c>
      <c r="BK260" s="3">
        <v>4</v>
      </c>
      <c r="BL260" s="3">
        <v>46.08</v>
      </c>
      <c r="BM260" s="3">
        <v>6.91</v>
      </c>
      <c r="BN260" s="3">
        <v>52.99</v>
      </c>
      <c r="BO260" s="3">
        <v>52.99</v>
      </c>
      <c r="BR260" s="3" t="s">
        <v>84</v>
      </c>
      <c r="BS260" s="4">
        <v>44573</v>
      </c>
      <c r="BT260" s="5">
        <v>0.40833333333333338</v>
      </c>
      <c r="BU260" s="3" t="s">
        <v>522</v>
      </c>
      <c r="BV260" s="3" t="s">
        <v>105</v>
      </c>
      <c r="BY260" s="3">
        <v>9918</v>
      </c>
      <c r="BZ260" s="3" t="s">
        <v>165</v>
      </c>
      <c r="CA260" s="3" t="s">
        <v>523</v>
      </c>
      <c r="CC260" s="3" t="s">
        <v>155</v>
      </c>
      <c r="CD260" s="3">
        <v>1682</v>
      </c>
      <c r="CE260" s="3" t="s">
        <v>86</v>
      </c>
      <c r="CF260" s="4">
        <v>44574</v>
      </c>
      <c r="CI260" s="3">
        <v>1</v>
      </c>
      <c r="CJ260" s="3">
        <v>1</v>
      </c>
      <c r="CK260" s="3">
        <v>22</v>
      </c>
      <c r="CL260" s="3" t="s">
        <v>87</v>
      </c>
    </row>
    <row r="261" spans="1:90" x14ac:dyDescent="0.2">
      <c r="A261" s="3" t="s">
        <v>72</v>
      </c>
      <c r="B261" s="3" t="s">
        <v>73</v>
      </c>
      <c r="C261" s="3" t="s">
        <v>74</v>
      </c>
      <c r="E261" s="3" t="str">
        <f>"FES1162844651"</f>
        <v>FES1162844651</v>
      </c>
      <c r="F261" s="4">
        <v>44572</v>
      </c>
      <c r="G261" s="3">
        <v>202207</v>
      </c>
      <c r="H261" s="3" t="s">
        <v>75</v>
      </c>
      <c r="I261" s="3" t="s">
        <v>76</v>
      </c>
      <c r="J261" s="3" t="s">
        <v>77</v>
      </c>
      <c r="K261" s="3" t="s">
        <v>78</v>
      </c>
      <c r="L261" s="3" t="s">
        <v>90</v>
      </c>
      <c r="M261" s="3" t="s">
        <v>91</v>
      </c>
      <c r="N261" s="3" t="s">
        <v>114</v>
      </c>
      <c r="O261" s="3" t="s">
        <v>82</v>
      </c>
      <c r="P261" s="3" t="str">
        <f>"2170816226                    "</f>
        <v xml:space="preserve">2170816226                    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15.46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1</v>
      </c>
      <c r="BI261" s="3">
        <v>1</v>
      </c>
      <c r="BJ261" s="3">
        <v>0.2</v>
      </c>
      <c r="BK261" s="3">
        <v>1</v>
      </c>
      <c r="BL261" s="3">
        <v>59</v>
      </c>
      <c r="BM261" s="3">
        <v>8.85</v>
      </c>
      <c r="BN261" s="3">
        <v>67.849999999999994</v>
      </c>
      <c r="BO261" s="3">
        <v>67.849999999999994</v>
      </c>
      <c r="BQ261" s="3" t="s">
        <v>89</v>
      </c>
      <c r="BR261" s="3" t="s">
        <v>84</v>
      </c>
      <c r="BS261" s="4">
        <v>44573</v>
      </c>
      <c r="BT261" s="5">
        <v>0.36944444444444446</v>
      </c>
      <c r="BU261" s="3" t="s">
        <v>288</v>
      </c>
      <c r="BV261" s="3" t="s">
        <v>105</v>
      </c>
      <c r="BY261" s="3">
        <v>1200</v>
      </c>
      <c r="BZ261" s="3" t="s">
        <v>165</v>
      </c>
      <c r="CA261" s="3" t="s">
        <v>289</v>
      </c>
      <c r="CC261" s="3" t="s">
        <v>91</v>
      </c>
      <c r="CD261" s="3">
        <v>7441</v>
      </c>
      <c r="CE261" s="3" t="s">
        <v>93</v>
      </c>
      <c r="CF261" s="4">
        <v>44574</v>
      </c>
      <c r="CI261" s="3">
        <v>1</v>
      </c>
      <c r="CJ261" s="3">
        <v>1</v>
      </c>
      <c r="CK261" s="3">
        <v>21</v>
      </c>
      <c r="CL261" s="3" t="s">
        <v>87</v>
      </c>
    </row>
    <row r="262" spans="1:90" x14ac:dyDescent="0.2">
      <c r="A262" s="3" t="s">
        <v>72</v>
      </c>
      <c r="B262" s="3" t="s">
        <v>73</v>
      </c>
      <c r="C262" s="3" t="s">
        <v>74</v>
      </c>
      <c r="E262" s="3" t="str">
        <f>"FES1162844632"</f>
        <v>FES1162844632</v>
      </c>
      <c r="F262" s="4">
        <v>44572</v>
      </c>
      <c r="G262" s="3">
        <v>202207</v>
      </c>
      <c r="H262" s="3" t="s">
        <v>75</v>
      </c>
      <c r="I262" s="3" t="s">
        <v>76</v>
      </c>
      <c r="J262" s="3" t="s">
        <v>77</v>
      </c>
      <c r="K262" s="3" t="s">
        <v>78</v>
      </c>
      <c r="L262" s="3" t="s">
        <v>101</v>
      </c>
      <c r="M262" s="3" t="s">
        <v>102</v>
      </c>
      <c r="N262" s="3" t="s">
        <v>524</v>
      </c>
      <c r="O262" s="3" t="s">
        <v>82</v>
      </c>
      <c r="P262" s="3" t="str">
        <f>"2170813540                    "</f>
        <v xml:space="preserve">2170813540                    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15.46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1</v>
      </c>
      <c r="BI262" s="3">
        <v>2</v>
      </c>
      <c r="BJ262" s="3">
        <v>1.7</v>
      </c>
      <c r="BK262" s="3">
        <v>2</v>
      </c>
      <c r="BL262" s="3">
        <v>59</v>
      </c>
      <c r="BM262" s="3">
        <v>8.85</v>
      </c>
      <c r="BN262" s="3">
        <v>67.849999999999994</v>
      </c>
      <c r="BO262" s="3">
        <v>67.849999999999994</v>
      </c>
      <c r="BQ262" s="3" t="s">
        <v>126</v>
      </c>
      <c r="BR262" s="3" t="s">
        <v>84</v>
      </c>
      <c r="BS262" s="4">
        <v>44573</v>
      </c>
      <c r="BT262" s="5">
        <v>0.40625</v>
      </c>
      <c r="BU262" s="3" t="s">
        <v>525</v>
      </c>
      <c r="BV262" s="3" t="s">
        <v>105</v>
      </c>
      <c r="BY262" s="3">
        <v>8450</v>
      </c>
      <c r="BZ262" s="3" t="s">
        <v>165</v>
      </c>
      <c r="CA262" s="3" t="s">
        <v>343</v>
      </c>
      <c r="CC262" s="3" t="s">
        <v>102</v>
      </c>
      <c r="CD262" s="3">
        <v>4017</v>
      </c>
      <c r="CE262" s="3" t="s">
        <v>86</v>
      </c>
      <c r="CF262" s="4">
        <v>44573</v>
      </c>
      <c r="CI262" s="3">
        <v>1</v>
      </c>
      <c r="CJ262" s="3">
        <v>1</v>
      </c>
      <c r="CK262" s="3">
        <v>21</v>
      </c>
      <c r="CL262" s="3" t="s">
        <v>87</v>
      </c>
    </row>
    <row r="263" spans="1:90" x14ac:dyDescent="0.2">
      <c r="A263" s="3" t="s">
        <v>72</v>
      </c>
      <c r="B263" s="3" t="s">
        <v>73</v>
      </c>
      <c r="C263" s="3" t="s">
        <v>74</v>
      </c>
      <c r="E263" s="3" t="str">
        <f>"FES1162844630"</f>
        <v>FES1162844630</v>
      </c>
      <c r="F263" s="4">
        <v>44572</v>
      </c>
      <c r="G263" s="3">
        <v>202207</v>
      </c>
      <c r="H263" s="3" t="s">
        <v>75</v>
      </c>
      <c r="I263" s="3" t="s">
        <v>76</v>
      </c>
      <c r="J263" s="3" t="s">
        <v>77</v>
      </c>
      <c r="K263" s="3" t="s">
        <v>78</v>
      </c>
      <c r="L263" s="3" t="s">
        <v>101</v>
      </c>
      <c r="M263" s="3" t="s">
        <v>102</v>
      </c>
      <c r="N263" s="3" t="s">
        <v>526</v>
      </c>
      <c r="O263" s="3" t="s">
        <v>82</v>
      </c>
      <c r="P263" s="3" t="str">
        <f>"2170813480                    "</f>
        <v xml:space="preserve">2170813480                    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15.46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1</v>
      </c>
      <c r="BI263" s="3">
        <v>2</v>
      </c>
      <c r="BJ263" s="3">
        <v>1.1000000000000001</v>
      </c>
      <c r="BK263" s="3">
        <v>2</v>
      </c>
      <c r="BL263" s="3">
        <v>59</v>
      </c>
      <c r="BM263" s="3">
        <v>8.85</v>
      </c>
      <c r="BN263" s="3">
        <v>67.849999999999994</v>
      </c>
      <c r="BO263" s="3">
        <v>67.849999999999994</v>
      </c>
      <c r="BQ263" s="3" t="s">
        <v>89</v>
      </c>
      <c r="BR263" s="3" t="s">
        <v>84</v>
      </c>
      <c r="BS263" s="4">
        <v>44573</v>
      </c>
      <c r="BT263" s="5">
        <v>0.38263888888888892</v>
      </c>
      <c r="BU263" s="3" t="s">
        <v>527</v>
      </c>
      <c r="BV263" s="3" t="s">
        <v>105</v>
      </c>
      <c r="BY263" s="3">
        <v>5320</v>
      </c>
      <c r="BZ263" s="3" t="s">
        <v>165</v>
      </c>
      <c r="CA263" s="3" t="s">
        <v>528</v>
      </c>
      <c r="CC263" s="3" t="s">
        <v>102</v>
      </c>
      <c r="CD263" s="3">
        <v>4001</v>
      </c>
      <c r="CE263" s="3" t="s">
        <v>86</v>
      </c>
      <c r="CF263" s="4">
        <v>44574</v>
      </c>
      <c r="CI263" s="3">
        <v>1</v>
      </c>
      <c r="CJ263" s="3">
        <v>1</v>
      </c>
      <c r="CK263" s="3">
        <v>21</v>
      </c>
      <c r="CL263" s="3" t="s">
        <v>87</v>
      </c>
    </row>
    <row r="264" spans="1:90" x14ac:dyDescent="0.2">
      <c r="A264" s="3" t="s">
        <v>72</v>
      </c>
      <c r="B264" s="3" t="s">
        <v>73</v>
      </c>
      <c r="C264" s="3" t="s">
        <v>74</v>
      </c>
      <c r="E264" s="3" t="str">
        <f>"FES1162844350"</f>
        <v>FES1162844350</v>
      </c>
      <c r="F264" s="4">
        <v>44572</v>
      </c>
      <c r="G264" s="3">
        <v>202207</v>
      </c>
      <c r="H264" s="3" t="s">
        <v>75</v>
      </c>
      <c r="I264" s="3" t="s">
        <v>76</v>
      </c>
      <c r="J264" s="3" t="s">
        <v>77</v>
      </c>
      <c r="K264" s="3" t="s">
        <v>78</v>
      </c>
      <c r="L264" s="3" t="s">
        <v>529</v>
      </c>
      <c r="M264" s="3" t="s">
        <v>530</v>
      </c>
      <c r="N264" s="3" t="s">
        <v>531</v>
      </c>
      <c r="O264" s="3" t="s">
        <v>82</v>
      </c>
      <c r="P264" s="3" t="str">
        <f>"2170814785                    "</f>
        <v xml:space="preserve">2170814785                    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29.95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0</v>
      </c>
      <c r="AZ264" s="3">
        <v>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1</v>
      </c>
      <c r="BI264" s="3">
        <v>1</v>
      </c>
      <c r="BJ264" s="3">
        <v>0.2</v>
      </c>
      <c r="BK264" s="3">
        <v>1</v>
      </c>
      <c r="BL264" s="3">
        <v>114.31</v>
      </c>
      <c r="BM264" s="3">
        <v>17.149999999999999</v>
      </c>
      <c r="BN264" s="3">
        <v>131.46</v>
      </c>
      <c r="BO264" s="3">
        <v>131.46</v>
      </c>
      <c r="BQ264" s="3" t="s">
        <v>83</v>
      </c>
      <c r="BR264" s="3" t="s">
        <v>84</v>
      </c>
      <c r="BS264" s="4">
        <v>44573</v>
      </c>
      <c r="BT264" s="5">
        <v>0.4458333333333333</v>
      </c>
      <c r="BU264" s="3" t="s">
        <v>532</v>
      </c>
      <c r="BV264" s="3" t="s">
        <v>105</v>
      </c>
      <c r="BY264" s="3">
        <v>1200</v>
      </c>
      <c r="BZ264" s="3" t="s">
        <v>165</v>
      </c>
      <c r="CA264" s="3" t="s">
        <v>328</v>
      </c>
      <c r="CC264" s="3" t="s">
        <v>530</v>
      </c>
      <c r="CD264" s="3">
        <v>6500</v>
      </c>
      <c r="CE264" s="3" t="s">
        <v>93</v>
      </c>
      <c r="CF264" s="4">
        <v>44573</v>
      </c>
      <c r="CI264" s="3">
        <v>1</v>
      </c>
      <c r="CJ264" s="3">
        <v>1</v>
      </c>
      <c r="CK264" s="3">
        <v>23</v>
      </c>
      <c r="CL264" s="3" t="s">
        <v>87</v>
      </c>
    </row>
    <row r="265" spans="1:90" x14ac:dyDescent="0.2">
      <c r="A265" s="3" t="s">
        <v>72</v>
      </c>
      <c r="B265" s="3" t="s">
        <v>73</v>
      </c>
      <c r="C265" s="3" t="s">
        <v>74</v>
      </c>
      <c r="E265" s="3" t="str">
        <f>"FES1162844542"</f>
        <v>FES1162844542</v>
      </c>
      <c r="F265" s="4">
        <v>44572</v>
      </c>
      <c r="G265" s="3">
        <v>202207</v>
      </c>
      <c r="H265" s="3" t="s">
        <v>75</v>
      </c>
      <c r="I265" s="3" t="s">
        <v>76</v>
      </c>
      <c r="J265" s="3" t="s">
        <v>77</v>
      </c>
      <c r="K265" s="3" t="s">
        <v>78</v>
      </c>
      <c r="L265" s="3" t="s">
        <v>97</v>
      </c>
      <c r="M265" s="3" t="s">
        <v>98</v>
      </c>
      <c r="N265" s="3" t="s">
        <v>505</v>
      </c>
      <c r="O265" s="3" t="s">
        <v>82</v>
      </c>
      <c r="P265" s="3" t="str">
        <f>"2170816176                    "</f>
        <v xml:space="preserve">2170816176                    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12.07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1</v>
      </c>
      <c r="BI265" s="3">
        <v>1</v>
      </c>
      <c r="BJ265" s="3">
        <v>0.2</v>
      </c>
      <c r="BK265" s="3">
        <v>1</v>
      </c>
      <c r="BL265" s="3">
        <v>46.08</v>
      </c>
      <c r="BM265" s="3">
        <v>6.91</v>
      </c>
      <c r="BN265" s="3">
        <v>52.99</v>
      </c>
      <c r="BO265" s="3">
        <v>52.99</v>
      </c>
      <c r="BQ265" s="3" t="s">
        <v>83</v>
      </c>
      <c r="BR265" s="3" t="s">
        <v>84</v>
      </c>
      <c r="BS265" s="4">
        <v>44573</v>
      </c>
      <c r="BT265" s="5">
        <v>0.375</v>
      </c>
      <c r="BU265" s="3" t="s">
        <v>506</v>
      </c>
      <c r="BV265" s="3" t="s">
        <v>105</v>
      </c>
      <c r="BY265" s="3">
        <v>1200</v>
      </c>
      <c r="BZ265" s="3" t="s">
        <v>165</v>
      </c>
      <c r="CC265" s="3" t="s">
        <v>98</v>
      </c>
      <c r="CD265" s="3">
        <v>2094</v>
      </c>
      <c r="CE265" s="3" t="s">
        <v>93</v>
      </c>
      <c r="CF265" s="4">
        <v>44573</v>
      </c>
      <c r="CI265" s="3">
        <v>1</v>
      </c>
      <c r="CJ265" s="3">
        <v>1</v>
      </c>
      <c r="CK265" s="3">
        <v>22</v>
      </c>
      <c r="CL265" s="3" t="s">
        <v>87</v>
      </c>
    </row>
    <row r="266" spans="1:90" x14ac:dyDescent="0.2">
      <c r="A266" s="3" t="s">
        <v>72</v>
      </c>
      <c r="B266" s="3" t="s">
        <v>73</v>
      </c>
      <c r="C266" s="3" t="s">
        <v>74</v>
      </c>
      <c r="E266" s="3" t="str">
        <f>"FES1162844366"</f>
        <v>FES1162844366</v>
      </c>
      <c r="F266" s="4">
        <v>44572</v>
      </c>
      <c r="G266" s="3">
        <v>202207</v>
      </c>
      <c r="H266" s="3" t="s">
        <v>75</v>
      </c>
      <c r="I266" s="3" t="s">
        <v>76</v>
      </c>
      <c r="J266" s="3" t="s">
        <v>77</v>
      </c>
      <c r="K266" s="3" t="s">
        <v>78</v>
      </c>
      <c r="L266" s="3" t="s">
        <v>171</v>
      </c>
      <c r="M266" s="3" t="s">
        <v>172</v>
      </c>
      <c r="N266" s="3" t="s">
        <v>533</v>
      </c>
      <c r="O266" s="3" t="s">
        <v>82</v>
      </c>
      <c r="P266" s="3" t="str">
        <f>"2170814878                    "</f>
        <v xml:space="preserve">2170814878                    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15.46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1</v>
      </c>
      <c r="BI266" s="3">
        <v>1</v>
      </c>
      <c r="BJ266" s="3">
        <v>0.2</v>
      </c>
      <c r="BK266" s="3">
        <v>1</v>
      </c>
      <c r="BL266" s="3">
        <v>59</v>
      </c>
      <c r="BM266" s="3">
        <v>8.85</v>
      </c>
      <c r="BN266" s="3">
        <v>67.849999999999994</v>
      </c>
      <c r="BO266" s="3">
        <v>67.849999999999994</v>
      </c>
      <c r="BR266" s="3" t="s">
        <v>84</v>
      </c>
      <c r="BS266" s="4">
        <v>44573</v>
      </c>
      <c r="BT266" s="5">
        <v>0.36041666666666666</v>
      </c>
      <c r="BU266" s="3" t="s">
        <v>534</v>
      </c>
      <c r="BV266" s="3" t="s">
        <v>105</v>
      </c>
      <c r="BY266" s="3">
        <v>1200</v>
      </c>
      <c r="BZ266" s="3" t="s">
        <v>165</v>
      </c>
      <c r="CA266" s="3" t="s">
        <v>535</v>
      </c>
      <c r="CC266" s="3" t="s">
        <v>172</v>
      </c>
      <c r="CD266" s="3">
        <v>6000</v>
      </c>
      <c r="CE266" s="3" t="s">
        <v>93</v>
      </c>
      <c r="CF266" s="4">
        <v>44573</v>
      </c>
      <c r="CI266" s="3">
        <v>1</v>
      </c>
      <c r="CJ266" s="3">
        <v>1</v>
      </c>
      <c r="CK266" s="3">
        <v>21</v>
      </c>
      <c r="CL266" s="3" t="s">
        <v>87</v>
      </c>
    </row>
    <row r="267" spans="1:90" x14ac:dyDescent="0.2">
      <c r="A267" s="3" t="s">
        <v>72</v>
      </c>
      <c r="B267" s="3" t="s">
        <v>73</v>
      </c>
      <c r="C267" s="3" t="s">
        <v>74</v>
      </c>
      <c r="E267" s="3" t="str">
        <f>"FES1162843011"</f>
        <v>FES1162843011</v>
      </c>
      <c r="F267" s="4">
        <v>44572</v>
      </c>
      <c r="G267" s="3">
        <v>202207</v>
      </c>
      <c r="H267" s="3" t="s">
        <v>75</v>
      </c>
      <c r="I267" s="3" t="s">
        <v>76</v>
      </c>
      <c r="J267" s="3" t="s">
        <v>77</v>
      </c>
      <c r="K267" s="3" t="s">
        <v>78</v>
      </c>
      <c r="L267" s="3" t="s">
        <v>171</v>
      </c>
      <c r="M267" s="3" t="s">
        <v>172</v>
      </c>
      <c r="N267" s="3" t="s">
        <v>235</v>
      </c>
      <c r="O267" s="3" t="s">
        <v>82</v>
      </c>
      <c r="P267" s="3" t="str">
        <f>"2170813340                    "</f>
        <v xml:space="preserve">2170813340                    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23.18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1</v>
      </c>
      <c r="BI267" s="3">
        <v>3</v>
      </c>
      <c r="BJ267" s="3">
        <v>2</v>
      </c>
      <c r="BK267" s="3">
        <v>3</v>
      </c>
      <c r="BL267" s="3">
        <v>88.48</v>
      </c>
      <c r="BM267" s="3">
        <v>13.27</v>
      </c>
      <c r="BN267" s="3">
        <v>101.75</v>
      </c>
      <c r="BO267" s="3">
        <v>101.75</v>
      </c>
      <c r="BQ267" s="3" t="s">
        <v>89</v>
      </c>
      <c r="BR267" s="3" t="s">
        <v>84</v>
      </c>
      <c r="BS267" s="4">
        <v>44573</v>
      </c>
      <c r="BT267" s="5">
        <v>0.46597222222222223</v>
      </c>
      <c r="BU267" s="3" t="s">
        <v>536</v>
      </c>
      <c r="BV267" s="3" t="s">
        <v>87</v>
      </c>
      <c r="BW267" s="3" t="s">
        <v>457</v>
      </c>
      <c r="BX267" s="3" t="s">
        <v>486</v>
      </c>
      <c r="BY267" s="3">
        <v>9900</v>
      </c>
      <c r="BZ267" s="3" t="s">
        <v>165</v>
      </c>
      <c r="CA267" s="3" t="s">
        <v>263</v>
      </c>
      <c r="CC267" s="3" t="s">
        <v>172</v>
      </c>
      <c r="CD267" s="3">
        <v>6001</v>
      </c>
      <c r="CE267" s="3" t="s">
        <v>86</v>
      </c>
      <c r="CF267" s="4">
        <v>44574</v>
      </c>
      <c r="CI267" s="3">
        <v>1</v>
      </c>
      <c r="CJ267" s="3">
        <v>1</v>
      </c>
      <c r="CK267" s="3">
        <v>21</v>
      </c>
      <c r="CL267" s="3" t="s">
        <v>87</v>
      </c>
    </row>
    <row r="268" spans="1:90" x14ac:dyDescent="0.2">
      <c r="A268" s="3" t="s">
        <v>72</v>
      </c>
      <c r="B268" s="3" t="s">
        <v>73</v>
      </c>
      <c r="C268" s="3" t="s">
        <v>74</v>
      </c>
      <c r="E268" s="3" t="str">
        <f>"FES1162844356"</f>
        <v>FES1162844356</v>
      </c>
      <c r="F268" s="4">
        <v>44572</v>
      </c>
      <c r="G268" s="3">
        <v>202207</v>
      </c>
      <c r="H268" s="3" t="s">
        <v>75</v>
      </c>
      <c r="I268" s="3" t="s">
        <v>76</v>
      </c>
      <c r="J268" s="3" t="s">
        <v>77</v>
      </c>
      <c r="K268" s="3" t="s">
        <v>78</v>
      </c>
      <c r="L268" s="3" t="s">
        <v>90</v>
      </c>
      <c r="M268" s="3" t="s">
        <v>91</v>
      </c>
      <c r="N268" s="3" t="s">
        <v>537</v>
      </c>
      <c r="O268" s="3" t="s">
        <v>82</v>
      </c>
      <c r="P268" s="3" t="str">
        <f>"2170814818                    "</f>
        <v xml:space="preserve">2170814818                    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15.46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1</v>
      </c>
      <c r="BI268" s="3">
        <v>1</v>
      </c>
      <c r="BJ268" s="3">
        <v>0.2</v>
      </c>
      <c r="BK268" s="3">
        <v>1</v>
      </c>
      <c r="BL268" s="3">
        <v>59</v>
      </c>
      <c r="BM268" s="3">
        <v>8.85</v>
      </c>
      <c r="BN268" s="3">
        <v>67.849999999999994</v>
      </c>
      <c r="BO268" s="3">
        <v>67.849999999999994</v>
      </c>
      <c r="BQ268" s="3" t="s">
        <v>145</v>
      </c>
      <c r="BR268" s="3" t="s">
        <v>84</v>
      </c>
      <c r="BS268" s="4">
        <v>44573</v>
      </c>
      <c r="BT268" s="5">
        <v>0.36249999999999999</v>
      </c>
      <c r="BU268" s="3" t="s">
        <v>538</v>
      </c>
      <c r="BV268" s="3" t="s">
        <v>105</v>
      </c>
      <c r="BY268" s="3">
        <v>1200</v>
      </c>
      <c r="BZ268" s="3" t="s">
        <v>165</v>
      </c>
      <c r="CA268" s="3" t="s">
        <v>271</v>
      </c>
      <c r="CC268" s="3" t="s">
        <v>91</v>
      </c>
      <c r="CD268" s="3">
        <v>7441</v>
      </c>
      <c r="CE268" s="3" t="s">
        <v>93</v>
      </c>
      <c r="CF268" s="4">
        <v>44574</v>
      </c>
      <c r="CI268" s="3">
        <v>1</v>
      </c>
      <c r="CJ268" s="3">
        <v>1</v>
      </c>
      <c r="CK268" s="3">
        <v>21</v>
      </c>
      <c r="CL268" s="3" t="s">
        <v>87</v>
      </c>
    </row>
    <row r="269" spans="1:90" x14ac:dyDescent="0.2">
      <c r="A269" s="3" t="s">
        <v>72</v>
      </c>
      <c r="B269" s="3" t="s">
        <v>73</v>
      </c>
      <c r="C269" s="3" t="s">
        <v>74</v>
      </c>
      <c r="E269" s="3" t="str">
        <f>"FES1162842931"</f>
        <v>FES1162842931</v>
      </c>
      <c r="F269" s="4">
        <v>44572</v>
      </c>
      <c r="G269" s="3">
        <v>202207</v>
      </c>
      <c r="H269" s="3" t="s">
        <v>75</v>
      </c>
      <c r="I269" s="3" t="s">
        <v>76</v>
      </c>
      <c r="J269" s="3" t="s">
        <v>77</v>
      </c>
      <c r="K269" s="3" t="s">
        <v>78</v>
      </c>
      <c r="L269" s="3" t="s">
        <v>171</v>
      </c>
      <c r="M269" s="3" t="s">
        <v>172</v>
      </c>
      <c r="N269" s="3" t="s">
        <v>539</v>
      </c>
      <c r="O269" s="3" t="s">
        <v>82</v>
      </c>
      <c r="P269" s="3" t="str">
        <f>"2170814301                    "</f>
        <v xml:space="preserve">2170814301                    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15.46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0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1</v>
      </c>
      <c r="BI269" s="3">
        <v>1</v>
      </c>
      <c r="BJ269" s="3">
        <v>0.2</v>
      </c>
      <c r="BK269" s="3">
        <v>1</v>
      </c>
      <c r="BL269" s="3">
        <v>59</v>
      </c>
      <c r="BM269" s="3">
        <v>8.85</v>
      </c>
      <c r="BN269" s="3">
        <v>67.849999999999994</v>
      </c>
      <c r="BO269" s="3">
        <v>67.849999999999994</v>
      </c>
      <c r="BQ269" s="3" t="s">
        <v>83</v>
      </c>
      <c r="BR269" s="3" t="s">
        <v>84</v>
      </c>
      <c r="BS269" s="4">
        <v>44573</v>
      </c>
      <c r="BT269" s="5">
        <v>0.49305555555555558</v>
      </c>
      <c r="BU269" s="3" t="s">
        <v>540</v>
      </c>
      <c r="BV269" s="3" t="s">
        <v>87</v>
      </c>
      <c r="BW269" s="3" t="s">
        <v>457</v>
      </c>
      <c r="BX269" s="3" t="s">
        <v>486</v>
      </c>
      <c r="BY269" s="3">
        <v>1200</v>
      </c>
      <c r="BZ269" s="3" t="s">
        <v>165</v>
      </c>
      <c r="CA269" s="3" t="s">
        <v>263</v>
      </c>
      <c r="CC269" s="3" t="s">
        <v>172</v>
      </c>
      <c r="CD269" s="3">
        <v>6012</v>
      </c>
      <c r="CE269" s="3" t="s">
        <v>93</v>
      </c>
      <c r="CF269" s="4">
        <v>44574</v>
      </c>
      <c r="CI269" s="3">
        <v>1</v>
      </c>
      <c r="CJ269" s="3">
        <v>1</v>
      </c>
      <c r="CK269" s="3">
        <v>21</v>
      </c>
      <c r="CL269" s="3" t="s">
        <v>87</v>
      </c>
    </row>
    <row r="270" spans="1:90" x14ac:dyDescent="0.2">
      <c r="A270" s="3" t="s">
        <v>72</v>
      </c>
      <c r="B270" s="3" t="s">
        <v>73</v>
      </c>
      <c r="C270" s="3" t="s">
        <v>74</v>
      </c>
      <c r="E270" s="3" t="str">
        <f>"FES1162844395"</f>
        <v>FES1162844395</v>
      </c>
      <c r="F270" s="4">
        <v>44572</v>
      </c>
      <c r="G270" s="3">
        <v>202207</v>
      </c>
      <c r="H270" s="3" t="s">
        <v>75</v>
      </c>
      <c r="I270" s="3" t="s">
        <v>76</v>
      </c>
      <c r="J270" s="3" t="s">
        <v>77</v>
      </c>
      <c r="K270" s="3" t="s">
        <v>78</v>
      </c>
      <c r="L270" s="3" t="s">
        <v>90</v>
      </c>
      <c r="M270" s="3" t="s">
        <v>91</v>
      </c>
      <c r="N270" s="3" t="s">
        <v>541</v>
      </c>
      <c r="O270" s="3" t="s">
        <v>82</v>
      </c>
      <c r="P270" s="3" t="str">
        <f>"2170816016                    "</f>
        <v xml:space="preserve">2170816016                    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15.46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1</v>
      </c>
      <c r="BI270" s="3">
        <v>1</v>
      </c>
      <c r="BJ270" s="3">
        <v>0.2</v>
      </c>
      <c r="BK270" s="3">
        <v>1</v>
      </c>
      <c r="BL270" s="3">
        <v>59</v>
      </c>
      <c r="BM270" s="3">
        <v>8.85</v>
      </c>
      <c r="BN270" s="3">
        <v>67.849999999999994</v>
      </c>
      <c r="BO270" s="3">
        <v>67.849999999999994</v>
      </c>
      <c r="BQ270" s="3" t="s">
        <v>89</v>
      </c>
      <c r="BR270" s="3" t="s">
        <v>84</v>
      </c>
      <c r="BS270" s="4">
        <v>44573</v>
      </c>
      <c r="BT270" s="5">
        <v>0.41111111111111115</v>
      </c>
      <c r="BU270" s="3" t="s">
        <v>542</v>
      </c>
      <c r="BV270" s="3" t="s">
        <v>105</v>
      </c>
      <c r="BY270" s="3">
        <v>1200</v>
      </c>
      <c r="BZ270" s="3" t="s">
        <v>165</v>
      </c>
      <c r="CA270" s="3" t="s">
        <v>543</v>
      </c>
      <c r="CC270" s="3" t="s">
        <v>91</v>
      </c>
      <c r="CD270" s="3">
        <v>7561</v>
      </c>
      <c r="CE270" s="3" t="s">
        <v>93</v>
      </c>
      <c r="CF270" s="4">
        <v>44574</v>
      </c>
      <c r="CI270" s="3">
        <v>1</v>
      </c>
      <c r="CJ270" s="3">
        <v>1</v>
      </c>
      <c r="CK270" s="3">
        <v>21</v>
      </c>
      <c r="CL270" s="3" t="s">
        <v>87</v>
      </c>
    </row>
    <row r="271" spans="1:90" x14ac:dyDescent="0.2">
      <c r="A271" s="3" t="s">
        <v>72</v>
      </c>
      <c r="B271" s="3" t="s">
        <v>73</v>
      </c>
      <c r="C271" s="3" t="s">
        <v>74</v>
      </c>
      <c r="E271" s="3" t="str">
        <f>"FES1162844515"</f>
        <v>FES1162844515</v>
      </c>
      <c r="F271" s="4">
        <v>44572</v>
      </c>
      <c r="G271" s="3">
        <v>202207</v>
      </c>
      <c r="H271" s="3" t="s">
        <v>75</v>
      </c>
      <c r="I271" s="3" t="s">
        <v>76</v>
      </c>
      <c r="J271" s="3" t="s">
        <v>77</v>
      </c>
      <c r="K271" s="3" t="s">
        <v>78</v>
      </c>
      <c r="L271" s="3" t="s">
        <v>149</v>
      </c>
      <c r="M271" s="3" t="s">
        <v>150</v>
      </c>
      <c r="N271" s="3" t="s">
        <v>151</v>
      </c>
      <c r="O271" s="3" t="s">
        <v>82</v>
      </c>
      <c r="P271" s="3" t="str">
        <f>"2170816158                    "</f>
        <v xml:space="preserve">2170816158                    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29.95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1</v>
      </c>
      <c r="BI271" s="3">
        <v>1</v>
      </c>
      <c r="BJ271" s="3">
        <v>0.2</v>
      </c>
      <c r="BK271" s="3">
        <v>1</v>
      </c>
      <c r="BL271" s="3">
        <v>114.31</v>
      </c>
      <c r="BM271" s="3">
        <v>17.149999999999999</v>
      </c>
      <c r="BN271" s="3">
        <v>131.46</v>
      </c>
      <c r="BO271" s="3">
        <v>131.46</v>
      </c>
      <c r="BR271" s="3" t="s">
        <v>84</v>
      </c>
      <c r="BS271" s="4">
        <v>44574</v>
      </c>
      <c r="BT271" s="5">
        <v>0.41666666666666669</v>
      </c>
      <c r="BU271" s="3" t="s">
        <v>544</v>
      </c>
      <c r="BV271" s="3" t="s">
        <v>105</v>
      </c>
      <c r="BY271" s="3">
        <v>1200</v>
      </c>
      <c r="BZ271" s="3" t="s">
        <v>165</v>
      </c>
      <c r="CA271" s="3" t="s">
        <v>328</v>
      </c>
      <c r="CC271" s="3" t="s">
        <v>150</v>
      </c>
      <c r="CD271" s="3">
        <v>5850</v>
      </c>
      <c r="CE271" s="3" t="s">
        <v>93</v>
      </c>
      <c r="CF271" s="4">
        <v>44578</v>
      </c>
      <c r="CI271" s="3">
        <v>2</v>
      </c>
      <c r="CJ271" s="3">
        <v>2</v>
      </c>
      <c r="CK271" s="3">
        <v>23</v>
      </c>
      <c r="CL271" s="3" t="s">
        <v>87</v>
      </c>
    </row>
    <row r="272" spans="1:90" x14ac:dyDescent="0.2">
      <c r="A272" s="3" t="s">
        <v>72</v>
      </c>
      <c r="B272" s="3" t="s">
        <v>73</v>
      </c>
      <c r="C272" s="3" t="s">
        <v>74</v>
      </c>
      <c r="E272" s="3" t="str">
        <f>"FES1162844567"</f>
        <v>FES1162844567</v>
      </c>
      <c r="F272" s="4">
        <v>44572</v>
      </c>
      <c r="G272" s="3">
        <v>202207</v>
      </c>
      <c r="H272" s="3" t="s">
        <v>75</v>
      </c>
      <c r="I272" s="3" t="s">
        <v>76</v>
      </c>
      <c r="J272" s="3" t="s">
        <v>77</v>
      </c>
      <c r="K272" s="3" t="s">
        <v>78</v>
      </c>
      <c r="L272" s="3" t="s">
        <v>115</v>
      </c>
      <c r="M272" s="3" t="s">
        <v>116</v>
      </c>
      <c r="N272" s="3" t="s">
        <v>419</v>
      </c>
      <c r="O272" s="3" t="s">
        <v>82</v>
      </c>
      <c r="P272" s="3" t="str">
        <f>"2170814646                    "</f>
        <v xml:space="preserve">2170814646                    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12.07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1</v>
      </c>
      <c r="BI272" s="3">
        <v>1</v>
      </c>
      <c r="BJ272" s="3">
        <v>0.2</v>
      </c>
      <c r="BK272" s="3">
        <v>1</v>
      </c>
      <c r="BL272" s="3">
        <v>46.08</v>
      </c>
      <c r="BM272" s="3">
        <v>6.91</v>
      </c>
      <c r="BN272" s="3">
        <v>52.99</v>
      </c>
      <c r="BO272" s="3">
        <v>52.99</v>
      </c>
      <c r="BQ272" s="3" t="s">
        <v>89</v>
      </c>
      <c r="BR272" s="3" t="s">
        <v>84</v>
      </c>
      <c r="BS272" s="4">
        <v>44573</v>
      </c>
      <c r="BT272" s="5">
        <v>0.39861111111111108</v>
      </c>
      <c r="BU272" s="3" t="s">
        <v>545</v>
      </c>
      <c r="BV272" s="3" t="s">
        <v>105</v>
      </c>
      <c r="BY272" s="3">
        <v>1200</v>
      </c>
      <c r="BZ272" s="3" t="s">
        <v>165</v>
      </c>
      <c r="CA272" s="3" t="s">
        <v>119</v>
      </c>
      <c r="CC272" s="3" t="s">
        <v>116</v>
      </c>
      <c r="CD272" s="3">
        <v>1559</v>
      </c>
      <c r="CE272" s="3" t="s">
        <v>93</v>
      </c>
      <c r="CF272" s="4">
        <v>44574</v>
      </c>
      <c r="CI272" s="3">
        <v>1</v>
      </c>
      <c r="CJ272" s="3">
        <v>1</v>
      </c>
      <c r="CK272" s="3">
        <v>22</v>
      </c>
      <c r="CL272" s="3" t="s">
        <v>87</v>
      </c>
    </row>
    <row r="273" spans="1:90" x14ac:dyDescent="0.2">
      <c r="A273" s="3" t="s">
        <v>72</v>
      </c>
      <c r="B273" s="3" t="s">
        <v>73</v>
      </c>
      <c r="C273" s="3" t="s">
        <v>74</v>
      </c>
      <c r="E273" s="3" t="str">
        <f>"FES1162844407"</f>
        <v>FES1162844407</v>
      </c>
      <c r="F273" s="4">
        <v>44572</v>
      </c>
      <c r="G273" s="3">
        <v>202207</v>
      </c>
      <c r="H273" s="3" t="s">
        <v>75</v>
      </c>
      <c r="I273" s="3" t="s">
        <v>76</v>
      </c>
      <c r="J273" s="3" t="s">
        <v>77</v>
      </c>
      <c r="K273" s="3" t="s">
        <v>78</v>
      </c>
      <c r="L273" s="3" t="s">
        <v>138</v>
      </c>
      <c r="M273" s="3" t="s">
        <v>139</v>
      </c>
      <c r="N273" s="3" t="s">
        <v>546</v>
      </c>
      <c r="O273" s="3" t="s">
        <v>82</v>
      </c>
      <c r="P273" s="3" t="str">
        <f>"2170816031                    "</f>
        <v xml:space="preserve">2170816031                    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15.46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1</v>
      </c>
      <c r="BI273" s="3">
        <v>1</v>
      </c>
      <c r="BJ273" s="3">
        <v>0.2</v>
      </c>
      <c r="BK273" s="3">
        <v>1</v>
      </c>
      <c r="BL273" s="3">
        <v>59</v>
      </c>
      <c r="BM273" s="3">
        <v>8.85</v>
      </c>
      <c r="BN273" s="3">
        <v>67.849999999999994</v>
      </c>
      <c r="BO273" s="3">
        <v>67.849999999999994</v>
      </c>
      <c r="BQ273" s="3" t="s">
        <v>83</v>
      </c>
      <c r="BR273" s="3" t="s">
        <v>84</v>
      </c>
      <c r="BS273" s="4">
        <v>44573</v>
      </c>
      <c r="BT273" s="5">
        <v>0.3979166666666667</v>
      </c>
      <c r="BU273" s="3" t="s">
        <v>547</v>
      </c>
      <c r="BV273" s="3" t="s">
        <v>105</v>
      </c>
      <c r="BY273" s="3">
        <v>1200</v>
      </c>
      <c r="BZ273" s="3" t="s">
        <v>165</v>
      </c>
      <c r="CA273" s="3" t="s">
        <v>334</v>
      </c>
      <c r="CC273" s="3" t="s">
        <v>139</v>
      </c>
      <c r="CD273" s="3">
        <v>3610</v>
      </c>
      <c r="CE273" s="3" t="s">
        <v>93</v>
      </c>
      <c r="CF273" s="4">
        <v>44573</v>
      </c>
      <c r="CI273" s="3">
        <v>1</v>
      </c>
      <c r="CJ273" s="3">
        <v>1</v>
      </c>
      <c r="CK273" s="3">
        <v>21</v>
      </c>
      <c r="CL273" s="3" t="s">
        <v>87</v>
      </c>
    </row>
    <row r="274" spans="1:90" x14ac:dyDescent="0.2">
      <c r="A274" s="3" t="s">
        <v>72</v>
      </c>
      <c r="B274" s="3" t="s">
        <v>73</v>
      </c>
      <c r="C274" s="3" t="s">
        <v>74</v>
      </c>
      <c r="E274" s="3" t="str">
        <f>"FES1162844657"</f>
        <v>FES1162844657</v>
      </c>
      <c r="F274" s="4">
        <v>44572</v>
      </c>
      <c r="G274" s="3">
        <v>202207</v>
      </c>
      <c r="H274" s="3" t="s">
        <v>75</v>
      </c>
      <c r="I274" s="3" t="s">
        <v>76</v>
      </c>
      <c r="J274" s="3" t="s">
        <v>77</v>
      </c>
      <c r="K274" s="3" t="s">
        <v>78</v>
      </c>
      <c r="L274" s="3" t="s">
        <v>206</v>
      </c>
      <c r="M274" s="3" t="s">
        <v>207</v>
      </c>
      <c r="N274" s="3" t="s">
        <v>548</v>
      </c>
      <c r="O274" s="3" t="s">
        <v>82</v>
      </c>
      <c r="P274" s="3" t="str">
        <f>"2170816234                    "</f>
        <v xml:space="preserve">2170816234                    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21.74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1</v>
      </c>
      <c r="BI274" s="3">
        <v>1</v>
      </c>
      <c r="BJ274" s="3">
        <v>0.2</v>
      </c>
      <c r="BK274" s="3">
        <v>1</v>
      </c>
      <c r="BL274" s="3">
        <v>82.98</v>
      </c>
      <c r="BM274" s="3">
        <v>12.45</v>
      </c>
      <c r="BN274" s="3">
        <v>95.43</v>
      </c>
      <c r="BO274" s="3">
        <v>95.43</v>
      </c>
      <c r="BQ274" s="3" t="s">
        <v>83</v>
      </c>
      <c r="BR274" s="3" t="s">
        <v>84</v>
      </c>
      <c r="BS274" s="4">
        <v>44573</v>
      </c>
      <c r="BT274" s="5">
        <v>0.53333333333333333</v>
      </c>
      <c r="BU274" s="3" t="s">
        <v>549</v>
      </c>
      <c r="BV274" s="3" t="s">
        <v>105</v>
      </c>
      <c r="BY274" s="3">
        <v>1200</v>
      </c>
      <c r="BZ274" s="3" t="s">
        <v>165</v>
      </c>
      <c r="CC274" s="3" t="s">
        <v>207</v>
      </c>
      <c r="CD274" s="3">
        <v>1739</v>
      </c>
      <c r="CE274" s="3" t="s">
        <v>93</v>
      </c>
      <c r="CF274" s="4">
        <v>44574</v>
      </c>
      <c r="CI274" s="3">
        <v>1</v>
      </c>
      <c r="CJ274" s="3">
        <v>1</v>
      </c>
      <c r="CK274" s="3">
        <v>24</v>
      </c>
      <c r="CL274" s="3" t="s">
        <v>87</v>
      </c>
    </row>
    <row r="275" spans="1:90" x14ac:dyDescent="0.2">
      <c r="A275" s="3" t="s">
        <v>72</v>
      </c>
      <c r="B275" s="3" t="s">
        <v>73</v>
      </c>
      <c r="C275" s="3" t="s">
        <v>74</v>
      </c>
      <c r="E275" s="3" t="str">
        <f>"FES1162844326"</f>
        <v>FES1162844326</v>
      </c>
      <c r="F275" s="4">
        <v>44572</v>
      </c>
      <c r="G275" s="3">
        <v>202207</v>
      </c>
      <c r="H275" s="3" t="s">
        <v>75</v>
      </c>
      <c r="I275" s="3" t="s">
        <v>76</v>
      </c>
      <c r="J275" s="3" t="s">
        <v>77</v>
      </c>
      <c r="K275" s="3" t="s">
        <v>78</v>
      </c>
      <c r="L275" s="3" t="s">
        <v>75</v>
      </c>
      <c r="M275" s="3" t="s">
        <v>76</v>
      </c>
      <c r="N275" s="3" t="s">
        <v>459</v>
      </c>
      <c r="O275" s="3" t="s">
        <v>82</v>
      </c>
      <c r="P275" s="3" t="str">
        <f>"2170814613                    "</f>
        <v xml:space="preserve">2170814613                    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12.07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1</v>
      </c>
      <c r="BI275" s="3">
        <v>1</v>
      </c>
      <c r="BJ275" s="3">
        <v>0.2</v>
      </c>
      <c r="BK275" s="3">
        <v>1</v>
      </c>
      <c r="BL275" s="3">
        <v>46.08</v>
      </c>
      <c r="BM275" s="3">
        <v>6.91</v>
      </c>
      <c r="BN275" s="3">
        <v>52.99</v>
      </c>
      <c r="BO275" s="3">
        <v>52.99</v>
      </c>
      <c r="BQ275" s="3" t="s">
        <v>83</v>
      </c>
      <c r="BR275" s="3" t="s">
        <v>84</v>
      </c>
      <c r="BS275" s="4">
        <v>44573</v>
      </c>
      <c r="BT275" s="5">
        <v>0.34027777777777773</v>
      </c>
      <c r="BU275" s="3" t="s">
        <v>550</v>
      </c>
      <c r="BV275" s="3" t="s">
        <v>105</v>
      </c>
      <c r="BY275" s="3">
        <v>1200</v>
      </c>
      <c r="BZ275" s="3" t="s">
        <v>165</v>
      </c>
      <c r="CC275" s="3" t="s">
        <v>76</v>
      </c>
      <c r="CD275" s="3">
        <v>1686</v>
      </c>
      <c r="CE275" s="3" t="s">
        <v>93</v>
      </c>
      <c r="CF275" s="4">
        <v>44574</v>
      </c>
      <c r="CI275" s="3">
        <v>1</v>
      </c>
      <c r="CJ275" s="3">
        <v>1</v>
      </c>
      <c r="CK275" s="3">
        <v>22</v>
      </c>
      <c r="CL275" s="3" t="s">
        <v>87</v>
      </c>
    </row>
    <row r="276" spans="1:90" x14ac:dyDescent="0.2">
      <c r="A276" s="3" t="s">
        <v>72</v>
      </c>
      <c r="B276" s="3" t="s">
        <v>73</v>
      </c>
      <c r="C276" s="3" t="s">
        <v>74</v>
      </c>
      <c r="E276" s="3" t="str">
        <f>"FES1162844664"</f>
        <v>FES1162844664</v>
      </c>
      <c r="F276" s="4">
        <v>44572</v>
      </c>
      <c r="G276" s="3">
        <v>202207</v>
      </c>
      <c r="H276" s="3" t="s">
        <v>75</v>
      </c>
      <c r="I276" s="3" t="s">
        <v>76</v>
      </c>
      <c r="J276" s="3" t="s">
        <v>77</v>
      </c>
      <c r="K276" s="3" t="s">
        <v>78</v>
      </c>
      <c r="L276" s="3" t="s">
        <v>97</v>
      </c>
      <c r="M276" s="3" t="s">
        <v>98</v>
      </c>
      <c r="N276" s="3" t="s">
        <v>482</v>
      </c>
      <c r="O276" s="3" t="s">
        <v>82</v>
      </c>
      <c r="P276" s="3" t="str">
        <f>"2170816240                    "</f>
        <v xml:space="preserve">2170816240                    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12.07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1</v>
      </c>
      <c r="BI276" s="3">
        <v>1</v>
      </c>
      <c r="BJ276" s="3">
        <v>1.1000000000000001</v>
      </c>
      <c r="BK276" s="3">
        <v>1.5</v>
      </c>
      <c r="BL276" s="3">
        <v>46.08</v>
      </c>
      <c r="BM276" s="3">
        <v>6.91</v>
      </c>
      <c r="BN276" s="3">
        <v>52.99</v>
      </c>
      <c r="BO276" s="3">
        <v>52.99</v>
      </c>
      <c r="BQ276" s="3" t="s">
        <v>89</v>
      </c>
      <c r="BR276" s="3" t="s">
        <v>84</v>
      </c>
      <c r="BS276" s="4">
        <v>44573</v>
      </c>
      <c r="BT276" s="5">
        <v>0.48749999999999999</v>
      </c>
      <c r="BU276" s="3" t="s">
        <v>483</v>
      </c>
      <c r="BV276" s="3" t="s">
        <v>87</v>
      </c>
      <c r="BW276" s="3" t="s">
        <v>353</v>
      </c>
      <c r="BX276" s="3" t="s">
        <v>377</v>
      </c>
      <c r="BY276" s="3">
        <v>5320</v>
      </c>
      <c r="BZ276" s="3" t="s">
        <v>165</v>
      </c>
      <c r="CC276" s="3" t="s">
        <v>98</v>
      </c>
      <c r="CD276" s="3">
        <v>2197</v>
      </c>
      <c r="CE276" s="3" t="s">
        <v>86</v>
      </c>
      <c r="CF276" s="4">
        <v>44573</v>
      </c>
      <c r="CI276" s="3">
        <v>1</v>
      </c>
      <c r="CJ276" s="3">
        <v>1</v>
      </c>
      <c r="CK276" s="3">
        <v>22</v>
      </c>
      <c r="CL276" s="3" t="s">
        <v>87</v>
      </c>
    </row>
    <row r="277" spans="1:90" x14ac:dyDescent="0.2">
      <c r="A277" s="3" t="s">
        <v>72</v>
      </c>
      <c r="B277" s="3" t="s">
        <v>73</v>
      </c>
      <c r="C277" s="3" t="s">
        <v>74</v>
      </c>
      <c r="E277" s="3" t="str">
        <f>"FES1162844462"</f>
        <v>FES1162844462</v>
      </c>
      <c r="F277" s="4">
        <v>44572</v>
      </c>
      <c r="G277" s="3">
        <v>202207</v>
      </c>
      <c r="H277" s="3" t="s">
        <v>75</v>
      </c>
      <c r="I277" s="3" t="s">
        <v>76</v>
      </c>
      <c r="J277" s="3" t="s">
        <v>77</v>
      </c>
      <c r="K277" s="3" t="s">
        <v>78</v>
      </c>
      <c r="L277" s="3" t="s">
        <v>176</v>
      </c>
      <c r="M277" s="3" t="s">
        <v>177</v>
      </c>
      <c r="N277" s="3" t="s">
        <v>178</v>
      </c>
      <c r="O277" s="3" t="s">
        <v>82</v>
      </c>
      <c r="P277" s="3" t="str">
        <f>"2170816106                    "</f>
        <v xml:space="preserve">2170816106                    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15.46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1</v>
      </c>
      <c r="BI277" s="3">
        <v>1</v>
      </c>
      <c r="BJ277" s="3">
        <v>0.2</v>
      </c>
      <c r="BK277" s="3">
        <v>1</v>
      </c>
      <c r="BL277" s="3">
        <v>59</v>
      </c>
      <c r="BM277" s="3">
        <v>8.85</v>
      </c>
      <c r="BN277" s="3">
        <v>67.849999999999994</v>
      </c>
      <c r="BO277" s="3">
        <v>67.849999999999994</v>
      </c>
      <c r="BQ277" s="3" t="s">
        <v>83</v>
      </c>
      <c r="BR277" s="3" t="s">
        <v>84</v>
      </c>
      <c r="BS277" s="4">
        <v>44573</v>
      </c>
      <c r="BT277" s="5">
        <v>0.4152777777777778</v>
      </c>
      <c r="BU277" s="3" t="s">
        <v>551</v>
      </c>
      <c r="BV277" s="3" t="s">
        <v>105</v>
      </c>
      <c r="BY277" s="3">
        <v>1200</v>
      </c>
      <c r="BZ277" s="3" t="s">
        <v>165</v>
      </c>
      <c r="CA277" s="3" t="s">
        <v>528</v>
      </c>
      <c r="CC277" s="3" t="s">
        <v>177</v>
      </c>
      <c r="CD277" s="3">
        <v>4026</v>
      </c>
      <c r="CE277" s="3" t="s">
        <v>93</v>
      </c>
      <c r="CF277" s="4">
        <v>44574</v>
      </c>
      <c r="CI277" s="3">
        <v>1</v>
      </c>
      <c r="CJ277" s="3">
        <v>1</v>
      </c>
      <c r="CK277" s="3">
        <v>21</v>
      </c>
      <c r="CL277" s="3" t="s">
        <v>87</v>
      </c>
    </row>
    <row r="278" spans="1:90" x14ac:dyDescent="0.2">
      <c r="A278" s="3" t="s">
        <v>72</v>
      </c>
      <c r="B278" s="3" t="s">
        <v>73</v>
      </c>
      <c r="C278" s="3" t="s">
        <v>74</v>
      </c>
      <c r="E278" s="3" t="str">
        <f>"FES1162844673"</f>
        <v>FES1162844673</v>
      </c>
      <c r="F278" s="4">
        <v>44572</v>
      </c>
      <c r="G278" s="3">
        <v>202207</v>
      </c>
      <c r="H278" s="3" t="s">
        <v>75</v>
      </c>
      <c r="I278" s="3" t="s">
        <v>76</v>
      </c>
      <c r="J278" s="3" t="s">
        <v>77</v>
      </c>
      <c r="K278" s="3" t="s">
        <v>78</v>
      </c>
      <c r="L278" s="3" t="s">
        <v>90</v>
      </c>
      <c r="M278" s="3" t="s">
        <v>91</v>
      </c>
      <c r="N278" s="3" t="s">
        <v>418</v>
      </c>
      <c r="O278" s="3" t="s">
        <v>82</v>
      </c>
      <c r="P278" s="3" t="str">
        <f>"2170816250                    "</f>
        <v xml:space="preserve">2170816250                    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34.770000000000003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1</v>
      </c>
      <c r="BI278" s="3">
        <v>3</v>
      </c>
      <c r="BJ278" s="3">
        <v>4.0999999999999996</v>
      </c>
      <c r="BK278" s="3">
        <v>4.5</v>
      </c>
      <c r="BL278" s="3">
        <v>132.71</v>
      </c>
      <c r="BM278" s="3">
        <v>19.91</v>
      </c>
      <c r="BN278" s="3">
        <v>152.62</v>
      </c>
      <c r="BO278" s="3">
        <v>152.62</v>
      </c>
      <c r="BQ278" s="3" t="s">
        <v>128</v>
      </c>
      <c r="BR278" s="3" t="s">
        <v>84</v>
      </c>
      <c r="BS278" s="4">
        <v>44573</v>
      </c>
      <c r="BT278" s="5">
        <v>0.36805555555555558</v>
      </c>
      <c r="BU278" s="3" t="s">
        <v>515</v>
      </c>
      <c r="BV278" s="3" t="s">
        <v>105</v>
      </c>
      <c r="BY278" s="3">
        <v>20358</v>
      </c>
      <c r="BZ278" s="3" t="s">
        <v>165</v>
      </c>
      <c r="CA278" s="3" t="s">
        <v>271</v>
      </c>
      <c r="CC278" s="3" t="s">
        <v>91</v>
      </c>
      <c r="CD278" s="3">
        <v>7441</v>
      </c>
      <c r="CE278" s="3" t="s">
        <v>86</v>
      </c>
      <c r="CF278" s="4">
        <v>44574</v>
      </c>
      <c r="CI278" s="3">
        <v>1</v>
      </c>
      <c r="CJ278" s="3">
        <v>1</v>
      </c>
      <c r="CK278" s="3">
        <v>21</v>
      </c>
      <c r="CL278" s="3" t="s">
        <v>87</v>
      </c>
    </row>
    <row r="279" spans="1:90" x14ac:dyDescent="0.2">
      <c r="A279" s="3" t="s">
        <v>72</v>
      </c>
      <c r="B279" s="3" t="s">
        <v>73</v>
      </c>
      <c r="C279" s="3" t="s">
        <v>74</v>
      </c>
      <c r="E279" s="3" t="str">
        <f>"FES1162844490"</f>
        <v>FES1162844490</v>
      </c>
      <c r="F279" s="4">
        <v>44572</v>
      </c>
      <c r="G279" s="3">
        <v>202207</v>
      </c>
      <c r="H279" s="3" t="s">
        <v>75</v>
      </c>
      <c r="I279" s="3" t="s">
        <v>76</v>
      </c>
      <c r="J279" s="3" t="s">
        <v>77</v>
      </c>
      <c r="K279" s="3" t="s">
        <v>78</v>
      </c>
      <c r="L279" s="3" t="s">
        <v>120</v>
      </c>
      <c r="M279" s="3" t="s">
        <v>121</v>
      </c>
      <c r="N279" s="3" t="s">
        <v>122</v>
      </c>
      <c r="O279" s="3" t="s">
        <v>82</v>
      </c>
      <c r="P279" s="3" t="str">
        <f>"2170816140                    "</f>
        <v xml:space="preserve">2170816140                    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15.46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1</v>
      </c>
      <c r="BI279" s="3">
        <v>1</v>
      </c>
      <c r="BJ279" s="3">
        <v>0.2</v>
      </c>
      <c r="BK279" s="3">
        <v>1</v>
      </c>
      <c r="BL279" s="3">
        <v>59</v>
      </c>
      <c r="BM279" s="3">
        <v>8.85</v>
      </c>
      <c r="BN279" s="3">
        <v>67.849999999999994</v>
      </c>
      <c r="BO279" s="3">
        <v>67.849999999999994</v>
      </c>
      <c r="BQ279" s="3" t="s">
        <v>89</v>
      </c>
      <c r="BR279" s="3" t="s">
        <v>84</v>
      </c>
      <c r="BS279" s="4">
        <v>44574</v>
      </c>
      <c r="BT279" s="5">
        <v>0.64236111111111105</v>
      </c>
      <c r="BU279" s="3" t="s">
        <v>552</v>
      </c>
      <c r="BV279" s="3" t="s">
        <v>87</v>
      </c>
      <c r="BW279" s="3" t="s">
        <v>457</v>
      </c>
      <c r="BX279" s="3" t="s">
        <v>458</v>
      </c>
      <c r="BY279" s="3">
        <v>1200</v>
      </c>
      <c r="BZ279" s="3" t="s">
        <v>165</v>
      </c>
      <c r="CA279" s="3" t="s">
        <v>553</v>
      </c>
      <c r="CC279" s="3" t="s">
        <v>121</v>
      </c>
      <c r="CD279" s="3">
        <v>6230</v>
      </c>
      <c r="CE279" s="3" t="s">
        <v>93</v>
      </c>
      <c r="CF279" s="4">
        <v>44575</v>
      </c>
      <c r="CI279" s="3">
        <v>1</v>
      </c>
      <c r="CJ279" s="3">
        <v>2</v>
      </c>
      <c r="CK279" s="3">
        <v>21</v>
      </c>
      <c r="CL279" s="3" t="s">
        <v>87</v>
      </c>
    </row>
    <row r="280" spans="1:90" x14ac:dyDescent="0.2">
      <c r="A280" s="3" t="s">
        <v>72</v>
      </c>
      <c r="B280" s="3" t="s">
        <v>73</v>
      </c>
      <c r="C280" s="3" t="s">
        <v>74</v>
      </c>
      <c r="E280" s="3" t="str">
        <f>"FES1162844595"</f>
        <v>FES1162844595</v>
      </c>
      <c r="F280" s="4">
        <v>44572</v>
      </c>
      <c r="G280" s="3">
        <v>202207</v>
      </c>
      <c r="H280" s="3" t="s">
        <v>75</v>
      </c>
      <c r="I280" s="3" t="s">
        <v>76</v>
      </c>
      <c r="J280" s="3" t="s">
        <v>77</v>
      </c>
      <c r="K280" s="3" t="s">
        <v>78</v>
      </c>
      <c r="L280" s="3" t="s">
        <v>79</v>
      </c>
      <c r="M280" s="3" t="s">
        <v>80</v>
      </c>
      <c r="N280" s="3" t="s">
        <v>554</v>
      </c>
      <c r="O280" s="3" t="s">
        <v>82</v>
      </c>
      <c r="P280" s="3" t="str">
        <f>"2170815169                    "</f>
        <v xml:space="preserve">2170815169                    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15.46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1</v>
      </c>
      <c r="BI280" s="3">
        <v>1</v>
      </c>
      <c r="BJ280" s="3">
        <v>0.5</v>
      </c>
      <c r="BK280" s="3">
        <v>1</v>
      </c>
      <c r="BL280" s="3">
        <v>59</v>
      </c>
      <c r="BM280" s="3">
        <v>8.85</v>
      </c>
      <c r="BN280" s="3">
        <v>67.849999999999994</v>
      </c>
      <c r="BO280" s="3">
        <v>67.849999999999994</v>
      </c>
      <c r="BQ280" s="3" t="s">
        <v>555</v>
      </c>
      <c r="BR280" s="3" t="s">
        <v>84</v>
      </c>
      <c r="BS280" s="4">
        <v>44574</v>
      </c>
      <c r="BT280" s="5">
        <v>0.39097222222222222</v>
      </c>
      <c r="BU280" s="3" t="s">
        <v>556</v>
      </c>
      <c r="BV280" s="3" t="s">
        <v>87</v>
      </c>
      <c r="BY280" s="3">
        <v>2304</v>
      </c>
      <c r="BZ280" s="3" t="s">
        <v>165</v>
      </c>
      <c r="CA280" s="3" t="s">
        <v>557</v>
      </c>
      <c r="CC280" s="3" t="s">
        <v>80</v>
      </c>
      <c r="CD280" s="3">
        <v>117</v>
      </c>
      <c r="CE280" s="3" t="s">
        <v>86</v>
      </c>
      <c r="CF280" s="4">
        <v>44574</v>
      </c>
      <c r="CI280" s="3">
        <v>1</v>
      </c>
      <c r="CJ280" s="3">
        <v>2</v>
      </c>
      <c r="CK280" s="3">
        <v>21</v>
      </c>
      <c r="CL280" s="3" t="s">
        <v>87</v>
      </c>
    </row>
    <row r="281" spans="1:90" x14ac:dyDescent="0.2">
      <c r="A281" s="3" t="s">
        <v>72</v>
      </c>
      <c r="B281" s="3" t="s">
        <v>73</v>
      </c>
      <c r="C281" s="3" t="s">
        <v>74</v>
      </c>
      <c r="E281" s="3" t="str">
        <f>"FES1162844571"</f>
        <v>FES1162844571</v>
      </c>
      <c r="F281" s="4">
        <v>44572</v>
      </c>
      <c r="G281" s="3">
        <v>202207</v>
      </c>
      <c r="H281" s="3" t="s">
        <v>75</v>
      </c>
      <c r="I281" s="3" t="s">
        <v>76</v>
      </c>
      <c r="J281" s="3" t="s">
        <v>77</v>
      </c>
      <c r="K281" s="3" t="s">
        <v>78</v>
      </c>
      <c r="L281" s="3" t="s">
        <v>138</v>
      </c>
      <c r="M281" s="3" t="s">
        <v>139</v>
      </c>
      <c r="N281" s="3" t="s">
        <v>558</v>
      </c>
      <c r="O281" s="3" t="s">
        <v>82</v>
      </c>
      <c r="P281" s="3" t="str">
        <f>"2170814832                    "</f>
        <v xml:space="preserve">2170814832                    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15.46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1</v>
      </c>
      <c r="BI281" s="3">
        <v>1</v>
      </c>
      <c r="BJ281" s="3">
        <v>0.2</v>
      </c>
      <c r="BK281" s="3">
        <v>1</v>
      </c>
      <c r="BL281" s="3">
        <v>59</v>
      </c>
      <c r="BM281" s="3">
        <v>8.85</v>
      </c>
      <c r="BN281" s="3">
        <v>67.849999999999994</v>
      </c>
      <c r="BO281" s="3">
        <v>67.849999999999994</v>
      </c>
      <c r="BR281" s="3" t="s">
        <v>84</v>
      </c>
      <c r="BS281" s="4">
        <v>44573</v>
      </c>
      <c r="BT281" s="5">
        <v>0.49513888888888885</v>
      </c>
      <c r="BU281" s="3" t="s">
        <v>559</v>
      </c>
      <c r="BV281" s="3" t="s">
        <v>105</v>
      </c>
      <c r="BY281" s="3">
        <v>1200</v>
      </c>
      <c r="BZ281" s="3" t="s">
        <v>165</v>
      </c>
      <c r="CA281" s="3" t="s">
        <v>303</v>
      </c>
      <c r="CC281" s="3" t="s">
        <v>139</v>
      </c>
      <c r="CD281" s="3">
        <v>3610</v>
      </c>
      <c r="CE281" s="3" t="s">
        <v>93</v>
      </c>
      <c r="CF281" s="4">
        <v>44574</v>
      </c>
      <c r="CI281" s="3">
        <v>1</v>
      </c>
      <c r="CJ281" s="3">
        <v>1</v>
      </c>
      <c r="CK281" s="3">
        <v>21</v>
      </c>
      <c r="CL281" s="3" t="s">
        <v>87</v>
      </c>
    </row>
    <row r="282" spans="1:90" x14ac:dyDescent="0.2">
      <c r="A282" s="3" t="s">
        <v>72</v>
      </c>
      <c r="B282" s="3" t="s">
        <v>73</v>
      </c>
      <c r="C282" s="3" t="s">
        <v>74</v>
      </c>
      <c r="E282" s="3" t="str">
        <f>"FES1162844579"</f>
        <v>FES1162844579</v>
      </c>
      <c r="F282" s="4">
        <v>44572</v>
      </c>
      <c r="G282" s="3">
        <v>202207</v>
      </c>
      <c r="H282" s="3" t="s">
        <v>75</v>
      </c>
      <c r="I282" s="3" t="s">
        <v>76</v>
      </c>
      <c r="J282" s="3" t="s">
        <v>77</v>
      </c>
      <c r="K282" s="3" t="s">
        <v>78</v>
      </c>
      <c r="L282" s="3" t="s">
        <v>75</v>
      </c>
      <c r="M282" s="3" t="s">
        <v>76</v>
      </c>
      <c r="N282" s="3" t="s">
        <v>560</v>
      </c>
      <c r="O282" s="3" t="s">
        <v>82</v>
      </c>
      <c r="P282" s="3" t="str">
        <f>"2170815019                    "</f>
        <v xml:space="preserve">2170815019                    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12.07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1</v>
      </c>
      <c r="BI282" s="3">
        <v>1</v>
      </c>
      <c r="BJ282" s="3">
        <v>0.2</v>
      </c>
      <c r="BK282" s="3">
        <v>1</v>
      </c>
      <c r="BL282" s="3">
        <v>46.08</v>
      </c>
      <c r="BM282" s="3">
        <v>6.91</v>
      </c>
      <c r="BN282" s="3">
        <v>52.99</v>
      </c>
      <c r="BO282" s="3">
        <v>52.99</v>
      </c>
      <c r="BQ282" s="3" t="s">
        <v>83</v>
      </c>
      <c r="BR282" s="3" t="s">
        <v>84</v>
      </c>
      <c r="BS282" s="4">
        <v>44573</v>
      </c>
      <c r="BT282" s="5">
        <v>0.3666666666666667</v>
      </c>
      <c r="BU282" s="3" t="s">
        <v>561</v>
      </c>
      <c r="BV282" s="3" t="s">
        <v>105</v>
      </c>
      <c r="BY282" s="3">
        <v>1200</v>
      </c>
      <c r="BZ282" s="3" t="s">
        <v>165</v>
      </c>
      <c r="CA282" s="3" t="s">
        <v>378</v>
      </c>
      <c r="CC282" s="3" t="s">
        <v>76</v>
      </c>
      <c r="CD282" s="3">
        <v>1601</v>
      </c>
      <c r="CE282" s="3" t="s">
        <v>93</v>
      </c>
      <c r="CF282" s="4">
        <v>44574</v>
      </c>
      <c r="CI282" s="3">
        <v>1</v>
      </c>
      <c r="CJ282" s="3">
        <v>1</v>
      </c>
      <c r="CK282" s="3">
        <v>22</v>
      </c>
      <c r="CL282" s="3" t="s">
        <v>87</v>
      </c>
    </row>
    <row r="283" spans="1:90" x14ac:dyDescent="0.2">
      <c r="A283" s="3" t="s">
        <v>72</v>
      </c>
      <c r="B283" s="3" t="s">
        <v>73</v>
      </c>
      <c r="C283" s="3" t="s">
        <v>74</v>
      </c>
      <c r="E283" s="3" t="str">
        <f>"FES1162844535"</f>
        <v>FES1162844535</v>
      </c>
      <c r="F283" s="4">
        <v>44572</v>
      </c>
      <c r="G283" s="3">
        <v>202207</v>
      </c>
      <c r="H283" s="3" t="s">
        <v>75</v>
      </c>
      <c r="I283" s="3" t="s">
        <v>76</v>
      </c>
      <c r="J283" s="3" t="s">
        <v>77</v>
      </c>
      <c r="K283" s="3" t="s">
        <v>78</v>
      </c>
      <c r="L283" s="3" t="s">
        <v>110</v>
      </c>
      <c r="M283" s="3" t="s">
        <v>110</v>
      </c>
      <c r="N283" s="3" t="s">
        <v>146</v>
      </c>
      <c r="O283" s="3" t="s">
        <v>82</v>
      </c>
      <c r="P283" s="3" t="str">
        <f>"2170816187                    "</f>
        <v xml:space="preserve">2170816187                    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29.95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1</v>
      </c>
      <c r="BI283" s="3">
        <v>1</v>
      </c>
      <c r="BJ283" s="3">
        <v>0.2</v>
      </c>
      <c r="BK283" s="3">
        <v>1</v>
      </c>
      <c r="BL283" s="3">
        <v>114.31</v>
      </c>
      <c r="BM283" s="3">
        <v>17.149999999999999</v>
      </c>
      <c r="BN283" s="3">
        <v>131.46</v>
      </c>
      <c r="BO283" s="3">
        <v>131.46</v>
      </c>
      <c r="BQ283" s="3" t="s">
        <v>89</v>
      </c>
      <c r="BR283" s="3" t="s">
        <v>84</v>
      </c>
      <c r="BS283" s="4">
        <v>44573</v>
      </c>
      <c r="BT283" s="5">
        <v>0.50694444444444442</v>
      </c>
      <c r="BU283" s="3" t="s">
        <v>562</v>
      </c>
      <c r="BV283" s="3" t="s">
        <v>105</v>
      </c>
      <c r="BY283" s="3">
        <v>1200</v>
      </c>
      <c r="BZ283" s="3" t="s">
        <v>165</v>
      </c>
      <c r="CA283" s="3" t="s">
        <v>563</v>
      </c>
      <c r="CC283" s="3" t="s">
        <v>110</v>
      </c>
      <c r="CD283" s="3">
        <v>7646</v>
      </c>
      <c r="CE283" s="3" t="s">
        <v>93</v>
      </c>
      <c r="CF283" s="4">
        <v>44574</v>
      </c>
      <c r="CI283" s="3">
        <v>1</v>
      </c>
      <c r="CJ283" s="3">
        <v>1</v>
      </c>
      <c r="CK283" s="3">
        <v>23</v>
      </c>
      <c r="CL283" s="3" t="s">
        <v>87</v>
      </c>
    </row>
    <row r="284" spans="1:90" x14ac:dyDescent="0.2">
      <c r="A284" s="3" t="s">
        <v>72</v>
      </c>
      <c r="B284" s="3" t="s">
        <v>73</v>
      </c>
      <c r="C284" s="3" t="s">
        <v>74</v>
      </c>
      <c r="E284" s="3" t="str">
        <f>"FES1162844516"</f>
        <v>FES1162844516</v>
      </c>
      <c r="F284" s="4">
        <v>44572</v>
      </c>
      <c r="G284" s="3">
        <v>202207</v>
      </c>
      <c r="H284" s="3" t="s">
        <v>75</v>
      </c>
      <c r="I284" s="3" t="s">
        <v>76</v>
      </c>
      <c r="J284" s="3" t="s">
        <v>77</v>
      </c>
      <c r="K284" s="3" t="s">
        <v>78</v>
      </c>
      <c r="L284" s="3" t="s">
        <v>90</v>
      </c>
      <c r="M284" s="3" t="s">
        <v>91</v>
      </c>
      <c r="N284" s="3" t="s">
        <v>564</v>
      </c>
      <c r="O284" s="3" t="s">
        <v>82</v>
      </c>
      <c r="P284" s="3" t="str">
        <f>"2170816161                    "</f>
        <v xml:space="preserve">2170816161                    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15.46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1</v>
      </c>
      <c r="BI284" s="3">
        <v>1</v>
      </c>
      <c r="BJ284" s="3">
        <v>0.2</v>
      </c>
      <c r="BK284" s="3">
        <v>1</v>
      </c>
      <c r="BL284" s="3">
        <v>59</v>
      </c>
      <c r="BM284" s="3">
        <v>8.85</v>
      </c>
      <c r="BN284" s="3">
        <v>67.849999999999994</v>
      </c>
      <c r="BO284" s="3">
        <v>67.849999999999994</v>
      </c>
      <c r="BQ284" s="3" t="s">
        <v>83</v>
      </c>
      <c r="BR284" s="3" t="s">
        <v>84</v>
      </c>
      <c r="BS284" s="4">
        <v>44573</v>
      </c>
      <c r="BT284" s="5">
        <v>0.3833333333333333</v>
      </c>
      <c r="BU284" s="3" t="s">
        <v>565</v>
      </c>
      <c r="BV284" s="3" t="s">
        <v>105</v>
      </c>
      <c r="BY284" s="3">
        <v>1200</v>
      </c>
      <c r="BZ284" s="3" t="s">
        <v>165</v>
      </c>
      <c r="CA284" s="3" t="s">
        <v>566</v>
      </c>
      <c r="CC284" s="3" t="s">
        <v>91</v>
      </c>
      <c r="CD284" s="3">
        <v>7460</v>
      </c>
      <c r="CE284" s="3" t="s">
        <v>93</v>
      </c>
      <c r="CF284" s="4">
        <v>44574</v>
      </c>
      <c r="CI284" s="3">
        <v>1</v>
      </c>
      <c r="CJ284" s="3">
        <v>1</v>
      </c>
      <c r="CK284" s="3">
        <v>21</v>
      </c>
      <c r="CL284" s="3" t="s">
        <v>87</v>
      </c>
    </row>
    <row r="285" spans="1:90" x14ac:dyDescent="0.2">
      <c r="A285" s="3" t="s">
        <v>72</v>
      </c>
      <c r="B285" s="3" t="s">
        <v>73</v>
      </c>
      <c r="C285" s="3" t="s">
        <v>74</v>
      </c>
      <c r="E285" s="3" t="str">
        <f>"FES1162844620"</f>
        <v>FES1162844620</v>
      </c>
      <c r="F285" s="4">
        <v>44572</v>
      </c>
      <c r="G285" s="3">
        <v>202207</v>
      </c>
      <c r="H285" s="3" t="s">
        <v>75</v>
      </c>
      <c r="I285" s="3" t="s">
        <v>76</v>
      </c>
      <c r="J285" s="3" t="s">
        <v>77</v>
      </c>
      <c r="K285" s="3" t="s">
        <v>78</v>
      </c>
      <c r="L285" s="3" t="s">
        <v>110</v>
      </c>
      <c r="M285" s="3" t="s">
        <v>110</v>
      </c>
      <c r="N285" s="3" t="s">
        <v>146</v>
      </c>
      <c r="O285" s="3" t="s">
        <v>82</v>
      </c>
      <c r="P285" s="3" t="str">
        <f>"2170808940                    "</f>
        <v xml:space="preserve">2170808940                    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29.95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1</v>
      </c>
      <c r="BI285" s="3">
        <v>1</v>
      </c>
      <c r="BJ285" s="3">
        <v>2</v>
      </c>
      <c r="BK285" s="3">
        <v>2</v>
      </c>
      <c r="BL285" s="3">
        <v>114.31</v>
      </c>
      <c r="BM285" s="3">
        <v>17.149999999999999</v>
      </c>
      <c r="BN285" s="3">
        <v>131.46</v>
      </c>
      <c r="BO285" s="3">
        <v>131.46</v>
      </c>
      <c r="BQ285" s="3" t="s">
        <v>89</v>
      </c>
      <c r="BR285" s="3" t="s">
        <v>84</v>
      </c>
      <c r="BS285" s="4">
        <v>44573</v>
      </c>
      <c r="BT285" s="5">
        <v>0.50694444444444442</v>
      </c>
      <c r="BU285" s="3" t="s">
        <v>562</v>
      </c>
      <c r="BV285" s="3" t="s">
        <v>105</v>
      </c>
      <c r="BY285" s="3">
        <v>9918</v>
      </c>
      <c r="BZ285" s="3" t="s">
        <v>165</v>
      </c>
      <c r="CA285" s="3" t="s">
        <v>563</v>
      </c>
      <c r="CC285" s="3" t="s">
        <v>110</v>
      </c>
      <c r="CD285" s="3">
        <v>7646</v>
      </c>
      <c r="CE285" s="3" t="s">
        <v>86</v>
      </c>
      <c r="CF285" s="4">
        <v>44574</v>
      </c>
      <c r="CI285" s="3">
        <v>1</v>
      </c>
      <c r="CJ285" s="3">
        <v>1</v>
      </c>
      <c r="CK285" s="3">
        <v>23</v>
      </c>
      <c r="CL285" s="3" t="s">
        <v>87</v>
      </c>
    </row>
    <row r="286" spans="1:90" x14ac:dyDescent="0.2">
      <c r="A286" s="3" t="s">
        <v>72</v>
      </c>
      <c r="B286" s="3" t="s">
        <v>73</v>
      </c>
      <c r="C286" s="3" t="s">
        <v>74</v>
      </c>
      <c r="E286" s="3" t="str">
        <f>"FES1162844270"</f>
        <v>FES1162844270</v>
      </c>
      <c r="F286" s="4">
        <v>44572</v>
      </c>
      <c r="G286" s="3">
        <v>202207</v>
      </c>
      <c r="H286" s="3" t="s">
        <v>75</v>
      </c>
      <c r="I286" s="3" t="s">
        <v>76</v>
      </c>
      <c r="J286" s="3" t="s">
        <v>77</v>
      </c>
      <c r="K286" s="3" t="s">
        <v>78</v>
      </c>
      <c r="L286" s="3" t="s">
        <v>171</v>
      </c>
      <c r="M286" s="3" t="s">
        <v>172</v>
      </c>
      <c r="N286" s="3" t="s">
        <v>329</v>
      </c>
      <c r="O286" s="3" t="s">
        <v>82</v>
      </c>
      <c r="P286" s="3" t="str">
        <f>"2170796062                    "</f>
        <v xml:space="preserve">2170796062                    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15.46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1</v>
      </c>
      <c r="BI286" s="3">
        <v>1</v>
      </c>
      <c r="BJ286" s="3">
        <v>1.1000000000000001</v>
      </c>
      <c r="BK286" s="3">
        <v>1.5</v>
      </c>
      <c r="BL286" s="3">
        <v>59</v>
      </c>
      <c r="BM286" s="3">
        <v>8.85</v>
      </c>
      <c r="BN286" s="3">
        <v>67.849999999999994</v>
      </c>
      <c r="BO286" s="3">
        <v>67.849999999999994</v>
      </c>
      <c r="BQ286" s="3" t="s">
        <v>83</v>
      </c>
      <c r="BR286" s="3" t="s">
        <v>84</v>
      </c>
      <c r="BS286" s="4">
        <v>44573</v>
      </c>
      <c r="BT286" s="5">
        <v>0.37013888888888885</v>
      </c>
      <c r="BU286" s="3" t="s">
        <v>567</v>
      </c>
      <c r="BV286" s="3" t="s">
        <v>105</v>
      </c>
      <c r="BY286" s="3">
        <v>5320</v>
      </c>
      <c r="BZ286" s="3" t="s">
        <v>165</v>
      </c>
      <c r="CA286" s="3" t="s">
        <v>535</v>
      </c>
      <c r="CC286" s="3" t="s">
        <v>172</v>
      </c>
      <c r="CD286" s="3">
        <v>6001</v>
      </c>
      <c r="CE286" s="3" t="s">
        <v>86</v>
      </c>
      <c r="CF286" s="4">
        <v>44573</v>
      </c>
      <c r="CI286" s="3">
        <v>1</v>
      </c>
      <c r="CJ286" s="3">
        <v>1</v>
      </c>
      <c r="CK286" s="3">
        <v>21</v>
      </c>
      <c r="CL286" s="3" t="s">
        <v>87</v>
      </c>
    </row>
    <row r="287" spans="1:90" x14ac:dyDescent="0.2">
      <c r="A287" s="3" t="s">
        <v>72</v>
      </c>
      <c r="B287" s="3" t="s">
        <v>73</v>
      </c>
      <c r="C287" s="3" t="s">
        <v>74</v>
      </c>
      <c r="E287" s="3" t="str">
        <f>"FES1162844611"</f>
        <v>FES1162844611</v>
      </c>
      <c r="F287" s="4">
        <v>44572</v>
      </c>
      <c r="G287" s="3">
        <v>202207</v>
      </c>
      <c r="H287" s="3" t="s">
        <v>75</v>
      </c>
      <c r="I287" s="3" t="s">
        <v>76</v>
      </c>
      <c r="J287" s="3" t="s">
        <v>77</v>
      </c>
      <c r="K287" s="3" t="s">
        <v>78</v>
      </c>
      <c r="L287" s="3" t="s">
        <v>138</v>
      </c>
      <c r="M287" s="3" t="s">
        <v>139</v>
      </c>
      <c r="N287" s="3" t="s">
        <v>546</v>
      </c>
      <c r="O287" s="3" t="s">
        <v>82</v>
      </c>
      <c r="P287" s="3" t="str">
        <f>"2170816215                    "</f>
        <v xml:space="preserve">2170816215                    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15.46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1</v>
      </c>
      <c r="BI287" s="3">
        <v>1</v>
      </c>
      <c r="BJ287" s="3">
        <v>0.2</v>
      </c>
      <c r="BK287" s="3">
        <v>1</v>
      </c>
      <c r="BL287" s="3">
        <v>59</v>
      </c>
      <c r="BM287" s="3">
        <v>8.85</v>
      </c>
      <c r="BN287" s="3">
        <v>67.849999999999994</v>
      </c>
      <c r="BO287" s="3">
        <v>67.849999999999994</v>
      </c>
      <c r="BQ287" s="3" t="s">
        <v>83</v>
      </c>
      <c r="BR287" s="3" t="s">
        <v>84</v>
      </c>
      <c r="BS287" s="4">
        <v>44573</v>
      </c>
      <c r="BT287" s="5">
        <v>0.39861111111111108</v>
      </c>
      <c r="BU287" s="3" t="s">
        <v>568</v>
      </c>
      <c r="BV287" s="3" t="s">
        <v>105</v>
      </c>
      <c r="BY287" s="3">
        <v>1200</v>
      </c>
      <c r="BZ287" s="3" t="s">
        <v>165</v>
      </c>
      <c r="CA287" s="3" t="s">
        <v>334</v>
      </c>
      <c r="CC287" s="3" t="s">
        <v>139</v>
      </c>
      <c r="CD287" s="3">
        <v>3610</v>
      </c>
      <c r="CE287" s="3" t="s">
        <v>93</v>
      </c>
      <c r="CF287" s="4">
        <v>44573</v>
      </c>
      <c r="CI287" s="3">
        <v>1</v>
      </c>
      <c r="CJ287" s="3">
        <v>1</v>
      </c>
      <c r="CK287" s="3">
        <v>21</v>
      </c>
      <c r="CL287" s="3" t="s">
        <v>87</v>
      </c>
    </row>
    <row r="288" spans="1:90" x14ac:dyDescent="0.2">
      <c r="A288" s="3" t="s">
        <v>72</v>
      </c>
      <c r="B288" s="3" t="s">
        <v>73</v>
      </c>
      <c r="C288" s="3" t="s">
        <v>74</v>
      </c>
      <c r="E288" s="3" t="str">
        <f>"FES1162844314"</f>
        <v>FES1162844314</v>
      </c>
      <c r="F288" s="4">
        <v>44572</v>
      </c>
      <c r="G288" s="3">
        <v>202207</v>
      </c>
      <c r="H288" s="3" t="s">
        <v>75</v>
      </c>
      <c r="I288" s="3" t="s">
        <v>76</v>
      </c>
      <c r="J288" s="3" t="s">
        <v>77</v>
      </c>
      <c r="K288" s="3" t="s">
        <v>78</v>
      </c>
      <c r="L288" s="3" t="s">
        <v>79</v>
      </c>
      <c r="M288" s="3" t="s">
        <v>80</v>
      </c>
      <c r="N288" s="3" t="s">
        <v>215</v>
      </c>
      <c r="O288" s="3" t="s">
        <v>82</v>
      </c>
      <c r="P288" s="3" t="str">
        <f>"2170814020                    "</f>
        <v xml:space="preserve">2170814020                    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15.46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1</v>
      </c>
      <c r="BI288" s="3">
        <v>1</v>
      </c>
      <c r="BJ288" s="3">
        <v>1.1000000000000001</v>
      </c>
      <c r="BK288" s="3">
        <v>1.5</v>
      </c>
      <c r="BL288" s="3">
        <v>59</v>
      </c>
      <c r="BM288" s="3">
        <v>8.85</v>
      </c>
      <c r="BN288" s="3">
        <v>67.849999999999994</v>
      </c>
      <c r="BO288" s="3">
        <v>67.849999999999994</v>
      </c>
      <c r="BQ288" s="3" t="s">
        <v>216</v>
      </c>
      <c r="BR288" s="3" t="s">
        <v>84</v>
      </c>
      <c r="BS288" s="4">
        <v>44573</v>
      </c>
      <c r="BT288" s="5">
        <v>0.38611111111111113</v>
      </c>
      <c r="BU288" s="3" t="s">
        <v>569</v>
      </c>
      <c r="BV288" s="3" t="s">
        <v>105</v>
      </c>
      <c r="BY288" s="3">
        <v>5320</v>
      </c>
      <c r="BZ288" s="3" t="s">
        <v>165</v>
      </c>
      <c r="CA288" s="3" t="s">
        <v>328</v>
      </c>
      <c r="CC288" s="3" t="s">
        <v>80</v>
      </c>
      <c r="CD288" s="3">
        <v>84</v>
      </c>
      <c r="CE288" s="3" t="s">
        <v>86</v>
      </c>
      <c r="CF288" s="4">
        <v>44573</v>
      </c>
      <c r="CI288" s="3">
        <v>1</v>
      </c>
      <c r="CJ288" s="3">
        <v>1</v>
      </c>
      <c r="CK288" s="3">
        <v>21</v>
      </c>
      <c r="CL288" s="3" t="s">
        <v>87</v>
      </c>
    </row>
    <row r="289" spans="1:90" x14ac:dyDescent="0.2">
      <c r="A289" s="3" t="s">
        <v>72</v>
      </c>
      <c r="B289" s="3" t="s">
        <v>73</v>
      </c>
      <c r="C289" s="3" t="s">
        <v>74</v>
      </c>
      <c r="E289" s="3" t="str">
        <f>"FES1162844486"</f>
        <v>FES1162844486</v>
      </c>
      <c r="F289" s="4">
        <v>44572</v>
      </c>
      <c r="G289" s="3">
        <v>202207</v>
      </c>
      <c r="H289" s="3" t="s">
        <v>75</v>
      </c>
      <c r="I289" s="3" t="s">
        <v>76</v>
      </c>
      <c r="J289" s="3" t="s">
        <v>77</v>
      </c>
      <c r="K289" s="3" t="s">
        <v>78</v>
      </c>
      <c r="L289" s="3" t="s">
        <v>195</v>
      </c>
      <c r="M289" s="3" t="s">
        <v>196</v>
      </c>
      <c r="N289" s="3" t="s">
        <v>197</v>
      </c>
      <c r="O289" s="3" t="s">
        <v>82</v>
      </c>
      <c r="P289" s="3" t="str">
        <f>"2170816132                    "</f>
        <v xml:space="preserve">2170816132                    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15.46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1</v>
      </c>
      <c r="BI289" s="3">
        <v>1</v>
      </c>
      <c r="BJ289" s="3">
        <v>0.2</v>
      </c>
      <c r="BK289" s="3">
        <v>1</v>
      </c>
      <c r="BL289" s="3">
        <v>59</v>
      </c>
      <c r="BM289" s="3">
        <v>8.85</v>
      </c>
      <c r="BN289" s="3">
        <v>67.849999999999994</v>
      </c>
      <c r="BO289" s="3">
        <v>67.849999999999994</v>
      </c>
      <c r="BQ289" s="3" t="s">
        <v>89</v>
      </c>
      <c r="BR289" s="3" t="s">
        <v>84</v>
      </c>
      <c r="BS289" s="4">
        <v>44573</v>
      </c>
      <c r="BT289" s="5">
        <v>0.40208333333333335</v>
      </c>
      <c r="BU289" s="3" t="s">
        <v>570</v>
      </c>
      <c r="BV289" s="3" t="s">
        <v>105</v>
      </c>
      <c r="BY289" s="3">
        <v>1200</v>
      </c>
      <c r="BZ289" s="3" t="s">
        <v>165</v>
      </c>
      <c r="CA289" s="3" t="s">
        <v>571</v>
      </c>
      <c r="CC289" s="3" t="s">
        <v>196</v>
      </c>
      <c r="CD289" s="3">
        <v>4302</v>
      </c>
      <c r="CE289" s="3" t="s">
        <v>93</v>
      </c>
      <c r="CF289" s="4">
        <v>44574</v>
      </c>
      <c r="CI289" s="3">
        <v>1</v>
      </c>
      <c r="CJ289" s="3">
        <v>1</v>
      </c>
      <c r="CK289" s="3">
        <v>21</v>
      </c>
      <c r="CL289" s="3" t="s">
        <v>87</v>
      </c>
    </row>
    <row r="290" spans="1:90" x14ac:dyDescent="0.2">
      <c r="A290" s="3" t="s">
        <v>72</v>
      </c>
      <c r="B290" s="3" t="s">
        <v>73</v>
      </c>
      <c r="C290" s="3" t="s">
        <v>74</v>
      </c>
      <c r="E290" s="3" t="str">
        <f>"FES1162844323"</f>
        <v>FES1162844323</v>
      </c>
      <c r="F290" s="4">
        <v>44572</v>
      </c>
      <c r="G290" s="3">
        <v>202207</v>
      </c>
      <c r="H290" s="3" t="s">
        <v>75</v>
      </c>
      <c r="I290" s="3" t="s">
        <v>76</v>
      </c>
      <c r="J290" s="3" t="s">
        <v>77</v>
      </c>
      <c r="K290" s="3" t="s">
        <v>78</v>
      </c>
      <c r="L290" s="3" t="s">
        <v>572</v>
      </c>
      <c r="M290" s="3" t="s">
        <v>573</v>
      </c>
      <c r="N290" s="3" t="s">
        <v>574</v>
      </c>
      <c r="O290" s="3" t="s">
        <v>82</v>
      </c>
      <c r="P290" s="3" t="str">
        <f>"2170814599                    "</f>
        <v xml:space="preserve">2170814599                    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15.46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1</v>
      </c>
      <c r="BI290" s="3">
        <v>1</v>
      </c>
      <c r="BJ290" s="3">
        <v>1.1000000000000001</v>
      </c>
      <c r="BK290" s="3">
        <v>1.5</v>
      </c>
      <c r="BL290" s="3">
        <v>59</v>
      </c>
      <c r="BM290" s="3">
        <v>8.85</v>
      </c>
      <c r="BN290" s="3">
        <v>67.849999999999994</v>
      </c>
      <c r="BO290" s="3">
        <v>67.849999999999994</v>
      </c>
      <c r="BR290" s="3" t="s">
        <v>84</v>
      </c>
      <c r="BS290" s="4">
        <v>44573</v>
      </c>
      <c r="BT290" s="5">
        <v>0.43472222222222223</v>
      </c>
      <c r="BU290" s="3" t="s">
        <v>575</v>
      </c>
      <c r="BV290" s="3" t="s">
        <v>105</v>
      </c>
      <c r="BY290" s="3">
        <v>5320</v>
      </c>
      <c r="BZ290" s="3" t="s">
        <v>165</v>
      </c>
      <c r="CA290" s="3" t="s">
        <v>576</v>
      </c>
      <c r="CC290" s="3" t="s">
        <v>573</v>
      </c>
      <c r="CD290" s="3">
        <v>9300</v>
      </c>
      <c r="CE290" s="3" t="s">
        <v>86</v>
      </c>
      <c r="CF290" s="4">
        <v>44574</v>
      </c>
      <c r="CI290" s="3">
        <v>1</v>
      </c>
      <c r="CJ290" s="3">
        <v>1</v>
      </c>
      <c r="CK290" s="3">
        <v>21</v>
      </c>
      <c r="CL290" s="3" t="s">
        <v>87</v>
      </c>
    </row>
    <row r="291" spans="1:90" x14ac:dyDescent="0.2">
      <c r="A291" s="3" t="s">
        <v>72</v>
      </c>
      <c r="B291" s="3" t="s">
        <v>73</v>
      </c>
      <c r="C291" s="3" t="s">
        <v>74</v>
      </c>
      <c r="E291" s="3" t="str">
        <f>"FES1162844600"</f>
        <v>FES1162844600</v>
      </c>
      <c r="F291" s="4">
        <v>44572</v>
      </c>
      <c r="G291" s="3">
        <v>202207</v>
      </c>
      <c r="H291" s="3" t="s">
        <v>75</v>
      </c>
      <c r="I291" s="3" t="s">
        <v>76</v>
      </c>
      <c r="J291" s="3" t="s">
        <v>77</v>
      </c>
      <c r="K291" s="3" t="s">
        <v>78</v>
      </c>
      <c r="L291" s="3" t="s">
        <v>90</v>
      </c>
      <c r="M291" s="3" t="s">
        <v>91</v>
      </c>
      <c r="N291" s="3" t="s">
        <v>577</v>
      </c>
      <c r="O291" s="3" t="s">
        <v>82</v>
      </c>
      <c r="P291" s="3" t="str">
        <f>"2170815207                    "</f>
        <v xml:space="preserve">2170815207                    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23.18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1</v>
      </c>
      <c r="BI291" s="3">
        <v>3</v>
      </c>
      <c r="BJ291" s="3">
        <v>1.1000000000000001</v>
      </c>
      <c r="BK291" s="3">
        <v>3</v>
      </c>
      <c r="BL291" s="3">
        <v>88.48</v>
      </c>
      <c r="BM291" s="3">
        <v>13.27</v>
      </c>
      <c r="BN291" s="3">
        <v>101.75</v>
      </c>
      <c r="BO291" s="3">
        <v>101.75</v>
      </c>
      <c r="BQ291" s="3" t="s">
        <v>126</v>
      </c>
      <c r="BR291" s="3" t="s">
        <v>84</v>
      </c>
      <c r="BS291" s="4">
        <v>44573</v>
      </c>
      <c r="BT291" s="5">
        <v>0.36527777777777781</v>
      </c>
      <c r="BU291" s="3" t="s">
        <v>578</v>
      </c>
      <c r="BV291" s="3" t="s">
        <v>105</v>
      </c>
      <c r="BY291" s="3">
        <v>5320</v>
      </c>
      <c r="BZ291" s="3" t="s">
        <v>165</v>
      </c>
      <c r="CA291" s="3" t="s">
        <v>271</v>
      </c>
      <c r="CC291" s="3" t="s">
        <v>91</v>
      </c>
      <c r="CD291" s="3">
        <v>7441</v>
      </c>
      <c r="CE291" s="3" t="s">
        <v>86</v>
      </c>
      <c r="CF291" s="4">
        <v>44574</v>
      </c>
      <c r="CI291" s="3">
        <v>1</v>
      </c>
      <c r="CJ291" s="3">
        <v>1</v>
      </c>
      <c r="CK291" s="3">
        <v>21</v>
      </c>
      <c r="CL291" s="3" t="s">
        <v>87</v>
      </c>
    </row>
    <row r="292" spans="1:90" x14ac:dyDescent="0.2">
      <c r="A292" s="3" t="s">
        <v>72</v>
      </c>
      <c r="B292" s="3" t="s">
        <v>73</v>
      </c>
      <c r="C292" s="3" t="s">
        <v>74</v>
      </c>
      <c r="E292" s="3" t="str">
        <f>"FES1162844271"</f>
        <v>FES1162844271</v>
      </c>
      <c r="F292" s="4">
        <v>44572</v>
      </c>
      <c r="G292" s="3">
        <v>202207</v>
      </c>
      <c r="H292" s="3" t="s">
        <v>75</v>
      </c>
      <c r="I292" s="3" t="s">
        <v>76</v>
      </c>
      <c r="J292" s="3" t="s">
        <v>77</v>
      </c>
      <c r="K292" s="3" t="s">
        <v>78</v>
      </c>
      <c r="L292" s="3" t="s">
        <v>171</v>
      </c>
      <c r="M292" s="3" t="s">
        <v>172</v>
      </c>
      <c r="N292" s="3" t="s">
        <v>329</v>
      </c>
      <c r="O292" s="3" t="s">
        <v>82</v>
      </c>
      <c r="P292" s="3" t="str">
        <f>"2170797561                    "</f>
        <v xml:space="preserve">2170797561                    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15.46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1</v>
      </c>
      <c r="BI292" s="3">
        <v>1</v>
      </c>
      <c r="BJ292" s="3">
        <v>1.1000000000000001</v>
      </c>
      <c r="BK292" s="3">
        <v>1.5</v>
      </c>
      <c r="BL292" s="3">
        <v>59</v>
      </c>
      <c r="BM292" s="3">
        <v>8.85</v>
      </c>
      <c r="BN292" s="3">
        <v>67.849999999999994</v>
      </c>
      <c r="BO292" s="3">
        <v>67.849999999999994</v>
      </c>
      <c r="BQ292" s="3" t="s">
        <v>83</v>
      </c>
      <c r="BR292" s="3" t="s">
        <v>84</v>
      </c>
      <c r="BS292" s="4">
        <v>44573</v>
      </c>
      <c r="BT292" s="5">
        <v>0.37013888888888885</v>
      </c>
      <c r="BU292" s="3" t="s">
        <v>567</v>
      </c>
      <c r="BV292" s="3" t="s">
        <v>105</v>
      </c>
      <c r="BY292" s="3">
        <v>5320</v>
      </c>
      <c r="BZ292" s="3" t="s">
        <v>165</v>
      </c>
      <c r="CA292" s="3" t="s">
        <v>535</v>
      </c>
      <c r="CC292" s="3" t="s">
        <v>172</v>
      </c>
      <c r="CD292" s="3">
        <v>6001</v>
      </c>
      <c r="CE292" s="3" t="s">
        <v>86</v>
      </c>
      <c r="CF292" s="4">
        <v>44573</v>
      </c>
      <c r="CI292" s="3">
        <v>1</v>
      </c>
      <c r="CJ292" s="3">
        <v>1</v>
      </c>
      <c r="CK292" s="3">
        <v>21</v>
      </c>
      <c r="CL292" s="3" t="s">
        <v>87</v>
      </c>
    </row>
    <row r="293" spans="1:90" x14ac:dyDescent="0.2">
      <c r="A293" s="3" t="s">
        <v>72</v>
      </c>
      <c r="B293" s="3" t="s">
        <v>73</v>
      </c>
      <c r="C293" s="3" t="s">
        <v>74</v>
      </c>
      <c r="E293" s="3" t="str">
        <f>"FES1162844608"</f>
        <v>FES1162844608</v>
      </c>
      <c r="F293" s="4">
        <v>44572</v>
      </c>
      <c r="G293" s="3">
        <v>202207</v>
      </c>
      <c r="H293" s="3" t="s">
        <v>75</v>
      </c>
      <c r="I293" s="3" t="s">
        <v>76</v>
      </c>
      <c r="J293" s="3" t="s">
        <v>77</v>
      </c>
      <c r="K293" s="3" t="s">
        <v>78</v>
      </c>
      <c r="L293" s="3" t="s">
        <v>187</v>
      </c>
      <c r="M293" s="3" t="s">
        <v>188</v>
      </c>
      <c r="N293" s="3" t="s">
        <v>189</v>
      </c>
      <c r="O293" s="3" t="s">
        <v>82</v>
      </c>
      <c r="P293" s="3" t="str">
        <f>"2170816022                    "</f>
        <v xml:space="preserve">2170816022                    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29.95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1</v>
      </c>
      <c r="BI293" s="3">
        <v>1</v>
      </c>
      <c r="BJ293" s="3">
        <v>0.2</v>
      </c>
      <c r="BK293" s="3">
        <v>1</v>
      </c>
      <c r="BL293" s="3">
        <v>114.31</v>
      </c>
      <c r="BM293" s="3">
        <v>17.149999999999999</v>
      </c>
      <c r="BN293" s="3">
        <v>131.46</v>
      </c>
      <c r="BO293" s="3">
        <v>131.46</v>
      </c>
      <c r="BQ293" s="3" t="s">
        <v>83</v>
      </c>
      <c r="BR293" s="3" t="s">
        <v>84</v>
      </c>
      <c r="BS293" s="4">
        <v>44573</v>
      </c>
      <c r="BT293" s="5">
        <v>0.56319444444444444</v>
      </c>
      <c r="BU293" s="3" t="s">
        <v>267</v>
      </c>
      <c r="BV293" s="3" t="s">
        <v>87</v>
      </c>
      <c r="BW293" s="3" t="s">
        <v>579</v>
      </c>
      <c r="BX293" s="3" t="s">
        <v>580</v>
      </c>
      <c r="BY293" s="3">
        <v>1200</v>
      </c>
      <c r="BZ293" s="3" t="s">
        <v>165</v>
      </c>
      <c r="CA293" s="3" t="s">
        <v>268</v>
      </c>
      <c r="CC293" s="3" t="s">
        <v>188</v>
      </c>
      <c r="CD293" s="3">
        <v>7300</v>
      </c>
      <c r="CE293" s="3" t="s">
        <v>93</v>
      </c>
      <c r="CF293" s="4">
        <v>44574</v>
      </c>
      <c r="CI293" s="3">
        <v>1</v>
      </c>
      <c r="CJ293" s="3">
        <v>1</v>
      </c>
      <c r="CK293" s="3">
        <v>23</v>
      </c>
      <c r="CL293" s="3" t="s">
        <v>87</v>
      </c>
    </row>
    <row r="294" spans="1:90" x14ac:dyDescent="0.2">
      <c r="A294" s="3" t="s">
        <v>72</v>
      </c>
      <c r="B294" s="3" t="s">
        <v>73</v>
      </c>
      <c r="C294" s="3" t="s">
        <v>74</v>
      </c>
      <c r="E294" s="3" t="str">
        <f>"FES1162844345"</f>
        <v>FES1162844345</v>
      </c>
      <c r="F294" s="4">
        <v>44572</v>
      </c>
      <c r="G294" s="3">
        <v>202207</v>
      </c>
      <c r="H294" s="3" t="s">
        <v>75</v>
      </c>
      <c r="I294" s="3" t="s">
        <v>76</v>
      </c>
      <c r="J294" s="3" t="s">
        <v>77</v>
      </c>
      <c r="K294" s="3" t="s">
        <v>78</v>
      </c>
      <c r="L294" s="3" t="s">
        <v>171</v>
      </c>
      <c r="M294" s="3" t="s">
        <v>172</v>
      </c>
      <c r="N294" s="3" t="s">
        <v>581</v>
      </c>
      <c r="O294" s="3" t="s">
        <v>82</v>
      </c>
      <c r="P294" s="3" t="str">
        <f>"2170814746                    "</f>
        <v xml:space="preserve">2170814746                    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34.770000000000003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1</v>
      </c>
      <c r="BI294" s="3">
        <v>1</v>
      </c>
      <c r="BJ294" s="3">
        <v>4.0999999999999996</v>
      </c>
      <c r="BK294" s="3">
        <v>4.5</v>
      </c>
      <c r="BL294" s="3">
        <v>132.71</v>
      </c>
      <c r="BM294" s="3">
        <v>19.91</v>
      </c>
      <c r="BN294" s="3">
        <v>152.62</v>
      </c>
      <c r="BO294" s="3">
        <v>152.62</v>
      </c>
      <c r="BQ294" s="3" t="s">
        <v>89</v>
      </c>
      <c r="BR294" s="3" t="s">
        <v>84</v>
      </c>
      <c r="BS294" s="4">
        <v>44573</v>
      </c>
      <c r="BT294" s="5">
        <v>0.36041666666666666</v>
      </c>
      <c r="BU294" s="3" t="s">
        <v>534</v>
      </c>
      <c r="BV294" s="3" t="s">
        <v>105</v>
      </c>
      <c r="BY294" s="3">
        <v>20358</v>
      </c>
      <c r="BZ294" s="3" t="s">
        <v>165</v>
      </c>
      <c r="CA294" s="3" t="s">
        <v>535</v>
      </c>
      <c r="CC294" s="3" t="s">
        <v>172</v>
      </c>
      <c r="CD294" s="3">
        <v>6001</v>
      </c>
      <c r="CE294" s="3" t="s">
        <v>86</v>
      </c>
      <c r="CF294" s="4">
        <v>44573</v>
      </c>
      <c r="CI294" s="3">
        <v>1</v>
      </c>
      <c r="CJ294" s="3">
        <v>1</v>
      </c>
      <c r="CK294" s="3">
        <v>21</v>
      </c>
      <c r="CL294" s="3" t="s">
        <v>87</v>
      </c>
    </row>
    <row r="295" spans="1:90" x14ac:dyDescent="0.2">
      <c r="A295" s="3" t="s">
        <v>72</v>
      </c>
      <c r="B295" s="3" t="s">
        <v>73</v>
      </c>
      <c r="C295" s="3" t="s">
        <v>74</v>
      </c>
      <c r="E295" s="3" t="str">
        <f>"FES1162844609"</f>
        <v>FES1162844609</v>
      </c>
      <c r="F295" s="4">
        <v>44572</v>
      </c>
      <c r="G295" s="3">
        <v>202207</v>
      </c>
      <c r="H295" s="3" t="s">
        <v>75</v>
      </c>
      <c r="I295" s="3" t="s">
        <v>76</v>
      </c>
      <c r="J295" s="3" t="s">
        <v>77</v>
      </c>
      <c r="K295" s="3" t="s">
        <v>78</v>
      </c>
      <c r="L295" s="3" t="s">
        <v>107</v>
      </c>
      <c r="M295" s="3" t="s">
        <v>108</v>
      </c>
      <c r="N295" s="3" t="s">
        <v>582</v>
      </c>
      <c r="O295" s="3" t="s">
        <v>82</v>
      </c>
      <c r="P295" s="3" t="str">
        <f>"2170816212                    "</f>
        <v xml:space="preserve">2170816212                    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29.95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1</v>
      </c>
      <c r="BI295" s="3">
        <v>1</v>
      </c>
      <c r="BJ295" s="3">
        <v>0.2</v>
      </c>
      <c r="BK295" s="3">
        <v>1</v>
      </c>
      <c r="BL295" s="3">
        <v>114.31</v>
      </c>
      <c r="BM295" s="3">
        <v>17.149999999999999</v>
      </c>
      <c r="BN295" s="3">
        <v>131.46</v>
      </c>
      <c r="BO295" s="3">
        <v>131.46</v>
      </c>
      <c r="BQ295" s="3" t="s">
        <v>126</v>
      </c>
      <c r="BR295" s="3" t="s">
        <v>84</v>
      </c>
      <c r="BS295" s="4">
        <v>44573</v>
      </c>
      <c r="BT295" s="5">
        <v>0.48819444444444443</v>
      </c>
      <c r="BU295" s="3" t="s">
        <v>583</v>
      </c>
      <c r="BV295" s="3" t="s">
        <v>105</v>
      </c>
      <c r="BY295" s="3">
        <v>1200</v>
      </c>
      <c r="BZ295" s="3" t="s">
        <v>165</v>
      </c>
      <c r="CA295" s="3" t="s">
        <v>394</v>
      </c>
      <c r="CC295" s="3" t="s">
        <v>108</v>
      </c>
      <c r="CD295" s="3">
        <v>6850</v>
      </c>
      <c r="CE295" s="3" t="s">
        <v>93</v>
      </c>
      <c r="CF295" s="4">
        <v>44574</v>
      </c>
      <c r="CI295" s="3">
        <v>2</v>
      </c>
      <c r="CJ295" s="3">
        <v>1</v>
      </c>
      <c r="CK295" s="3">
        <v>23</v>
      </c>
      <c r="CL295" s="3" t="s">
        <v>87</v>
      </c>
    </row>
    <row r="296" spans="1:90" x14ac:dyDescent="0.2">
      <c r="A296" s="3" t="s">
        <v>72</v>
      </c>
      <c r="B296" s="3" t="s">
        <v>73</v>
      </c>
      <c r="C296" s="3" t="s">
        <v>74</v>
      </c>
      <c r="E296" s="3" t="str">
        <f>"FES1162844361"</f>
        <v>FES1162844361</v>
      </c>
      <c r="F296" s="4">
        <v>44572</v>
      </c>
      <c r="G296" s="3">
        <v>202207</v>
      </c>
      <c r="H296" s="3" t="s">
        <v>75</v>
      </c>
      <c r="I296" s="3" t="s">
        <v>76</v>
      </c>
      <c r="J296" s="3" t="s">
        <v>77</v>
      </c>
      <c r="K296" s="3" t="s">
        <v>78</v>
      </c>
      <c r="L296" s="3" t="s">
        <v>529</v>
      </c>
      <c r="M296" s="3" t="s">
        <v>530</v>
      </c>
      <c r="N296" s="3" t="s">
        <v>531</v>
      </c>
      <c r="O296" s="3" t="s">
        <v>82</v>
      </c>
      <c r="P296" s="3" t="str">
        <f>"2170814836                    "</f>
        <v xml:space="preserve">2170814836                    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97.58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1</v>
      </c>
      <c r="BI296" s="3">
        <v>4</v>
      </c>
      <c r="BJ296" s="3">
        <v>6.8</v>
      </c>
      <c r="BK296" s="3">
        <v>7</v>
      </c>
      <c r="BL296" s="3">
        <v>372.44</v>
      </c>
      <c r="BM296" s="3">
        <v>55.87</v>
      </c>
      <c r="BN296" s="3">
        <v>428.31</v>
      </c>
      <c r="BO296" s="3">
        <v>428.31</v>
      </c>
      <c r="BQ296" s="3" t="s">
        <v>83</v>
      </c>
      <c r="BR296" s="3" t="s">
        <v>84</v>
      </c>
      <c r="BS296" s="4">
        <v>44573</v>
      </c>
      <c r="BT296" s="5">
        <v>0.4458333333333333</v>
      </c>
      <c r="BU296" s="3" t="s">
        <v>532</v>
      </c>
      <c r="BV296" s="3" t="s">
        <v>105</v>
      </c>
      <c r="BY296" s="3">
        <v>33930</v>
      </c>
      <c r="BZ296" s="3" t="s">
        <v>165</v>
      </c>
      <c r="CA296" s="3" t="s">
        <v>328</v>
      </c>
      <c r="CC296" s="3" t="s">
        <v>530</v>
      </c>
      <c r="CD296" s="3">
        <v>6500</v>
      </c>
      <c r="CE296" s="3" t="s">
        <v>86</v>
      </c>
      <c r="CF296" s="4">
        <v>44573</v>
      </c>
      <c r="CI296" s="3">
        <v>1</v>
      </c>
      <c r="CJ296" s="3">
        <v>1</v>
      </c>
      <c r="CK296" s="3">
        <v>23</v>
      </c>
      <c r="CL296" s="3" t="s">
        <v>87</v>
      </c>
    </row>
    <row r="297" spans="1:90" x14ac:dyDescent="0.2">
      <c r="A297" s="3" t="s">
        <v>72</v>
      </c>
      <c r="B297" s="3" t="s">
        <v>73</v>
      </c>
      <c r="C297" s="3" t="s">
        <v>74</v>
      </c>
      <c r="E297" s="3" t="str">
        <f>"FES1162844529"</f>
        <v>FES1162844529</v>
      </c>
      <c r="F297" s="4">
        <v>44572</v>
      </c>
      <c r="G297" s="3">
        <v>202207</v>
      </c>
      <c r="H297" s="3" t="s">
        <v>75</v>
      </c>
      <c r="I297" s="3" t="s">
        <v>76</v>
      </c>
      <c r="J297" s="3" t="s">
        <v>77</v>
      </c>
      <c r="K297" s="3" t="s">
        <v>78</v>
      </c>
      <c r="L297" s="3" t="s">
        <v>90</v>
      </c>
      <c r="M297" s="3" t="s">
        <v>91</v>
      </c>
      <c r="N297" s="3" t="s">
        <v>584</v>
      </c>
      <c r="O297" s="3" t="s">
        <v>82</v>
      </c>
      <c r="P297" s="3" t="str">
        <f>"2170816185                    "</f>
        <v xml:space="preserve">2170816185                    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15.46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1</v>
      </c>
      <c r="BI297" s="3">
        <v>1</v>
      </c>
      <c r="BJ297" s="3">
        <v>0.2</v>
      </c>
      <c r="BK297" s="3">
        <v>1</v>
      </c>
      <c r="BL297" s="3">
        <v>59</v>
      </c>
      <c r="BM297" s="3">
        <v>8.85</v>
      </c>
      <c r="BN297" s="3">
        <v>67.849999999999994</v>
      </c>
      <c r="BO297" s="3">
        <v>67.849999999999994</v>
      </c>
      <c r="BQ297" s="3" t="s">
        <v>83</v>
      </c>
      <c r="BR297" s="3" t="s">
        <v>84</v>
      </c>
      <c r="BS297" s="4">
        <v>44573</v>
      </c>
      <c r="BT297" s="5">
        <v>0.31597222222222221</v>
      </c>
      <c r="BU297" s="3" t="s">
        <v>585</v>
      </c>
      <c r="BV297" s="3" t="s">
        <v>105</v>
      </c>
      <c r="BY297" s="3">
        <v>1200</v>
      </c>
      <c r="BZ297" s="3" t="s">
        <v>165</v>
      </c>
      <c r="CA297" s="3" t="s">
        <v>543</v>
      </c>
      <c r="CC297" s="3" t="s">
        <v>91</v>
      </c>
      <c r="CD297" s="3">
        <v>7530</v>
      </c>
      <c r="CE297" s="3" t="s">
        <v>93</v>
      </c>
      <c r="CF297" s="4">
        <v>44574</v>
      </c>
      <c r="CI297" s="3">
        <v>1</v>
      </c>
      <c r="CJ297" s="3">
        <v>1</v>
      </c>
      <c r="CK297" s="3">
        <v>21</v>
      </c>
      <c r="CL297" s="3" t="s">
        <v>87</v>
      </c>
    </row>
    <row r="298" spans="1:90" x14ac:dyDescent="0.2">
      <c r="A298" s="3" t="s">
        <v>72</v>
      </c>
      <c r="B298" s="3" t="s">
        <v>73</v>
      </c>
      <c r="C298" s="3" t="s">
        <v>74</v>
      </c>
      <c r="E298" s="3" t="str">
        <f>"FES1162844459"</f>
        <v>FES1162844459</v>
      </c>
      <c r="F298" s="4">
        <v>44572</v>
      </c>
      <c r="G298" s="3">
        <v>202207</v>
      </c>
      <c r="H298" s="3" t="s">
        <v>75</v>
      </c>
      <c r="I298" s="3" t="s">
        <v>76</v>
      </c>
      <c r="J298" s="3" t="s">
        <v>77</v>
      </c>
      <c r="K298" s="3" t="s">
        <v>78</v>
      </c>
      <c r="L298" s="3" t="s">
        <v>162</v>
      </c>
      <c r="M298" s="3" t="s">
        <v>163</v>
      </c>
      <c r="N298" s="3" t="s">
        <v>586</v>
      </c>
      <c r="O298" s="3" t="s">
        <v>82</v>
      </c>
      <c r="P298" s="3" t="str">
        <f>"2170816097                    "</f>
        <v xml:space="preserve">2170816097                    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12.07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1</v>
      </c>
      <c r="BI298" s="3">
        <v>1</v>
      </c>
      <c r="BJ298" s="3">
        <v>1.1000000000000001</v>
      </c>
      <c r="BK298" s="3">
        <v>1.5</v>
      </c>
      <c r="BL298" s="3">
        <v>46.08</v>
      </c>
      <c r="BM298" s="3">
        <v>6.91</v>
      </c>
      <c r="BN298" s="3">
        <v>52.99</v>
      </c>
      <c r="BO298" s="3">
        <v>52.99</v>
      </c>
      <c r="BR298" s="3" t="s">
        <v>84</v>
      </c>
      <c r="BS298" s="4">
        <v>44573</v>
      </c>
      <c r="BT298" s="5">
        <v>0.3979166666666667</v>
      </c>
      <c r="BU298" s="3" t="s">
        <v>587</v>
      </c>
      <c r="BV298" s="3" t="s">
        <v>105</v>
      </c>
      <c r="BY298" s="3">
        <v>5320</v>
      </c>
      <c r="BZ298" s="3" t="s">
        <v>165</v>
      </c>
      <c r="CA298" s="3" t="s">
        <v>588</v>
      </c>
      <c r="CC298" s="3" t="s">
        <v>163</v>
      </c>
      <c r="CD298" s="3">
        <v>1401</v>
      </c>
      <c r="CE298" s="3" t="s">
        <v>86</v>
      </c>
      <c r="CF298" s="4">
        <v>44574</v>
      </c>
      <c r="CI298" s="3">
        <v>1</v>
      </c>
      <c r="CJ298" s="3">
        <v>1</v>
      </c>
      <c r="CK298" s="3">
        <v>22</v>
      </c>
      <c r="CL298" s="3" t="s">
        <v>87</v>
      </c>
    </row>
    <row r="299" spans="1:90" x14ac:dyDescent="0.2">
      <c r="A299" s="3" t="s">
        <v>72</v>
      </c>
      <c r="B299" s="3" t="s">
        <v>73</v>
      </c>
      <c r="C299" s="3" t="s">
        <v>74</v>
      </c>
      <c r="E299" s="3" t="str">
        <f>"FES1162844589"</f>
        <v>FES1162844589</v>
      </c>
      <c r="F299" s="4">
        <v>44572</v>
      </c>
      <c r="G299" s="3">
        <v>202207</v>
      </c>
      <c r="H299" s="3" t="s">
        <v>75</v>
      </c>
      <c r="I299" s="3" t="s">
        <v>76</v>
      </c>
      <c r="J299" s="3" t="s">
        <v>77</v>
      </c>
      <c r="K299" s="3" t="s">
        <v>78</v>
      </c>
      <c r="L299" s="3" t="s">
        <v>162</v>
      </c>
      <c r="M299" s="3" t="s">
        <v>163</v>
      </c>
      <c r="N299" s="3" t="s">
        <v>589</v>
      </c>
      <c r="O299" s="3" t="s">
        <v>82</v>
      </c>
      <c r="P299" s="3" t="str">
        <f>"2170815120                    "</f>
        <v xml:space="preserve">2170815120                    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12.07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1</v>
      </c>
      <c r="BI299" s="3">
        <v>1</v>
      </c>
      <c r="BJ299" s="3">
        <v>4.0999999999999996</v>
      </c>
      <c r="BK299" s="3">
        <v>4.5</v>
      </c>
      <c r="BL299" s="3">
        <v>46.08</v>
      </c>
      <c r="BM299" s="3">
        <v>6.91</v>
      </c>
      <c r="BN299" s="3">
        <v>52.99</v>
      </c>
      <c r="BO299" s="3">
        <v>52.99</v>
      </c>
      <c r="BR299" s="3" t="s">
        <v>84</v>
      </c>
      <c r="BS299" s="4">
        <v>44573</v>
      </c>
      <c r="BT299" s="5">
        <v>0.38125000000000003</v>
      </c>
      <c r="BU299" s="3" t="s">
        <v>590</v>
      </c>
      <c r="BV299" s="3" t="s">
        <v>105</v>
      </c>
      <c r="BY299" s="3">
        <v>20358</v>
      </c>
      <c r="BZ299" s="3" t="s">
        <v>165</v>
      </c>
      <c r="CA299" s="3" t="s">
        <v>591</v>
      </c>
      <c r="CC299" s="3" t="s">
        <v>163</v>
      </c>
      <c r="CD299" s="3">
        <v>1422</v>
      </c>
      <c r="CE299" s="3" t="s">
        <v>86</v>
      </c>
      <c r="CF299" s="4">
        <v>44574</v>
      </c>
      <c r="CI299" s="3">
        <v>1</v>
      </c>
      <c r="CJ299" s="3">
        <v>1</v>
      </c>
      <c r="CK299" s="3">
        <v>22</v>
      </c>
      <c r="CL299" s="3" t="s">
        <v>87</v>
      </c>
    </row>
    <row r="300" spans="1:90" x14ac:dyDescent="0.2">
      <c r="A300" s="3" t="s">
        <v>72</v>
      </c>
      <c r="B300" s="3" t="s">
        <v>73</v>
      </c>
      <c r="C300" s="3" t="s">
        <v>74</v>
      </c>
      <c r="E300" s="3" t="str">
        <f>"FES1162844402"</f>
        <v>FES1162844402</v>
      </c>
      <c r="F300" s="4">
        <v>44572</v>
      </c>
      <c r="G300" s="3">
        <v>202207</v>
      </c>
      <c r="H300" s="3" t="s">
        <v>75</v>
      </c>
      <c r="I300" s="3" t="s">
        <v>76</v>
      </c>
      <c r="J300" s="3" t="s">
        <v>77</v>
      </c>
      <c r="K300" s="3" t="s">
        <v>78</v>
      </c>
      <c r="L300" s="3" t="s">
        <v>107</v>
      </c>
      <c r="M300" s="3" t="s">
        <v>108</v>
      </c>
      <c r="N300" s="3" t="s">
        <v>392</v>
      </c>
      <c r="O300" s="3" t="s">
        <v>82</v>
      </c>
      <c r="P300" s="3" t="str">
        <f>"2170816026                    "</f>
        <v xml:space="preserve">2170816026                    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151.68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1</v>
      </c>
      <c r="BI300" s="3">
        <v>11</v>
      </c>
      <c r="BJ300" s="3">
        <v>4.0999999999999996</v>
      </c>
      <c r="BK300" s="3">
        <v>11</v>
      </c>
      <c r="BL300" s="3">
        <v>578.94000000000005</v>
      </c>
      <c r="BM300" s="3">
        <v>86.84</v>
      </c>
      <c r="BN300" s="3">
        <v>665.78</v>
      </c>
      <c r="BO300" s="3">
        <v>665.78</v>
      </c>
      <c r="BQ300" s="3" t="s">
        <v>83</v>
      </c>
      <c r="BR300" s="3" t="s">
        <v>84</v>
      </c>
      <c r="BS300" s="4">
        <v>44573</v>
      </c>
      <c r="BT300" s="5">
        <v>0.47986111111111113</v>
      </c>
      <c r="BU300" s="3" t="s">
        <v>592</v>
      </c>
      <c r="BV300" s="3" t="s">
        <v>105</v>
      </c>
      <c r="BY300" s="3">
        <v>20358</v>
      </c>
      <c r="BZ300" s="3" t="s">
        <v>165</v>
      </c>
      <c r="CA300" s="3" t="s">
        <v>394</v>
      </c>
      <c r="CC300" s="3" t="s">
        <v>108</v>
      </c>
      <c r="CD300" s="3">
        <v>6849</v>
      </c>
      <c r="CE300" s="3" t="s">
        <v>86</v>
      </c>
      <c r="CF300" s="4">
        <v>44574</v>
      </c>
      <c r="CI300" s="3">
        <v>2</v>
      </c>
      <c r="CJ300" s="3">
        <v>1</v>
      </c>
      <c r="CK300" s="3">
        <v>23</v>
      </c>
      <c r="CL300" s="3" t="s">
        <v>87</v>
      </c>
    </row>
    <row r="301" spans="1:90" x14ac:dyDescent="0.2">
      <c r="A301" s="3" t="s">
        <v>72</v>
      </c>
      <c r="B301" s="3" t="s">
        <v>73</v>
      </c>
      <c r="C301" s="3" t="s">
        <v>74</v>
      </c>
      <c r="E301" s="3" t="str">
        <f>"FES1162844325"</f>
        <v>FES1162844325</v>
      </c>
      <c r="F301" s="4">
        <v>44572</v>
      </c>
      <c r="G301" s="3">
        <v>202207</v>
      </c>
      <c r="H301" s="3" t="s">
        <v>75</v>
      </c>
      <c r="I301" s="3" t="s">
        <v>76</v>
      </c>
      <c r="J301" s="3" t="s">
        <v>77</v>
      </c>
      <c r="K301" s="3" t="s">
        <v>78</v>
      </c>
      <c r="L301" s="3" t="s">
        <v>97</v>
      </c>
      <c r="M301" s="3" t="s">
        <v>98</v>
      </c>
      <c r="N301" s="3" t="s">
        <v>593</v>
      </c>
      <c r="O301" s="3" t="s">
        <v>82</v>
      </c>
      <c r="P301" s="3" t="str">
        <f>"2170814608                    "</f>
        <v xml:space="preserve">2170814608                    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12.07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1</v>
      </c>
      <c r="BI301" s="3">
        <v>1</v>
      </c>
      <c r="BJ301" s="3">
        <v>0.2</v>
      </c>
      <c r="BK301" s="3">
        <v>1</v>
      </c>
      <c r="BL301" s="3">
        <v>46.08</v>
      </c>
      <c r="BM301" s="3">
        <v>6.91</v>
      </c>
      <c r="BN301" s="3">
        <v>52.99</v>
      </c>
      <c r="BO301" s="3">
        <v>52.99</v>
      </c>
      <c r="BQ301" s="3" t="s">
        <v>83</v>
      </c>
      <c r="BR301" s="3" t="s">
        <v>84</v>
      </c>
      <c r="BS301" s="4">
        <v>44573</v>
      </c>
      <c r="BT301" s="5">
        <v>0.42986111111111108</v>
      </c>
      <c r="BU301" s="3" t="s">
        <v>594</v>
      </c>
      <c r="BV301" s="3" t="s">
        <v>105</v>
      </c>
      <c r="BY301" s="3">
        <v>1200</v>
      </c>
      <c r="BZ301" s="3" t="s">
        <v>165</v>
      </c>
      <c r="CC301" s="3" t="s">
        <v>98</v>
      </c>
      <c r="CD301" s="3">
        <v>2094</v>
      </c>
      <c r="CE301" s="3" t="s">
        <v>93</v>
      </c>
      <c r="CF301" s="4">
        <v>44573</v>
      </c>
      <c r="CI301" s="3">
        <v>1</v>
      </c>
      <c r="CJ301" s="3">
        <v>1</v>
      </c>
      <c r="CK301" s="3">
        <v>22</v>
      </c>
      <c r="CL301" s="3" t="s">
        <v>87</v>
      </c>
    </row>
    <row r="302" spans="1:90" x14ac:dyDescent="0.2">
      <c r="A302" s="3" t="s">
        <v>72</v>
      </c>
      <c r="B302" s="3" t="s">
        <v>73</v>
      </c>
      <c r="C302" s="3" t="s">
        <v>74</v>
      </c>
      <c r="E302" s="3" t="str">
        <f>"FES1162844514"</f>
        <v>FES1162844514</v>
      </c>
      <c r="F302" s="4">
        <v>44572</v>
      </c>
      <c r="G302" s="3">
        <v>202207</v>
      </c>
      <c r="H302" s="3" t="s">
        <v>75</v>
      </c>
      <c r="I302" s="3" t="s">
        <v>76</v>
      </c>
      <c r="J302" s="3" t="s">
        <v>77</v>
      </c>
      <c r="K302" s="3" t="s">
        <v>78</v>
      </c>
      <c r="L302" s="3" t="s">
        <v>90</v>
      </c>
      <c r="M302" s="3" t="s">
        <v>91</v>
      </c>
      <c r="N302" s="3" t="s">
        <v>132</v>
      </c>
      <c r="O302" s="3" t="s">
        <v>82</v>
      </c>
      <c r="P302" s="3" t="str">
        <f>"2170816157                    "</f>
        <v xml:space="preserve">2170816157                    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15.46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1</v>
      </c>
      <c r="BI302" s="3">
        <v>1</v>
      </c>
      <c r="BJ302" s="3">
        <v>0.2</v>
      </c>
      <c r="BK302" s="3">
        <v>1</v>
      </c>
      <c r="BL302" s="3">
        <v>59</v>
      </c>
      <c r="BM302" s="3">
        <v>8.85</v>
      </c>
      <c r="BN302" s="3">
        <v>67.849999999999994</v>
      </c>
      <c r="BO302" s="3">
        <v>67.849999999999994</v>
      </c>
      <c r="BQ302" s="3" t="s">
        <v>83</v>
      </c>
      <c r="BR302" s="3" t="s">
        <v>84</v>
      </c>
      <c r="BS302" s="4">
        <v>44573</v>
      </c>
      <c r="BT302" s="5">
        <v>0.40972222222222227</v>
      </c>
      <c r="BU302" s="3" t="s">
        <v>595</v>
      </c>
      <c r="BV302" s="3" t="s">
        <v>105</v>
      </c>
      <c r="BY302" s="3">
        <v>1200</v>
      </c>
      <c r="BZ302" s="3" t="s">
        <v>165</v>
      </c>
      <c r="CA302" s="3" t="s">
        <v>596</v>
      </c>
      <c r="CC302" s="3" t="s">
        <v>91</v>
      </c>
      <c r="CD302" s="3">
        <v>7530</v>
      </c>
      <c r="CE302" s="3" t="s">
        <v>93</v>
      </c>
      <c r="CF302" s="4">
        <v>44574</v>
      </c>
      <c r="CI302" s="3">
        <v>1</v>
      </c>
      <c r="CJ302" s="3">
        <v>1</v>
      </c>
      <c r="CK302" s="3">
        <v>21</v>
      </c>
      <c r="CL302" s="3" t="s">
        <v>87</v>
      </c>
    </row>
    <row r="303" spans="1:90" x14ac:dyDescent="0.2">
      <c r="A303" s="3" t="s">
        <v>72</v>
      </c>
      <c r="B303" s="3" t="s">
        <v>73</v>
      </c>
      <c r="C303" s="3" t="s">
        <v>74</v>
      </c>
      <c r="E303" s="3" t="str">
        <f>"FES1162844475"</f>
        <v>FES1162844475</v>
      </c>
      <c r="F303" s="4">
        <v>44572</v>
      </c>
      <c r="G303" s="3">
        <v>202207</v>
      </c>
      <c r="H303" s="3" t="s">
        <v>75</v>
      </c>
      <c r="I303" s="3" t="s">
        <v>76</v>
      </c>
      <c r="J303" s="3" t="s">
        <v>77</v>
      </c>
      <c r="K303" s="3" t="s">
        <v>78</v>
      </c>
      <c r="L303" s="3" t="s">
        <v>79</v>
      </c>
      <c r="M303" s="3" t="s">
        <v>80</v>
      </c>
      <c r="N303" s="3" t="s">
        <v>215</v>
      </c>
      <c r="O303" s="3" t="s">
        <v>82</v>
      </c>
      <c r="P303" s="3" t="str">
        <f>"2170816119                    "</f>
        <v xml:space="preserve">2170816119                    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15.46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1</v>
      </c>
      <c r="BI303" s="3">
        <v>1</v>
      </c>
      <c r="BJ303" s="3">
        <v>0.2</v>
      </c>
      <c r="BK303" s="3">
        <v>1</v>
      </c>
      <c r="BL303" s="3">
        <v>59</v>
      </c>
      <c r="BM303" s="3">
        <v>8.85</v>
      </c>
      <c r="BN303" s="3">
        <v>67.849999999999994</v>
      </c>
      <c r="BO303" s="3">
        <v>67.849999999999994</v>
      </c>
      <c r="BQ303" s="3" t="s">
        <v>216</v>
      </c>
      <c r="BR303" s="3" t="s">
        <v>84</v>
      </c>
      <c r="BS303" s="4">
        <v>44573</v>
      </c>
      <c r="BT303" s="5">
        <v>0.38611111111111113</v>
      </c>
      <c r="BU303" s="3" t="s">
        <v>569</v>
      </c>
      <c r="BV303" s="3" t="s">
        <v>105</v>
      </c>
      <c r="BY303" s="3">
        <v>1200</v>
      </c>
      <c r="BZ303" s="3" t="s">
        <v>165</v>
      </c>
      <c r="CA303" s="3" t="s">
        <v>328</v>
      </c>
      <c r="CC303" s="3" t="s">
        <v>80</v>
      </c>
      <c r="CD303" s="3">
        <v>84</v>
      </c>
      <c r="CE303" s="3" t="s">
        <v>93</v>
      </c>
      <c r="CF303" s="4">
        <v>44573</v>
      </c>
      <c r="CI303" s="3">
        <v>1</v>
      </c>
      <c r="CJ303" s="3">
        <v>1</v>
      </c>
      <c r="CK303" s="3">
        <v>21</v>
      </c>
      <c r="CL303" s="3" t="s">
        <v>87</v>
      </c>
    </row>
    <row r="304" spans="1:90" x14ac:dyDescent="0.2">
      <c r="A304" s="3" t="s">
        <v>72</v>
      </c>
      <c r="B304" s="3" t="s">
        <v>73</v>
      </c>
      <c r="C304" s="3" t="s">
        <v>74</v>
      </c>
      <c r="E304" s="3" t="str">
        <f>"FES1162844461"</f>
        <v>FES1162844461</v>
      </c>
      <c r="F304" s="4">
        <v>44572</v>
      </c>
      <c r="G304" s="3">
        <v>202207</v>
      </c>
      <c r="H304" s="3" t="s">
        <v>75</v>
      </c>
      <c r="I304" s="3" t="s">
        <v>76</v>
      </c>
      <c r="J304" s="3" t="s">
        <v>77</v>
      </c>
      <c r="K304" s="3" t="s">
        <v>78</v>
      </c>
      <c r="L304" s="3" t="s">
        <v>90</v>
      </c>
      <c r="M304" s="3" t="s">
        <v>91</v>
      </c>
      <c r="N304" s="3" t="s">
        <v>597</v>
      </c>
      <c r="O304" s="3" t="s">
        <v>82</v>
      </c>
      <c r="P304" s="3" t="str">
        <f>"2170816104                    "</f>
        <v xml:space="preserve">2170816104                    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15.46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1</v>
      </c>
      <c r="BI304" s="3">
        <v>1</v>
      </c>
      <c r="BJ304" s="3">
        <v>0.2</v>
      </c>
      <c r="BK304" s="3">
        <v>1</v>
      </c>
      <c r="BL304" s="3">
        <v>59</v>
      </c>
      <c r="BM304" s="3">
        <v>8.85</v>
      </c>
      <c r="BN304" s="3">
        <v>67.849999999999994</v>
      </c>
      <c r="BO304" s="3">
        <v>67.849999999999994</v>
      </c>
      <c r="BQ304" s="3" t="s">
        <v>598</v>
      </c>
      <c r="BR304" s="3" t="s">
        <v>84</v>
      </c>
      <c r="BS304" s="4">
        <v>44573</v>
      </c>
      <c r="BT304" s="5">
        <v>0.35138888888888892</v>
      </c>
      <c r="BU304" s="3" t="s">
        <v>599</v>
      </c>
      <c r="BV304" s="3" t="s">
        <v>105</v>
      </c>
      <c r="BY304" s="3">
        <v>1200</v>
      </c>
      <c r="BZ304" s="3" t="s">
        <v>165</v>
      </c>
      <c r="CA304" s="3" t="s">
        <v>518</v>
      </c>
      <c r="CC304" s="3" t="s">
        <v>91</v>
      </c>
      <c r="CD304" s="3">
        <v>8000</v>
      </c>
      <c r="CE304" s="3" t="s">
        <v>93</v>
      </c>
      <c r="CF304" s="4">
        <v>44574</v>
      </c>
      <c r="CI304" s="3">
        <v>1</v>
      </c>
      <c r="CJ304" s="3">
        <v>1</v>
      </c>
      <c r="CK304" s="3">
        <v>21</v>
      </c>
      <c r="CL304" s="3" t="s">
        <v>87</v>
      </c>
    </row>
    <row r="305" spans="1:90" x14ac:dyDescent="0.2">
      <c r="A305" s="3" t="s">
        <v>72</v>
      </c>
      <c r="B305" s="3" t="s">
        <v>73</v>
      </c>
      <c r="C305" s="3" t="s">
        <v>74</v>
      </c>
      <c r="E305" s="3" t="str">
        <f>"FES1162844627"</f>
        <v>FES1162844627</v>
      </c>
      <c r="F305" s="4">
        <v>44572</v>
      </c>
      <c r="G305" s="3">
        <v>202207</v>
      </c>
      <c r="H305" s="3" t="s">
        <v>75</v>
      </c>
      <c r="I305" s="3" t="s">
        <v>76</v>
      </c>
      <c r="J305" s="3" t="s">
        <v>77</v>
      </c>
      <c r="K305" s="3" t="s">
        <v>78</v>
      </c>
      <c r="L305" s="3" t="s">
        <v>90</v>
      </c>
      <c r="M305" s="3" t="s">
        <v>91</v>
      </c>
      <c r="N305" s="3" t="s">
        <v>600</v>
      </c>
      <c r="O305" s="3" t="s">
        <v>82</v>
      </c>
      <c r="P305" s="3" t="str">
        <f>"2170812911                    "</f>
        <v xml:space="preserve">2170812911                    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15.46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1</v>
      </c>
      <c r="BI305" s="3">
        <v>1</v>
      </c>
      <c r="BJ305" s="3">
        <v>2</v>
      </c>
      <c r="BK305" s="3">
        <v>2</v>
      </c>
      <c r="BL305" s="3">
        <v>59</v>
      </c>
      <c r="BM305" s="3">
        <v>8.85</v>
      </c>
      <c r="BN305" s="3">
        <v>67.849999999999994</v>
      </c>
      <c r="BO305" s="3">
        <v>67.849999999999994</v>
      </c>
      <c r="BQ305" s="3" t="s">
        <v>89</v>
      </c>
      <c r="BR305" s="3" t="s">
        <v>84</v>
      </c>
      <c r="BS305" s="4">
        <v>44578</v>
      </c>
      <c r="BT305" s="5">
        <v>0.36805555555555558</v>
      </c>
      <c r="BU305" s="3" t="s">
        <v>601</v>
      </c>
      <c r="BV305" s="3" t="s">
        <v>87</v>
      </c>
      <c r="BW305" s="3" t="s">
        <v>353</v>
      </c>
      <c r="BX305" s="3" t="s">
        <v>602</v>
      </c>
      <c r="BY305" s="3">
        <v>9918</v>
      </c>
      <c r="BZ305" s="3" t="s">
        <v>165</v>
      </c>
      <c r="CA305" s="3" t="s">
        <v>603</v>
      </c>
      <c r="CC305" s="3" t="s">
        <v>91</v>
      </c>
      <c r="CD305" s="3">
        <v>7945</v>
      </c>
      <c r="CE305" s="3" t="s">
        <v>86</v>
      </c>
      <c r="CF305" s="4">
        <v>44579</v>
      </c>
      <c r="CI305" s="3">
        <v>1</v>
      </c>
      <c r="CJ305" s="3">
        <v>4</v>
      </c>
      <c r="CK305" s="3">
        <v>21</v>
      </c>
      <c r="CL305" s="3" t="s">
        <v>87</v>
      </c>
    </row>
    <row r="306" spans="1:90" x14ac:dyDescent="0.2">
      <c r="A306" s="3" t="s">
        <v>72</v>
      </c>
      <c r="B306" s="3" t="s">
        <v>73</v>
      </c>
      <c r="C306" s="3" t="s">
        <v>74</v>
      </c>
      <c r="E306" s="3" t="str">
        <f>"FES1162844523"</f>
        <v>FES1162844523</v>
      </c>
      <c r="F306" s="4">
        <v>44572</v>
      </c>
      <c r="G306" s="3">
        <v>202207</v>
      </c>
      <c r="H306" s="3" t="s">
        <v>75</v>
      </c>
      <c r="I306" s="3" t="s">
        <v>76</v>
      </c>
      <c r="J306" s="3" t="s">
        <v>77</v>
      </c>
      <c r="K306" s="3" t="s">
        <v>78</v>
      </c>
      <c r="L306" s="3" t="s">
        <v>184</v>
      </c>
      <c r="M306" s="3" t="s">
        <v>185</v>
      </c>
      <c r="N306" s="3" t="s">
        <v>186</v>
      </c>
      <c r="O306" s="3" t="s">
        <v>82</v>
      </c>
      <c r="P306" s="3" t="str">
        <f>"2170816175                    "</f>
        <v xml:space="preserve">2170816175                    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15.46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1</v>
      </c>
      <c r="BI306" s="3">
        <v>1</v>
      </c>
      <c r="BJ306" s="3">
        <v>0.2</v>
      </c>
      <c r="BK306" s="3">
        <v>1</v>
      </c>
      <c r="BL306" s="3">
        <v>59</v>
      </c>
      <c r="BM306" s="3">
        <v>8.85</v>
      </c>
      <c r="BN306" s="3">
        <v>67.849999999999994</v>
      </c>
      <c r="BO306" s="3">
        <v>67.849999999999994</v>
      </c>
      <c r="BQ306" s="3" t="s">
        <v>83</v>
      </c>
      <c r="BR306" s="3" t="s">
        <v>84</v>
      </c>
      <c r="BS306" s="4">
        <v>44573</v>
      </c>
      <c r="BT306" s="5">
        <v>0.64236111111111105</v>
      </c>
      <c r="BU306" s="3" t="s">
        <v>604</v>
      </c>
      <c r="BV306" s="3" t="s">
        <v>87</v>
      </c>
      <c r="BW306" s="3" t="s">
        <v>353</v>
      </c>
      <c r="BX306" s="3" t="s">
        <v>605</v>
      </c>
      <c r="BY306" s="3">
        <v>1200</v>
      </c>
      <c r="BZ306" s="3" t="s">
        <v>165</v>
      </c>
      <c r="CA306" s="3" t="s">
        <v>357</v>
      </c>
      <c r="CC306" s="3" t="s">
        <v>185</v>
      </c>
      <c r="CD306" s="3">
        <v>5201</v>
      </c>
      <c r="CE306" s="3" t="s">
        <v>93</v>
      </c>
      <c r="CF306" s="4">
        <v>44573</v>
      </c>
      <c r="CI306" s="3">
        <v>1</v>
      </c>
      <c r="CJ306" s="3">
        <v>1</v>
      </c>
      <c r="CK306" s="3">
        <v>21</v>
      </c>
      <c r="CL306" s="3" t="s">
        <v>87</v>
      </c>
    </row>
    <row r="307" spans="1:90" x14ac:dyDescent="0.2">
      <c r="A307" s="3" t="s">
        <v>72</v>
      </c>
      <c r="B307" s="3" t="s">
        <v>73</v>
      </c>
      <c r="C307" s="3" t="s">
        <v>74</v>
      </c>
      <c r="E307" s="3" t="str">
        <f>"FES1162844492"</f>
        <v>FES1162844492</v>
      </c>
      <c r="F307" s="4">
        <v>44572</v>
      </c>
      <c r="G307" s="3">
        <v>202207</v>
      </c>
      <c r="H307" s="3" t="s">
        <v>75</v>
      </c>
      <c r="I307" s="3" t="s">
        <v>76</v>
      </c>
      <c r="J307" s="3" t="s">
        <v>77</v>
      </c>
      <c r="K307" s="3" t="s">
        <v>78</v>
      </c>
      <c r="L307" s="3" t="s">
        <v>154</v>
      </c>
      <c r="M307" s="3" t="s">
        <v>155</v>
      </c>
      <c r="N307" s="3" t="s">
        <v>199</v>
      </c>
      <c r="O307" s="3" t="s">
        <v>82</v>
      </c>
      <c r="P307" s="3" t="str">
        <f>"2170816142                    "</f>
        <v xml:space="preserve">2170816142                    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12.07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1</v>
      </c>
      <c r="BI307" s="3">
        <v>1</v>
      </c>
      <c r="BJ307" s="3">
        <v>0.2</v>
      </c>
      <c r="BK307" s="3">
        <v>1</v>
      </c>
      <c r="BL307" s="3">
        <v>46.08</v>
      </c>
      <c r="BM307" s="3">
        <v>6.91</v>
      </c>
      <c r="BN307" s="3">
        <v>52.99</v>
      </c>
      <c r="BO307" s="3">
        <v>52.99</v>
      </c>
      <c r="BR307" s="3" t="s">
        <v>84</v>
      </c>
      <c r="BS307" s="4">
        <v>44573</v>
      </c>
      <c r="BT307" s="5">
        <v>0.38194444444444442</v>
      </c>
      <c r="BU307" s="3" t="s">
        <v>606</v>
      </c>
      <c r="BV307" s="3" t="s">
        <v>105</v>
      </c>
      <c r="BY307" s="3">
        <v>1200</v>
      </c>
      <c r="BZ307" s="3" t="s">
        <v>165</v>
      </c>
      <c r="CA307" s="3" t="s">
        <v>607</v>
      </c>
      <c r="CC307" s="3" t="s">
        <v>155</v>
      </c>
      <c r="CD307" s="3">
        <v>1682</v>
      </c>
      <c r="CE307" s="3" t="s">
        <v>93</v>
      </c>
      <c r="CF307" s="4">
        <v>44574</v>
      </c>
      <c r="CI307" s="3">
        <v>1</v>
      </c>
      <c r="CJ307" s="3">
        <v>1</v>
      </c>
      <c r="CK307" s="3">
        <v>22</v>
      </c>
      <c r="CL307" s="3" t="s">
        <v>87</v>
      </c>
    </row>
    <row r="308" spans="1:90" x14ac:dyDescent="0.2">
      <c r="A308" s="3" t="s">
        <v>72</v>
      </c>
      <c r="B308" s="3" t="s">
        <v>73</v>
      </c>
      <c r="C308" s="3" t="s">
        <v>74</v>
      </c>
      <c r="E308" s="3" t="str">
        <f>"FES1162844458"</f>
        <v>FES1162844458</v>
      </c>
      <c r="F308" s="4">
        <v>44572</v>
      </c>
      <c r="G308" s="3">
        <v>202207</v>
      </c>
      <c r="H308" s="3" t="s">
        <v>75</v>
      </c>
      <c r="I308" s="3" t="s">
        <v>76</v>
      </c>
      <c r="J308" s="3" t="s">
        <v>77</v>
      </c>
      <c r="K308" s="3" t="s">
        <v>78</v>
      </c>
      <c r="L308" s="3" t="s">
        <v>142</v>
      </c>
      <c r="M308" s="3" t="s">
        <v>143</v>
      </c>
      <c r="N308" s="3" t="s">
        <v>608</v>
      </c>
      <c r="O308" s="3" t="s">
        <v>82</v>
      </c>
      <c r="P308" s="3" t="str">
        <f>"2170816093                    "</f>
        <v xml:space="preserve">2170816093                    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12.07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1</v>
      </c>
      <c r="BI308" s="3">
        <v>1</v>
      </c>
      <c r="BJ308" s="3">
        <v>0.2</v>
      </c>
      <c r="BK308" s="3">
        <v>1</v>
      </c>
      <c r="BL308" s="3">
        <v>46.08</v>
      </c>
      <c r="BM308" s="3">
        <v>6.91</v>
      </c>
      <c r="BN308" s="3">
        <v>52.99</v>
      </c>
      <c r="BO308" s="3">
        <v>52.99</v>
      </c>
      <c r="BR308" s="3" t="s">
        <v>84</v>
      </c>
      <c r="BS308" s="4">
        <v>44573</v>
      </c>
      <c r="BT308" s="5">
        <v>0.35416666666666669</v>
      </c>
      <c r="BU308" s="3" t="s">
        <v>609</v>
      </c>
      <c r="BV308" s="3" t="s">
        <v>105</v>
      </c>
      <c r="BY308" s="3">
        <v>1200</v>
      </c>
      <c r="BZ308" s="3" t="s">
        <v>165</v>
      </c>
      <c r="CA308" s="3" t="s">
        <v>471</v>
      </c>
      <c r="CC308" s="3" t="s">
        <v>143</v>
      </c>
      <c r="CD308" s="3">
        <v>1451</v>
      </c>
      <c r="CE308" s="3" t="s">
        <v>93</v>
      </c>
      <c r="CF308" s="4">
        <v>44574</v>
      </c>
      <c r="CI308" s="3">
        <v>1</v>
      </c>
      <c r="CJ308" s="3">
        <v>1</v>
      </c>
      <c r="CK308" s="3">
        <v>22</v>
      </c>
      <c r="CL308" s="3" t="s">
        <v>87</v>
      </c>
    </row>
    <row r="309" spans="1:90" x14ac:dyDescent="0.2">
      <c r="A309" s="3" t="s">
        <v>72</v>
      </c>
      <c r="B309" s="3" t="s">
        <v>73</v>
      </c>
      <c r="C309" s="3" t="s">
        <v>74</v>
      </c>
      <c r="E309" s="3" t="str">
        <f>"FES1162844560"</f>
        <v>FES1162844560</v>
      </c>
      <c r="F309" s="4">
        <v>44572</v>
      </c>
      <c r="G309" s="3">
        <v>202207</v>
      </c>
      <c r="H309" s="3" t="s">
        <v>75</v>
      </c>
      <c r="I309" s="3" t="s">
        <v>76</v>
      </c>
      <c r="J309" s="3" t="s">
        <v>77</v>
      </c>
      <c r="K309" s="3" t="s">
        <v>78</v>
      </c>
      <c r="L309" s="3" t="s">
        <v>184</v>
      </c>
      <c r="M309" s="3" t="s">
        <v>185</v>
      </c>
      <c r="N309" s="3" t="s">
        <v>610</v>
      </c>
      <c r="O309" s="3" t="s">
        <v>82</v>
      </c>
      <c r="P309" s="3" t="str">
        <f>"2170813873                    "</f>
        <v xml:space="preserve">2170813873                    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15.46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0</v>
      </c>
      <c r="AZ309" s="3">
        <v>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1</v>
      </c>
      <c r="BI309" s="3">
        <v>1</v>
      </c>
      <c r="BJ309" s="3">
        <v>0.2</v>
      </c>
      <c r="BK309" s="3">
        <v>1</v>
      </c>
      <c r="BL309" s="3">
        <v>59</v>
      </c>
      <c r="BM309" s="3">
        <v>8.85</v>
      </c>
      <c r="BN309" s="3">
        <v>67.849999999999994</v>
      </c>
      <c r="BO309" s="3">
        <v>67.849999999999994</v>
      </c>
      <c r="BQ309" s="3" t="s">
        <v>89</v>
      </c>
      <c r="BR309" s="3" t="s">
        <v>84</v>
      </c>
      <c r="BS309" s="4">
        <v>44573</v>
      </c>
      <c r="BT309" s="5">
        <v>0.40902777777777777</v>
      </c>
      <c r="BU309" s="3" t="s">
        <v>611</v>
      </c>
      <c r="BV309" s="3" t="s">
        <v>105</v>
      </c>
      <c r="BY309" s="3">
        <v>1200</v>
      </c>
      <c r="BZ309" s="3" t="s">
        <v>165</v>
      </c>
      <c r="CA309" s="3" t="s">
        <v>612</v>
      </c>
      <c r="CC309" s="3" t="s">
        <v>185</v>
      </c>
      <c r="CD309" s="3">
        <v>5201</v>
      </c>
      <c r="CE309" s="3" t="s">
        <v>93</v>
      </c>
      <c r="CF309" s="4">
        <v>44573</v>
      </c>
      <c r="CI309" s="3">
        <v>1</v>
      </c>
      <c r="CJ309" s="3">
        <v>1</v>
      </c>
      <c r="CK309" s="3">
        <v>21</v>
      </c>
      <c r="CL309" s="3" t="s">
        <v>87</v>
      </c>
    </row>
    <row r="310" spans="1:90" x14ac:dyDescent="0.2">
      <c r="A310" s="3" t="s">
        <v>72</v>
      </c>
      <c r="B310" s="3" t="s">
        <v>73</v>
      </c>
      <c r="C310" s="3" t="s">
        <v>74</v>
      </c>
      <c r="E310" s="3" t="str">
        <f>"FES1162844467"</f>
        <v>FES1162844467</v>
      </c>
      <c r="F310" s="4">
        <v>44572</v>
      </c>
      <c r="G310" s="3">
        <v>202207</v>
      </c>
      <c r="H310" s="3" t="s">
        <v>75</v>
      </c>
      <c r="I310" s="3" t="s">
        <v>76</v>
      </c>
      <c r="J310" s="3" t="s">
        <v>77</v>
      </c>
      <c r="K310" s="3" t="s">
        <v>78</v>
      </c>
      <c r="L310" s="3" t="s">
        <v>94</v>
      </c>
      <c r="M310" s="3" t="s">
        <v>95</v>
      </c>
      <c r="N310" s="3" t="s">
        <v>613</v>
      </c>
      <c r="O310" s="3" t="s">
        <v>82</v>
      </c>
      <c r="P310" s="3" t="str">
        <f>"2170816111                    "</f>
        <v xml:space="preserve">2170816111                    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15.46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1</v>
      </c>
      <c r="BI310" s="3">
        <v>1</v>
      </c>
      <c r="BJ310" s="3">
        <v>0.2</v>
      </c>
      <c r="BK310" s="3">
        <v>1</v>
      </c>
      <c r="BL310" s="3">
        <v>59</v>
      </c>
      <c r="BM310" s="3">
        <v>8.85</v>
      </c>
      <c r="BN310" s="3">
        <v>67.849999999999994</v>
      </c>
      <c r="BO310" s="3">
        <v>67.849999999999994</v>
      </c>
      <c r="BQ310" s="3" t="s">
        <v>89</v>
      </c>
      <c r="BR310" s="3" t="s">
        <v>84</v>
      </c>
      <c r="BS310" s="3" t="s">
        <v>85</v>
      </c>
      <c r="BY310" s="3">
        <v>1200</v>
      </c>
      <c r="BZ310" s="3" t="s">
        <v>165</v>
      </c>
      <c r="CC310" s="3" t="s">
        <v>95</v>
      </c>
      <c r="CD310" s="3">
        <v>3212</v>
      </c>
      <c r="CE310" s="3" t="s">
        <v>93</v>
      </c>
      <c r="CI310" s="3">
        <v>1</v>
      </c>
      <c r="CJ310" s="3" t="s">
        <v>85</v>
      </c>
      <c r="CK310" s="3">
        <v>21</v>
      </c>
      <c r="CL310" s="3" t="s">
        <v>87</v>
      </c>
    </row>
    <row r="311" spans="1:90" x14ac:dyDescent="0.2">
      <c r="A311" s="3" t="s">
        <v>72</v>
      </c>
      <c r="B311" s="3" t="s">
        <v>73</v>
      </c>
      <c r="C311" s="3" t="s">
        <v>74</v>
      </c>
      <c r="E311" s="3" t="str">
        <f>"FES1162844455"</f>
        <v>FES1162844455</v>
      </c>
      <c r="F311" s="4">
        <v>44572</v>
      </c>
      <c r="G311" s="3">
        <v>202207</v>
      </c>
      <c r="H311" s="3" t="s">
        <v>75</v>
      </c>
      <c r="I311" s="3" t="s">
        <v>76</v>
      </c>
      <c r="J311" s="3" t="s">
        <v>77</v>
      </c>
      <c r="K311" s="3" t="s">
        <v>78</v>
      </c>
      <c r="L311" s="3" t="s">
        <v>176</v>
      </c>
      <c r="M311" s="3" t="s">
        <v>177</v>
      </c>
      <c r="N311" s="3" t="s">
        <v>178</v>
      </c>
      <c r="O311" s="3" t="s">
        <v>82</v>
      </c>
      <c r="P311" s="3" t="str">
        <f>"2170816088                    "</f>
        <v xml:space="preserve">2170816088                    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15.46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0</v>
      </c>
      <c r="AZ311" s="3">
        <v>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1</v>
      </c>
      <c r="BI311" s="3">
        <v>1</v>
      </c>
      <c r="BJ311" s="3">
        <v>0.2</v>
      </c>
      <c r="BK311" s="3">
        <v>1</v>
      </c>
      <c r="BL311" s="3">
        <v>59</v>
      </c>
      <c r="BM311" s="3">
        <v>8.85</v>
      </c>
      <c r="BN311" s="3">
        <v>67.849999999999994</v>
      </c>
      <c r="BO311" s="3">
        <v>67.849999999999994</v>
      </c>
      <c r="BQ311" s="3" t="s">
        <v>83</v>
      </c>
      <c r="BR311" s="3" t="s">
        <v>84</v>
      </c>
      <c r="BS311" s="4">
        <v>44573</v>
      </c>
      <c r="BT311" s="5">
        <v>0.43194444444444446</v>
      </c>
      <c r="BU311" s="3" t="s">
        <v>614</v>
      </c>
      <c r="BV311" s="3" t="s">
        <v>105</v>
      </c>
      <c r="BY311" s="3">
        <v>1200</v>
      </c>
      <c r="BZ311" s="3" t="s">
        <v>165</v>
      </c>
      <c r="CA311" s="3" t="s">
        <v>615</v>
      </c>
      <c r="CC311" s="3" t="s">
        <v>177</v>
      </c>
      <c r="CD311" s="3">
        <v>4026</v>
      </c>
      <c r="CE311" s="3" t="s">
        <v>93</v>
      </c>
      <c r="CF311" s="4">
        <v>44573</v>
      </c>
      <c r="CI311" s="3">
        <v>1</v>
      </c>
      <c r="CJ311" s="3">
        <v>1</v>
      </c>
      <c r="CK311" s="3">
        <v>21</v>
      </c>
      <c r="CL311" s="3" t="s">
        <v>87</v>
      </c>
    </row>
    <row r="312" spans="1:90" x14ac:dyDescent="0.2">
      <c r="A312" s="3" t="s">
        <v>72</v>
      </c>
      <c r="B312" s="3" t="s">
        <v>73</v>
      </c>
      <c r="C312" s="3" t="s">
        <v>74</v>
      </c>
      <c r="E312" s="3" t="str">
        <f>"FES1162844572"</f>
        <v>FES1162844572</v>
      </c>
      <c r="F312" s="4">
        <v>44572</v>
      </c>
      <c r="G312" s="3">
        <v>202207</v>
      </c>
      <c r="H312" s="3" t="s">
        <v>75</v>
      </c>
      <c r="I312" s="3" t="s">
        <v>76</v>
      </c>
      <c r="J312" s="3" t="s">
        <v>77</v>
      </c>
      <c r="K312" s="3" t="s">
        <v>78</v>
      </c>
      <c r="L312" s="3" t="s">
        <v>97</v>
      </c>
      <c r="M312" s="3" t="s">
        <v>98</v>
      </c>
      <c r="N312" s="3" t="s">
        <v>295</v>
      </c>
      <c r="O312" s="3" t="s">
        <v>82</v>
      </c>
      <c r="P312" s="3" t="str">
        <f>"2170814860                    "</f>
        <v xml:space="preserve">2170814860                    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12.07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1</v>
      </c>
      <c r="BI312" s="3">
        <v>1</v>
      </c>
      <c r="BJ312" s="3">
        <v>0.2</v>
      </c>
      <c r="BK312" s="3">
        <v>1</v>
      </c>
      <c r="BL312" s="3">
        <v>46.08</v>
      </c>
      <c r="BM312" s="3">
        <v>6.91</v>
      </c>
      <c r="BN312" s="3">
        <v>52.99</v>
      </c>
      <c r="BO312" s="3">
        <v>52.99</v>
      </c>
      <c r="BR312" s="3" t="s">
        <v>84</v>
      </c>
      <c r="BS312" s="4">
        <v>44580</v>
      </c>
      <c r="BT312" s="5">
        <v>0.43472222222222223</v>
      </c>
      <c r="BU312" s="3" t="s">
        <v>616</v>
      </c>
      <c r="BV312" s="3" t="s">
        <v>87</v>
      </c>
      <c r="BW312" s="3" t="s">
        <v>617</v>
      </c>
      <c r="BX312" s="3" t="s">
        <v>618</v>
      </c>
      <c r="BY312" s="3">
        <v>1200</v>
      </c>
      <c r="BZ312" s="3" t="s">
        <v>165</v>
      </c>
      <c r="CA312" s="3" t="s">
        <v>619</v>
      </c>
      <c r="CC312" s="3" t="s">
        <v>98</v>
      </c>
      <c r="CD312" s="3">
        <v>2013</v>
      </c>
      <c r="CE312" s="3" t="s">
        <v>93</v>
      </c>
      <c r="CF312" s="4">
        <v>44580</v>
      </c>
      <c r="CI312" s="3">
        <v>1</v>
      </c>
      <c r="CJ312" s="3">
        <v>6</v>
      </c>
      <c r="CK312" s="3">
        <v>22</v>
      </c>
      <c r="CL312" s="3" t="s">
        <v>87</v>
      </c>
    </row>
    <row r="313" spans="1:90" x14ac:dyDescent="0.2">
      <c r="A313" s="3" t="s">
        <v>72</v>
      </c>
      <c r="B313" s="3" t="s">
        <v>73</v>
      </c>
      <c r="C313" s="3" t="s">
        <v>74</v>
      </c>
      <c r="E313" s="3" t="str">
        <f>"FES1162844432"</f>
        <v>FES1162844432</v>
      </c>
      <c r="F313" s="4">
        <v>44572</v>
      </c>
      <c r="G313" s="3">
        <v>202207</v>
      </c>
      <c r="H313" s="3" t="s">
        <v>75</v>
      </c>
      <c r="I313" s="3" t="s">
        <v>76</v>
      </c>
      <c r="J313" s="3" t="s">
        <v>77</v>
      </c>
      <c r="K313" s="3" t="s">
        <v>78</v>
      </c>
      <c r="L313" s="3" t="s">
        <v>110</v>
      </c>
      <c r="M313" s="3" t="s">
        <v>110</v>
      </c>
      <c r="N313" s="3" t="s">
        <v>111</v>
      </c>
      <c r="O313" s="3" t="s">
        <v>82</v>
      </c>
      <c r="P313" s="3" t="str">
        <f>"2170816061                    "</f>
        <v xml:space="preserve">2170816061                    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29.95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1</v>
      </c>
      <c r="BI313" s="3">
        <v>1</v>
      </c>
      <c r="BJ313" s="3">
        <v>0.2</v>
      </c>
      <c r="BK313" s="3">
        <v>1</v>
      </c>
      <c r="BL313" s="3">
        <v>114.31</v>
      </c>
      <c r="BM313" s="3">
        <v>17.149999999999999</v>
      </c>
      <c r="BN313" s="3">
        <v>131.46</v>
      </c>
      <c r="BO313" s="3">
        <v>131.46</v>
      </c>
      <c r="BQ313" s="3" t="s">
        <v>89</v>
      </c>
      <c r="BR313" s="3" t="s">
        <v>84</v>
      </c>
      <c r="BS313" s="4">
        <v>44573</v>
      </c>
      <c r="BT313" s="5">
        <v>0.48958333333333331</v>
      </c>
      <c r="BU313" s="3" t="s">
        <v>620</v>
      </c>
      <c r="BV313" s="3" t="s">
        <v>105</v>
      </c>
      <c r="BY313" s="3">
        <v>1200</v>
      </c>
      <c r="BZ313" s="3" t="s">
        <v>165</v>
      </c>
      <c r="CA313" s="3" t="s">
        <v>563</v>
      </c>
      <c r="CC313" s="3" t="s">
        <v>110</v>
      </c>
      <c r="CD313" s="3">
        <v>7646</v>
      </c>
      <c r="CE313" s="3" t="s">
        <v>93</v>
      </c>
      <c r="CF313" s="4">
        <v>44574</v>
      </c>
      <c r="CI313" s="3">
        <v>1</v>
      </c>
      <c r="CJ313" s="3">
        <v>1</v>
      </c>
      <c r="CK313" s="3">
        <v>23</v>
      </c>
      <c r="CL313" s="3" t="s">
        <v>87</v>
      </c>
    </row>
    <row r="314" spans="1:90" x14ac:dyDescent="0.2">
      <c r="A314" s="3" t="s">
        <v>72</v>
      </c>
      <c r="B314" s="3" t="s">
        <v>73</v>
      </c>
      <c r="C314" s="3" t="s">
        <v>74</v>
      </c>
      <c r="E314" s="3" t="str">
        <f>"FES1162844499"</f>
        <v>FES1162844499</v>
      </c>
      <c r="F314" s="4">
        <v>44572</v>
      </c>
      <c r="G314" s="3">
        <v>202207</v>
      </c>
      <c r="H314" s="3" t="s">
        <v>75</v>
      </c>
      <c r="I314" s="3" t="s">
        <v>76</v>
      </c>
      <c r="J314" s="3" t="s">
        <v>77</v>
      </c>
      <c r="K314" s="3" t="s">
        <v>78</v>
      </c>
      <c r="L314" s="3" t="s">
        <v>90</v>
      </c>
      <c r="M314" s="3" t="s">
        <v>91</v>
      </c>
      <c r="N314" s="3" t="s">
        <v>621</v>
      </c>
      <c r="O314" s="3" t="s">
        <v>82</v>
      </c>
      <c r="P314" s="3" t="str">
        <f>"2170816156                    "</f>
        <v xml:space="preserve">2170816156                    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15.46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1</v>
      </c>
      <c r="BI314" s="3">
        <v>1</v>
      </c>
      <c r="BJ314" s="3">
        <v>0.2</v>
      </c>
      <c r="BK314" s="3">
        <v>1</v>
      </c>
      <c r="BL314" s="3">
        <v>59</v>
      </c>
      <c r="BM314" s="3">
        <v>8.85</v>
      </c>
      <c r="BN314" s="3">
        <v>67.849999999999994</v>
      </c>
      <c r="BO314" s="3">
        <v>67.849999999999994</v>
      </c>
      <c r="BQ314" s="3" t="s">
        <v>126</v>
      </c>
      <c r="BR314" s="3" t="s">
        <v>84</v>
      </c>
      <c r="BS314" s="4">
        <v>44573</v>
      </c>
      <c r="BT314" s="5">
        <v>0.3611111111111111</v>
      </c>
      <c r="BU314" s="3" t="s">
        <v>622</v>
      </c>
      <c r="BV314" s="3" t="s">
        <v>105</v>
      </c>
      <c r="BY314" s="3">
        <v>1200</v>
      </c>
      <c r="BZ314" s="3" t="s">
        <v>165</v>
      </c>
      <c r="CA314" s="3" t="s">
        <v>623</v>
      </c>
      <c r="CC314" s="3" t="s">
        <v>91</v>
      </c>
      <c r="CD314" s="3">
        <v>7800</v>
      </c>
      <c r="CE314" s="3" t="s">
        <v>93</v>
      </c>
      <c r="CF314" s="4">
        <v>44574</v>
      </c>
      <c r="CI314" s="3">
        <v>1</v>
      </c>
      <c r="CJ314" s="3">
        <v>1</v>
      </c>
      <c r="CK314" s="3">
        <v>21</v>
      </c>
      <c r="CL314" s="3" t="s">
        <v>87</v>
      </c>
    </row>
    <row r="315" spans="1:90" x14ac:dyDescent="0.2">
      <c r="A315" s="3" t="s">
        <v>72</v>
      </c>
      <c r="B315" s="3" t="s">
        <v>73</v>
      </c>
      <c r="C315" s="3" t="s">
        <v>74</v>
      </c>
      <c r="E315" s="3" t="str">
        <f>"FES1162844328"</f>
        <v>FES1162844328</v>
      </c>
      <c r="F315" s="4">
        <v>44572</v>
      </c>
      <c r="G315" s="3">
        <v>202207</v>
      </c>
      <c r="H315" s="3" t="s">
        <v>75</v>
      </c>
      <c r="I315" s="3" t="s">
        <v>76</v>
      </c>
      <c r="J315" s="3" t="s">
        <v>77</v>
      </c>
      <c r="K315" s="3" t="s">
        <v>78</v>
      </c>
      <c r="L315" s="3" t="s">
        <v>90</v>
      </c>
      <c r="M315" s="3" t="s">
        <v>91</v>
      </c>
      <c r="N315" s="3" t="s">
        <v>132</v>
      </c>
      <c r="O315" s="3" t="s">
        <v>82</v>
      </c>
      <c r="P315" s="3" t="str">
        <f>"2170814628                    "</f>
        <v xml:space="preserve">2170814628                    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15.46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1</v>
      </c>
      <c r="BI315" s="3">
        <v>1</v>
      </c>
      <c r="BJ315" s="3">
        <v>0.2</v>
      </c>
      <c r="BK315" s="3">
        <v>1</v>
      </c>
      <c r="BL315" s="3">
        <v>59</v>
      </c>
      <c r="BM315" s="3">
        <v>8.85</v>
      </c>
      <c r="BN315" s="3">
        <v>67.849999999999994</v>
      </c>
      <c r="BO315" s="3">
        <v>67.849999999999994</v>
      </c>
      <c r="BQ315" s="3" t="s">
        <v>83</v>
      </c>
      <c r="BR315" s="3" t="s">
        <v>84</v>
      </c>
      <c r="BS315" s="4">
        <v>44573</v>
      </c>
      <c r="BT315" s="5">
        <v>0.40972222222222227</v>
      </c>
      <c r="BU315" s="3" t="s">
        <v>595</v>
      </c>
      <c r="BV315" s="3" t="s">
        <v>105</v>
      </c>
      <c r="BY315" s="3">
        <v>1200</v>
      </c>
      <c r="BZ315" s="3" t="s">
        <v>165</v>
      </c>
      <c r="CA315" s="3" t="s">
        <v>596</v>
      </c>
      <c r="CC315" s="3" t="s">
        <v>91</v>
      </c>
      <c r="CD315" s="3">
        <v>7530</v>
      </c>
      <c r="CE315" s="3" t="s">
        <v>93</v>
      </c>
      <c r="CF315" s="4">
        <v>44574</v>
      </c>
      <c r="CI315" s="3">
        <v>1</v>
      </c>
      <c r="CJ315" s="3">
        <v>1</v>
      </c>
      <c r="CK315" s="3">
        <v>21</v>
      </c>
      <c r="CL315" s="3" t="s">
        <v>87</v>
      </c>
    </row>
    <row r="316" spans="1:90" x14ac:dyDescent="0.2">
      <c r="A316" s="3" t="s">
        <v>72</v>
      </c>
      <c r="B316" s="3" t="s">
        <v>73</v>
      </c>
      <c r="C316" s="3" t="s">
        <v>74</v>
      </c>
      <c r="E316" s="3" t="str">
        <f>"FES1162844494"</f>
        <v>FES1162844494</v>
      </c>
      <c r="F316" s="4">
        <v>44572</v>
      </c>
      <c r="G316" s="3">
        <v>202207</v>
      </c>
      <c r="H316" s="3" t="s">
        <v>75</v>
      </c>
      <c r="I316" s="3" t="s">
        <v>76</v>
      </c>
      <c r="J316" s="3" t="s">
        <v>77</v>
      </c>
      <c r="K316" s="3" t="s">
        <v>78</v>
      </c>
      <c r="L316" s="3" t="s">
        <v>171</v>
      </c>
      <c r="M316" s="3" t="s">
        <v>172</v>
      </c>
      <c r="N316" s="3" t="s">
        <v>624</v>
      </c>
      <c r="O316" s="3" t="s">
        <v>82</v>
      </c>
      <c r="P316" s="3" t="str">
        <f>"2170816148                    "</f>
        <v xml:space="preserve">2170816148                    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34.770000000000003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1</v>
      </c>
      <c r="BI316" s="3">
        <v>3</v>
      </c>
      <c r="BJ316" s="3">
        <v>4.0999999999999996</v>
      </c>
      <c r="BK316" s="3">
        <v>4.5</v>
      </c>
      <c r="BL316" s="3">
        <v>132.71</v>
      </c>
      <c r="BM316" s="3">
        <v>19.91</v>
      </c>
      <c r="BN316" s="3">
        <v>152.62</v>
      </c>
      <c r="BO316" s="3">
        <v>152.62</v>
      </c>
      <c r="BQ316" s="3" t="s">
        <v>89</v>
      </c>
      <c r="BR316" s="3" t="s">
        <v>84</v>
      </c>
      <c r="BS316" s="4">
        <v>44573</v>
      </c>
      <c r="BT316" s="5">
        <v>0.43333333333333335</v>
      </c>
      <c r="BU316" s="3" t="s">
        <v>625</v>
      </c>
      <c r="BV316" s="3" t="s">
        <v>105</v>
      </c>
      <c r="BY316" s="3">
        <v>20358</v>
      </c>
      <c r="BZ316" s="3" t="s">
        <v>165</v>
      </c>
      <c r="CA316" s="3" t="s">
        <v>331</v>
      </c>
      <c r="CC316" s="3" t="s">
        <v>172</v>
      </c>
      <c r="CD316" s="3">
        <v>6001</v>
      </c>
      <c r="CE316" s="3" t="s">
        <v>86</v>
      </c>
      <c r="CF316" s="4">
        <v>44573</v>
      </c>
      <c r="CI316" s="3">
        <v>1</v>
      </c>
      <c r="CJ316" s="3">
        <v>1</v>
      </c>
      <c r="CK316" s="3">
        <v>21</v>
      </c>
      <c r="CL316" s="3" t="s">
        <v>87</v>
      </c>
    </row>
    <row r="317" spans="1:90" x14ac:dyDescent="0.2">
      <c r="A317" s="3" t="s">
        <v>72</v>
      </c>
      <c r="B317" s="3" t="s">
        <v>73</v>
      </c>
      <c r="C317" s="3" t="s">
        <v>74</v>
      </c>
      <c r="E317" s="3" t="str">
        <f>"FES1162844497"</f>
        <v>FES1162844497</v>
      </c>
      <c r="F317" s="4">
        <v>44572</v>
      </c>
      <c r="G317" s="3">
        <v>202207</v>
      </c>
      <c r="H317" s="3" t="s">
        <v>75</v>
      </c>
      <c r="I317" s="3" t="s">
        <v>76</v>
      </c>
      <c r="J317" s="3" t="s">
        <v>77</v>
      </c>
      <c r="K317" s="3" t="s">
        <v>78</v>
      </c>
      <c r="L317" s="3" t="s">
        <v>110</v>
      </c>
      <c r="M317" s="3" t="s">
        <v>110</v>
      </c>
      <c r="N317" s="3" t="s">
        <v>626</v>
      </c>
      <c r="O317" s="3" t="s">
        <v>82</v>
      </c>
      <c r="P317" s="3" t="str">
        <f>"2170816153                    "</f>
        <v xml:space="preserve">2170816153                    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29.95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1</v>
      </c>
      <c r="BI317" s="3">
        <v>1</v>
      </c>
      <c r="BJ317" s="3">
        <v>1.1000000000000001</v>
      </c>
      <c r="BK317" s="3">
        <v>1.5</v>
      </c>
      <c r="BL317" s="3">
        <v>114.31</v>
      </c>
      <c r="BM317" s="3">
        <v>17.149999999999999</v>
      </c>
      <c r="BN317" s="3">
        <v>131.46</v>
      </c>
      <c r="BO317" s="3">
        <v>131.46</v>
      </c>
      <c r="BR317" s="3" t="s">
        <v>84</v>
      </c>
      <c r="BS317" s="4">
        <v>44573</v>
      </c>
      <c r="BT317" s="5">
        <v>0.4680555555555555</v>
      </c>
      <c r="BU317" s="3" t="s">
        <v>627</v>
      </c>
      <c r="BV317" s="3" t="s">
        <v>105</v>
      </c>
      <c r="BY317" s="3">
        <v>5320</v>
      </c>
      <c r="BZ317" s="3" t="s">
        <v>165</v>
      </c>
      <c r="CA317" s="3" t="s">
        <v>563</v>
      </c>
      <c r="CC317" s="3" t="s">
        <v>110</v>
      </c>
      <c r="CD317" s="3">
        <v>7620</v>
      </c>
      <c r="CE317" s="3" t="s">
        <v>86</v>
      </c>
      <c r="CF317" s="4">
        <v>44574</v>
      </c>
      <c r="CI317" s="3">
        <v>1</v>
      </c>
      <c r="CJ317" s="3">
        <v>1</v>
      </c>
      <c r="CK317" s="3">
        <v>23</v>
      </c>
      <c r="CL317" s="3" t="s">
        <v>87</v>
      </c>
    </row>
    <row r="318" spans="1:90" x14ac:dyDescent="0.2">
      <c r="A318" s="3" t="s">
        <v>72</v>
      </c>
      <c r="B318" s="3" t="s">
        <v>73</v>
      </c>
      <c r="C318" s="3" t="s">
        <v>74</v>
      </c>
      <c r="E318" s="3" t="str">
        <f>"FES1162844483"</f>
        <v>FES1162844483</v>
      </c>
      <c r="F318" s="4">
        <v>44572</v>
      </c>
      <c r="G318" s="3">
        <v>202207</v>
      </c>
      <c r="H318" s="3" t="s">
        <v>75</v>
      </c>
      <c r="I318" s="3" t="s">
        <v>76</v>
      </c>
      <c r="J318" s="3" t="s">
        <v>77</v>
      </c>
      <c r="K318" s="3" t="s">
        <v>78</v>
      </c>
      <c r="L318" s="3" t="s">
        <v>110</v>
      </c>
      <c r="M318" s="3" t="s">
        <v>110</v>
      </c>
      <c r="N318" s="3" t="s">
        <v>111</v>
      </c>
      <c r="O318" s="3" t="s">
        <v>82</v>
      </c>
      <c r="P318" s="3" t="str">
        <f>"2170816061                    "</f>
        <v xml:space="preserve">2170816061                    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29.95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1</v>
      </c>
      <c r="BI318" s="3">
        <v>1</v>
      </c>
      <c r="BJ318" s="3">
        <v>1.1000000000000001</v>
      </c>
      <c r="BK318" s="3">
        <v>1.5</v>
      </c>
      <c r="BL318" s="3">
        <v>114.31</v>
      </c>
      <c r="BM318" s="3">
        <v>17.149999999999999</v>
      </c>
      <c r="BN318" s="3">
        <v>131.46</v>
      </c>
      <c r="BO318" s="3">
        <v>131.46</v>
      </c>
      <c r="BQ318" s="3" t="s">
        <v>89</v>
      </c>
      <c r="BR318" s="3" t="s">
        <v>84</v>
      </c>
      <c r="BS318" s="4">
        <v>44573</v>
      </c>
      <c r="BT318" s="5">
        <v>0.48958333333333331</v>
      </c>
      <c r="BU318" s="3" t="s">
        <v>620</v>
      </c>
      <c r="BV318" s="3" t="s">
        <v>105</v>
      </c>
      <c r="BY318" s="3">
        <v>5320</v>
      </c>
      <c r="BZ318" s="3" t="s">
        <v>165</v>
      </c>
      <c r="CA318" s="3" t="s">
        <v>563</v>
      </c>
      <c r="CC318" s="3" t="s">
        <v>110</v>
      </c>
      <c r="CD318" s="3">
        <v>7646</v>
      </c>
      <c r="CE318" s="3" t="s">
        <v>86</v>
      </c>
      <c r="CF318" s="4">
        <v>44574</v>
      </c>
      <c r="CI318" s="3">
        <v>1</v>
      </c>
      <c r="CJ318" s="3">
        <v>1</v>
      </c>
      <c r="CK318" s="3">
        <v>23</v>
      </c>
      <c r="CL318" s="3" t="s">
        <v>87</v>
      </c>
    </row>
    <row r="319" spans="1:90" x14ac:dyDescent="0.2">
      <c r="A319" s="3" t="s">
        <v>72</v>
      </c>
      <c r="B319" s="3" t="s">
        <v>73</v>
      </c>
      <c r="C319" s="3" t="s">
        <v>74</v>
      </c>
      <c r="E319" s="3" t="str">
        <f>"FES1162844512"</f>
        <v>FES1162844512</v>
      </c>
      <c r="F319" s="4">
        <v>44572</v>
      </c>
      <c r="G319" s="3">
        <v>202207</v>
      </c>
      <c r="H319" s="3" t="s">
        <v>75</v>
      </c>
      <c r="I319" s="3" t="s">
        <v>76</v>
      </c>
      <c r="J319" s="3" t="s">
        <v>77</v>
      </c>
      <c r="K319" s="3" t="s">
        <v>78</v>
      </c>
      <c r="L319" s="3" t="s">
        <v>101</v>
      </c>
      <c r="M319" s="3" t="s">
        <v>102</v>
      </c>
      <c r="N319" s="3" t="s">
        <v>628</v>
      </c>
      <c r="O319" s="3" t="s">
        <v>82</v>
      </c>
      <c r="P319" s="3" t="str">
        <f>"2170816145                    "</f>
        <v xml:space="preserve">2170816145                    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23.18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1</v>
      </c>
      <c r="BI319" s="3">
        <v>3</v>
      </c>
      <c r="BJ319" s="3">
        <v>2</v>
      </c>
      <c r="BK319" s="3">
        <v>3</v>
      </c>
      <c r="BL319" s="3">
        <v>88.48</v>
      </c>
      <c r="BM319" s="3">
        <v>13.27</v>
      </c>
      <c r="BN319" s="3">
        <v>101.75</v>
      </c>
      <c r="BO319" s="3">
        <v>101.75</v>
      </c>
      <c r="BQ319" s="3" t="s">
        <v>83</v>
      </c>
      <c r="BR319" s="3" t="s">
        <v>84</v>
      </c>
      <c r="BS319" s="4">
        <v>44573</v>
      </c>
      <c r="BT319" s="5">
        <v>0.42777777777777781</v>
      </c>
      <c r="BU319" s="3" t="s">
        <v>629</v>
      </c>
      <c r="BV319" s="3" t="s">
        <v>105</v>
      </c>
      <c r="BY319" s="3">
        <v>9900</v>
      </c>
      <c r="BZ319" s="3" t="s">
        <v>165</v>
      </c>
      <c r="CA319" s="3" t="s">
        <v>528</v>
      </c>
      <c r="CC319" s="3" t="s">
        <v>102</v>
      </c>
      <c r="CD319" s="3">
        <v>4052</v>
      </c>
      <c r="CE319" s="3" t="s">
        <v>86</v>
      </c>
      <c r="CF319" s="4">
        <v>44574</v>
      </c>
      <c r="CI319" s="3">
        <v>1</v>
      </c>
      <c r="CJ319" s="3">
        <v>1</v>
      </c>
      <c r="CK319" s="3">
        <v>21</v>
      </c>
      <c r="CL319" s="3" t="s">
        <v>87</v>
      </c>
    </row>
    <row r="320" spans="1:90" x14ac:dyDescent="0.2">
      <c r="A320" s="3" t="s">
        <v>72</v>
      </c>
      <c r="B320" s="3" t="s">
        <v>73</v>
      </c>
      <c r="C320" s="3" t="s">
        <v>74</v>
      </c>
      <c r="E320" s="3" t="str">
        <f>"FES1162844478"</f>
        <v>FES1162844478</v>
      </c>
      <c r="F320" s="4">
        <v>44572</v>
      </c>
      <c r="G320" s="3">
        <v>202207</v>
      </c>
      <c r="H320" s="3" t="s">
        <v>75</v>
      </c>
      <c r="I320" s="3" t="s">
        <v>76</v>
      </c>
      <c r="J320" s="3" t="s">
        <v>77</v>
      </c>
      <c r="K320" s="3" t="s">
        <v>78</v>
      </c>
      <c r="L320" s="3" t="s">
        <v>101</v>
      </c>
      <c r="M320" s="3" t="s">
        <v>102</v>
      </c>
      <c r="N320" s="3" t="s">
        <v>272</v>
      </c>
      <c r="O320" s="3" t="s">
        <v>82</v>
      </c>
      <c r="P320" s="3" t="str">
        <f>"2170816122                    "</f>
        <v xml:space="preserve">2170816122                    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15.46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1</v>
      </c>
      <c r="BI320" s="3">
        <v>1</v>
      </c>
      <c r="BJ320" s="3">
        <v>0.2</v>
      </c>
      <c r="BK320" s="3">
        <v>1</v>
      </c>
      <c r="BL320" s="3">
        <v>59</v>
      </c>
      <c r="BM320" s="3">
        <v>8.85</v>
      </c>
      <c r="BN320" s="3">
        <v>67.849999999999994</v>
      </c>
      <c r="BO320" s="3">
        <v>67.849999999999994</v>
      </c>
      <c r="BQ320" s="3" t="s">
        <v>273</v>
      </c>
      <c r="BR320" s="3" t="s">
        <v>84</v>
      </c>
      <c r="BS320" s="4">
        <v>44573</v>
      </c>
      <c r="BT320" s="5">
        <v>0.41111111111111115</v>
      </c>
      <c r="BU320" s="3" t="s">
        <v>274</v>
      </c>
      <c r="BV320" s="3" t="s">
        <v>105</v>
      </c>
      <c r="BY320" s="3">
        <v>1200</v>
      </c>
      <c r="BZ320" s="3" t="s">
        <v>165</v>
      </c>
      <c r="CA320" s="3" t="s">
        <v>275</v>
      </c>
      <c r="CC320" s="3" t="s">
        <v>102</v>
      </c>
      <c r="CD320" s="3">
        <v>4000</v>
      </c>
      <c r="CE320" s="3" t="s">
        <v>93</v>
      </c>
      <c r="CF320" s="4">
        <v>44574</v>
      </c>
      <c r="CI320" s="3">
        <v>1</v>
      </c>
      <c r="CJ320" s="3">
        <v>1</v>
      </c>
      <c r="CK320" s="3">
        <v>21</v>
      </c>
      <c r="CL320" s="3" t="s">
        <v>87</v>
      </c>
    </row>
    <row r="321" spans="1:90" x14ac:dyDescent="0.2">
      <c r="A321" s="3" t="s">
        <v>72</v>
      </c>
      <c r="B321" s="3" t="s">
        <v>73</v>
      </c>
      <c r="C321" s="3" t="s">
        <v>74</v>
      </c>
      <c r="E321" s="3" t="str">
        <f>"FES1162844558"</f>
        <v>FES1162844558</v>
      </c>
      <c r="F321" s="4">
        <v>44572</v>
      </c>
      <c r="G321" s="3">
        <v>202207</v>
      </c>
      <c r="H321" s="3" t="s">
        <v>75</v>
      </c>
      <c r="I321" s="3" t="s">
        <v>76</v>
      </c>
      <c r="J321" s="3" t="s">
        <v>77</v>
      </c>
      <c r="K321" s="3" t="s">
        <v>78</v>
      </c>
      <c r="L321" s="3" t="s">
        <v>90</v>
      </c>
      <c r="M321" s="3" t="s">
        <v>91</v>
      </c>
      <c r="N321" s="3" t="s">
        <v>630</v>
      </c>
      <c r="O321" s="3" t="s">
        <v>82</v>
      </c>
      <c r="P321" s="3" t="str">
        <f>"2170812281                    "</f>
        <v xml:space="preserve">2170812281                    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15.46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1</v>
      </c>
      <c r="BI321" s="3">
        <v>1</v>
      </c>
      <c r="BJ321" s="3">
        <v>0.2</v>
      </c>
      <c r="BK321" s="3">
        <v>1</v>
      </c>
      <c r="BL321" s="3">
        <v>59</v>
      </c>
      <c r="BM321" s="3">
        <v>8.85</v>
      </c>
      <c r="BN321" s="3">
        <v>67.849999999999994</v>
      </c>
      <c r="BO321" s="3">
        <v>67.849999999999994</v>
      </c>
      <c r="BQ321" s="3" t="s">
        <v>89</v>
      </c>
      <c r="BR321" s="3" t="s">
        <v>84</v>
      </c>
      <c r="BS321" s="4">
        <v>44573</v>
      </c>
      <c r="BT321" s="5">
        <v>0.39930555555555558</v>
      </c>
      <c r="BU321" s="3" t="s">
        <v>631</v>
      </c>
      <c r="BV321" s="3" t="s">
        <v>105</v>
      </c>
      <c r="BY321" s="3">
        <v>1200</v>
      </c>
      <c r="BZ321" s="3" t="s">
        <v>165</v>
      </c>
      <c r="CC321" s="3" t="s">
        <v>91</v>
      </c>
      <c r="CD321" s="3">
        <v>7780</v>
      </c>
      <c r="CE321" s="3" t="s">
        <v>93</v>
      </c>
      <c r="CF321" s="4">
        <v>44574</v>
      </c>
      <c r="CI321" s="3">
        <v>1</v>
      </c>
      <c r="CJ321" s="3">
        <v>1</v>
      </c>
      <c r="CK321" s="3">
        <v>21</v>
      </c>
      <c r="CL321" s="3" t="s">
        <v>87</v>
      </c>
    </row>
    <row r="322" spans="1:90" x14ac:dyDescent="0.2">
      <c r="A322" s="3" t="s">
        <v>72</v>
      </c>
      <c r="B322" s="3" t="s">
        <v>73</v>
      </c>
      <c r="C322" s="3" t="s">
        <v>74</v>
      </c>
      <c r="E322" s="3" t="str">
        <f>"FES1162844585"</f>
        <v>FES1162844585</v>
      </c>
      <c r="F322" s="4">
        <v>44572</v>
      </c>
      <c r="G322" s="3">
        <v>202207</v>
      </c>
      <c r="H322" s="3" t="s">
        <v>75</v>
      </c>
      <c r="I322" s="3" t="s">
        <v>76</v>
      </c>
      <c r="J322" s="3" t="s">
        <v>77</v>
      </c>
      <c r="K322" s="3" t="s">
        <v>78</v>
      </c>
      <c r="L322" s="3" t="s">
        <v>190</v>
      </c>
      <c r="M322" s="3" t="s">
        <v>191</v>
      </c>
      <c r="N322" s="3" t="s">
        <v>395</v>
      </c>
      <c r="O322" s="3" t="s">
        <v>82</v>
      </c>
      <c r="P322" s="3" t="str">
        <f>"2170815096                    "</f>
        <v xml:space="preserve">2170815096                    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29.95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1</v>
      </c>
      <c r="BI322" s="3">
        <v>1</v>
      </c>
      <c r="BJ322" s="3">
        <v>0.2</v>
      </c>
      <c r="BK322" s="3">
        <v>1</v>
      </c>
      <c r="BL322" s="3">
        <v>114.31</v>
      </c>
      <c r="BM322" s="3">
        <v>17.149999999999999</v>
      </c>
      <c r="BN322" s="3">
        <v>131.46</v>
      </c>
      <c r="BO322" s="3">
        <v>131.46</v>
      </c>
      <c r="BR322" s="3" t="s">
        <v>84</v>
      </c>
      <c r="BS322" s="4">
        <v>44573</v>
      </c>
      <c r="BT322" s="5">
        <v>0.44166666666666665</v>
      </c>
      <c r="BU322" s="3" t="s">
        <v>632</v>
      </c>
      <c r="BV322" s="3" t="s">
        <v>105</v>
      </c>
      <c r="BY322" s="3">
        <v>1200</v>
      </c>
      <c r="BZ322" s="3" t="s">
        <v>165</v>
      </c>
      <c r="CA322" s="3" t="s">
        <v>397</v>
      </c>
      <c r="CC322" s="3" t="s">
        <v>191</v>
      </c>
      <c r="CD322" s="3">
        <v>1050</v>
      </c>
      <c r="CE322" s="3" t="s">
        <v>93</v>
      </c>
      <c r="CF322" s="4">
        <v>44573</v>
      </c>
      <c r="CI322" s="3">
        <v>1</v>
      </c>
      <c r="CJ322" s="3">
        <v>1</v>
      </c>
      <c r="CK322" s="3">
        <v>23</v>
      </c>
      <c r="CL322" s="3" t="s">
        <v>87</v>
      </c>
    </row>
    <row r="323" spans="1:90" x14ac:dyDescent="0.2">
      <c r="A323" s="3" t="s">
        <v>72</v>
      </c>
      <c r="B323" s="3" t="s">
        <v>73</v>
      </c>
      <c r="C323" s="3" t="s">
        <v>74</v>
      </c>
      <c r="E323" s="3" t="str">
        <f>"FES1162844587"</f>
        <v>FES1162844587</v>
      </c>
      <c r="F323" s="4">
        <v>44572</v>
      </c>
      <c r="G323" s="3">
        <v>202207</v>
      </c>
      <c r="H323" s="3" t="s">
        <v>75</v>
      </c>
      <c r="I323" s="3" t="s">
        <v>76</v>
      </c>
      <c r="J323" s="3" t="s">
        <v>77</v>
      </c>
      <c r="K323" s="3" t="s">
        <v>78</v>
      </c>
      <c r="L323" s="3" t="s">
        <v>138</v>
      </c>
      <c r="M323" s="3" t="s">
        <v>139</v>
      </c>
      <c r="N323" s="3" t="s">
        <v>558</v>
      </c>
      <c r="O323" s="3" t="s">
        <v>82</v>
      </c>
      <c r="P323" s="3" t="str">
        <f>"2170815110                    "</f>
        <v xml:space="preserve">2170815110                    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15.46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1</v>
      </c>
      <c r="BI323" s="3">
        <v>1</v>
      </c>
      <c r="BJ323" s="3">
        <v>0.2</v>
      </c>
      <c r="BK323" s="3">
        <v>1</v>
      </c>
      <c r="BL323" s="3">
        <v>59</v>
      </c>
      <c r="BM323" s="3">
        <v>8.85</v>
      </c>
      <c r="BN323" s="3">
        <v>67.849999999999994</v>
      </c>
      <c r="BO323" s="3">
        <v>67.849999999999994</v>
      </c>
      <c r="BR323" s="3" t="s">
        <v>84</v>
      </c>
      <c r="BS323" s="4">
        <v>44573</v>
      </c>
      <c r="BT323" s="5">
        <v>0.49583333333333335</v>
      </c>
      <c r="BU323" s="3" t="s">
        <v>559</v>
      </c>
      <c r="BV323" s="3" t="s">
        <v>105</v>
      </c>
      <c r="BY323" s="3">
        <v>1200</v>
      </c>
      <c r="BZ323" s="3" t="s">
        <v>165</v>
      </c>
      <c r="CA323" s="3" t="s">
        <v>303</v>
      </c>
      <c r="CC323" s="3" t="s">
        <v>139</v>
      </c>
      <c r="CD323" s="3">
        <v>3610</v>
      </c>
      <c r="CE323" s="3" t="s">
        <v>93</v>
      </c>
      <c r="CF323" s="4">
        <v>44574</v>
      </c>
      <c r="CI323" s="3">
        <v>1</v>
      </c>
      <c r="CJ323" s="3">
        <v>1</v>
      </c>
      <c r="CK323" s="3">
        <v>21</v>
      </c>
      <c r="CL323" s="3" t="s">
        <v>87</v>
      </c>
    </row>
    <row r="324" spans="1:90" x14ac:dyDescent="0.2">
      <c r="A324" s="3" t="s">
        <v>72</v>
      </c>
      <c r="B324" s="3" t="s">
        <v>73</v>
      </c>
      <c r="C324" s="3" t="s">
        <v>74</v>
      </c>
      <c r="E324" s="3" t="str">
        <f>"FES1162844599"</f>
        <v>FES1162844599</v>
      </c>
      <c r="F324" s="4">
        <v>44572</v>
      </c>
      <c r="G324" s="3">
        <v>202207</v>
      </c>
      <c r="H324" s="3" t="s">
        <v>75</v>
      </c>
      <c r="I324" s="3" t="s">
        <v>76</v>
      </c>
      <c r="J324" s="3" t="s">
        <v>77</v>
      </c>
      <c r="K324" s="3" t="s">
        <v>78</v>
      </c>
      <c r="L324" s="3" t="s">
        <v>184</v>
      </c>
      <c r="M324" s="3" t="s">
        <v>185</v>
      </c>
      <c r="N324" s="3" t="s">
        <v>186</v>
      </c>
      <c r="O324" s="3" t="s">
        <v>82</v>
      </c>
      <c r="P324" s="3" t="str">
        <f>"2170815199                    "</f>
        <v xml:space="preserve">2170815199                    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23.18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1</v>
      </c>
      <c r="BI324" s="3">
        <v>3</v>
      </c>
      <c r="BJ324" s="3">
        <v>1.1000000000000001</v>
      </c>
      <c r="BK324" s="3">
        <v>3</v>
      </c>
      <c r="BL324" s="3">
        <v>88.48</v>
      </c>
      <c r="BM324" s="3">
        <v>13.27</v>
      </c>
      <c r="BN324" s="3">
        <v>101.75</v>
      </c>
      <c r="BO324" s="3">
        <v>101.75</v>
      </c>
      <c r="BQ324" s="3" t="s">
        <v>83</v>
      </c>
      <c r="BR324" s="3" t="s">
        <v>84</v>
      </c>
      <c r="BS324" s="4">
        <v>44573</v>
      </c>
      <c r="BT324" s="5">
        <v>0.64236111111111105</v>
      </c>
      <c r="BU324" s="3" t="s">
        <v>604</v>
      </c>
      <c r="BV324" s="3" t="s">
        <v>87</v>
      </c>
      <c r="BW324" s="3" t="s">
        <v>353</v>
      </c>
      <c r="BX324" s="3" t="s">
        <v>605</v>
      </c>
      <c r="BY324" s="3">
        <v>5320</v>
      </c>
      <c r="BZ324" s="3" t="s">
        <v>165</v>
      </c>
      <c r="CA324" s="3" t="s">
        <v>357</v>
      </c>
      <c r="CC324" s="3" t="s">
        <v>185</v>
      </c>
      <c r="CD324" s="3">
        <v>5201</v>
      </c>
      <c r="CE324" s="3" t="s">
        <v>86</v>
      </c>
      <c r="CF324" s="4">
        <v>44573</v>
      </c>
      <c r="CI324" s="3">
        <v>1</v>
      </c>
      <c r="CJ324" s="3">
        <v>1</v>
      </c>
      <c r="CK324" s="3">
        <v>21</v>
      </c>
      <c r="CL324" s="3" t="s">
        <v>87</v>
      </c>
    </row>
    <row r="325" spans="1:90" x14ac:dyDescent="0.2">
      <c r="A325" s="3" t="s">
        <v>72</v>
      </c>
      <c r="B325" s="3" t="s">
        <v>73</v>
      </c>
      <c r="C325" s="3" t="s">
        <v>74</v>
      </c>
      <c r="E325" s="3" t="str">
        <f>"FES1162844604"</f>
        <v>FES1162844604</v>
      </c>
      <c r="F325" s="4">
        <v>44572</v>
      </c>
      <c r="G325" s="3">
        <v>202207</v>
      </c>
      <c r="H325" s="3" t="s">
        <v>75</v>
      </c>
      <c r="I325" s="3" t="s">
        <v>76</v>
      </c>
      <c r="J325" s="3" t="s">
        <v>77</v>
      </c>
      <c r="K325" s="3" t="s">
        <v>78</v>
      </c>
      <c r="L325" s="3" t="s">
        <v>90</v>
      </c>
      <c r="M325" s="3" t="s">
        <v>91</v>
      </c>
      <c r="N325" s="3" t="s">
        <v>633</v>
      </c>
      <c r="O325" s="3" t="s">
        <v>82</v>
      </c>
      <c r="P325" s="3" t="str">
        <f>"2170815298                    "</f>
        <v xml:space="preserve">2170815298                    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15.46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1</v>
      </c>
      <c r="BI325" s="3">
        <v>1</v>
      </c>
      <c r="BJ325" s="3">
        <v>0.2</v>
      </c>
      <c r="BK325" s="3">
        <v>1</v>
      </c>
      <c r="BL325" s="3">
        <v>59</v>
      </c>
      <c r="BM325" s="3">
        <v>8.85</v>
      </c>
      <c r="BN325" s="3">
        <v>67.849999999999994</v>
      </c>
      <c r="BO325" s="3">
        <v>67.849999999999994</v>
      </c>
      <c r="BR325" s="3" t="s">
        <v>84</v>
      </c>
      <c r="BS325" s="4">
        <v>44579</v>
      </c>
      <c r="BT325" s="5">
        <v>0.61944444444444446</v>
      </c>
      <c r="BU325" s="3" t="s">
        <v>634</v>
      </c>
      <c r="BV325" s="3" t="s">
        <v>87</v>
      </c>
      <c r="BY325" s="3">
        <v>1200</v>
      </c>
      <c r="BZ325" s="3" t="s">
        <v>165</v>
      </c>
      <c r="CA325" s="3" t="s">
        <v>635</v>
      </c>
      <c r="CC325" s="3" t="s">
        <v>91</v>
      </c>
      <c r="CD325" s="3">
        <v>7966</v>
      </c>
      <c r="CE325" s="3" t="s">
        <v>93</v>
      </c>
      <c r="CF325" s="4">
        <v>44580</v>
      </c>
      <c r="CI325" s="3">
        <v>1</v>
      </c>
      <c r="CJ325" s="3">
        <v>5</v>
      </c>
      <c r="CK325" s="3">
        <v>21</v>
      </c>
      <c r="CL325" s="3" t="s">
        <v>87</v>
      </c>
    </row>
    <row r="326" spans="1:90" x14ac:dyDescent="0.2">
      <c r="A326" s="3" t="s">
        <v>72</v>
      </c>
      <c r="B326" s="3" t="s">
        <v>73</v>
      </c>
      <c r="C326" s="3" t="s">
        <v>74</v>
      </c>
      <c r="E326" s="3" t="str">
        <f>"FES1162844508"</f>
        <v>FES1162844508</v>
      </c>
      <c r="F326" s="4">
        <v>44572</v>
      </c>
      <c r="G326" s="3">
        <v>202207</v>
      </c>
      <c r="H326" s="3" t="s">
        <v>75</v>
      </c>
      <c r="I326" s="3" t="s">
        <v>76</v>
      </c>
      <c r="J326" s="3" t="s">
        <v>77</v>
      </c>
      <c r="K326" s="3" t="s">
        <v>78</v>
      </c>
      <c r="L326" s="3" t="s">
        <v>162</v>
      </c>
      <c r="M326" s="3" t="s">
        <v>163</v>
      </c>
      <c r="N326" s="3" t="s">
        <v>636</v>
      </c>
      <c r="O326" s="3" t="s">
        <v>82</v>
      </c>
      <c r="P326" s="3" t="str">
        <f>"2170815753                    "</f>
        <v xml:space="preserve">2170815753                    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12.07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1</v>
      </c>
      <c r="BI326" s="3">
        <v>7</v>
      </c>
      <c r="BJ326" s="3">
        <v>4.0999999999999996</v>
      </c>
      <c r="BK326" s="3">
        <v>7</v>
      </c>
      <c r="BL326" s="3">
        <v>46.08</v>
      </c>
      <c r="BM326" s="3">
        <v>6.91</v>
      </c>
      <c r="BN326" s="3">
        <v>52.99</v>
      </c>
      <c r="BO326" s="3">
        <v>52.99</v>
      </c>
      <c r="BQ326" s="3" t="s">
        <v>637</v>
      </c>
      <c r="BR326" s="3" t="s">
        <v>84</v>
      </c>
      <c r="BS326" s="4">
        <v>44580</v>
      </c>
      <c r="BT326" s="5">
        <v>0.4375</v>
      </c>
      <c r="BU326" s="3" t="s">
        <v>638</v>
      </c>
      <c r="BV326" s="3" t="s">
        <v>87</v>
      </c>
      <c r="BW326" s="3" t="s">
        <v>639</v>
      </c>
      <c r="BX326" s="3" t="s">
        <v>377</v>
      </c>
      <c r="BY326" s="3">
        <v>20358</v>
      </c>
      <c r="BZ326" s="3" t="s">
        <v>165</v>
      </c>
      <c r="CA326" s="3" t="s">
        <v>635</v>
      </c>
      <c r="CC326" s="3" t="s">
        <v>163</v>
      </c>
      <c r="CD326" s="3">
        <v>1406</v>
      </c>
      <c r="CE326" s="3" t="s">
        <v>86</v>
      </c>
      <c r="CF326" s="4">
        <v>44580</v>
      </c>
      <c r="CI326" s="3">
        <v>1</v>
      </c>
      <c r="CJ326" s="3">
        <v>6</v>
      </c>
      <c r="CK326" s="3">
        <v>22</v>
      </c>
      <c r="CL326" s="3" t="s">
        <v>87</v>
      </c>
    </row>
    <row r="327" spans="1:90" x14ac:dyDescent="0.2">
      <c r="A327" s="3" t="s">
        <v>72</v>
      </c>
      <c r="B327" s="3" t="s">
        <v>73</v>
      </c>
      <c r="C327" s="3" t="s">
        <v>74</v>
      </c>
      <c r="E327" s="3" t="str">
        <f>"FES1162844581"</f>
        <v>FES1162844581</v>
      </c>
      <c r="F327" s="4">
        <v>44572</v>
      </c>
      <c r="G327" s="3">
        <v>202207</v>
      </c>
      <c r="H327" s="3" t="s">
        <v>75</v>
      </c>
      <c r="I327" s="3" t="s">
        <v>76</v>
      </c>
      <c r="J327" s="3" t="s">
        <v>77</v>
      </c>
      <c r="K327" s="3" t="s">
        <v>78</v>
      </c>
      <c r="L327" s="3" t="s">
        <v>90</v>
      </c>
      <c r="M327" s="3" t="s">
        <v>91</v>
      </c>
      <c r="N327" s="3" t="s">
        <v>640</v>
      </c>
      <c r="O327" s="3" t="s">
        <v>82</v>
      </c>
      <c r="P327" s="3" t="str">
        <f>"2170815044                    "</f>
        <v xml:space="preserve">2170815044                    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15.46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0</v>
      </c>
      <c r="AZ327" s="3">
        <v>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1</v>
      </c>
      <c r="BI327" s="3">
        <v>1</v>
      </c>
      <c r="BJ327" s="3">
        <v>0.2</v>
      </c>
      <c r="BK327" s="3">
        <v>1</v>
      </c>
      <c r="BL327" s="3">
        <v>59</v>
      </c>
      <c r="BM327" s="3">
        <v>8.85</v>
      </c>
      <c r="BN327" s="3">
        <v>67.849999999999994</v>
      </c>
      <c r="BO327" s="3">
        <v>67.849999999999994</v>
      </c>
      <c r="BQ327" s="3" t="s">
        <v>83</v>
      </c>
      <c r="BR327" s="3" t="s">
        <v>84</v>
      </c>
      <c r="BS327" s="4">
        <v>44573</v>
      </c>
      <c r="BT327" s="5">
        <v>0.58402777777777781</v>
      </c>
      <c r="BU327" s="3" t="s">
        <v>323</v>
      </c>
      <c r="BV327" s="3" t="s">
        <v>87</v>
      </c>
      <c r="BW327" s="3" t="s">
        <v>353</v>
      </c>
      <c r="BX327" s="3" t="s">
        <v>602</v>
      </c>
      <c r="BY327" s="3">
        <v>1200</v>
      </c>
      <c r="BZ327" s="3" t="s">
        <v>165</v>
      </c>
      <c r="CA327" s="3" t="s">
        <v>641</v>
      </c>
      <c r="CC327" s="3" t="s">
        <v>91</v>
      </c>
      <c r="CD327" s="3">
        <v>7580</v>
      </c>
      <c r="CE327" s="3" t="s">
        <v>93</v>
      </c>
      <c r="CF327" s="4">
        <v>44574</v>
      </c>
      <c r="CI327" s="3">
        <v>1</v>
      </c>
      <c r="CJ327" s="3">
        <v>1</v>
      </c>
      <c r="CK327" s="3">
        <v>21</v>
      </c>
      <c r="CL327" s="3" t="s">
        <v>87</v>
      </c>
    </row>
    <row r="328" spans="1:90" x14ac:dyDescent="0.2">
      <c r="A328" s="3" t="s">
        <v>72</v>
      </c>
      <c r="B328" s="3" t="s">
        <v>73</v>
      </c>
      <c r="C328" s="3" t="s">
        <v>74</v>
      </c>
      <c r="E328" s="3" t="str">
        <f>"FES1162844612"</f>
        <v>FES1162844612</v>
      </c>
      <c r="F328" s="4">
        <v>44572</v>
      </c>
      <c r="G328" s="3">
        <v>202207</v>
      </c>
      <c r="H328" s="3" t="s">
        <v>75</v>
      </c>
      <c r="I328" s="3" t="s">
        <v>76</v>
      </c>
      <c r="J328" s="3" t="s">
        <v>77</v>
      </c>
      <c r="K328" s="3" t="s">
        <v>78</v>
      </c>
      <c r="L328" s="3" t="s">
        <v>211</v>
      </c>
      <c r="M328" s="3" t="s">
        <v>212</v>
      </c>
      <c r="N328" s="3" t="s">
        <v>642</v>
      </c>
      <c r="O328" s="3" t="s">
        <v>82</v>
      </c>
      <c r="P328" s="3" t="str">
        <f>"2170816217                    "</f>
        <v xml:space="preserve">2170816217                    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12.07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0</v>
      </c>
      <c r="AZ328" s="3">
        <v>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1</v>
      </c>
      <c r="BI328" s="3">
        <v>1</v>
      </c>
      <c r="BJ328" s="3">
        <v>0.2</v>
      </c>
      <c r="BK328" s="3">
        <v>1</v>
      </c>
      <c r="BL328" s="3">
        <v>46.08</v>
      </c>
      <c r="BM328" s="3">
        <v>6.91</v>
      </c>
      <c r="BN328" s="3">
        <v>52.99</v>
      </c>
      <c r="BO328" s="3">
        <v>52.99</v>
      </c>
      <c r="BQ328" s="3" t="s">
        <v>89</v>
      </c>
      <c r="BR328" s="3" t="s">
        <v>84</v>
      </c>
      <c r="BS328" s="4">
        <v>44573</v>
      </c>
      <c r="BT328" s="5">
        <v>0.36805555555555558</v>
      </c>
      <c r="BU328" s="3" t="s">
        <v>643</v>
      </c>
      <c r="BV328" s="3" t="s">
        <v>105</v>
      </c>
      <c r="BY328" s="3">
        <v>1200</v>
      </c>
      <c r="BZ328" s="3" t="s">
        <v>165</v>
      </c>
      <c r="CA328" s="3" t="s">
        <v>345</v>
      </c>
      <c r="CC328" s="3" t="s">
        <v>212</v>
      </c>
      <c r="CD328" s="3">
        <v>2163</v>
      </c>
      <c r="CE328" s="3" t="s">
        <v>93</v>
      </c>
      <c r="CF328" s="4">
        <v>44573</v>
      </c>
      <c r="CI328" s="3">
        <v>1</v>
      </c>
      <c r="CJ328" s="3">
        <v>1</v>
      </c>
      <c r="CK328" s="3">
        <v>22</v>
      </c>
      <c r="CL328" s="3" t="s">
        <v>87</v>
      </c>
    </row>
    <row r="329" spans="1:90" x14ac:dyDescent="0.2">
      <c r="A329" s="3" t="s">
        <v>72</v>
      </c>
      <c r="B329" s="3" t="s">
        <v>73</v>
      </c>
      <c r="C329" s="3" t="s">
        <v>74</v>
      </c>
      <c r="E329" s="3" t="str">
        <f>"FES1162844616"</f>
        <v>FES1162844616</v>
      </c>
      <c r="F329" s="4">
        <v>44572</v>
      </c>
      <c r="G329" s="3">
        <v>202207</v>
      </c>
      <c r="H329" s="3" t="s">
        <v>75</v>
      </c>
      <c r="I329" s="3" t="s">
        <v>76</v>
      </c>
      <c r="J329" s="3" t="s">
        <v>77</v>
      </c>
      <c r="K329" s="3" t="s">
        <v>78</v>
      </c>
      <c r="L329" s="3" t="s">
        <v>97</v>
      </c>
      <c r="M329" s="3" t="s">
        <v>98</v>
      </c>
      <c r="N329" s="3" t="s">
        <v>644</v>
      </c>
      <c r="O329" s="3" t="s">
        <v>82</v>
      </c>
      <c r="P329" s="3" t="str">
        <f>"2170801418                    "</f>
        <v xml:space="preserve">2170801418                    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12.07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0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1</v>
      </c>
      <c r="BI329" s="3">
        <v>1</v>
      </c>
      <c r="BJ329" s="3">
        <v>0.2</v>
      </c>
      <c r="BK329" s="3">
        <v>1</v>
      </c>
      <c r="BL329" s="3">
        <v>46.08</v>
      </c>
      <c r="BM329" s="3">
        <v>6.91</v>
      </c>
      <c r="BN329" s="3">
        <v>52.99</v>
      </c>
      <c r="BO329" s="3">
        <v>52.99</v>
      </c>
      <c r="BQ329" s="3" t="s">
        <v>126</v>
      </c>
      <c r="BR329" s="3" t="s">
        <v>84</v>
      </c>
      <c r="BS329" s="4">
        <v>44573</v>
      </c>
      <c r="BT329" s="5">
        <v>0.35555555555555557</v>
      </c>
      <c r="BU329" s="3" t="s">
        <v>645</v>
      </c>
      <c r="BV329" s="3" t="s">
        <v>105</v>
      </c>
      <c r="BY329" s="3">
        <v>1200</v>
      </c>
      <c r="BZ329" s="3" t="s">
        <v>165</v>
      </c>
      <c r="CA329" s="3" t="s">
        <v>297</v>
      </c>
      <c r="CC329" s="3" t="s">
        <v>98</v>
      </c>
      <c r="CD329" s="3">
        <v>2013</v>
      </c>
      <c r="CE329" s="3" t="s">
        <v>93</v>
      </c>
      <c r="CF329" s="4">
        <v>44574</v>
      </c>
      <c r="CI329" s="3">
        <v>1</v>
      </c>
      <c r="CJ329" s="3">
        <v>1</v>
      </c>
      <c r="CK329" s="3">
        <v>22</v>
      </c>
      <c r="CL329" s="3" t="s">
        <v>87</v>
      </c>
    </row>
    <row r="330" spans="1:90" x14ac:dyDescent="0.2">
      <c r="A330" s="3" t="s">
        <v>72</v>
      </c>
      <c r="B330" s="3" t="s">
        <v>73</v>
      </c>
      <c r="C330" s="3" t="s">
        <v>74</v>
      </c>
      <c r="E330" s="3" t="str">
        <f>"FES1162844381"</f>
        <v>FES1162844381</v>
      </c>
      <c r="F330" s="4">
        <v>44572</v>
      </c>
      <c r="G330" s="3">
        <v>202207</v>
      </c>
      <c r="H330" s="3" t="s">
        <v>75</v>
      </c>
      <c r="I330" s="3" t="s">
        <v>76</v>
      </c>
      <c r="J330" s="3" t="s">
        <v>77</v>
      </c>
      <c r="K330" s="3" t="s">
        <v>78</v>
      </c>
      <c r="L330" s="3" t="s">
        <v>97</v>
      </c>
      <c r="M330" s="3" t="s">
        <v>98</v>
      </c>
      <c r="N330" s="3" t="s">
        <v>593</v>
      </c>
      <c r="O330" s="3" t="s">
        <v>82</v>
      </c>
      <c r="P330" s="3" t="str">
        <f>"2170815111                    "</f>
        <v xml:space="preserve">2170815111                    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12.07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1</v>
      </c>
      <c r="BI330" s="3">
        <v>1</v>
      </c>
      <c r="BJ330" s="3">
        <v>0.2</v>
      </c>
      <c r="BK330" s="3">
        <v>1</v>
      </c>
      <c r="BL330" s="3">
        <v>46.08</v>
      </c>
      <c r="BM330" s="3">
        <v>6.91</v>
      </c>
      <c r="BN330" s="3">
        <v>52.99</v>
      </c>
      <c r="BO330" s="3">
        <v>52.99</v>
      </c>
      <c r="BQ330" s="3" t="s">
        <v>83</v>
      </c>
      <c r="BR330" s="3" t="s">
        <v>84</v>
      </c>
      <c r="BS330" s="4">
        <v>44573</v>
      </c>
      <c r="BT330" s="5">
        <v>0.42986111111111108</v>
      </c>
      <c r="BU330" s="3" t="s">
        <v>594</v>
      </c>
      <c r="BV330" s="3" t="s">
        <v>105</v>
      </c>
      <c r="BY330" s="3">
        <v>1200</v>
      </c>
      <c r="BZ330" s="3" t="s">
        <v>165</v>
      </c>
      <c r="CC330" s="3" t="s">
        <v>98</v>
      </c>
      <c r="CD330" s="3">
        <v>2094</v>
      </c>
      <c r="CE330" s="3" t="s">
        <v>93</v>
      </c>
      <c r="CF330" s="4">
        <v>44573</v>
      </c>
      <c r="CI330" s="3">
        <v>1</v>
      </c>
      <c r="CJ330" s="3">
        <v>1</v>
      </c>
      <c r="CK330" s="3">
        <v>22</v>
      </c>
      <c r="CL330" s="3" t="s">
        <v>87</v>
      </c>
    </row>
    <row r="331" spans="1:90" x14ac:dyDescent="0.2">
      <c r="A331" s="3" t="s">
        <v>72</v>
      </c>
      <c r="B331" s="3" t="s">
        <v>73</v>
      </c>
      <c r="C331" s="3" t="s">
        <v>74</v>
      </c>
      <c r="E331" s="3" t="str">
        <f>"FES1162844331"</f>
        <v>FES1162844331</v>
      </c>
      <c r="F331" s="4">
        <v>44572</v>
      </c>
      <c r="G331" s="3">
        <v>202207</v>
      </c>
      <c r="H331" s="3" t="s">
        <v>75</v>
      </c>
      <c r="I331" s="3" t="s">
        <v>76</v>
      </c>
      <c r="J331" s="3" t="s">
        <v>77</v>
      </c>
      <c r="K331" s="3" t="s">
        <v>78</v>
      </c>
      <c r="L331" s="3" t="s">
        <v>184</v>
      </c>
      <c r="M331" s="3" t="s">
        <v>185</v>
      </c>
      <c r="N331" s="3" t="s">
        <v>503</v>
      </c>
      <c r="O331" s="3" t="s">
        <v>148</v>
      </c>
      <c r="P331" s="3" t="str">
        <f>"2170814635                    "</f>
        <v xml:space="preserve">2170814635                    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34.82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1</v>
      </c>
      <c r="BI331" s="3">
        <v>16</v>
      </c>
      <c r="BJ331" s="3">
        <v>18.3</v>
      </c>
      <c r="BK331" s="3">
        <v>19</v>
      </c>
      <c r="BL331" s="3">
        <v>138.15</v>
      </c>
      <c r="BM331" s="3">
        <v>20.72</v>
      </c>
      <c r="BN331" s="3">
        <v>158.87</v>
      </c>
      <c r="BO331" s="3">
        <v>158.87</v>
      </c>
      <c r="BQ331" s="3" t="s">
        <v>89</v>
      </c>
      <c r="BR331" s="3" t="s">
        <v>84</v>
      </c>
      <c r="BS331" s="4">
        <v>44580</v>
      </c>
      <c r="BT331" s="5">
        <v>0.47222222222222227</v>
      </c>
      <c r="BU331" s="3" t="s">
        <v>646</v>
      </c>
      <c r="BV331" s="3" t="s">
        <v>87</v>
      </c>
      <c r="BW331" s="3" t="s">
        <v>647</v>
      </c>
      <c r="BX331" s="3" t="s">
        <v>648</v>
      </c>
      <c r="BY331" s="3">
        <v>91264</v>
      </c>
      <c r="BZ331" s="3" t="s">
        <v>327</v>
      </c>
      <c r="CA331" s="3" t="s">
        <v>649</v>
      </c>
      <c r="CC331" s="3" t="s">
        <v>185</v>
      </c>
      <c r="CD331" s="3">
        <v>5201</v>
      </c>
      <c r="CE331" s="3" t="s">
        <v>86</v>
      </c>
      <c r="CF331" s="4">
        <v>44580</v>
      </c>
      <c r="CI331" s="3">
        <v>3</v>
      </c>
      <c r="CJ331" s="3">
        <v>6</v>
      </c>
      <c r="CK331" s="3">
        <v>41</v>
      </c>
      <c r="CL331" s="3" t="s">
        <v>87</v>
      </c>
    </row>
    <row r="332" spans="1:90" x14ac:dyDescent="0.2">
      <c r="A332" s="3" t="s">
        <v>72</v>
      </c>
      <c r="B332" s="3" t="s">
        <v>73</v>
      </c>
      <c r="C332" s="3" t="s">
        <v>74</v>
      </c>
      <c r="E332" s="3" t="str">
        <f>"FES1162844530"</f>
        <v>FES1162844530</v>
      </c>
      <c r="F332" s="4">
        <v>44572</v>
      </c>
      <c r="G332" s="3">
        <v>202207</v>
      </c>
      <c r="H332" s="3" t="s">
        <v>75</v>
      </c>
      <c r="I332" s="3" t="s">
        <v>76</v>
      </c>
      <c r="J332" s="3" t="s">
        <v>77</v>
      </c>
      <c r="K332" s="3" t="s">
        <v>78</v>
      </c>
      <c r="L332" s="3" t="s">
        <v>101</v>
      </c>
      <c r="M332" s="3" t="s">
        <v>102</v>
      </c>
      <c r="N332" s="3" t="s">
        <v>170</v>
      </c>
      <c r="O332" s="3" t="s">
        <v>148</v>
      </c>
      <c r="P332" s="3" t="str">
        <f>"2170816186                    "</f>
        <v xml:space="preserve">2170816186                    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34.82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1</v>
      </c>
      <c r="BI332" s="3">
        <v>7</v>
      </c>
      <c r="BJ332" s="3">
        <v>18.3</v>
      </c>
      <c r="BK332" s="3">
        <v>19</v>
      </c>
      <c r="BL332" s="3">
        <v>138.15</v>
      </c>
      <c r="BM332" s="3">
        <v>20.72</v>
      </c>
      <c r="BN332" s="3">
        <v>158.87</v>
      </c>
      <c r="BO332" s="3">
        <v>158.87</v>
      </c>
      <c r="BQ332" s="3" t="s">
        <v>89</v>
      </c>
      <c r="BR332" s="3" t="s">
        <v>84</v>
      </c>
      <c r="BS332" s="4">
        <v>44573</v>
      </c>
      <c r="BT332" s="5">
        <v>0.60625000000000007</v>
      </c>
      <c r="BU332" s="3" t="s">
        <v>369</v>
      </c>
      <c r="BV332" s="3" t="s">
        <v>105</v>
      </c>
      <c r="BY332" s="3">
        <v>91264</v>
      </c>
      <c r="BZ332" s="3" t="s">
        <v>327</v>
      </c>
      <c r="CA332" s="3" t="s">
        <v>280</v>
      </c>
      <c r="CC332" s="3" t="s">
        <v>102</v>
      </c>
      <c r="CD332" s="3">
        <v>4001</v>
      </c>
      <c r="CE332" s="3" t="s">
        <v>86</v>
      </c>
      <c r="CF332" s="4">
        <v>44573</v>
      </c>
      <c r="CI332" s="3">
        <v>1</v>
      </c>
      <c r="CJ332" s="3">
        <v>1</v>
      </c>
      <c r="CK332" s="3">
        <v>41</v>
      </c>
      <c r="CL332" s="3" t="s">
        <v>87</v>
      </c>
    </row>
    <row r="333" spans="1:90" x14ac:dyDescent="0.2">
      <c r="A333" s="3" t="s">
        <v>72</v>
      </c>
      <c r="B333" s="3" t="s">
        <v>73</v>
      </c>
      <c r="C333" s="3" t="s">
        <v>74</v>
      </c>
      <c r="E333" s="3" t="str">
        <f>"FES1162844555"</f>
        <v>FES1162844555</v>
      </c>
      <c r="F333" s="4">
        <v>44572</v>
      </c>
      <c r="G333" s="3">
        <v>202207</v>
      </c>
      <c r="H333" s="3" t="s">
        <v>75</v>
      </c>
      <c r="I333" s="3" t="s">
        <v>76</v>
      </c>
      <c r="J333" s="3" t="s">
        <v>77</v>
      </c>
      <c r="K333" s="3" t="s">
        <v>78</v>
      </c>
      <c r="L333" s="3" t="s">
        <v>171</v>
      </c>
      <c r="M333" s="3" t="s">
        <v>172</v>
      </c>
      <c r="N333" s="3" t="s">
        <v>174</v>
      </c>
      <c r="O333" s="3" t="s">
        <v>82</v>
      </c>
      <c r="P333" s="3" t="str">
        <f>"2170809900                    "</f>
        <v xml:space="preserve">2170809900                    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15.46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1</v>
      </c>
      <c r="BI333" s="3">
        <v>1</v>
      </c>
      <c r="BJ333" s="3">
        <v>0.2</v>
      </c>
      <c r="BK333" s="3">
        <v>1</v>
      </c>
      <c r="BL333" s="3">
        <v>59</v>
      </c>
      <c r="BM333" s="3">
        <v>8.85</v>
      </c>
      <c r="BN333" s="3">
        <v>67.849999999999994</v>
      </c>
      <c r="BO333" s="3">
        <v>67.849999999999994</v>
      </c>
      <c r="BQ333" s="3" t="s">
        <v>83</v>
      </c>
      <c r="BR333" s="3" t="s">
        <v>84</v>
      </c>
      <c r="BS333" s="4">
        <v>44573</v>
      </c>
      <c r="BT333" s="5">
        <v>0.43194444444444446</v>
      </c>
      <c r="BU333" s="3" t="s">
        <v>650</v>
      </c>
      <c r="BV333" s="3" t="s">
        <v>105</v>
      </c>
      <c r="BY333" s="3">
        <v>1200</v>
      </c>
      <c r="BZ333" s="3" t="s">
        <v>165</v>
      </c>
      <c r="CA333" s="3" t="s">
        <v>263</v>
      </c>
      <c r="CC333" s="3" t="s">
        <v>172</v>
      </c>
      <c r="CD333" s="3">
        <v>6001</v>
      </c>
      <c r="CE333" s="3" t="s">
        <v>93</v>
      </c>
      <c r="CF333" s="4">
        <v>44574</v>
      </c>
      <c r="CI333" s="3">
        <v>1</v>
      </c>
      <c r="CJ333" s="3">
        <v>1</v>
      </c>
      <c r="CK333" s="3">
        <v>21</v>
      </c>
      <c r="CL333" s="3" t="s">
        <v>87</v>
      </c>
    </row>
    <row r="334" spans="1:90" x14ac:dyDescent="0.2">
      <c r="A334" s="3" t="s">
        <v>72</v>
      </c>
      <c r="B334" s="3" t="s">
        <v>73</v>
      </c>
      <c r="C334" s="3" t="s">
        <v>74</v>
      </c>
      <c r="E334" s="3" t="str">
        <f>"FES1162844520"</f>
        <v>FES1162844520</v>
      </c>
      <c r="F334" s="4">
        <v>44572</v>
      </c>
      <c r="G334" s="3">
        <v>202207</v>
      </c>
      <c r="H334" s="3" t="s">
        <v>75</v>
      </c>
      <c r="I334" s="3" t="s">
        <v>76</v>
      </c>
      <c r="J334" s="3" t="s">
        <v>77</v>
      </c>
      <c r="K334" s="3" t="s">
        <v>78</v>
      </c>
      <c r="L334" s="3" t="s">
        <v>107</v>
      </c>
      <c r="M334" s="3" t="s">
        <v>108</v>
      </c>
      <c r="N334" s="3" t="s">
        <v>582</v>
      </c>
      <c r="O334" s="3" t="s">
        <v>82</v>
      </c>
      <c r="P334" s="3" t="str">
        <f>"2170816169                    "</f>
        <v xml:space="preserve">2170816169                    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57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1</v>
      </c>
      <c r="BI334" s="3">
        <v>3</v>
      </c>
      <c r="BJ334" s="3">
        <v>3.9</v>
      </c>
      <c r="BK334" s="3">
        <v>4</v>
      </c>
      <c r="BL334" s="3">
        <v>217.56</v>
      </c>
      <c r="BM334" s="3">
        <v>32.630000000000003</v>
      </c>
      <c r="BN334" s="3">
        <v>250.19</v>
      </c>
      <c r="BO334" s="3">
        <v>250.19</v>
      </c>
      <c r="BQ334" s="3" t="s">
        <v>126</v>
      </c>
      <c r="BR334" s="3" t="s">
        <v>84</v>
      </c>
      <c r="BS334" s="4">
        <v>44573</v>
      </c>
      <c r="BT334" s="5">
        <v>0.48819444444444443</v>
      </c>
      <c r="BU334" s="3" t="s">
        <v>583</v>
      </c>
      <c r="BV334" s="3" t="s">
        <v>105</v>
      </c>
      <c r="BY334" s="3">
        <v>19440</v>
      </c>
      <c r="BZ334" s="3" t="s">
        <v>165</v>
      </c>
      <c r="CA334" s="3" t="s">
        <v>394</v>
      </c>
      <c r="CC334" s="3" t="s">
        <v>108</v>
      </c>
      <c r="CD334" s="3">
        <v>6850</v>
      </c>
      <c r="CE334" s="3" t="s">
        <v>86</v>
      </c>
      <c r="CF334" s="4">
        <v>44574</v>
      </c>
      <c r="CI334" s="3">
        <v>2</v>
      </c>
      <c r="CJ334" s="3">
        <v>1</v>
      </c>
      <c r="CK334" s="3">
        <v>23</v>
      </c>
      <c r="CL334" s="3" t="s">
        <v>87</v>
      </c>
    </row>
    <row r="335" spans="1:90" x14ac:dyDescent="0.2">
      <c r="A335" s="3" t="s">
        <v>72</v>
      </c>
      <c r="B335" s="3" t="s">
        <v>73</v>
      </c>
      <c r="C335" s="3" t="s">
        <v>74</v>
      </c>
      <c r="E335" s="3" t="str">
        <f>"FES1162844584"</f>
        <v>FES1162844584</v>
      </c>
      <c r="F335" s="4">
        <v>44572</v>
      </c>
      <c r="G335" s="3">
        <v>202207</v>
      </c>
      <c r="H335" s="3" t="s">
        <v>75</v>
      </c>
      <c r="I335" s="3" t="s">
        <v>76</v>
      </c>
      <c r="J335" s="3" t="s">
        <v>77</v>
      </c>
      <c r="K335" s="3" t="s">
        <v>78</v>
      </c>
      <c r="L335" s="3" t="s">
        <v>101</v>
      </c>
      <c r="M335" s="3" t="s">
        <v>102</v>
      </c>
      <c r="N335" s="3" t="s">
        <v>103</v>
      </c>
      <c r="O335" s="3" t="s">
        <v>82</v>
      </c>
      <c r="P335" s="3" t="str">
        <f>"2170815086                    "</f>
        <v xml:space="preserve">2170815086                    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15.46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1</v>
      </c>
      <c r="BI335" s="3">
        <v>1</v>
      </c>
      <c r="BJ335" s="3">
        <v>0.2</v>
      </c>
      <c r="BK335" s="3">
        <v>1</v>
      </c>
      <c r="BL335" s="3">
        <v>59</v>
      </c>
      <c r="BM335" s="3">
        <v>8.85</v>
      </c>
      <c r="BN335" s="3">
        <v>67.849999999999994</v>
      </c>
      <c r="BO335" s="3">
        <v>67.849999999999994</v>
      </c>
      <c r="BQ335" s="3" t="s">
        <v>83</v>
      </c>
      <c r="BR335" s="3" t="s">
        <v>84</v>
      </c>
      <c r="BS335" s="4">
        <v>44573</v>
      </c>
      <c r="BT335" s="5">
        <v>0.37291666666666662</v>
      </c>
      <c r="BU335" s="3" t="s">
        <v>463</v>
      </c>
      <c r="BV335" s="3" t="s">
        <v>105</v>
      </c>
      <c r="BY335" s="3">
        <v>1200</v>
      </c>
      <c r="BZ335" s="3" t="s">
        <v>165</v>
      </c>
      <c r="CA335" s="3" t="s">
        <v>334</v>
      </c>
      <c r="CC335" s="3" t="s">
        <v>102</v>
      </c>
      <c r="CD335" s="3">
        <v>4001</v>
      </c>
      <c r="CE335" s="3" t="s">
        <v>93</v>
      </c>
      <c r="CF335" s="4">
        <v>44573</v>
      </c>
      <c r="CI335" s="3">
        <v>1</v>
      </c>
      <c r="CJ335" s="3">
        <v>1</v>
      </c>
      <c r="CK335" s="3">
        <v>21</v>
      </c>
      <c r="CL335" s="3" t="s">
        <v>87</v>
      </c>
    </row>
    <row r="336" spans="1:90" x14ac:dyDescent="0.2">
      <c r="A336" s="3" t="s">
        <v>72</v>
      </c>
      <c r="B336" s="3" t="s">
        <v>73</v>
      </c>
      <c r="C336" s="3" t="s">
        <v>74</v>
      </c>
      <c r="E336" s="3" t="str">
        <f>"FES1162844607"</f>
        <v>FES1162844607</v>
      </c>
      <c r="F336" s="4">
        <v>44572</v>
      </c>
      <c r="G336" s="3">
        <v>202207</v>
      </c>
      <c r="H336" s="3" t="s">
        <v>75</v>
      </c>
      <c r="I336" s="3" t="s">
        <v>76</v>
      </c>
      <c r="J336" s="3" t="s">
        <v>77</v>
      </c>
      <c r="K336" s="3" t="s">
        <v>78</v>
      </c>
      <c r="L336" s="3" t="s">
        <v>158</v>
      </c>
      <c r="M336" s="3" t="s">
        <v>159</v>
      </c>
      <c r="N336" s="3" t="s">
        <v>651</v>
      </c>
      <c r="O336" s="3" t="s">
        <v>82</v>
      </c>
      <c r="P336" s="3" t="str">
        <f>"2170815680                    "</f>
        <v xml:space="preserve">2170815680                    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12.07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1</v>
      </c>
      <c r="BI336" s="3">
        <v>1</v>
      </c>
      <c r="BJ336" s="3">
        <v>0.2</v>
      </c>
      <c r="BK336" s="3">
        <v>1</v>
      </c>
      <c r="BL336" s="3">
        <v>46.08</v>
      </c>
      <c r="BM336" s="3">
        <v>6.91</v>
      </c>
      <c r="BN336" s="3">
        <v>52.99</v>
      </c>
      <c r="BO336" s="3">
        <v>52.99</v>
      </c>
      <c r="BQ336" s="3" t="s">
        <v>89</v>
      </c>
      <c r="BR336" s="3" t="s">
        <v>84</v>
      </c>
      <c r="BS336" s="4">
        <v>44573</v>
      </c>
      <c r="BT336" s="5">
        <v>0.3527777777777778</v>
      </c>
      <c r="BU336" s="3" t="s">
        <v>652</v>
      </c>
      <c r="BV336" s="3" t="s">
        <v>105</v>
      </c>
      <c r="BY336" s="3">
        <v>1200</v>
      </c>
      <c r="BZ336" s="3" t="s">
        <v>165</v>
      </c>
      <c r="CA336" s="3" t="s">
        <v>653</v>
      </c>
      <c r="CC336" s="3" t="s">
        <v>159</v>
      </c>
      <c r="CD336" s="3">
        <v>1459</v>
      </c>
      <c r="CE336" s="3" t="s">
        <v>93</v>
      </c>
      <c r="CF336" s="4">
        <v>44573</v>
      </c>
      <c r="CI336" s="3">
        <v>1</v>
      </c>
      <c r="CJ336" s="3">
        <v>1</v>
      </c>
      <c r="CK336" s="3">
        <v>22</v>
      </c>
      <c r="CL336" s="3" t="s">
        <v>87</v>
      </c>
    </row>
    <row r="337" spans="1:90" x14ac:dyDescent="0.2">
      <c r="A337" s="3" t="s">
        <v>72</v>
      </c>
      <c r="B337" s="3" t="s">
        <v>73</v>
      </c>
      <c r="C337" s="3" t="s">
        <v>74</v>
      </c>
      <c r="E337" s="3" t="str">
        <f>"FES1162844479"</f>
        <v>FES1162844479</v>
      </c>
      <c r="F337" s="4">
        <v>44572</v>
      </c>
      <c r="G337" s="3">
        <v>202207</v>
      </c>
      <c r="H337" s="3" t="s">
        <v>75</v>
      </c>
      <c r="I337" s="3" t="s">
        <v>76</v>
      </c>
      <c r="J337" s="3" t="s">
        <v>77</v>
      </c>
      <c r="K337" s="3" t="s">
        <v>78</v>
      </c>
      <c r="L337" s="3" t="s">
        <v>101</v>
      </c>
      <c r="M337" s="3" t="s">
        <v>102</v>
      </c>
      <c r="N337" s="3" t="s">
        <v>272</v>
      </c>
      <c r="O337" s="3" t="s">
        <v>82</v>
      </c>
      <c r="P337" s="3" t="str">
        <f>"2170816124                    "</f>
        <v xml:space="preserve">2170816124                    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15.46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1</v>
      </c>
      <c r="BI337" s="3">
        <v>1</v>
      </c>
      <c r="BJ337" s="3">
        <v>0.2</v>
      </c>
      <c r="BK337" s="3">
        <v>1</v>
      </c>
      <c r="BL337" s="3">
        <v>59</v>
      </c>
      <c r="BM337" s="3">
        <v>8.85</v>
      </c>
      <c r="BN337" s="3">
        <v>67.849999999999994</v>
      </c>
      <c r="BO337" s="3">
        <v>67.849999999999994</v>
      </c>
      <c r="BQ337" s="3" t="s">
        <v>273</v>
      </c>
      <c r="BR337" s="3" t="s">
        <v>84</v>
      </c>
      <c r="BS337" s="4">
        <v>44573</v>
      </c>
      <c r="BT337" s="5">
        <v>0.41111111111111115</v>
      </c>
      <c r="BU337" s="3" t="s">
        <v>274</v>
      </c>
      <c r="BV337" s="3" t="s">
        <v>105</v>
      </c>
      <c r="BY337" s="3">
        <v>1200</v>
      </c>
      <c r="BZ337" s="3" t="s">
        <v>165</v>
      </c>
      <c r="CA337" s="3" t="s">
        <v>275</v>
      </c>
      <c r="CC337" s="3" t="s">
        <v>102</v>
      </c>
      <c r="CD337" s="3">
        <v>4000</v>
      </c>
      <c r="CE337" s="3" t="s">
        <v>93</v>
      </c>
      <c r="CF337" s="4">
        <v>44574</v>
      </c>
      <c r="CI337" s="3">
        <v>1</v>
      </c>
      <c r="CJ337" s="3">
        <v>1</v>
      </c>
      <c r="CK337" s="3">
        <v>21</v>
      </c>
      <c r="CL337" s="3" t="s">
        <v>87</v>
      </c>
    </row>
    <row r="338" spans="1:90" x14ac:dyDescent="0.2">
      <c r="A338" s="3" t="s">
        <v>72</v>
      </c>
      <c r="B338" s="3" t="s">
        <v>73</v>
      </c>
      <c r="C338" s="3" t="s">
        <v>74</v>
      </c>
      <c r="E338" s="3" t="str">
        <f>"FES1162844510"</f>
        <v>FES1162844510</v>
      </c>
      <c r="F338" s="4">
        <v>44572</v>
      </c>
      <c r="G338" s="3">
        <v>202207</v>
      </c>
      <c r="H338" s="3" t="s">
        <v>75</v>
      </c>
      <c r="I338" s="3" t="s">
        <v>76</v>
      </c>
      <c r="J338" s="3" t="s">
        <v>77</v>
      </c>
      <c r="K338" s="3" t="s">
        <v>78</v>
      </c>
      <c r="L338" s="3" t="s">
        <v>97</v>
      </c>
      <c r="M338" s="3" t="s">
        <v>98</v>
      </c>
      <c r="N338" s="3" t="s">
        <v>644</v>
      </c>
      <c r="O338" s="3" t="s">
        <v>82</v>
      </c>
      <c r="P338" s="3" t="str">
        <f>"2170815951                    "</f>
        <v xml:space="preserve">2170815951                    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12.07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1</v>
      </c>
      <c r="BI338" s="3">
        <v>1</v>
      </c>
      <c r="BJ338" s="3">
        <v>0.2</v>
      </c>
      <c r="BK338" s="3">
        <v>1</v>
      </c>
      <c r="BL338" s="3">
        <v>46.08</v>
      </c>
      <c r="BM338" s="3">
        <v>6.91</v>
      </c>
      <c r="BN338" s="3">
        <v>52.99</v>
      </c>
      <c r="BO338" s="3">
        <v>52.99</v>
      </c>
      <c r="BQ338" s="3" t="s">
        <v>126</v>
      </c>
      <c r="BR338" s="3" t="s">
        <v>84</v>
      </c>
      <c r="BS338" s="4">
        <v>44573</v>
      </c>
      <c r="BT338" s="5">
        <v>0.35486111111111113</v>
      </c>
      <c r="BU338" s="3" t="s">
        <v>645</v>
      </c>
      <c r="BV338" s="3" t="s">
        <v>105</v>
      </c>
      <c r="BY338" s="3">
        <v>1200</v>
      </c>
      <c r="BZ338" s="3" t="s">
        <v>165</v>
      </c>
      <c r="CA338" s="3" t="s">
        <v>297</v>
      </c>
      <c r="CC338" s="3" t="s">
        <v>98</v>
      </c>
      <c r="CD338" s="3">
        <v>2013</v>
      </c>
      <c r="CE338" s="3" t="s">
        <v>93</v>
      </c>
      <c r="CF338" s="4">
        <v>44574</v>
      </c>
      <c r="CI338" s="3">
        <v>1</v>
      </c>
      <c r="CJ338" s="3">
        <v>1</v>
      </c>
      <c r="CK338" s="3">
        <v>22</v>
      </c>
      <c r="CL338" s="3" t="s">
        <v>87</v>
      </c>
    </row>
    <row r="339" spans="1:90" x14ac:dyDescent="0.2">
      <c r="A339" s="3" t="s">
        <v>72</v>
      </c>
      <c r="B339" s="3" t="s">
        <v>73</v>
      </c>
      <c r="C339" s="3" t="s">
        <v>74</v>
      </c>
      <c r="E339" s="3" t="str">
        <f>"FES1162844628"</f>
        <v>FES1162844628</v>
      </c>
      <c r="F339" s="4">
        <v>44572</v>
      </c>
      <c r="G339" s="3">
        <v>202207</v>
      </c>
      <c r="H339" s="3" t="s">
        <v>75</v>
      </c>
      <c r="I339" s="3" t="s">
        <v>76</v>
      </c>
      <c r="J339" s="3" t="s">
        <v>77</v>
      </c>
      <c r="K339" s="3" t="s">
        <v>78</v>
      </c>
      <c r="L339" s="3" t="s">
        <v>101</v>
      </c>
      <c r="M339" s="3" t="s">
        <v>102</v>
      </c>
      <c r="N339" s="3" t="s">
        <v>526</v>
      </c>
      <c r="O339" s="3" t="s">
        <v>82</v>
      </c>
      <c r="P339" s="3" t="str">
        <f>"2170813115                    "</f>
        <v xml:space="preserve">2170813115                    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15.46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0</v>
      </c>
      <c r="AZ339" s="3">
        <v>0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1</v>
      </c>
      <c r="BI339" s="3">
        <v>1</v>
      </c>
      <c r="BJ339" s="3">
        <v>0.2</v>
      </c>
      <c r="BK339" s="3">
        <v>1</v>
      </c>
      <c r="BL339" s="3">
        <v>59</v>
      </c>
      <c r="BM339" s="3">
        <v>8.85</v>
      </c>
      <c r="BN339" s="3">
        <v>67.849999999999994</v>
      </c>
      <c r="BO339" s="3">
        <v>67.849999999999994</v>
      </c>
      <c r="BQ339" s="3" t="s">
        <v>89</v>
      </c>
      <c r="BR339" s="3" t="s">
        <v>84</v>
      </c>
      <c r="BS339" s="4">
        <v>44573</v>
      </c>
      <c r="BT339" s="5">
        <v>0.40416666666666662</v>
      </c>
      <c r="BU339" s="3" t="s">
        <v>654</v>
      </c>
      <c r="BV339" s="3" t="s">
        <v>105</v>
      </c>
      <c r="BY339" s="3">
        <v>1200</v>
      </c>
      <c r="BZ339" s="3" t="s">
        <v>165</v>
      </c>
      <c r="CA339" s="3" t="s">
        <v>528</v>
      </c>
      <c r="CC339" s="3" t="s">
        <v>102</v>
      </c>
      <c r="CD339" s="3">
        <v>4001</v>
      </c>
      <c r="CE339" s="3" t="s">
        <v>93</v>
      </c>
      <c r="CF339" s="4">
        <v>44574</v>
      </c>
      <c r="CI339" s="3">
        <v>1</v>
      </c>
      <c r="CJ339" s="3">
        <v>1</v>
      </c>
      <c r="CK339" s="3">
        <v>21</v>
      </c>
      <c r="CL339" s="3" t="s">
        <v>87</v>
      </c>
    </row>
    <row r="340" spans="1:90" x14ac:dyDescent="0.2">
      <c r="A340" s="3" t="s">
        <v>72</v>
      </c>
      <c r="B340" s="3" t="s">
        <v>73</v>
      </c>
      <c r="C340" s="3" t="s">
        <v>74</v>
      </c>
      <c r="E340" s="3" t="str">
        <f>"FES1162844507"</f>
        <v>FES1162844507</v>
      </c>
      <c r="F340" s="4">
        <v>44572</v>
      </c>
      <c r="G340" s="3">
        <v>202207</v>
      </c>
      <c r="H340" s="3" t="s">
        <v>75</v>
      </c>
      <c r="I340" s="3" t="s">
        <v>76</v>
      </c>
      <c r="J340" s="3" t="s">
        <v>77</v>
      </c>
      <c r="K340" s="3" t="s">
        <v>78</v>
      </c>
      <c r="L340" s="3" t="s">
        <v>90</v>
      </c>
      <c r="M340" s="3" t="s">
        <v>91</v>
      </c>
      <c r="N340" s="3" t="s">
        <v>132</v>
      </c>
      <c r="O340" s="3" t="s">
        <v>82</v>
      </c>
      <c r="P340" s="3" t="str">
        <f>"2170815520                    "</f>
        <v xml:space="preserve">2170815520                    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15.46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1</v>
      </c>
      <c r="BI340" s="3">
        <v>2</v>
      </c>
      <c r="BJ340" s="3">
        <v>1.1000000000000001</v>
      </c>
      <c r="BK340" s="3">
        <v>2</v>
      </c>
      <c r="BL340" s="3">
        <v>59</v>
      </c>
      <c r="BM340" s="3">
        <v>8.85</v>
      </c>
      <c r="BN340" s="3">
        <v>67.849999999999994</v>
      </c>
      <c r="BO340" s="3">
        <v>67.849999999999994</v>
      </c>
      <c r="BQ340" s="3" t="s">
        <v>83</v>
      </c>
      <c r="BR340" s="3" t="s">
        <v>84</v>
      </c>
      <c r="BS340" s="4">
        <v>44573</v>
      </c>
      <c r="BT340" s="5">
        <v>0.40972222222222227</v>
      </c>
      <c r="BU340" s="3" t="s">
        <v>595</v>
      </c>
      <c r="BV340" s="3" t="s">
        <v>105</v>
      </c>
      <c r="BY340" s="3">
        <v>5320</v>
      </c>
      <c r="BZ340" s="3" t="s">
        <v>165</v>
      </c>
      <c r="CA340" s="3" t="s">
        <v>596</v>
      </c>
      <c r="CC340" s="3" t="s">
        <v>91</v>
      </c>
      <c r="CD340" s="3">
        <v>7530</v>
      </c>
      <c r="CE340" s="3" t="s">
        <v>86</v>
      </c>
      <c r="CF340" s="4">
        <v>44574</v>
      </c>
      <c r="CI340" s="3">
        <v>1</v>
      </c>
      <c r="CJ340" s="3">
        <v>1</v>
      </c>
      <c r="CK340" s="3">
        <v>21</v>
      </c>
      <c r="CL340" s="3" t="s">
        <v>87</v>
      </c>
    </row>
    <row r="341" spans="1:90" x14ac:dyDescent="0.2">
      <c r="A341" s="3" t="s">
        <v>72</v>
      </c>
      <c r="B341" s="3" t="s">
        <v>73</v>
      </c>
      <c r="C341" s="3" t="s">
        <v>74</v>
      </c>
      <c r="E341" s="3" t="str">
        <f>"FES1162844505"</f>
        <v>FES1162844505</v>
      </c>
      <c r="F341" s="4">
        <v>44572</v>
      </c>
      <c r="G341" s="3">
        <v>202207</v>
      </c>
      <c r="H341" s="3" t="s">
        <v>75</v>
      </c>
      <c r="I341" s="3" t="s">
        <v>76</v>
      </c>
      <c r="J341" s="3" t="s">
        <v>77</v>
      </c>
      <c r="K341" s="3" t="s">
        <v>78</v>
      </c>
      <c r="L341" s="3" t="s">
        <v>138</v>
      </c>
      <c r="M341" s="3" t="s">
        <v>139</v>
      </c>
      <c r="N341" s="3" t="s">
        <v>152</v>
      </c>
      <c r="O341" s="3" t="s">
        <v>82</v>
      </c>
      <c r="P341" s="3" t="str">
        <f>"2170815135                    "</f>
        <v xml:space="preserve">2170815135                    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15.46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1</v>
      </c>
      <c r="BI341" s="3">
        <v>1</v>
      </c>
      <c r="BJ341" s="3">
        <v>0.2</v>
      </c>
      <c r="BK341" s="3">
        <v>1</v>
      </c>
      <c r="BL341" s="3">
        <v>59</v>
      </c>
      <c r="BM341" s="3">
        <v>8.85</v>
      </c>
      <c r="BN341" s="3">
        <v>67.849999999999994</v>
      </c>
      <c r="BO341" s="3">
        <v>67.849999999999994</v>
      </c>
      <c r="BQ341" s="3" t="s">
        <v>83</v>
      </c>
      <c r="BR341" s="3" t="s">
        <v>84</v>
      </c>
      <c r="BS341" s="4">
        <v>44573</v>
      </c>
      <c r="BT341" s="5">
        <v>0.50624999999999998</v>
      </c>
      <c r="BU341" s="3" t="s">
        <v>655</v>
      </c>
      <c r="BV341" s="3" t="s">
        <v>87</v>
      </c>
      <c r="BW341" s="3" t="s">
        <v>278</v>
      </c>
      <c r="BX341" s="3" t="s">
        <v>279</v>
      </c>
      <c r="BY341" s="3">
        <v>1200</v>
      </c>
      <c r="BZ341" s="3" t="s">
        <v>165</v>
      </c>
      <c r="CA341" s="3" t="s">
        <v>303</v>
      </c>
      <c r="CC341" s="3" t="s">
        <v>139</v>
      </c>
      <c r="CD341" s="3">
        <v>3610</v>
      </c>
      <c r="CE341" s="3" t="s">
        <v>93</v>
      </c>
      <c r="CF341" s="4">
        <v>44574</v>
      </c>
      <c r="CI341" s="3">
        <v>1</v>
      </c>
      <c r="CJ341" s="3">
        <v>1</v>
      </c>
      <c r="CK341" s="3">
        <v>21</v>
      </c>
      <c r="CL341" s="3" t="s">
        <v>87</v>
      </c>
    </row>
    <row r="342" spans="1:90" x14ac:dyDescent="0.2">
      <c r="A342" s="3" t="s">
        <v>72</v>
      </c>
      <c r="B342" s="3" t="s">
        <v>73</v>
      </c>
      <c r="C342" s="3" t="s">
        <v>74</v>
      </c>
      <c r="E342" s="3" t="str">
        <f>"FES1162844574"</f>
        <v>FES1162844574</v>
      </c>
      <c r="F342" s="4">
        <v>44572</v>
      </c>
      <c r="G342" s="3">
        <v>202207</v>
      </c>
      <c r="H342" s="3" t="s">
        <v>75</v>
      </c>
      <c r="I342" s="3" t="s">
        <v>76</v>
      </c>
      <c r="J342" s="3" t="s">
        <v>77</v>
      </c>
      <c r="K342" s="3" t="s">
        <v>78</v>
      </c>
      <c r="L342" s="3" t="s">
        <v>75</v>
      </c>
      <c r="M342" s="3" t="s">
        <v>76</v>
      </c>
      <c r="N342" s="3" t="s">
        <v>147</v>
      </c>
      <c r="O342" s="3" t="s">
        <v>82</v>
      </c>
      <c r="P342" s="3" t="str">
        <f>"2170814910                    "</f>
        <v xml:space="preserve">2170814910                    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12.07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1</v>
      </c>
      <c r="BI342" s="3">
        <v>4</v>
      </c>
      <c r="BJ342" s="3">
        <v>4.0999999999999996</v>
      </c>
      <c r="BK342" s="3">
        <v>4.5</v>
      </c>
      <c r="BL342" s="3">
        <v>46.08</v>
      </c>
      <c r="BM342" s="3">
        <v>6.91</v>
      </c>
      <c r="BN342" s="3">
        <v>52.99</v>
      </c>
      <c r="BO342" s="3">
        <v>52.99</v>
      </c>
      <c r="BQ342" s="3" t="s">
        <v>89</v>
      </c>
      <c r="BR342" s="3" t="s">
        <v>84</v>
      </c>
      <c r="BS342" s="4">
        <v>44573</v>
      </c>
      <c r="BT342" s="5">
        <v>0.41736111111111113</v>
      </c>
      <c r="BU342" s="3" t="s">
        <v>656</v>
      </c>
      <c r="BV342" s="3" t="s">
        <v>105</v>
      </c>
      <c r="BY342" s="3">
        <v>20358</v>
      </c>
      <c r="BZ342" s="3" t="s">
        <v>165</v>
      </c>
      <c r="CA342" s="3" t="s">
        <v>477</v>
      </c>
      <c r="CC342" s="3" t="s">
        <v>76</v>
      </c>
      <c r="CD342" s="3">
        <v>1645</v>
      </c>
      <c r="CE342" s="3" t="s">
        <v>86</v>
      </c>
      <c r="CF342" s="4">
        <v>44574</v>
      </c>
      <c r="CI342" s="3">
        <v>1</v>
      </c>
      <c r="CJ342" s="3">
        <v>1</v>
      </c>
      <c r="CK342" s="3">
        <v>22</v>
      </c>
      <c r="CL342" s="3" t="s">
        <v>87</v>
      </c>
    </row>
    <row r="343" spans="1:90" x14ac:dyDescent="0.2">
      <c r="A343" s="3" t="s">
        <v>72</v>
      </c>
      <c r="B343" s="3" t="s">
        <v>73</v>
      </c>
      <c r="C343" s="3" t="s">
        <v>74</v>
      </c>
      <c r="E343" s="3" t="str">
        <f>"FES1162844671"</f>
        <v>FES1162844671</v>
      </c>
      <c r="F343" s="4">
        <v>44572</v>
      </c>
      <c r="G343" s="3">
        <v>202207</v>
      </c>
      <c r="H343" s="3" t="s">
        <v>75</v>
      </c>
      <c r="I343" s="3" t="s">
        <v>76</v>
      </c>
      <c r="J343" s="3" t="s">
        <v>77</v>
      </c>
      <c r="K343" s="3" t="s">
        <v>78</v>
      </c>
      <c r="L343" s="3" t="s">
        <v>254</v>
      </c>
      <c r="M343" s="3" t="s">
        <v>255</v>
      </c>
      <c r="N343" s="3" t="s">
        <v>256</v>
      </c>
      <c r="O343" s="3" t="s">
        <v>82</v>
      </c>
      <c r="P343" s="3" t="str">
        <f>"2170816249                    "</f>
        <v xml:space="preserve">2170816249                    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15.46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1</v>
      </c>
      <c r="BI343" s="3">
        <v>1</v>
      </c>
      <c r="BJ343" s="3">
        <v>0.2</v>
      </c>
      <c r="BK343" s="3">
        <v>1</v>
      </c>
      <c r="BL343" s="3">
        <v>59</v>
      </c>
      <c r="BM343" s="3">
        <v>8.85</v>
      </c>
      <c r="BN343" s="3">
        <v>67.849999999999994</v>
      </c>
      <c r="BO343" s="3">
        <v>67.849999999999994</v>
      </c>
      <c r="BQ343" s="3" t="s">
        <v>89</v>
      </c>
      <c r="BR343" s="3" t="s">
        <v>84</v>
      </c>
      <c r="BS343" s="4">
        <v>44573</v>
      </c>
      <c r="BT343" s="5">
        <v>0.40416666666666662</v>
      </c>
      <c r="BU343" s="3" t="s">
        <v>657</v>
      </c>
      <c r="BV343" s="3" t="s">
        <v>105</v>
      </c>
      <c r="BY343" s="3">
        <v>1200</v>
      </c>
      <c r="BZ343" s="3" t="s">
        <v>165</v>
      </c>
      <c r="CA343" s="3" t="s">
        <v>328</v>
      </c>
      <c r="CC343" s="3" t="s">
        <v>255</v>
      </c>
      <c r="CD343" s="3">
        <v>6536</v>
      </c>
      <c r="CE343" s="3" t="s">
        <v>93</v>
      </c>
      <c r="CF343" s="4">
        <v>44573</v>
      </c>
      <c r="CI343" s="3">
        <v>1</v>
      </c>
      <c r="CJ343" s="3">
        <v>1</v>
      </c>
      <c r="CK343" s="3">
        <v>21</v>
      </c>
      <c r="CL343" s="3" t="s">
        <v>87</v>
      </c>
    </row>
    <row r="344" spans="1:90" x14ac:dyDescent="0.2">
      <c r="A344" s="3" t="s">
        <v>72</v>
      </c>
      <c r="B344" s="3" t="s">
        <v>73</v>
      </c>
      <c r="C344" s="3" t="s">
        <v>74</v>
      </c>
      <c r="E344" s="3" t="str">
        <f>"FES1162844552"</f>
        <v>FES1162844552</v>
      </c>
      <c r="F344" s="4">
        <v>44572</v>
      </c>
      <c r="G344" s="3">
        <v>202207</v>
      </c>
      <c r="H344" s="3" t="s">
        <v>75</v>
      </c>
      <c r="I344" s="3" t="s">
        <v>76</v>
      </c>
      <c r="J344" s="3" t="s">
        <v>77</v>
      </c>
      <c r="K344" s="3" t="s">
        <v>78</v>
      </c>
      <c r="L344" s="3" t="s">
        <v>312</v>
      </c>
      <c r="M344" s="3" t="s">
        <v>313</v>
      </c>
      <c r="N344" s="3" t="s">
        <v>314</v>
      </c>
      <c r="O344" s="3" t="s">
        <v>82</v>
      </c>
      <c r="P344" s="3" t="str">
        <f>"2170807581                    "</f>
        <v xml:space="preserve">2170807581                    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15.46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1</v>
      </c>
      <c r="BI344" s="3">
        <v>1</v>
      </c>
      <c r="BJ344" s="3">
        <v>0.2</v>
      </c>
      <c r="BK344" s="3">
        <v>1</v>
      </c>
      <c r="BL344" s="3">
        <v>59</v>
      </c>
      <c r="BM344" s="3">
        <v>8.85</v>
      </c>
      <c r="BN344" s="3">
        <v>67.849999999999994</v>
      </c>
      <c r="BO344" s="3">
        <v>67.849999999999994</v>
      </c>
      <c r="BR344" s="3" t="s">
        <v>84</v>
      </c>
      <c r="BS344" s="4">
        <v>44573</v>
      </c>
      <c r="BT344" s="5">
        <v>0.41041666666666665</v>
      </c>
      <c r="BU344" s="3" t="s">
        <v>658</v>
      </c>
      <c r="BV344" s="3" t="s">
        <v>105</v>
      </c>
      <c r="BY344" s="3">
        <v>1200</v>
      </c>
      <c r="BZ344" s="3" t="s">
        <v>165</v>
      </c>
      <c r="CA344" s="3" t="s">
        <v>316</v>
      </c>
      <c r="CC344" s="3" t="s">
        <v>313</v>
      </c>
      <c r="CD344" s="3">
        <v>1240</v>
      </c>
      <c r="CE344" s="3" t="s">
        <v>93</v>
      </c>
      <c r="CF344" s="4">
        <v>44573</v>
      </c>
      <c r="CI344" s="3">
        <v>1</v>
      </c>
      <c r="CJ344" s="3">
        <v>1</v>
      </c>
      <c r="CK344" s="3">
        <v>21</v>
      </c>
      <c r="CL344" s="3" t="s">
        <v>87</v>
      </c>
    </row>
    <row r="345" spans="1:90" x14ac:dyDescent="0.2">
      <c r="A345" s="3" t="s">
        <v>72</v>
      </c>
      <c r="B345" s="3" t="s">
        <v>73</v>
      </c>
      <c r="C345" s="3" t="s">
        <v>74</v>
      </c>
      <c r="E345" s="3" t="str">
        <f>"FES1162844531"</f>
        <v>FES1162844531</v>
      </c>
      <c r="F345" s="4">
        <v>44572</v>
      </c>
      <c r="G345" s="3">
        <v>202207</v>
      </c>
      <c r="H345" s="3" t="s">
        <v>75</v>
      </c>
      <c r="I345" s="3" t="s">
        <v>76</v>
      </c>
      <c r="J345" s="3" t="s">
        <v>77</v>
      </c>
      <c r="K345" s="3" t="s">
        <v>78</v>
      </c>
      <c r="L345" s="3" t="s">
        <v>94</v>
      </c>
      <c r="M345" s="3" t="s">
        <v>95</v>
      </c>
      <c r="N345" s="3" t="s">
        <v>179</v>
      </c>
      <c r="O345" s="3" t="s">
        <v>148</v>
      </c>
      <c r="P345" s="3" t="str">
        <f>"2170816188                    "</f>
        <v xml:space="preserve">2170816188                    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29.89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0</v>
      </c>
      <c r="AZ345" s="3">
        <v>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1</v>
      </c>
      <c r="BI345" s="3">
        <v>10</v>
      </c>
      <c r="BJ345" s="3">
        <v>5.5</v>
      </c>
      <c r="BK345" s="3">
        <v>10</v>
      </c>
      <c r="BL345" s="3">
        <v>119.34</v>
      </c>
      <c r="BM345" s="3">
        <v>17.899999999999999</v>
      </c>
      <c r="BN345" s="3">
        <v>137.24</v>
      </c>
      <c r="BO345" s="3">
        <v>137.24</v>
      </c>
      <c r="BQ345" s="3" t="s">
        <v>83</v>
      </c>
      <c r="BR345" s="3" t="s">
        <v>84</v>
      </c>
      <c r="BS345" s="4">
        <v>44573</v>
      </c>
      <c r="BT345" s="5">
        <v>0.4548611111111111</v>
      </c>
      <c r="BU345" s="3" t="s">
        <v>659</v>
      </c>
      <c r="BV345" s="3" t="s">
        <v>105</v>
      </c>
      <c r="BY345" s="3">
        <v>27360</v>
      </c>
      <c r="BZ345" s="3" t="s">
        <v>327</v>
      </c>
      <c r="CC345" s="3" t="s">
        <v>95</v>
      </c>
      <c r="CD345" s="3">
        <v>3201</v>
      </c>
      <c r="CE345" s="3" t="s">
        <v>86</v>
      </c>
      <c r="CF345" s="4">
        <v>44575</v>
      </c>
      <c r="CI345" s="3">
        <v>1</v>
      </c>
      <c r="CJ345" s="3">
        <v>1</v>
      </c>
      <c r="CK345" s="3">
        <v>41</v>
      </c>
      <c r="CL345" s="3" t="s">
        <v>87</v>
      </c>
    </row>
    <row r="346" spans="1:90" x14ac:dyDescent="0.2">
      <c r="A346" s="3" t="s">
        <v>72</v>
      </c>
      <c r="B346" s="3" t="s">
        <v>73</v>
      </c>
      <c r="C346" s="3" t="s">
        <v>74</v>
      </c>
      <c r="E346" s="3" t="str">
        <f>"FES1162844591"</f>
        <v>FES1162844591</v>
      </c>
      <c r="F346" s="4">
        <v>44572</v>
      </c>
      <c r="G346" s="3">
        <v>202207</v>
      </c>
      <c r="H346" s="3" t="s">
        <v>75</v>
      </c>
      <c r="I346" s="3" t="s">
        <v>76</v>
      </c>
      <c r="J346" s="3" t="s">
        <v>77</v>
      </c>
      <c r="K346" s="3" t="s">
        <v>78</v>
      </c>
      <c r="L346" s="3" t="s">
        <v>298</v>
      </c>
      <c r="M346" s="3" t="s">
        <v>299</v>
      </c>
      <c r="N346" s="3" t="s">
        <v>300</v>
      </c>
      <c r="O346" s="3" t="s">
        <v>82</v>
      </c>
      <c r="P346" s="3" t="str">
        <f>"2170815131                    "</f>
        <v xml:space="preserve">2170815131                    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29.95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0</v>
      </c>
      <c r="AZ346" s="3">
        <v>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1</v>
      </c>
      <c r="BI346" s="3">
        <v>1</v>
      </c>
      <c r="BJ346" s="3">
        <v>0.2</v>
      </c>
      <c r="BK346" s="3">
        <v>1</v>
      </c>
      <c r="BL346" s="3">
        <v>114.31</v>
      </c>
      <c r="BM346" s="3">
        <v>17.149999999999999</v>
      </c>
      <c r="BN346" s="3">
        <v>131.46</v>
      </c>
      <c r="BO346" s="3">
        <v>131.46</v>
      </c>
      <c r="BR346" s="3" t="s">
        <v>84</v>
      </c>
      <c r="BS346" s="4">
        <v>44573</v>
      </c>
      <c r="BT346" s="5">
        <v>0.4201388888888889</v>
      </c>
      <c r="BU346" s="3" t="s">
        <v>660</v>
      </c>
      <c r="BV346" s="3" t="s">
        <v>105</v>
      </c>
      <c r="BY346" s="3">
        <v>1200</v>
      </c>
      <c r="BZ346" s="3" t="s">
        <v>165</v>
      </c>
      <c r="CA346" s="3" t="s">
        <v>268</v>
      </c>
      <c r="CC346" s="3" t="s">
        <v>299</v>
      </c>
      <c r="CD346" s="3">
        <v>7349</v>
      </c>
      <c r="CE346" s="3" t="s">
        <v>93</v>
      </c>
      <c r="CF346" s="4">
        <v>44574</v>
      </c>
      <c r="CI346" s="3">
        <v>1</v>
      </c>
      <c r="CJ346" s="3">
        <v>1</v>
      </c>
      <c r="CK346" s="3">
        <v>23</v>
      </c>
      <c r="CL346" s="3" t="s">
        <v>87</v>
      </c>
    </row>
    <row r="347" spans="1:90" x14ac:dyDescent="0.2">
      <c r="A347" s="3" t="s">
        <v>72</v>
      </c>
      <c r="B347" s="3" t="s">
        <v>73</v>
      </c>
      <c r="C347" s="3" t="s">
        <v>74</v>
      </c>
      <c r="E347" s="3" t="str">
        <f>"FES1162844641"</f>
        <v>FES1162844641</v>
      </c>
      <c r="F347" s="4">
        <v>44572</v>
      </c>
      <c r="G347" s="3">
        <v>202207</v>
      </c>
      <c r="H347" s="3" t="s">
        <v>75</v>
      </c>
      <c r="I347" s="3" t="s">
        <v>76</v>
      </c>
      <c r="J347" s="3" t="s">
        <v>77</v>
      </c>
      <c r="K347" s="3" t="s">
        <v>78</v>
      </c>
      <c r="L347" s="3" t="s">
        <v>90</v>
      </c>
      <c r="M347" s="3" t="s">
        <v>91</v>
      </c>
      <c r="N347" s="3" t="s">
        <v>132</v>
      </c>
      <c r="O347" s="3" t="s">
        <v>82</v>
      </c>
      <c r="P347" s="3" t="str">
        <f>"2170815332                    "</f>
        <v xml:space="preserve">2170815332                    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15.46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1</v>
      </c>
      <c r="BI347" s="3">
        <v>1</v>
      </c>
      <c r="BJ347" s="3">
        <v>0.9</v>
      </c>
      <c r="BK347" s="3">
        <v>1</v>
      </c>
      <c r="BL347" s="3">
        <v>59</v>
      </c>
      <c r="BM347" s="3">
        <v>8.85</v>
      </c>
      <c r="BN347" s="3">
        <v>67.849999999999994</v>
      </c>
      <c r="BO347" s="3">
        <v>67.849999999999994</v>
      </c>
      <c r="BQ347" s="3" t="s">
        <v>83</v>
      </c>
      <c r="BR347" s="3" t="s">
        <v>84</v>
      </c>
      <c r="BS347" s="4">
        <v>44573</v>
      </c>
      <c r="BT347" s="5">
        <v>0.40972222222222227</v>
      </c>
      <c r="BU347" s="3" t="s">
        <v>595</v>
      </c>
      <c r="BV347" s="3" t="s">
        <v>105</v>
      </c>
      <c r="BY347" s="3">
        <v>4500</v>
      </c>
      <c r="BZ347" s="3" t="s">
        <v>165</v>
      </c>
      <c r="CA347" s="3" t="s">
        <v>596</v>
      </c>
      <c r="CC347" s="3" t="s">
        <v>91</v>
      </c>
      <c r="CD347" s="3">
        <v>7530</v>
      </c>
      <c r="CE347" s="3" t="s">
        <v>661</v>
      </c>
      <c r="CF347" s="4">
        <v>44574</v>
      </c>
      <c r="CI347" s="3">
        <v>1</v>
      </c>
      <c r="CJ347" s="3">
        <v>1</v>
      </c>
      <c r="CK347" s="3">
        <v>21</v>
      </c>
      <c r="CL347" s="3" t="s">
        <v>87</v>
      </c>
    </row>
    <row r="348" spans="1:90" x14ac:dyDescent="0.2">
      <c r="A348" s="3" t="s">
        <v>72</v>
      </c>
      <c r="B348" s="3" t="s">
        <v>73</v>
      </c>
      <c r="C348" s="3" t="s">
        <v>74</v>
      </c>
      <c r="E348" s="3" t="str">
        <f>"FES1162844643"</f>
        <v>FES1162844643</v>
      </c>
      <c r="F348" s="4">
        <v>44572</v>
      </c>
      <c r="G348" s="3">
        <v>202207</v>
      </c>
      <c r="H348" s="3" t="s">
        <v>75</v>
      </c>
      <c r="I348" s="3" t="s">
        <v>76</v>
      </c>
      <c r="J348" s="3" t="s">
        <v>77</v>
      </c>
      <c r="K348" s="3" t="s">
        <v>78</v>
      </c>
      <c r="L348" s="3" t="s">
        <v>427</v>
      </c>
      <c r="M348" s="3" t="s">
        <v>428</v>
      </c>
      <c r="N348" s="3" t="s">
        <v>447</v>
      </c>
      <c r="O348" s="3" t="s">
        <v>82</v>
      </c>
      <c r="P348" s="3" t="str">
        <f>"2170816220                    "</f>
        <v xml:space="preserve">2170816220                    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29.95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0</v>
      </c>
      <c r="AZ348" s="3">
        <v>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1</v>
      </c>
      <c r="BI348" s="3">
        <v>1</v>
      </c>
      <c r="BJ348" s="3">
        <v>1.1000000000000001</v>
      </c>
      <c r="BK348" s="3">
        <v>1.5</v>
      </c>
      <c r="BL348" s="3">
        <v>114.31</v>
      </c>
      <c r="BM348" s="3">
        <v>17.149999999999999</v>
      </c>
      <c r="BN348" s="3">
        <v>131.46</v>
      </c>
      <c r="BO348" s="3">
        <v>131.46</v>
      </c>
      <c r="BQ348" s="3" t="s">
        <v>89</v>
      </c>
      <c r="BR348" s="3" t="s">
        <v>84</v>
      </c>
      <c r="BS348" s="4">
        <v>44573</v>
      </c>
      <c r="BT348" s="5">
        <v>0.56458333333333333</v>
      </c>
      <c r="BU348" s="3" t="s">
        <v>662</v>
      </c>
      <c r="BV348" s="3" t="s">
        <v>87</v>
      </c>
      <c r="BW348" s="3" t="s">
        <v>579</v>
      </c>
      <c r="BX348" s="3" t="s">
        <v>580</v>
      </c>
      <c r="BY348" s="3">
        <v>5265</v>
      </c>
      <c r="BZ348" s="3" t="s">
        <v>165</v>
      </c>
      <c r="CA348" s="3" t="s">
        <v>488</v>
      </c>
      <c r="CC348" s="3" t="s">
        <v>428</v>
      </c>
      <c r="CD348" s="3">
        <v>7130</v>
      </c>
      <c r="CE348" s="3" t="s">
        <v>86</v>
      </c>
      <c r="CF348" s="4">
        <v>44574</v>
      </c>
      <c r="CI348" s="3">
        <v>1</v>
      </c>
      <c r="CJ348" s="3">
        <v>1</v>
      </c>
      <c r="CK348" s="3">
        <v>23</v>
      </c>
      <c r="CL348" s="3" t="s">
        <v>87</v>
      </c>
    </row>
    <row r="349" spans="1:90" x14ac:dyDescent="0.2">
      <c r="A349" s="3" t="s">
        <v>72</v>
      </c>
      <c r="B349" s="3" t="s">
        <v>73</v>
      </c>
      <c r="C349" s="3" t="s">
        <v>74</v>
      </c>
      <c r="E349" s="3" t="str">
        <f>"FES1162844598"</f>
        <v>FES1162844598</v>
      </c>
      <c r="F349" s="4">
        <v>44572</v>
      </c>
      <c r="G349" s="3">
        <v>202207</v>
      </c>
      <c r="H349" s="3" t="s">
        <v>75</v>
      </c>
      <c r="I349" s="3" t="s">
        <v>76</v>
      </c>
      <c r="J349" s="3" t="s">
        <v>77</v>
      </c>
      <c r="K349" s="3" t="s">
        <v>78</v>
      </c>
      <c r="L349" s="3" t="s">
        <v>187</v>
      </c>
      <c r="M349" s="3" t="s">
        <v>188</v>
      </c>
      <c r="N349" s="3" t="s">
        <v>189</v>
      </c>
      <c r="O349" s="3" t="s">
        <v>82</v>
      </c>
      <c r="P349" s="3" t="str">
        <f>"2170815193                    "</f>
        <v xml:space="preserve">2170815193                    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29.95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1</v>
      </c>
      <c r="BI349" s="3">
        <v>2</v>
      </c>
      <c r="BJ349" s="3">
        <v>2</v>
      </c>
      <c r="BK349" s="3">
        <v>2</v>
      </c>
      <c r="BL349" s="3">
        <v>114.31</v>
      </c>
      <c r="BM349" s="3">
        <v>17.149999999999999</v>
      </c>
      <c r="BN349" s="3">
        <v>131.46</v>
      </c>
      <c r="BO349" s="3">
        <v>131.46</v>
      </c>
      <c r="BQ349" s="3" t="s">
        <v>83</v>
      </c>
      <c r="BR349" s="3" t="s">
        <v>84</v>
      </c>
      <c r="BS349" s="4">
        <v>44573</v>
      </c>
      <c r="BT349" s="5">
        <v>0.56388888888888888</v>
      </c>
      <c r="BU349" s="3" t="s">
        <v>267</v>
      </c>
      <c r="BV349" s="3" t="s">
        <v>87</v>
      </c>
      <c r="BW349" s="3" t="s">
        <v>579</v>
      </c>
      <c r="BX349" s="3" t="s">
        <v>580</v>
      </c>
      <c r="BY349" s="3">
        <v>9918</v>
      </c>
      <c r="BZ349" s="3" t="s">
        <v>165</v>
      </c>
      <c r="CA349" s="3" t="s">
        <v>268</v>
      </c>
      <c r="CC349" s="3" t="s">
        <v>188</v>
      </c>
      <c r="CD349" s="3">
        <v>7300</v>
      </c>
      <c r="CE349" s="3" t="s">
        <v>86</v>
      </c>
      <c r="CF349" s="4">
        <v>44574</v>
      </c>
      <c r="CI349" s="3">
        <v>1</v>
      </c>
      <c r="CJ349" s="3">
        <v>1</v>
      </c>
      <c r="CK349" s="3">
        <v>23</v>
      </c>
      <c r="CL349" s="3" t="s">
        <v>87</v>
      </c>
    </row>
    <row r="350" spans="1:90" x14ac:dyDescent="0.2">
      <c r="A350" s="3" t="s">
        <v>72</v>
      </c>
      <c r="B350" s="3" t="s">
        <v>73</v>
      </c>
      <c r="C350" s="3" t="s">
        <v>74</v>
      </c>
      <c r="E350" s="3" t="str">
        <f>"FES1162844544"</f>
        <v>FES1162844544</v>
      </c>
      <c r="F350" s="4">
        <v>44572</v>
      </c>
      <c r="G350" s="3">
        <v>202207</v>
      </c>
      <c r="H350" s="3" t="s">
        <v>75</v>
      </c>
      <c r="I350" s="3" t="s">
        <v>76</v>
      </c>
      <c r="J350" s="3" t="s">
        <v>77</v>
      </c>
      <c r="K350" s="3" t="s">
        <v>78</v>
      </c>
      <c r="L350" s="3" t="s">
        <v>97</v>
      </c>
      <c r="M350" s="3" t="s">
        <v>98</v>
      </c>
      <c r="N350" s="3" t="s">
        <v>663</v>
      </c>
      <c r="O350" s="3" t="s">
        <v>82</v>
      </c>
      <c r="P350" s="3" t="str">
        <f>"2170816201                    "</f>
        <v xml:space="preserve">2170816201                    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12.07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1</v>
      </c>
      <c r="BI350" s="3">
        <v>4</v>
      </c>
      <c r="BJ350" s="3">
        <v>4.0999999999999996</v>
      </c>
      <c r="BK350" s="3">
        <v>4.5</v>
      </c>
      <c r="BL350" s="3">
        <v>46.08</v>
      </c>
      <c r="BM350" s="3">
        <v>6.91</v>
      </c>
      <c r="BN350" s="3">
        <v>52.99</v>
      </c>
      <c r="BO350" s="3">
        <v>52.99</v>
      </c>
      <c r="BR350" s="3" t="s">
        <v>84</v>
      </c>
      <c r="BS350" s="4">
        <v>44573</v>
      </c>
      <c r="BT350" s="5">
        <v>0.38194444444444442</v>
      </c>
      <c r="BU350" s="3" t="s">
        <v>664</v>
      </c>
      <c r="BV350" s="3" t="s">
        <v>105</v>
      </c>
      <c r="BY350" s="3">
        <v>20358</v>
      </c>
      <c r="BZ350" s="3" t="s">
        <v>165</v>
      </c>
      <c r="CA350" s="3" t="s">
        <v>665</v>
      </c>
      <c r="CC350" s="3" t="s">
        <v>98</v>
      </c>
      <c r="CD350" s="3">
        <v>2192</v>
      </c>
      <c r="CE350" s="3" t="s">
        <v>86</v>
      </c>
      <c r="CF350" s="4">
        <v>44573</v>
      </c>
      <c r="CI350" s="3">
        <v>1</v>
      </c>
      <c r="CJ350" s="3">
        <v>1</v>
      </c>
      <c r="CK350" s="3">
        <v>22</v>
      </c>
      <c r="CL350" s="3" t="s">
        <v>87</v>
      </c>
    </row>
    <row r="351" spans="1:90" x14ac:dyDescent="0.2">
      <c r="A351" s="3" t="s">
        <v>72</v>
      </c>
      <c r="B351" s="3" t="s">
        <v>73</v>
      </c>
      <c r="C351" s="3" t="s">
        <v>74</v>
      </c>
      <c r="E351" s="3" t="str">
        <f>"FES1162844682"</f>
        <v>FES1162844682</v>
      </c>
      <c r="F351" s="4">
        <v>44572</v>
      </c>
      <c r="G351" s="3">
        <v>202207</v>
      </c>
      <c r="H351" s="3" t="s">
        <v>75</v>
      </c>
      <c r="I351" s="3" t="s">
        <v>76</v>
      </c>
      <c r="J351" s="3" t="s">
        <v>77</v>
      </c>
      <c r="K351" s="3" t="s">
        <v>78</v>
      </c>
      <c r="L351" s="3" t="s">
        <v>101</v>
      </c>
      <c r="M351" s="3" t="s">
        <v>102</v>
      </c>
      <c r="N351" s="3" t="s">
        <v>666</v>
      </c>
      <c r="O351" s="3" t="s">
        <v>82</v>
      </c>
      <c r="P351" s="3" t="str">
        <f>"2170816261                    "</f>
        <v xml:space="preserve">2170816261                    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15.46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1</v>
      </c>
      <c r="BI351" s="3">
        <v>1</v>
      </c>
      <c r="BJ351" s="3">
        <v>0.2</v>
      </c>
      <c r="BK351" s="3">
        <v>1</v>
      </c>
      <c r="BL351" s="3">
        <v>59</v>
      </c>
      <c r="BM351" s="3">
        <v>8.85</v>
      </c>
      <c r="BN351" s="3">
        <v>67.849999999999994</v>
      </c>
      <c r="BO351" s="3">
        <v>67.849999999999994</v>
      </c>
      <c r="BQ351" s="3" t="s">
        <v>667</v>
      </c>
      <c r="BR351" s="3" t="s">
        <v>84</v>
      </c>
      <c r="BS351" s="4">
        <v>44573</v>
      </c>
      <c r="BT351" s="5">
        <v>0.4291666666666667</v>
      </c>
      <c r="BU351" s="3" t="s">
        <v>668</v>
      </c>
      <c r="BV351" s="3" t="s">
        <v>105</v>
      </c>
      <c r="BY351" s="3">
        <v>1200</v>
      </c>
      <c r="BZ351" s="3" t="s">
        <v>165</v>
      </c>
      <c r="CA351" s="3" t="s">
        <v>669</v>
      </c>
      <c r="CC351" s="3" t="s">
        <v>102</v>
      </c>
      <c r="CD351" s="3">
        <v>4051</v>
      </c>
      <c r="CE351" s="3" t="s">
        <v>93</v>
      </c>
      <c r="CF351" s="4">
        <v>44573</v>
      </c>
      <c r="CI351" s="3">
        <v>1</v>
      </c>
      <c r="CJ351" s="3">
        <v>1</v>
      </c>
      <c r="CK351" s="3">
        <v>21</v>
      </c>
      <c r="CL351" s="3" t="s">
        <v>87</v>
      </c>
    </row>
    <row r="352" spans="1:90" x14ac:dyDescent="0.2">
      <c r="A352" s="3" t="s">
        <v>72</v>
      </c>
      <c r="B352" s="3" t="s">
        <v>73</v>
      </c>
      <c r="C352" s="3" t="s">
        <v>74</v>
      </c>
      <c r="E352" s="3" t="str">
        <f>"FES1162844533"</f>
        <v>FES1162844533</v>
      </c>
      <c r="F352" s="4">
        <v>44572</v>
      </c>
      <c r="G352" s="3">
        <v>202207</v>
      </c>
      <c r="H352" s="3" t="s">
        <v>75</v>
      </c>
      <c r="I352" s="3" t="s">
        <v>76</v>
      </c>
      <c r="J352" s="3" t="s">
        <v>77</v>
      </c>
      <c r="K352" s="3" t="s">
        <v>78</v>
      </c>
      <c r="L352" s="3" t="s">
        <v>133</v>
      </c>
      <c r="M352" s="3" t="s">
        <v>134</v>
      </c>
      <c r="N352" s="3" t="s">
        <v>670</v>
      </c>
      <c r="O352" s="3" t="s">
        <v>82</v>
      </c>
      <c r="P352" s="3" t="str">
        <f>"2170816173                    "</f>
        <v xml:space="preserve">2170816173                    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21.74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0</v>
      </c>
      <c r="AZ352" s="3">
        <v>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1</v>
      </c>
      <c r="BI352" s="3">
        <v>1</v>
      </c>
      <c r="BJ352" s="3">
        <v>0.2</v>
      </c>
      <c r="BK352" s="3">
        <v>1</v>
      </c>
      <c r="BL352" s="3">
        <v>82.98</v>
      </c>
      <c r="BM352" s="3">
        <v>12.45</v>
      </c>
      <c r="BN352" s="3">
        <v>95.43</v>
      </c>
      <c r="BO352" s="3">
        <v>95.43</v>
      </c>
      <c r="BQ352" s="3" t="s">
        <v>671</v>
      </c>
      <c r="BR352" s="3" t="s">
        <v>84</v>
      </c>
      <c r="BS352" s="4">
        <v>44573</v>
      </c>
      <c r="BT352" s="5">
        <v>0.39583333333333331</v>
      </c>
      <c r="BU352" s="3" t="s">
        <v>672</v>
      </c>
      <c r="BV352" s="3" t="s">
        <v>105</v>
      </c>
      <c r="BY352" s="3">
        <v>1200</v>
      </c>
      <c r="BZ352" s="3" t="s">
        <v>165</v>
      </c>
      <c r="CA352" s="3" t="s">
        <v>673</v>
      </c>
      <c r="CC352" s="3" t="s">
        <v>134</v>
      </c>
      <c r="CD352" s="3">
        <v>1911</v>
      </c>
      <c r="CE352" s="3" t="s">
        <v>93</v>
      </c>
      <c r="CF352" s="4">
        <v>44573</v>
      </c>
      <c r="CI352" s="3">
        <v>1</v>
      </c>
      <c r="CJ352" s="3">
        <v>1</v>
      </c>
      <c r="CK352" s="3">
        <v>24</v>
      </c>
      <c r="CL352" s="3" t="s">
        <v>87</v>
      </c>
    </row>
    <row r="353" spans="1:90" x14ac:dyDescent="0.2">
      <c r="A353" s="3" t="s">
        <v>72</v>
      </c>
      <c r="B353" s="3" t="s">
        <v>73</v>
      </c>
      <c r="C353" s="3" t="s">
        <v>74</v>
      </c>
      <c r="E353" s="3" t="str">
        <f>"FES1162844519"</f>
        <v>FES1162844519</v>
      </c>
      <c r="F353" s="4">
        <v>44572</v>
      </c>
      <c r="G353" s="3">
        <v>202207</v>
      </c>
      <c r="H353" s="3" t="s">
        <v>75</v>
      </c>
      <c r="I353" s="3" t="s">
        <v>76</v>
      </c>
      <c r="J353" s="3" t="s">
        <v>77</v>
      </c>
      <c r="K353" s="3" t="s">
        <v>78</v>
      </c>
      <c r="L353" s="3" t="s">
        <v>241</v>
      </c>
      <c r="M353" s="3" t="s">
        <v>242</v>
      </c>
      <c r="N353" s="3" t="s">
        <v>243</v>
      </c>
      <c r="O353" s="3" t="s">
        <v>82</v>
      </c>
      <c r="P353" s="3" t="str">
        <f>"2170816163                    "</f>
        <v xml:space="preserve">2170816163                    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15.46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1</v>
      </c>
      <c r="BI353" s="3">
        <v>1</v>
      </c>
      <c r="BJ353" s="3">
        <v>0.2</v>
      </c>
      <c r="BK353" s="3">
        <v>1</v>
      </c>
      <c r="BL353" s="3">
        <v>59</v>
      </c>
      <c r="BM353" s="3">
        <v>8.85</v>
      </c>
      <c r="BN353" s="3">
        <v>67.849999999999994</v>
      </c>
      <c r="BO353" s="3">
        <v>67.849999999999994</v>
      </c>
      <c r="BQ353" s="3" t="s">
        <v>83</v>
      </c>
      <c r="BR353" s="3" t="s">
        <v>84</v>
      </c>
      <c r="BS353" s="4">
        <v>44573</v>
      </c>
      <c r="BT353" s="5">
        <v>0.36874999999999997</v>
      </c>
      <c r="BU353" s="3" t="s">
        <v>674</v>
      </c>
      <c r="BV353" s="3" t="s">
        <v>105</v>
      </c>
      <c r="BY353" s="3">
        <v>1200</v>
      </c>
      <c r="BZ353" s="3" t="s">
        <v>165</v>
      </c>
      <c r="CA353" s="3" t="s">
        <v>675</v>
      </c>
      <c r="CC353" s="3" t="s">
        <v>242</v>
      </c>
      <c r="CD353" s="3">
        <v>7600</v>
      </c>
      <c r="CE353" s="3" t="s">
        <v>93</v>
      </c>
      <c r="CF353" s="4">
        <v>44574</v>
      </c>
      <c r="CI353" s="3">
        <v>1</v>
      </c>
      <c r="CJ353" s="3">
        <v>1</v>
      </c>
      <c r="CK353" s="3">
        <v>21</v>
      </c>
      <c r="CL353" s="3" t="s">
        <v>87</v>
      </c>
    </row>
    <row r="354" spans="1:90" x14ac:dyDescent="0.2">
      <c r="A354" s="3" t="s">
        <v>72</v>
      </c>
      <c r="B354" s="3" t="s">
        <v>73</v>
      </c>
      <c r="C354" s="3" t="s">
        <v>74</v>
      </c>
      <c r="E354" s="3" t="str">
        <f>"FES1162844576"</f>
        <v>FES1162844576</v>
      </c>
      <c r="F354" s="4">
        <v>44572</v>
      </c>
      <c r="G354" s="3">
        <v>202207</v>
      </c>
      <c r="H354" s="3" t="s">
        <v>75</v>
      </c>
      <c r="I354" s="3" t="s">
        <v>76</v>
      </c>
      <c r="J354" s="3" t="s">
        <v>77</v>
      </c>
      <c r="K354" s="3" t="s">
        <v>78</v>
      </c>
      <c r="L354" s="3" t="s">
        <v>171</v>
      </c>
      <c r="M354" s="3" t="s">
        <v>172</v>
      </c>
      <c r="N354" s="3" t="s">
        <v>539</v>
      </c>
      <c r="O354" s="3" t="s">
        <v>82</v>
      </c>
      <c r="P354" s="3" t="str">
        <f>"2170814930                    "</f>
        <v xml:space="preserve">2170814930                    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15.46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1</v>
      </c>
      <c r="BI354" s="3">
        <v>1</v>
      </c>
      <c r="BJ354" s="3">
        <v>0.2</v>
      </c>
      <c r="BK354" s="3">
        <v>1</v>
      </c>
      <c r="BL354" s="3">
        <v>59</v>
      </c>
      <c r="BM354" s="3">
        <v>8.85</v>
      </c>
      <c r="BN354" s="3">
        <v>67.849999999999994</v>
      </c>
      <c r="BO354" s="3">
        <v>67.849999999999994</v>
      </c>
      <c r="BQ354" s="3" t="s">
        <v>83</v>
      </c>
      <c r="BR354" s="3" t="s">
        <v>84</v>
      </c>
      <c r="BS354" s="4">
        <v>44573</v>
      </c>
      <c r="BT354" s="5">
        <v>0.49374999999999997</v>
      </c>
      <c r="BU354" s="3" t="s">
        <v>540</v>
      </c>
      <c r="BV354" s="3" t="s">
        <v>87</v>
      </c>
      <c r="BW354" s="3" t="s">
        <v>457</v>
      </c>
      <c r="BX354" s="3" t="s">
        <v>486</v>
      </c>
      <c r="BY354" s="3">
        <v>1200</v>
      </c>
      <c r="BZ354" s="3" t="s">
        <v>165</v>
      </c>
      <c r="CA354" s="3" t="s">
        <v>263</v>
      </c>
      <c r="CC354" s="3" t="s">
        <v>172</v>
      </c>
      <c r="CD354" s="3">
        <v>6012</v>
      </c>
      <c r="CE354" s="3" t="s">
        <v>93</v>
      </c>
      <c r="CF354" s="4">
        <v>44574</v>
      </c>
      <c r="CI354" s="3">
        <v>1</v>
      </c>
      <c r="CJ354" s="3">
        <v>1</v>
      </c>
      <c r="CK354" s="3">
        <v>21</v>
      </c>
      <c r="CL354" s="3" t="s">
        <v>87</v>
      </c>
    </row>
    <row r="355" spans="1:90" x14ac:dyDescent="0.2">
      <c r="A355" s="3" t="s">
        <v>72</v>
      </c>
      <c r="B355" s="3" t="s">
        <v>73</v>
      </c>
      <c r="C355" s="3" t="s">
        <v>74</v>
      </c>
      <c r="E355" s="3" t="str">
        <f>"FES1162844418"</f>
        <v>FES1162844418</v>
      </c>
      <c r="F355" s="4">
        <v>44572</v>
      </c>
      <c r="G355" s="3">
        <v>202207</v>
      </c>
      <c r="H355" s="3" t="s">
        <v>75</v>
      </c>
      <c r="I355" s="3" t="s">
        <v>76</v>
      </c>
      <c r="J355" s="3" t="s">
        <v>77</v>
      </c>
      <c r="K355" s="3" t="s">
        <v>78</v>
      </c>
      <c r="L355" s="3" t="s">
        <v>97</v>
      </c>
      <c r="M355" s="3" t="s">
        <v>98</v>
      </c>
      <c r="N355" s="3" t="s">
        <v>644</v>
      </c>
      <c r="O355" s="3" t="s">
        <v>82</v>
      </c>
      <c r="P355" s="3" t="str">
        <f>"2170816047                    "</f>
        <v xml:space="preserve">2170816047                    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12.07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1</v>
      </c>
      <c r="BI355" s="3">
        <v>1</v>
      </c>
      <c r="BJ355" s="3">
        <v>0.2</v>
      </c>
      <c r="BK355" s="3">
        <v>1</v>
      </c>
      <c r="BL355" s="3">
        <v>46.08</v>
      </c>
      <c r="BM355" s="3">
        <v>6.91</v>
      </c>
      <c r="BN355" s="3">
        <v>52.99</v>
      </c>
      <c r="BO355" s="3">
        <v>52.99</v>
      </c>
      <c r="BQ355" s="3" t="s">
        <v>126</v>
      </c>
      <c r="BR355" s="3" t="s">
        <v>84</v>
      </c>
      <c r="BS355" s="4">
        <v>44573</v>
      </c>
      <c r="BT355" s="5">
        <v>0.35555555555555557</v>
      </c>
      <c r="BU355" s="3" t="s">
        <v>645</v>
      </c>
      <c r="BV355" s="3" t="s">
        <v>105</v>
      </c>
      <c r="BY355" s="3">
        <v>1200</v>
      </c>
      <c r="BZ355" s="3" t="s">
        <v>165</v>
      </c>
      <c r="CA355" s="3" t="s">
        <v>297</v>
      </c>
      <c r="CC355" s="3" t="s">
        <v>98</v>
      </c>
      <c r="CD355" s="3">
        <v>2013</v>
      </c>
      <c r="CE355" s="3" t="s">
        <v>93</v>
      </c>
      <c r="CF355" s="4">
        <v>44574</v>
      </c>
      <c r="CI355" s="3">
        <v>1</v>
      </c>
      <c r="CJ355" s="3">
        <v>1</v>
      </c>
      <c r="CK355" s="3">
        <v>22</v>
      </c>
      <c r="CL355" s="3" t="s">
        <v>87</v>
      </c>
    </row>
    <row r="356" spans="1:90" x14ac:dyDescent="0.2">
      <c r="A356" s="3" t="s">
        <v>72</v>
      </c>
      <c r="B356" s="3" t="s">
        <v>73</v>
      </c>
      <c r="C356" s="3" t="s">
        <v>74</v>
      </c>
      <c r="E356" s="3" t="str">
        <f>"FES1162844606"</f>
        <v>FES1162844606</v>
      </c>
      <c r="F356" s="4">
        <v>44572</v>
      </c>
      <c r="G356" s="3">
        <v>202207</v>
      </c>
      <c r="H356" s="3" t="s">
        <v>75</v>
      </c>
      <c r="I356" s="3" t="s">
        <v>76</v>
      </c>
      <c r="J356" s="3" t="s">
        <v>77</v>
      </c>
      <c r="K356" s="3" t="s">
        <v>78</v>
      </c>
      <c r="L356" s="3" t="s">
        <v>79</v>
      </c>
      <c r="M356" s="3" t="s">
        <v>80</v>
      </c>
      <c r="N356" s="3" t="s">
        <v>248</v>
      </c>
      <c r="O356" s="3" t="s">
        <v>82</v>
      </c>
      <c r="P356" s="3" t="str">
        <f>"1162844606                    "</f>
        <v xml:space="preserve">1162844606                    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15.46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1</v>
      </c>
      <c r="BI356" s="3">
        <v>1</v>
      </c>
      <c r="BJ356" s="3">
        <v>0.2</v>
      </c>
      <c r="BK356" s="3">
        <v>1</v>
      </c>
      <c r="BL356" s="3">
        <v>59</v>
      </c>
      <c r="BM356" s="3">
        <v>8.85</v>
      </c>
      <c r="BN356" s="3">
        <v>67.849999999999994</v>
      </c>
      <c r="BO356" s="3">
        <v>67.849999999999994</v>
      </c>
      <c r="BQ356" s="3" t="s">
        <v>83</v>
      </c>
      <c r="BR356" s="3" t="s">
        <v>84</v>
      </c>
      <c r="BS356" s="4">
        <v>44573</v>
      </c>
      <c r="BT356" s="5">
        <v>0.40833333333333338</v>
      </c>
      <c r="BU356" s="3" t="s">
        <v>507</v>
      </c>
      <c r="BV356" s="3" t="s">
        <v>105</v>
      </c>
      <c r="BY356" s="3">
        <v>1200</v>
      </c>
      <c r="BZ356" s="3" t="s">
        <v>165</v>
      </c>
      <c r="CA356" s="3" t="s">
        <v>362</v>
      </c>
      <c r="CC356" s="3" t="s">
        <v>80</v>
      </c>
      <c r="CD356" s="3">
        <v>1</v>
      </c>
      <c r="CE356" s="3" t="s">
        <v>93</v>
      </c>
      <c r="CF356" s="4">
        <v>44573</v>
      </c>
      <c r="CI356" s="3">
        <v>1</v>
      </c>
      <c r="CJ356" s="3">
        <v>1</v>
      </c>
      <c r="CK356" s="3">
        <v>21</v>
      </c>
      <c r="CL356" s="3" t="s">
        <v>87</v>
      </c>
    </row>
    <row r="357" spans="1:90" x14ac:dyDescent="0.2">
      <c r="A357" s="3" t="s">
        <v>72</v>
      </c>
      <c r="B357" s="3" t="s">
        <v>73</v>
      </c>
      <c r="C357" s="3" t="s">
        <v>74</v>
      </c>
      <c r="E357" s="3" t="str">
        <f>"FES1162844553"</f>
        <v>FES1162844553</v>
      </c>
      <c r="F357" s="4">
        <v>44572</v>
      </c>
      <c r="G357" s="3">
        <v>202207</v>
      </c>
      <c r="H357" s="3" t="s">
        <v>75</v>
      </c>
      <c r="I357" s="3" t="s">
        <v>76</v>
      </c>
      <c r="J357" s="3" t="s">
        <v>77</v>
      </c>
      <c r="K357" s="3" t="s">
        <v>78</v>
      </c>
      <c r="L357" s="3" t="s">
        <v>298</v>
      </c>
      <c r="M357" s="3" t="s">
        <v>299</v>
      </c>
      <c r="N357" s="3" t="s">
        <v>300</v>
      </c>
      <c r="O357" s="3" t="s">
        <v>82</v>
      </c>
      <c r="P357" s="3" t="str">
        <f>"2170808421                    "</f>
        <v xml:space="preserve">2170808421                    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29.95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1</v>
      </c>
      <c r="BI357" s="3">
        <v>1</v>
      </c>
      <c r="BJ357" s="3">
        <v>0.2</v>
      </c>
      <c r="BK357" s="3">
        <v>1</v>
      </c>
      <c r="BL357" s="3">
        <v>114.31</v>
      </c>
      <c r="BM357" s="3">
        <v>17.149999999999999</v>
      </c>
      <c r="BN357" s="3">
        <v>131.46</v>
      </c>
      <c r="BO357" s="3">
        <v>131.46</v>
      </c>
      <c r="BR357" s="3" t="s">
        <v>84</v>
      </c>
      <c r="BS357" s="4">
        <v>44573</v>
      </c>
      <c r="BT357" s="5">
        <v>0.41944444444444445</v>
      </c>
      <c r="BU357" s="3" t="s">
        <v>660</v>
      </c>
      <c r="BV357" s="3" t="s">
        <v>105</v>
      </c>
      <c r="BY357" s="3">
        <v>1200</v>
      </c>
      <c r="BZ357" s="3" t="s">
        <v>165</v>
      </c>
      <c r="CA357" s="3" t="s">
        <v>268</v>
      </c>
      <c r="CC357" s="3" t="s">
        <v>299</v>
      </c>
      <c r="CD357" s="3">
        <v>7349</v>
      </c>
      <c r="CE357" s="3" t="s">
        <v>93</v>
      </c>
      <c r="CF357" s="4">
        <v>44574</v>
      </c>
      <c r="CI357" s="3">
        <v>1</v>
      </c>
      <c r="CJ357" s="3">
        <v>1</v>
      </c>
      <c r="CK357" s="3">
        <v>23</v>
      </c>
      <c r="CL357" s="3" t="s">
        <v>87</v>
      </c>
    </row>
    <row r="358" spans="1:90" x14ac:dyDescent="0.2">
      <c r="A358" s="3" t="s">
        <v>72</v>
      </c>
      <c r="B358" s="3" t="s">
        <v>73</v>
      </c>
      <c r="C358" s="3" t="s">
        <v>74</v>
      </c>
      <c r="E358" s="3" t="str">
        <f>"FES1162844557"</f>
        <v>FES1162844557</v>
      </c>
      <c r="F358" s="4">
        <v>44572</v>
      </c>
      <c r="G358" s="3">
        <v>202207</v>
      </c>
      <c r="H358" s="3" t="s">
        <v>75</v>
      </c>
      <c r="I358" s="3" t="s">
        <v>76</v>
      </c>
      <c r="J358" s="3" t="s">
        <v>77</v>
      </c>
      <c r="K358" s="3" t="s">
        <v>78</v>
      </c>
      <c r="L358" s="3" t="s">
        <v>75</v>
      </c>
      <c r="M358" s="3" t="s">
        <v>76</v>
      </c>
      <c r="N358" s="3" t="s">
        <v>147</v>
      </c>
      <c r="O358" s="3" t="s">
        <v>82</v>
      </c>
      <c r="P358" s="3" t="str">
        <f>"2170811873                    "</f>
        <v xml:space="preserve">2170811873                    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12.07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0</v>
      </c>
      <c r="AZ358" s="3">
        <v>0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1</v>
      </c>
      <c r="BI358" s="3">
        <v>1</v>
      </c>
      <c r="BJ358" s="3">
        <v>0.2</v>
      </c>
      <c r="BK358" s="3">
        <v>1</v>
      </c>
      <c r="BL358" s="3">
        <v>46.08</v>
      </c>
      <c r="BM358" s="3">
        <v>6.91</v>
      </c>
      <c r="BN358" s="3">
        <v>52.99</v>
      </c>
      <c r="BO358" s="3">
        <v>52.99</v>
      </c>
      <c r="BQ358" s="3" t="s">
        <v>89</v>
      </c>
      <c r="BR358" s="3" t="s">
        <v>84</v>
      </c>
      <c r="BS358" s="4">
        <v>44573</v>
      </c>
      <c r="BT358" s="5">
        <v>0.4201388888888889</v>
      </c>
      <c r="BU358" s="3" t="s">
        <v>476</v>
      </c>
      <c r="BV358" s="3" t="s">
        <v>105</v>
      </c>
      <c r="BY358" s="3">
        <v>1200</v>
      </c>
      <c r="BZ358" s="3" t="s">
        <v>165</v>
      </c>
      <c r="CA358" s="3" t="s">
        <v>477</v>
      </c>
      <c r="CC358" s="3" t="s">
        <v>76</v>
      </c>
      <c r="CD358" s="3">
        <v>1645</v>
      </c>
      <c r="CE358" s="3" t="s">
        <v>93</v>
      </c>
      <c r="CF358" s="4">
        <v>44574</v>
      </c>
      <c r="CI358" s="3">
        <v>1</v>
      </c>
      <c r="CJ358" s="3">
        <v>1</v>
      </c>
      <c r="CK358" s="3">
        <v>22</v>
      </c>
      <c r="CL358" s="3" t="s">
        <v>87</v>
      </c>
    </row>
    <row r="359" spans="1:90" x14ac:dyDescent="0.2">
      <c r="A359" s="3" t="s">
        <v>72</v>
      </c>
      <c r="B359" s="3" t="s">
        <v>73</v>
      </c>
      <c r="C359" s="3" t="s">
        <v>74</v>
      </c>
      <c r="E359" s="3" t="str">
        <f>"FES1162844360"</f>
        <v>FES1162844360</v>
      </c>
      <c r="F359" s="4">
        <v>44572</v>
      </c>
      <c r="G359" s="3">
        <v>202207</v>
      </c>
      <c r="H359" s="3" t="s">
        <v>75</v>
      </c>
      <c r="I359" s="3" t="s">
        <v>76</v>
      </c>
      <c r="J359" s="3" t="s">
        <v>77</v>
      </c>
      <c r="K359" s="3" t="s">
        <v>78</v>
      </c>
      <c r="L359" s="3" t="s">
        <v>138</v>
      </c>
      <c r="M359" s="3" t="s">
        <v>139</v>
      </c>
      <c r="N359" s="3" t="s">
        <v>558</v>
      </c>
      <c r="O359" s="3" t="s">
        <v>82</v>
      </c>
      <c r="P359" s="3" t="str">
        <f>"2170814832                    "</f>
        <v xml:space="preserve">2170814832                    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15.46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0</v>
      </c>
      <c r="AZ359" s="3">
        <v>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1</v>
      </c>
      <c r="BI359" s="3">
        <v>1</v>
      </c>
      <c r="BJ359" s="3">
        <v>0.2</v>
      </c>
      <c r="BK359" s="3">
        <v>1</v>
      </c>
      <c r="BL359" s="3">
        <v>59</v>
      </c>
      <c r="BM359" s="3">
        <v>8.85</v>
      </c>
      <c r="BN359" s="3">
        <v>67.849999999999994</v>
      </c>
      <c r="BO359" s="3">
        <v>67.849999999999994</v>
      </c>
      <c r="BR359" s="3" t="s">
        <v>84</v>
      </c>
      <c r="BS359" s="4">
        <v>44573</v>
      </c>
      <c r="BT359" s="5">
        <v>0.49583333333333335</v>
      </c>
      <c r="BU359" s="3" t="s">
        <v>559</v>
      </c>
      <c r="BV359" s="3" t="s">
        <v>105</v>
      </c>
      <c r="BY359" s="3">
        <v>1200</v>
      </c>
      <c r="BZ359" s="3" t="s">
        <v>165</v>
      </c>
      <c r="CA359" s="3" t="s">
        <v>303</v>
      </c>
      <c r="CC359" s="3" t="s">
        <v>139</v>
      </c>
      <c r="CD359" s="3">
        <v>3610</v>
      </c>
      <c r="CE359" s="3" t="s">
        <v>93</v>
      </c>
      <c r="CF359" s="4">
        <v>44574</v>
      </c>
      <c r="CI359" s="3">
        <v>1</v>
      </c>
      <c r="CJ359" s="3">
        <v>1</v>
      </c>
      <c r="CK359" s="3">
        <v>21</v>
      </c>
      <c r="CL359" s="3" t="s">
        <v>87</v>
      </c>
    </row>
    <row r="360" spans="1:90" x14ac:dyDescent="0.2">
      <c r="A360" s="3" t="s">
        <v>72</v>
      </c>
      <c r="B360" s="3" t="s">
        <v>73</v>
      </c>
      <c r="C360" s="3" t="s">
        <v>74</v>
      </c>
      <c r="E360" s="3" t="str">
        <f>"FES1162844565"</f>
        <v>FES1162844565</v>
      </c>
      <c r="F360" s="4">
        <v>44572</v>
      </c>
      <c r="G360" s="3">
        <v>202207</v>
      </c>
      <c r="H360" s="3" t="s">
        <v>75</v>
      </c>
      <c r="I360" s="3" t="s">
        <v>76</v>
      </c>
      <c r="J360" s="3" t="s">
        <v>77</v>
      </c>
      <c r="K360" s="3" t="s">
        <v>78</v>
      </c>
      <c r="L360" s="3" t="s">
        <v>464</v>
      </c>
      <c r="M360" s="3" t="s">
        <v>465</v>
      </c>
      <c r="N360" s="3" t="s">
        <v>676</v>
      </c>
      <c r="O360" s="3" t="s">
        <v>82</v>
      </c>
      <c r="P360" s="3" t="str">
        <f>"2170814345                    "</f>
        <v xml:space="preserve">2170814345                    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12.07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1</v>
      </c>
      <c r="BI360" s="3">
        <v>1</v>
      </c>
      <c r="BJ360" s="3">
        <v>0.2</v>
      </c>
      <c r="BK360" s="3">
        <v>1</v>
      </c>
      <c r="BL360" s="3">
        <v>46.08</v>
      </c>
      <c r="BM360" s="3">
        <v>6.91</v>
      </c>
      <c r="BN360" s="3">
        <v>52.99</v>
      </c>
      <c r="BO360" s="3">
        <v>52.99</v>
      </c>
      <c r="BQ360" s="3" t="s">
        <v>83</v>
      </c>
      <c r="BR360" s="3" t="s">
        <v>84</v>
      </c>
      <c r="BS360" s="4">
        <v>44573</v>
      </c>
      <c r="BT360" s="5">
        <v>0.3215277777777778</v>
      </c>
      <c r="BU360" s="3" t="s">
        <v>677</v>
      </c>
      <c r="BV360" s="3" t="s">
        <v>105</v>
      </c>
      <c r="BY360" s="3">
        <v>1200</v>
      </c>
      <c r="BZ360" s="3" t="s">
        <v>165</v>
      </c>
      <c r="CA360" s="3" t="s">
        <v>678</v>
      </c>
      <c r="CC360" s="3" t="s">
        <v>465</v>
      </c>
      <c r="CD360" s="3">
        <v>1501</v>
      </c>
      <c r="CE360" s="3" t="s">
        <v>93</v>
      </c>
      <c r="CF360" s="4">
        <v>44573</v>
      </c>
      <c r="CI360" s="3">
        <v>1</v>
      </c>
      <c r="CJ360" s="3">
        <v>1</v>
      </c>
      <c r="CK360" s="3">
        <v>22</v>
      </c>
      <c r="CL360" s="3" t="s">
        <v>87</v>
      </c>
    </row>
    <row r="361" spans="1:90" x14ac:dyDescent="0.2">
      <c r="A361" s="3" t="s">
        <v>72</v>
      </c>
      <c r="B361" s="3" t="s">
        <v>73</v>
      </c>
      <c r="C361" s="3" t="s">
        <v>74</v>
      </c>
      <c r="E361" s="3" t="str">
        <f>"FES1162844509"</f>
        <v>FES1162844509</v>
      </c>
      <c r="F361" s="4">
        <v>44572</v>
      </c>
      <c r="G361" s="3">
        <v>202207</v>
      </c>
      <c r="H361" s="3" t="s">
        <v>75</v>
      </c>
      <c r="I361" s="3" t="s">
        <v>76</v>
      </c>
      <c r="J361" s="3" t="s">
        <v>77</v>
      </c>
      <c r="K361" s="3" t="s">
        <v>78</v>
      </c>
      <c r="L361" s="3" t="s">
        <v>679</v>
      </c>
      <c r="M361" s="3" t="s">
        <v>680</v>
      </c>
      <c r="N361" s="3" t="s">
        <v>681</v>
      </c>
      <c r="O361" s="3" t="s">
        <v>82</v>
      </c>
      <c r="P361" s="3" t="str">
        <f>"2170815847                    "</f>
        <v xml:space="preserve">2170815847                    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151.68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15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1</v>
      </c>
      <c r="BI361" s="3">
        <v>11</v>
      </c>
      <c r="BJ361" s="3">
        <v>4.5999999999999996</v>
      </c>
      <c r="BK361" s="3">
        <v>11</v>
      </c>
      <c r="BL361" s="3">
        <v>593.94000000000005</v>
      </c>
      <c r="BM361" s="3">
        <v>89.09</v>
      </c>
      <c r="BN361" s="3">
        <v>683.03</v>
      </c>
      <c r="BO361" s="3">
        <v>683.03</v>
      </c>
      <c r="BQ361" s="3" t="s">
        <v>128</v>
      </c>
      <c r="BR361" s="3" t="s">
        <v>84</v>
      </c>
      <c r="BS361" s="4">
        <v>44574</v>
      </c>
      <c r="BT361" s="5">
        <v>0.58819444444444446</v>
      </c>
      <c r="BU361" s="3" t="s">
        <v>682</v>
      </c>
      <c r="BV361" s="3" t="s">
        <v>105</v>
      </c>
      <c r="BY361" s="3">
        <v>22848</v>
      </c>
      <c r="BZ361" s="3" t="s">
        <v>446</v>
      </c>
      <c r="CC361" s="3" t="s">
        <v>680</v>
      </c>
      <c r="CD361" s="3">
        <v>3930</v>
      </c>
      <c r="CE361" s="3" t="s">
        <v>86</v>
      </c>
      <c r="CF361" s="4">
        <v>44575</v>
      </c>
      <c r="CI361" s="3">
        <v>2</v>
      </c>
      <c r="CJ361" s="3">
        <v>2</v>
      </c>
      <c r="CK361" s="3">
        <v>23</v>
      </c>
      <c r="CL361" s="3" t="s">
        <v>87</v>
      </c>
    </row>
    <row r="362" spans="1:90" x14ac:dyDescent="0.2">
      <c r="A362" s="3" t="s">
        <v>72</v>
      </c>
      <c r="B362" s="3" t="s">
        <v>73</v>
      </c>
      <c r="C362" s="3" t="s">
        <v>74</v>
      </c>
      <c r="E362" s="3" t="str">
        <f>"FES1162844556"</f>
        <v>FES1162844556</v>
      </c>
      <c r="F362" s="4">
        <v>44572</v>
      </c>
      <c r="G362" s="3">
        <v>202207</v>
      </c>
      <c r="H362" s="3" t="s">
        <v>75</v>
      </c>
      <c r="I362" s="3" t="s">
        <v>76</v>
      </c>
      <c r="J362" s="3" t="s">
        <v>77</v>
      </c>
      <c r="K362" s="3" t="s">
        <v>78</v>
      </c>
      <c r="L362" s="3" t="s">
        <v>97</v>
      </c>
      <c r="M362" s="3" t="s">
        <v>98</v>
      </c>
      <c r="N362" s="3" t="s">
        <v>683</v>
      </c>
      <c r="O362" s="3" t="s">
        <v>82</v>
      </c>
      <c r="P362" s="3" t="str">
        <f>"2170811076                    "</f>
        <v xml:space="preserve">2170811076                    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12.07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1</v>
      </c>
      <c r="BI362" s="3">
        <v>3</v>
      </c>
      <c r="BJ362" s="3">
        <v>7</v>
      </c>
      <c r="BK362" s="3">
        <v>7</v>
      </c>
      <c r="BL362" s="3">
        <v>46.08</v>
      </c>
      <c r="BM362" s="3">
        <v>6.91</v>
      </c>
      <c r="BN362" s="3">
        <v>52.99</v>
      </c>
      <c r="BO362" s="3">
        <v>52.99</v>
      </c>
      <c r="BQ362" s="3" t="s">
        <v>684</v>
      </c>
      <c r="BR362" s="3" t="s">
        <v>84</v>
      </c>
      <c r="BS362" s="4">
        <v>44573</v>
      </c>
      <c r="BT362" s="5">
        <v>0.4375</v>
      </c>
      <c r="BU362" s="3" t="s">
        <v>685</v>
      </c>
      <c r="BV362" s="3" t="s">
        <v>105</v>
      </c>
      <c r="BY362" s="3">
        <v>34800</v>
      </c>
      <c r="BZ362" s="3" t="s">
        <v>165</v>
      </c>
      <c r="CC362" s="3" t="s">
        <v>98</v>
      </c>
      <c r="CD362" s="3">
        <v>2094</v>
      </c>
      <c r="CE362" s="3" t="s">
        <v>86</v>
      </c>
      <c r="CF362" s="4">
        <v>44573</v>
      </c>
      <c r="CI362" s="3">
        <v>1</v>
      </c>
      <c r="CJ362" s="3">
        <v>1</v>
      </c>
      <c r="CK362" s="3">
        <v>22</v>
      </c>
      <c r="CL362" s="3" t="s">
        <v>87</v>
      </c>
    </row>
    <row r="363" spans="1:90" x14ac:dyDescent="0.2">
      <c r="A363" s="3" t="s">
        <v>72</v>
      </c>
      <c r="B363" s="3" t="s">
        <v>73</v>
      </c>
      <c r="C363" s="3" t="s">
        <v>74</v>
      </c>
      <c r="E363" s="3" t="str">
        <f>"FES1162844473"</f>
        <v>FES1162844473</v>
      </c>
      <c r="F363" s="4">
        <v>44572</v>
      </c>
      <c r="G363" s="3">
        <v>202207</v>
      </c>
      <c r="H363" s="3" t="s">
        <v>75</v>
      </c>
      <c r="I363" s="3" t="s">
        <v>76</v>
      </c>
      <c r="J363" s="3" t="s">
        <v>77</v>
      </c>
      <c r="K363" s="3" t="s">
        <v>78</v>
      </c>
      <c r="L363" s="3" t="s">
        <v>101</v>
      </c>
      <c r="M363" s="3" t="s">
        <v>102</v>
      </c>
      <c r="N363" s="3" t="s">
        <v>686</v>
      </c>
      <c r="O363" s="3" t="s">
        <v>82</v>
      </c>
      <c r="P363" s="3" t="str">
        <f>"2170815543                    "</f>
        <v xml:space="preserve">2170815543                    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23.18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1</v>
      </c>
      <c r="BI363" s="3">
        <v>3</v>
      </c>
      <c r="BJ363" s="3">
        <v>1.4</v>
      </c>
      <c r="BK363" s="3">
        <v>3</v>
      </c>
      <c r="BL363" s="3">
        <v>88.48</v>
      </c>
      <c r="BM363" s="3">
        <v>13.27</v>
      </c>
      <c r="BN363" s="3">
        <v>101.75</v>
      </c>
      <c r="BO363" s="3">
        <v>101.75</v>
      </c>
      <c r="BQ363" s="3" t="s">
        <v>83</v>
      </c>
      <c r="BR363" s="3" t="s">
        <v>84</v>
      </c>
      <c r="BS363" s="4">
        <v>44573</v>
      </c>
      <c r="BT363" s="5">
        <v>0.61319444444444449</v>
      </c>
      <c r="BU363" s="3" t="s">
        <v>687</v>
      </c>
      <c r="BV363" s="3" t="s">
        <v>87</v>
      </c>
      <c r="BW363" s="3" t="s">
        <v>278</v>
      </c>
      <c r="BX363" s="3" t="s">
        <v>279</v>
      </c>
      <c r="BY363" s="3">
        <v>7040</v>
      </c>
      <c r="BZ363" s="3" t="s">
        <v>165</v>
      </c>
      <c r="CA363" s="3" t="s">
        <v>280</v>
      </c>
      <c r="CC363" s="3" t="s">
        <v>102</v>
      </c>
      <c r="CD363" s="3">
        <v>4001</v>
      </c>
      <c r="CE363" s="3" t="s">
        <v>86</v>
      </c>
      <c r="CF363" s="4">
        <v>44573</v>
      </c>
      <c r="CI363" s="3">
        <v>1</v>
      </c>
      <c r="CJ363" s="3">
        <v>1</v>
      </c>
      <c r="CK363" s="3">
        <v>21</v>
      </c>
      <c r="CL363" s="3" t="s">
        <v>87</v>
      </c>
    </row>
    <row r="364" spans="1:90" x14ac:dyDescent="0.2">
      <c r="A364" s="3" t="s">
        <v>72</v>
      </c>
      <c r="B364" s="3" t="s">
        <v>73</v>
      </c>
      <c r="C364" s="3" t="s">
        <v>74</v>
      </c>
      <c r="E364" s="3" t="str">
        <f>"FES1162842828"</f>
        <v>FES1162842828</v>
      </c>
      <c r="F364" s="4">
        <v>44572</v>
      </c>
      <c r="G364" s="3">
        <v>202207</v>
      </c>
      <c r="H364" s="3" t="s">
        <v>75</v>
      </c>
      <c r="I364" s="3" t="s">
        <v>76</v>
      </c>
      <c r="J364" s="3" t="s">
        <v>77</v>
      </c>
      <c r="K364" s="3" t="s">
        <v>78</v>
      </c>
      <c r="L364" s="3" t="s">
        <v>167</v>
      </c>
      <c r="M364" s="3" t="s">
        <v>168</v>
      </c>
      <c r="N364" s="3" t="s">
        <v>169</v>
      </c>
      <c r="O364" s="3" t="s">
        <v>82</v>
      </c>
      <c r="P364" s="3" t="str">
        <f>"2170814378                    "</f>
        <v xml:space="preserve">2170814378                    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15.46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1</v>
      </c>
      <c r="BI364" s="3">
        <v>1</v>
      </c>
      <c r="BJ364" s="3">
        <v>0.2</v>
      </c>
      <c r="BK364" s="3">
        <v>1</v>
      </c>
      <c r="BL364" s="3">
        <v>59</v>
      </c>
      <c r="BM364" s="3">
        <v>8.85</v>
      </c>
      <c r="BN364" s="3">
        <v>67.849999999999994</v>
      </c>
      <c r="BO364" s="3">
        <v>67.849999999999994</v>
      </c>
      <c r="BQ364" s="3" t="s">
        <v>83</v>
      </c>
      <c r="BR364" s="3" t="s">
        <v>84</v>
      </c>
      <c r="BS364" s="4">
        <v>44573</v>
      </c>
      <c r="BT364" s="5">
        <v>0.4284722222222222</v>
      </c>
      <c r="BU364" s="3" t="s">
        <v>262</v>
      </c>
      <c r="BV364" s="3" t="s">
        <v>105</v>
      </c>
      <c r="BY364" s="3">
        <v>1200</v>
      </c>
      <c r="BZ364" s="3" t="s">
        <v>165</v>
      </c>
      <c r="CA364" s="3" t="s">
        <v>263</v>
      </c>
      <c r="CC364" s="3" t="s">
        <v>168</v>
      </c>
      <c r="CD364" s="3">
        <v>6220</v>
      </c>
      <c r="CE364" s="3" t="s">
        <v>93</v>
      </c>
      <c r="CF364" s="4">
        <v>44574</v>
      </c>
      <c r="CI364" s="3">
        <v>1</v>
      </c>
      <c r="CJ364" s="3">
        <v>1</v>
      </c>
      <c r="CK364" s="3">
        <v>21</v>
      </c>
      <c r="CL364" s="3" t="s">
        <v>87</v>
      </c>
    </row>
    <row r="365" spans="1:90" x14ac:dyDescent="0.2">
      <c r="A365" s="3" t="s">
        <v>72</v>
      </c>
      <c r="B365" s="3" t="s">
        <v>73</v>
      </c>
      <c r="C365" s="3" t="s">
        <v>74</v>
      </c>
      <c r="E365" s="3" t="str">
        <f>"FES1162844484"</f>
        <v>FES1162844484</v>
      </c>
      <c r="F365" s="4">
        <v>44572</v>
      </c>
      <c r="G365" s="3">
        <v>202207</v>
      </c>
      <c r="H365" s="3" t="s">
        <v>75</v>
      </c>
      <c r="I365" s="3" t="s">
        <v>76</v>
      </c>
      <c r="J365" s="3" t="s">
        <v>77</v>
      </c>
      <c r="K365" s="3" t="s">
        <v>78</v>
      </c>
      <c r="L365" s="3" t="s">
        <v>75</v>
      </c>
      <c r="M365" s="3" t="s">
        <v>76</v>
      </c>
      <c r="N365" s="3" t="s">
        <v>688</v>
      </c>
      <c r="O365" s="3" t="s">
        <v>82</v>
      </c>
      <c r="P365" s="3" t="str">
        <f>"2170816130                    "</f>
        <v xml:space="preserve">2170816130                    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12.07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1</v>
      </c>
      <c r="BI365" s="3">
        <v>1</v>
      </c>
      <c r="BJ365" s="3">
        <v>0.2</v>
      </c>
      <c r="BK365" s="3">
        <v>1</v>
      </c>
      <c r="BL365" s="3">
        <v>46.08</v>
      </c>
      <c r="BM365" s="3">
        <v>6.91</v>
      </c>
      <c r="BN365" s="3">
        <v>52.99</v>
      </c>
      <c r="BO365" s="3">
        <v>52.99</v>
      </c>
      <c r="BQ365" s="3" t="s">
        <v>83</v>
      </c>
      <c r="BR365" s="3" t="s">
        <v>84</v>
      </c>
      <c r="BS365" s="4">
        <v>44573</v>
      </c>
      <c r="BT365" s="5">
        <v>0.34027777777777773</v>
      </c>
      <c r="BU365" s="3" t="s">
        <v>689</v>
      </c>
      <c r="BV365" s="3" t="s">
        <v>105</v>
      </c>
      <c r="BY365" s="3">
        <v>1200</v>
      </c>
      <c r="BZ365" s="3" t="s">
        <v>165</v>
      </c>
      <c r="CA365" s="3" t="s">
        <v>227</v>
      </c>
      <c r="CC365" s="3" t="s">
        <v>76</v>
      </c>
      <c r="CD365" s="3">
        <v>1620</v>
      </c>
      <c r="CE365" s="3" t="s">
        <v>93</v>
      </c>
      <c r="CF365" s="4">
        <v>44573</v>
      </c>
      <c r="CI365" s="3">
        <v>1</v>
      </c>
      <c r="CJ365" s="3">
        <v>1</v>
      </c>
      <c r="CK365" s="3">
        <v>22</v>
      </c>
      <c r="CL365" s="3" t="s">
        <v>87</v>
      </c>
    </row>
    <row r="366" spans="1:90" x14ac:dyDescent="0.2">
      <c r="A366" s="3" t="s">
        <v>72</v>
      </c>
      <c r="B366" s="3" t="s">
        <v>73</v>
      </c>
      <c r="C366" s="3" t="s">
        <v>74</v>
      </c>
      <c r="E366" s="3" t="str">
        <f>"FES1162844590"</f>
        <v>FES1162844590</v>
      </c>
      <c r="F366" s="4">
        <v>44572</v>
      </c>
      <c r="G366" s="3">
        <v>202207</v>
      </c>
      <c r="H366" s="3" t="s">
        <v>75</v>
      </c>
      <c r="I366" s="3" t="s">
        <v>76</v>
      </c>
      <c r="J366" s="3" t="s">
        <v>77</v>
      </c>
      <c r="K366" s="3" t="s">
        <v>78</v>
      </c>
      <c r="L366" s="3" t="s">
        <v>162</v>
      </c>
      <c r="M366" s="3" t="s">
        <v>163</v>
      </c>
      <c r="N366" s="3" t="s">
        <v>164</v>
      </c>
      <c r="O366" s="3" t="s">
        <v>82</v>
      </c>
      <c r="P366" s="3" t="str">
        <f>"2170815128                    "</f>
        <v xml:space="preserve">2170815128                    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12.07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1</v>
      </c>
      <c r="BI366" s="3">
        <v>1</v>
      </c>
      <c r="BJ366" s="3">
        <v>0.2</v>
      </c>
      <c r="BK366" s="3">
        <v>1</v>
      </c>
      <c r="BL366" s="3">
        <v>46.08</v>
      </c>
      <c r="BM366" s="3">
        <v>6.91</v>
      </c>
      <c r="BN366" s="3">
        <v>52.99</v>
      </c>
      <c r="BO366" s="3">
        <v>52.99</v>
      </c>
      <c r="BQ366" s="3" t="s">
        <v>89</v>
      </c>
      <c r="BR366" s="3" t="s">
        <v>84</v>
      </c>
      <c r="BS366" s="4">
        <v>44573</v>
      </c>
      <c r="BT366" s="5">
        <v>0.48680555555555555</v>
      </c>
      <c r="BU366" s="3" t="s">
        <v>690</v>
      </c>
      <c r="BV366" s="3" t="s">
        <v>87</v>
      </c>
      <c r="BW366" s="3" t="s">
        <v>353</v>
      </c>
      <c r="BX366" s="3" t="s">
        <v>377</v>
      </c>
      <c r="BY366" s="3">
        <v>1200</v>
      </c>
      <c r="BZ366" s="3" t="s">
        <v>165</v>
      </c>
      <c r="CA366" s="3" t="s">
        <v>591</v>
      </c>
      <c r="CC366" s="3" t="s">
        <v>163</v>
      </c>
      <c r="CD366" s="3">
        <v>1428</v>
      </c>
      <c r="CE366" s="3" t="s">
        <v>93</v>
      </c>
      <c r="CF366" s="4">
        <v>44574</v>
      </c>
      <c r="CI366" s="3">
        <v>1</v>
      </c>
      <c r="CJ366" s="3">
        <v>1</v>
      </c>
      <c r="CK366" s="3">
        <v>22</v>
      </c>
      <c r="CL366" s="3" t="s">
        <v>87</v>
      </c>
    </row>
    <row r="367" spans="1:90" x14ac:dyDescent="0.2">
      <c r="A367" s="3" t="s">
        <v>72</v>
      </c>
      <c r="B367" s="3" t="s">
        <v>73</v>
      </c>
      <c r="C367" s="3" t="s">
        <v>74</v>
      </c>
      <c r="E367" s="3" t="str">
        <f>"FES1162844488"</f>
        <v>FES1162844488</v>
      </c>
      <c r="F367" s="4">
        <v>44572</v>
      </c>
      <c r="G367" s="3">
        <v>202207</v>
      </c>
      <c r="H367" s="3" t="s">
        <v>75</v>
      </c>
      <c r="I367" s="3" t="s">
        <v>76</v>
      </c>
      <c r="J367" s="3" t="s">
        <v>77</v>
      </c>
      <c r="K367" s="3" t="s">
        <v>78</v>
      </c>
      <c r="L367" s="3" t="s">
        <v>90</v>
      </c>
      <c r="M367" s="3" t="s">
        <v>91</v>
      </c>
      <c r="N367" s="3" t="s">
        <v>157</v>
      </c>
      <c r="O367" s="3" t="s">
        <v>82</v>
      </c>
      <c r="P367" s="3" t="str">
        <f>"2170816134                    "</f>
        <v xml:space="preserve">2170816134                    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15.46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1</v>
      </c>
      <c r="BI367" s="3">
        <v>1</v>
      </c>
      <c r="BJ367" s="3">
        <v>0.2</v>
      </c>
      <c r="BK367" s="3">
        <v>1</v>
      </c>
      <c r="BL367" s="3">
        <v>59</v>
      </c>
      <c r="BM367" s="3">
        <v>8.85</v>
      </c>
      <c r="BN367" s="3">
        <v>67.849999999999994</v>
      </c>
      <c r="BO367" s="3">
        <v>67.849999999999994</v>
      </c>
      <c r="BQ367" s="3" t="s">
        <v>89</v>
      </c>
      <c r="BR367" s="3" t="s">
        <v>84</v>
      </c>
      <c r="BS367" s="4">
        <v>44573</v>
      </c>
      <c r="BT367" s="5">
        <v>0.35694444444444445</v>
      </c>
      <c r="BU367" s="3" t="s">
        <v>691</v>
      </c>
      <c r="BV367" s="3" t="s">
        <v>105</v>
      </c>
      <c r="BY367" s="3">
        <v>1200</v>
      </c>
      <c r="BZ367" s="3" t="s">
        <v>165</v>
      </c>
      <c r="CA367" s="3" t="s">
        <v>692</v>
      </c>
      <c r="CC367" s="3" t="s">
        <v>91</v>
      </c>
      <c r="CD367" s="3">
        <v>7441</v>
      </c>
      <c r="CE367" s="3" t="s">
        <v>93</v>
      </c>
      <c r="CF367" s="4">
        <v>44574</v>
      </c>
      <c r="CI367" s="3">
        <v>1</v>
      </c>
      <c r="CJ367" s="3">
        <v>1</v>
      </c>
      <c r="CK367" s="3">
        <v>21</v>
      </c>
      <c r="CL367" s="3" t="s">
        <v>87</v>
      </c>
    </row>
    <row r="368" spans="1:90" x14ac:dyDescent="0.2">
      <c r="A368" s="3" t="s">
        <v>72</v>
      </c>
      <c r="B368" s="3" t="s">
        <v>73</v>
      </c>
      <c r="C368" s="3" t="s">
        <v>74</v>
      </c>
      <c r="E368" s="3" t="str">
        <f>"FES1162844646"</f>
        <v>FES1162844646</v>
      </c>
      <c r="F368" s="4">
        <v>44572</v>
      </c>
      <c r="G368" s="3">
        <v>202207</v>
      </c>
      <c r="H368" s="3" t="s">
        <v>75</v>
      </c>
      <c r="I368" s="3" t="s">
        <v>76</v>
      </c>
      <c r="J368" s="3" t="s">
        <v>77</v>
      </c>
      <c r="K368" s="3" t="s">
        <v>78</v>
      </c>
      <c r="L368" s="3" t="s">
        <v>90</v>
      </c>
      <c r="M368" s="3" t="s">
        <v>91</v>
      </c>
      <c r="N368" s="3" t="s">
        <v>157</v>
      </c>
      <c r="O368" s="3" t="s">
        <v>82</v>
      </c>
      <c r="P368" s="3" t="str">
        <f>"2170816224                    "</f>
        <v xml:space="preserve">2170816224                    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15.46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0</v>
      </c>
      <c r="AZ368" s="3">
        <v>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1</v>
      </c>
      <c r="BI368" s="3">
        <v>1</v>
      </c>
      <c r="BJ368" s="3">
        <v>0.2</v>
      </c>
      <c r="BK368" s="3">
        <v>1</v>
      </c>
      <c r="BL368" s="3">
        <v>59</v>
      </c>
      <c r="BM368" s="3">
        <v>8.85</v>
      </c>
      <c r="BN368" s="3">
        <v>67.849999999999994</v>
      </c>
      <c r="BO368" s="3">
        <v>67.849999999999994</v>
      </c>
      <c r="BQ368" s="3" t="s">
        <v>89</v>
      </c>
      <c r="BR368" s="3" t="s">
        <v>84</v>
      </c>
      <c r="BS368" s="4">
        <v>44573</v>
      </c>
      <c r="BT368" s="5">
        <v>0.35694444444444445</v>
      </c>
      <c r="BU368" s="3" t="s">
        <v>693</v>
      </c>
      <c r="BV368" s="3" t="s">
        <v>105</v>
      </c>
      <c r="BY368" s="3">
        <v>1200</v>
      </c>
      <c r="BZ368" s="3" t="s">
        <v>165</v>
      </c>
      <c r="CA368" s="3" t="s">
        <v>289</v>
      </c>
      <c r="CC368" s="3" t="s">
        <v>91</v>
      </c>
      <c r="CD368" s="3">
        <v>7441</v>
      </c>
      <c r="CE368" s="3" t="s">
        <v>93</v>
      </c>
      <c r="CF368" s="4">
        <v>44579</v>
      </c>
      <c r="CI368" s="3">
        <v>1</v>
      </c>
      <c r="CJ368" s="3">
        <v>1</v>
      </c>
      <c r="CK368" s="3">
        <v>21</v>
      </c>
      <c r="CL368" s="3" t="s">
        <v>87</v>
      </c>
    </row>
    <row r="369" spans="1:90" x14ac:dyDescent="0.2">
      <c r="A369" s="3" t="s">
        <v>72</v>
      </c>
      <c r="B369" s="3" t="s">
        <v>73</v>
      </c>
      <c r="C369" s="3" t="s">
        <v>74</v>
      </c>
      <c r="E369" s="3" t="str">
        <f>"FES1162844569"</f>
        <v>FES1162844569</v>
      </c>
      <c r="F369" s="4">
        <v>44572</v>
      </c>
      <c r="G369" s="3">
        <v>202207</v>
      </c>
      <c r="H369" s="3" t="s">
        <v>75</v>
      </c>
      <c r="I369" s="3" t="s">
        <v>76</v>
      </c>
      <c r="J369" s="3" t="s">
        <v>77</v>
      </c>
      <c r="K369" s="3" t="s">
        <v>78</v>
      </c>
      <c r="L369" s="3" t="s">
        <v>694</v>
      </c>
      <c r="M369" s="3" t="s">
        <v>695</v>
      </c>
      <c r="N369" s="3" t="s">
        <v>696</v>
      </c>
      <c r="O369" s="3" t="s">
        <v>82</v>
      </c>
      <c r="P369" s="3" t="str">
        <f>"2170814759                    "</f>
        <v xml:space="preserve">2170814759                    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29.95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1</v>
      </c>
      <c r="BI369" s="3">
        <v>1</v>
      </c>
      <c r="BJ369" s="3">
        <v>0.2</v>
      </c>
      <c r="BK369" s="3">
        <v>1</v>
      </c>
      <c r="BL369" s="3">
        <v>114.31</v>
      </c>
      <c r="BM369" s="3">
        <v>17.149999999999999</v>
      </c>
      <c r="BN369" s="3">
        <v>131.46</v>
      </c>
      <c r="BO369" s="3">
        <v>131.46</v>
      </c>
      <c r="BR369" s="3" t="s">
        <v>84</v>
      </c>
      <c r="BS369" s="4">
        <v>44573</v>
      </c>
      <c r="BT369" s="5">
        <v>0.44930555555555557</v>
      </c>
      <c r="BU369" s="3" t="s">
        <v>697</v>
      </c>
      <c r="BV369" s="3" t="s">
        <v>105</v>
      </c>
      <c r="BY369" s="3">
        <v>1200</v>
      </c>
      <c r="BZ369" s="3" t="s">
        <v>165</v>
      </c>
      <c r="CA369" s="3" t="s">
        <v>698</v>
      </c>
      <c r="CC369" s="3" t="s">
        <v>695</v>
      </c>
      <c r="CD369" s="3">
        <v>4430</v>
      </c>
      <c r="CE369" s="3" t="s">
        <v>93</v>
      </c>
      <c r="CF369" s="4">
        <v>44574</v>
      </c>
      <c r="CI369" s="3">
        <v>1</v>
      </c>
      <c r="CJ369" s="3">
        <v>1</v>
      </c>
      <c r="CK369" s="3">
        <v>23</v>
      </c>
      <c r="CL369" s="3" t="s">
        <v>87</v>
      </c>
    </row>
    <row r="370" spans="1:90" x14ac:dyDescent="0.2">
      <c r="A370" s="3" t="s">
        <v>72</v>
      </c>
      <c r="B370" s="3" t="s">
        <v>73</v>
      </c>
      <c r="C370" s="3" t="s">
        <v>74</v>
      </c>
      <c r="E370" s="3" t="str">
        <f>"FES1162844559"</f>
        <v>FES1162844559</v>
      </c>
      <c r="F370" s="4">
        <v>44572</v>
      </c>
      <c r="G370" s="3">
        <v>202207</v>
      </c>
      <c r="H370" s="3" t="s">
        <v>75</v>
      </c>
      <c r="I370" s="3" t="s">
        <v>76</v>
      </c>
      <c r="J370" s="3" t="s">
        <v>77</v>
      </c>
      <c r="K370" s="3" t="s">
        <v>78</v>
      </c>
      <c r="L370" s="3" t="s">
        <v>90</v>
      </c>
      <c r="M370" s="3" t="s">
        <v>91</v>
      </c>
      <c r="N370" s="3" t="s">
        <v>621</v>
      </c>
      <c r="O370" s="3" t="s">
        <v>82</v>
      </c>
      <c r="P370" s="3" t="str">
        <f>"2170812494                    "</f>
        <v xml:space="preserve">2170812494                    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15.46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1</v>
      </c>
      <c r="BI370" s="3">
        <v>1</v>
      </c>
      <c r="BJ370" s="3">
        <v>0.2</v>
      </c>
      <c r="BK370" s="3">
        <v>1</v>
      </c>
      <c r="BL370" s="3">
        <v>59</v>
      </c>
      <c r="BM370" s="3">
        <v>8.85</v>
      </c>
      <c r="BN370" s="3">
        <v>67.849999999999994</v>
      </c>
      <c r="BO370" s="3">
        <v>67.849999999999994</v>
      </c>
      <c r="BQ370" s="3" t="s">
        <v>126</v>
      </c>
      <c r="BR370" s="3" t="s">
        <v>84</v>
      </c>
      <c r="BS370" s="4">
        <v>44573</v>
      </c>
      <c r="BT370" s="5">
        <v>0.3611111111111111</v>
      </c>
      <c r="BU370" s="3" t="s">
        <v>622</v>
      </c>
      <c r="BV370" s="3" t="s">
        <v>105</v>
      </c>
      <c r="BY370" s="3">
        <v>1200</v>
      </c>
      <c r="BZ370" s="3" t="s">
        <v>165</v>
      </c>
      <c r="CA370" s="3" t="s">
        <v>623</v>
      </c>
      <c r="CC370" s="3" t="s">
        <v>91</v>
      </c>
      <c r="CD370" s="3">
        <v>7800</v>
      </c>
      <c r="CE370" s="3" t="s">
        <v>93</v>
      </c>
      <c r="CF370" s="4">
        <v>44574</v>
      </c>
      <c r="CI370" s="3">
        <v>1</v>
      </c>
      <c r="CJ370" s="3">
        <v>1</v>
      </c>
      <c r="CK370" s="3">
        <v>21</v>
      </c>
      <c r="CL370" s="3" t="s">
        <v>87</v>
      </c>
    </row>
    <row r="371" spans="1:90" x14ac:dyDescent="0.2">
      <c r="A371" s="3" t="s">
        <v>72</v>
      </c>
      <c r="B371" s="3" t="s">
        <v>73</v>
      </c>
      <c r="C371" s="3" t="s">
        <v>74</v>
      </c>
      <c r="E371" s="3" t="str">
        <f>"FES1162844452"</f>
        <v>FES1162844452</v>
      </c>
      <c r="F371" s="4">
        <v>44572</v>
      </c>
      <c r="G371" s="3">
        <v>202207</v>
      </c>
      <c r="H371" s="3" t="s">
        <v>75</v>
      </c>
      <c r="I371" s="3" t="s">
        <v>76</v>
      </c>
      <c r="J371" s="3" t="s">
        <v>77</v>
      </c>
      <c r="K371" s="3" t="s">
        <v>78</v>
      </c>
      <c r="L371" s="3" t="s">
        <v>90</v>
      </c>
      <c r="M371" s="3" t="s">
        <v>91</v>
      </c>
      <c r="N371" s="3" t="s">
        <v>114</v>
      </c>
      <c r="O371" s="3" t="s">
        <v>82</v>
      </c>
      <c r="P371" s="3" t="str">
        <f>"2170816085                    "</f>
        <v xml:space="preserve">2170816085                    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30.91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1</v>
      </c>
      <c r="BI371" s="3">
        <v>4</v>
      </c>
      <c r="BJ371" s="3">
        <v>2</v>
      </c>
      <c r="BK371" s="3">
        <v>4</v>
      </c>
      <c r="BL371" s="3">
        <v>117.97</v>
      </c>
      <c r="BM371" s="3">
        <v>17.7</v>
      </c>
      <c r="BN371" s="3">
        <v>135.66999999999999</v>
      </c>
      <c r="BO371" s="3">
        <v>135.66999999999999</v>
      </c>
      <c r="BQ371" s="3" t="s">
        <v>89</v>
      </c>
      <c r="BR371" s="3" t="s">
        <v>84</v>
      </c>
      <c r="BS371" s="4">
        <v>44573</v>
      </c>
      <c r="BT371" s="5">
        <v>0.36944444444444446</v>
      </c>
      <c r="BU371" s="3" t="s">
        <v>288</v>
      </c>
      <c r="BV371" s="3" t="s">
        <v>105</v>
      </c>
      <c r="BY371" s="3">
        <v>9918</v>
      </c>
      <c r="BZ371" s="3" t="s">
        <v>165</v>
      </c>
      <c r="CA371" s="3" t="s">
        <v>289</v>
      </c>
      <c r="CC371" s="3" t="s">
        <v>91</v>
      </c>
      <c r="CD371" s="3">
        <v>7441</v>
      </c>
      <c r="CE371" s="3" t="s">
        <v>86</v>
      </c>
      <c r="CF371" s="4">
        <v>44574</v>
      </c>
      <c r="CI371" s="3">
        <v>1</v>
      </c>
      <c r="CJ371" s="3">
        <v>1</v>
      </c>
      <c r="CK371" s="3">
        <v>21</v>
      </c>
      <c r="CL371" s="3" t="s">
        <v>87</v>
      </c>
    </row>
    <row r="372" spans="1:90" x14ac:dyDescent="0.2">
      <c r="A372" s="3" t="s">
        <v>72</v>
      </c>
      <c r="B372" s="3" t="s">
        <v>73</v>
      </c>
      <c r="C372" s="3" t="s">
        <v>74</v>
      </c>
      <c r="E372" s="3" t="str">
        <f>"FES1162844547"</f>
        <v>FES1162844547</v>
      </c>
      <c r="F372" s="4">
        <v>44572</v>
      </c>
      <c r="G372" s="3">
        <v>202207</v>
      </c>
      <c r="H372" s="3" t="s">
        <v>75</v>
      </c>
      <c r="I372" s="3" t="s">
        <v>76</v>
      </c>
      <c r="J372" s="3" t="s">
        <v>77</v>
      </c>
      <c r="K372" s="3" t="s">
        <v>78</v>
      </c>
      <c r="L372" s="3" t="s">
        <v>97</v>
      </c>
      <c r="M372" s="3" t="s">
        <v>98</v>
      </c>
      <c r="N372" s="3" t="s">
        <v>663</v>
      </c>
      <c r="O372" s="3" t="s">
        <v>82</v>
      </c>
      <c r="P372" s="3" t="str">
        <f>"2170816201                    "</f>
        <v xml:space="preserve">2170816201                    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12.07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1</v>
      </c>
      <c r="BI372" s="3">
        <v>1</v>
      </c>
      <c r="BJ372" s="3">
        <v>0.2</v>
      </c>
      <c r="BK372" s="3">
        <v>1</v>
      </c>
      <c r="BL372" s="3">
        <v>46.08</v>
      </c>
      <c r="BM372" s="3">
        <v>6.91</v>
      </c>
      <c r="BN372" s="3">
        <v>52.99</v>
      </c>
      <c r="BO372" s="3">
        <v>52.99</v>
      </c>
      <c r="BR372" s="3" t="s">
        <v>84</v>
      </c>
      <c r="BS372" s="4">
        <v>44573</v>
      </c>
      <c r="BT372" s="5">
        <v>0.38263888888888892</v>
      </c>
      <c r="BU372" s="3" t="s">
        <v>664</v>
      </c>
      <c r="BV372" s="3" t="s">
        <v>105</v>
      </c>
      <c r="BY372" s="3">
        <v>1200</v>
      </c>
      <c r="BZ372" s="3" t="s">
        <v>165</v>
      </c>
      <c r="CA372" s="3" t="s">
        <v>665</v>
      </c>
      <c r="CC372" s="3" t="s">
        <v>98</v>
      </c>
      <c r="CD372" s="3">
        <v>2192</v>
      </c>
      <c r="CE372" s="3" t="s">
        <v>93</v>
      </c>
      <c r="CF372" s="4">
        <v>44573</v>
      </c>
      <c r="CI372" s="3">
        <v>1</v>
      </c>
      <c r="CJ372" s="3">
        <v>1</v>
      </c>
      <c r="CK372" s="3">
        <v>22</v>
      </c>
      <c r="CL372" s="3" t="s">
        <v>87</v>
      </c>
    </row>
    <row r="373" spans="1:90" x14ac:dyDescent="0.2">
      <c r="A373" s="3" t="s">
        <v>72</v>
      </c>
      <c r="B373" s="3" t="s">
        <v>73</v>
      </c>
      <c r="C373" s="3" t="s">
        <v>74</v>
      </c>
      <c r="E373" s="3" t="str">
        <f>"FES1162844539"</f>
        <v>FES1162844539</v>
      </c>
      <c r="F373" s="4">
        <v>44572</v>
      </c>
      <c r="G373" s="3">
        <v>202207</v>
      </c>
      <c r="H373" s="3" t="s">
        <v>75</v>
      </c>
      <c r="I373" s="3" t="s">
        <v>76</v>
      </c>
      <c r="J373" s="3" t="s">
        <v>77</v>
      </c>
      <c r="K373" s="3" t="s">
        <v>78</v>
      </c>
      <c r="L373" s="3" t="s">
        <v>110</v>
      </c>
      <c r="M373" s="3" t="s">
        <v>110</v>
      </c>
      <c r="N373" s="3" t="s">
        <v>146</v>
      </c>
      <c r="O373" s="3" t="s">
        <v>82</v>
      </c>
      <c r="P373" s="3" t="str">
        <f>"2170816194                    "</f>
        <v xml:space="preserve">2170816194                    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29.95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1</v>
      </c>
      <c r="BI373" s="3">
        <v>1</v>
      </c>
      <c r="BJ373" s="3">
        <v>0.2</v>
      </c>
      <c r="BK373" s="3">
        <v>1</v>
      </c>
      <c r="BL373" s="3">
        <v>114.31</v>
      </c>
      <c r="BM373" s="3">
        <v>17.149999999999999</v>
      </c>
      <c r="BN373" s="3">
        <v>131.46</v>
      </c>
      <c r="BO373" s="3">
        <v>131.46</v>
      </c>
      <c r="BQ373" s="3" t="s">
        <v>89</v>
      </c>
      <c r="BR373" s="3" t="s">
        <v>84</v>
      </c>
      <c r="BS373" s="4">
        <v>44573</v>
      </c>
      <c r="BT373" s="5">
        <v>0.50694444444444442</v>
      </c>
      <c r="BU373" s="3" t="s">
        <v>562</v>
      </c>
      <c r="BV373" s="3" t="s">
        <v>105</v>
      </c>
      <c r="BY373" s="3">
        <v>1200</v>
      </c>
      <c r="BZ373" s="3" t="s">
        <v>165</v>
      </c>
      <c r="CA373" s="3" t="s">
        <v>563</v>
      </c>
      <c r="CC373" s="3" t="s">
        <v>110</v>
      </c>
      <c r="CD373" s="3">
        <v>7646</v>
      </c>
      <c r="CE373" s="3" t="s">
        <v>93</v>
      </c>
      <c r="CF373" s="4">
        <v>44574</v>
      </c>
      <c r="CI373" s="3">
        <v>1</v>
      </c>
      <c r="CJ373" s="3">
        <v>1</v>
      </c>
      <c r="CK373" s="3">
        <v>23</v>
      </c>
      <c r="CL373" s="3" t="s">
        <v>87</v>
      </c>
    </row>
    <row r="374" spans="1:90" x14ac:dyDescent="0.2">
      <c r="A374" s="3" t="s">
        <v>72</v>
      </c>
      <c r="B374" s="3" t="s">
        <v>73</v>
      </c>
      <c r="C374" s="3" t="s">
        <v>74</v>
      </c>
      <c r="E374" s="3" t="str">
        <f>"FES1162844582"</f>
        <v>FES1162844582</v>
      </c>
      <c r="F374" s="4">
        <v>44572</v>
      </c>
      <c r="G374" s="3">
        <v>202207</v>
      </c>
      <c r="H374" s="3" t="s">
        <v>75</v>
      </c>
      <c r="I374" s="3" t="s">
        <v>76</v>
      </c>
      <c r="J374" s="3" t="s">
        <v>77</v>
      </c>
      <c r="K374" s="3" t="s">
        <v>78</v>
      </c>
      <c r="L374" s="3" t="s">
        <v>694</v>
      </c>
      <c r="M374" s="3" t="s">
        <v>695</v>
      </c>
      <c r="N374" s="3" t="s">
        <v>699</v>
      </c>
      <c r="O374" s="3" t="s">
        <v>82</v>
      </c>
      <c r="P374" s="3" t="str">
        <f>"2170815061                    "</f>
        <v xml:space="preserve">2170815061                    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29.95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1</v>
      </c>
      <c r="BI374" s="3">
        <v>1</v>
      </c>
      <c r="BJ374" s="3">
        <v>0.2</v>
      </c>
      <c r="BK374" s="3">
        <v>1</v>
      </c>
      <c r="BL374" s="3">
        <v>114.31</v>
      </c>
      <c r="BM374" s="3">
        <v>17.149999999999999</v>
      </c>
      <c r="BN374" s="3">
        <v>131.46</v>
      </c>
      <c r="BO374" s="3">
        <v>131.46</v>
      </c>
      <c r="BQ374" s="3" t="s">
        <v>83</v>
      </c>
      <c r="BR374" s="3" t="s">
        <v>84</v>
      </c>
      <c r="BS374" s="4">
        <v>44573</v>
      </c>
      <c r="BT374" s="5">
        <v>0.60763888888888895</v>
      </c>
      <c r="BU374" s="3" t="s">
        <v>700</v>
      </c>
      <c r="BV374" s="3" t="s">
        <v>105</v>
      </c>
      <c r="BY374" s="3">
        <v>1200</v>
      </c>
      <c r="BZ374" s="3" t="s">
        <v>165</v>
      </c>
      <c r="CA374" s="3" t="s">
        <v>698</v>
      </c>
      <c r="CC374" s="3" t="s">
        <v>695</v>
      </c>
      <c r="CD374" s="3">
        <v>4449</v>
      </c>
      <c r="CE374" s="3" t="s">
        <v>93</v>
      </c>
      <c r="CF374" s="4">
        <v>44574</v>
      </c>
      <c r="CI374" s="3">
        <v>1</v>
      </c>
      <c r="CJ374" s="3">
        <v>1</v>
      </c>
      <c r="CK374" s="3">
        <v>23</v>
      </c>
      <c r="CL374" s="3" t="s">
        <v>87</v>
      </c>
    </row>
    <row r="375" spans="1:90" x14ac:dyDescent="0.2">
      <c r="A375" s="3" t="s">
        <v>72</v>
      </c>
      <c r="B375" s="3" t="s">
        <v>73</v>
      </c>
      <c r="C375" s="3" t="s">
        <v>74</v>
      </c>
      <c r="E375" s="3" t="str">
        <f>"FES1162844550"</f>
        <v>FES1162844550</v>
      </c>
      <c r="F375" s="4">
        <v>44572</v>
      </c>
      <c r="G375" s="3">
        <v>202207</v>
      </c>
      <c r="H375" s="3" t="s">
        <v>75</v>
      </c>
      <c r="I375" s="3" t="s">
        <v>76</v>
      </c>
      <c r="J375" s="3" t="s">
        <v>77</v>
      </c>
      <c r="K375" s="3" t="s">
        <v>78</v>
      </c>
      <c r="L375" s="3" t="s">
        <v>529</v>
      </c>
      <c r="M375" s="3" t="s">
        <v>530</v>
      </c>
      <c r="N375" s="3" t="s">
        <v>531</v>
      </c>
      <c r="O375" s="3" t="s">
        <v>82</v>
      </c>
      <c r="P375" s="3" t="str">
        <f>"2170816208                    "</f>
        <v xml:space="preserve">2170816208                    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29.95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1</v>
      </c>
      <c r="BI375" s="3">
        <v>1</v>
      </c>
      <c r="BJ375" s="3">
        <v>0.2</v>
      </c>
      <c r="BK375" s="3">
        <v>1</v>
      </c>
      <c r="BL375" s="3">
        <v>114.31</v>
      </c>
      <c r="BM375" s="3">
        <v>17.149999999999999</v>
      </c>
      <c r="BN375" s="3">
        <v>131.46</v>
      </c>
      <c r="BO375" s="3">
        <v>131.46</v>
      </c>
      <c r="BQ375" s="3" t="s">
        <v>83</v>
      </c>
      <c r="BR375" s="3" t="s">
        <v>84</v>
      </c>
      <c r="BS375" s="4">
        <v>44573</v>
      </c>
      <c r="BT375" s="5">
        <v>0.4458333333333333</v>
      </c>
      <c r="BU375" s="3" t="s">
        <v>532</v>
      </c>
      <c r="BV375" s="3" t="s">
        <v>105</v>
      </c>
      <c r="BY375" s="3">
        <v>1200</v>
      </c>
      <c r="BZ375" s="3" t="s">
        <v>165</v>
      </c>
      <c r="CA375" s="3" t="s">
        <v>328</v>
      </c>
      <c r="CC375" s="3" t="s">
        <v>530</v>
      </c>
      <c r="CD375" s="3">
        <v>6500</v>
      </c>
      <c r="CE375" s="3" t="s">
        <v>93</v>
      </c>
      <c r="CF375" s="4">
        <v>44573</v>
      </c>
      <c r="CI375" s="3">
        <v>1</v>
      </c>
      <c r="CJ375" s="3">
        <v>1</v>
      </c>
      <c r="CK375" s="3">
        <v>23</v>
      </c>
      <c r="CL375" s="3" t="s">
        <v>87</v>
      </c>
    </row>
    <row r="376" spans="1:90" x14ac:dyDescent="0.2">
      <c r="A376" s="3" t="s">
        <v>72</v>
      </c>
      <c r="B376" s="3" t="s">
        <v>73</v>
      </c>
      <c r="C376" s="3" t="s">
        <v>74</v>
      </c>
      <c r="E376" s="3" t="str">
        <f>"FES1162844405"</f>
        <v>FES1162844405</v>
      </c>
      <c r="F376" s="4">
        <v>44572</v>
      </c>
      <c r="G376" s="3">
        <v>202207</v>
      </c>
      <c r="H376" s="3" t="s">
        <v>75</v>
      </c>
      <c r="I376" s="3" t="s">
        <v>76</v>
      </c>
      <c r="J376" s="3" t="s">
        <v>77</v>
      </c>
      <c r="K376" s="3" t="s">
        <v>78</v>
      </c>
      <c r="L376" s="3" t="s">
        <v>79</v>
      </c>
      <c r="M376" s="3" t="s">
        <v>80</v>
      </c>
      <c r="N376" s="3" t="s">
        <v>701</v>
      </c>
      <c r="O376" s="3" t="s">
        <v>82</v>
      </c>
      <c r="P376" s="3" t="str">
        <f>"2170816029                    "</f>
        <v xml:space="preserve">2170816029                    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15.46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1</v>
      </c>
      <c r="BI376" s="3">
        <v>1</v>
      </c>
      <c r="BJ376" s="3">
        <v>0.2</v>
      </c>
      <c r="BK376" s="3">
        <v>1</v>
      </c>
      <c r="BL376" s="3">
        <v>59</v>
      </c>
      <c r="BM376" s="3">
        <v>8.85</v>
      </c>
      <c r="BN376" s="3">
        <v>67.849999999999994</v>
      </c>
      <c r="BO376" s="3">
        <v>67.849999999999994</v>
      </c>
      <c r="BR376" s="3" t="s">
        <v>84</v>
      </c>
      <c r="BS376" s="4">
        <v>44573</v>
      </c>
      <c r="BT376" s="5">
        <v>0.41875000000000001</v>
      </c>
      <c r="BU376" s="3" t="s">
        <v>702</v>
      </c>
      <c r="BV376" s="3" t="s">
        <v>105</v>
      </c>
      <c r="BY376" s="3">
        <v>1200</v>
      </c>
      <c r="BZ376" s="3" t="s">
        <v>165</v>
      </c>
      <c r="CA376" s="3" t="s">
        <v>703</v>
      </c>
      <c r="CC376" s="3" t="s">
        <v>80</v>
      </c>
      <c r="CD376" s="3">
        <v>2</v>
      </c>
      <c r="CE376" s="3" t="s">
        <v>93</v>
      </c>
      <c r="CF376" s="4">
        <v>44573</v>
      </c>
      <c r="CI376" s="3">
        <v>1</v>
      </c>
      <c r="CJ376" s="3">
        <v>1</v>
      </c>
      <c r="CK376" s="3">
        <v>21</v>
      </c>
      <c r="CL376" s="3" t="s">
        <v>87</v>
      </c>
    </row>
    <row r="377" spans="1:90" x14ac:dyDescent="0.2">
      <c r="A377" s="3" t="s">
        <v>72</v>
      </c>
      <c r="B377" s="3" t="s">
        <v>73</v>
      </c>
      <c r="C377" s="3" t="s">
        <v>74</v>
      </c>
      <c r="E377" s="3" t="str">
        <f>"FES1162844577"</f>
        <v>FES1162844577</v>
      </c>
      <c r="F377" s="4">
        <v>44572</v>
      </c>
      <c r="G377" s="3">
        <v>202207</v>
      </c>
      <c r="H377" s="3" t="s">
        <v>75</v>
      </c>
      <c r="I377" s="3" t="s">
        <v>76</v>
      </c>
      <c r="J377" s="3" t="s">
        <v>77</v>
      </c>
      <c r="K377" s="3" t="s">
        <v>78</v>
      </c>
      <c r="L377" s="3" t="s">
        <v>187</v>
      </c>
      <c r="M377" s="3" t="s">
        <v>188</v>
      </c>
      <c r="N377" s="3" t="s">
        <v>189</v>
      </c>
      <c r="O377" s="3" t="s">
        <v>82</v>
      </c>
      <c r="P377" s="3" t="str">
        <f>"2170815013                    "</f>
        <v xml:space="preserve">2170815013                    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29.95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1</v>
      </c>
      <c r="BI377" s="3">
        <v>1</v>
      </c>
      <c r="BJ377" s="3">
        <v>0.2</v>
      </c>
      <c r="BK377" s="3">
        <v>1</v>
      </c>
      <c r="BL377" s="3">
        <v>114.31</v>
      </c>
      <c r="BM377" s="3">
        <v>17.149999999999999</v>
      </c>
      <c r="BN377" s="3">
        <v>131.46</v>
      </c>
      <c r="BO377" s="3">
        <v>131.46</v>
      </c>
      <c r="BQ377" s="3" t="s">
        <v>83</v>
      </c>
      <c r="BR377" s="3" t="s">
        <v>84</v>
      </c>
      <c r="BS377" s="4">
        <v>44573</v>
      </c>
      <c r="BT377" s="5">
        <v>0.56319444444444444</v>
      </c>
      <c r="BU377" s="3" t="s">
        <v>267</v>
      </c>
      <c r="BV377" s="3" t="s">
        <v>87</v>
      </c>
      <c r="BW377" s="3" t="s">
        <v>579</v>
      </c>
      <c r="BX377" s="3" t="s">
        <v>580</v>
      </c>
      <c r="BY377" s="3">
        <v>1200</v>
      </c>
      <c r="BZ377" s="3" t="s">
        <v>165</v>
      </c>
      <c r="CA377" s="3" t="s">
        <v>268</v>
      </c>
      <c r="CC377" s="3" t="s">
        <v>188</v>
      </c>
      <c r="CD377" s="3">
        <v>7300</v>
      </c>
      <c r="CE377" s="3" t="s">
        <v>93</v>
      </c>
      <c r="CF377" s="4">
        <v>44574</v>
      </c>
      <c r="CI377" s="3">
        <v>1</v>
      </c>
      <c r="CJ377" s="3">
        <v>1</v>
      </c>
      <c r="CK377" s="3">
        <v>23</v>
      </c>
      <c r="CL377" s="3" t="s">
        <v>87</v>
      </c>
    </row>
    <row r="378" spans="1:90" x14ac:dyDescent="0.2">
      <c r="A378" s="3" t="s">
        <v>72</v>
      </c>
      <c r="B378" s="3" t="s">
        <v>73</v>
      </c>
      <c r="C378" s="3" t="s">
        <v>74</v>
      </c>
      <c r="E378" s="3" t="str">
        <f>"FES1162844399"</f>
        <v>FES1162844399</v>
      </c>
      <c r="F378" s="4">
        <v>44572</v>
      </c>
      <c r="G378" s="3">
        <v>202207</v>
      </c>
      <c r="H378" s="3" t="s">
        <v>75</v>
      </c>
      <c r="I378" s="3" t="s">
        <v>76</v>
      </c>
      <c r="J378" s="3" t="s">
        <v>77</v>
      </c>
      <c r="K378" s="3" t="s">
        <v>78</v>
      </c>
      <c r="L378" s="3" t="s">
        <v>187</v>
      </c>
      <c r="M378" s="3" t="s">
        <v>188</v>
      </c>
      <c r="N378" s="3" t="s">
        <v>189</v>
      </c>
      <c r="O378" s="3" t="s">
        <v>82</v>
      </c>
      <c r="P378" s="3" t="str">
        <f>"2170816022                    "</f>
        <v xml:space="preserve">2170816022                    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29.95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1</v>
      </c>
      <c r="BI378" s="3">
        <v>1</v>
      </c>
      <c r="BJ378" s="3">
        <v>0.2</v>
      </c>
      <c r="BK378" s="3">
        <v>1</v>
      </c>
      <c r="BL378" s="3">
        <v>114.31</v>
      </c>
      <c r="BM378" s="3">
        <v>17.149999999999999</v>
      </c>
      <c r="BN378" s="3">
        <v>131.46</v>
      </c>
      <c r="BO378" s="3">
        <v>131.46</v>
      </c>
      <c r="BQ378" s="3" t="s">
        <v>83</v>
      </c>
      <c r="BR378" s="3" t="s">
        <v>84</v>
      </c>
      <c r="BS378" s="4">
        <v>44573</v>
      </c>
      <c r="BT378" s="5">
        <v>0.56388888888888888</v>
      </c>
      <c r="BU378" s="3" t="s">
        <v>267</v>
      </c>
      <c r="BV378" s="3" t="s">
        <v>87</v>
      </c>
      <c r="BW378" s="3" t="s">
        <v>457</v>
      </c>
      <c r="BX378" s="3" t="s">
        <v>580</v>
      </c>
      <c r="BY378" s="3">
        <v>1200</v>
      </c>
      <c r="BZ378" s="3" t="s">
        <v>165</v>
      </c>
      <c r="CA378" s="3" t="s">
        <v>268</v>
      </c>
      <c r="CC378" s="3" t="s">
        <v>188</v>
      </c>
      <c r="CD378" s="3">
        <v>7300</v>
      </c>
      <c r="CE378" s="3" t="s">
        <v>93</v>
      </c>
      <c r="CF378" s="4">
        <v>44574</v>
      </c>
      <c r="CI378" s="3">
        <v>1</v>
      </c>
      <c r="CJ378" s="3">
        <v>1</v>
      </c>
      <c r="CK378" s="3">
        <v>23</v>
      </c>
      <c r="CL378" s="3" t="s">
        <v>87</v>
      </c>
    </row>
    <row r="379" spans="1:90" x14ac:dyDescent="0.2">
      <c r="A379" s="3" t="s">
        <v>72</v>
      </c>
      <c r="B379" s="3" t="s">
        <v>73</v>
      </c>
      <c r="C379" s="3" t="s">
        <v>74</v>
      </c>
      <c r="E379" s="3" t="str">
        <f>"FES1162844563"</f>
        <v>FES1162844563</v>
      </c>
      <c r="F379" s="4">
        <v>44572</v>
      </c>
      <c r="G379" s="3">
        <v>202207</v>
      </c>
      <c r="H379" s="3" t="s">
        <v>75</v>
      </c>
      <c r="I379" s="3" t="s">
        <v>76</v>
      </c>
      <c r="J379" s="3" t="s">
        <v>77</v>
      </c>
      <c r="K379" s="3" t="s">
        <v>78</v>
      </c>
      <c r="L379" s="3" t="s">
        <v>187</v>
      </c>
      <c r="M379" s="3" t="s">
        <v>188</v>
      </c>
      <c r="N379" s="3" t="s">
        <v>189</v>
      </c>
      <c r="O379" s="3" t="s">
        <v>82</v>
      </c>
      <c r="P379" s="3" t="str">
        <f>"2170814292                    "</f>
        <v xml:space="preserve">2170814292                    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29.95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1</v>
      </c>
      <c r="BI379" s="3">
        <v>1</v>
      </c>
      <c r="BJ379" s="3">
        <v>0.2</v>
      </c>
      <c r="BK379" s="3">
        <v>1</v>
      </c>
      <c r="BL379" s="3">
        <v>114.31</v>
      </c>
      <c r="BM379" s="3">
        <v>17.149999999999999</v>
      </c>
      <c r="BN379" s="3">
        <v>131.46</v>
      </c>
      <c r="BO379" s="3">
        <v>131.46</v>
      </c>
      <c r="BQ379" s="3" t="s">
        <v>83</v>
      </c>
      <c r="BR379" s="3" t="s">
        <v>84</v>
      </c>
      <c r="BS379" s="4">
        <v>44573</v>
      </c>
      <c r="BT379" s="5">
        <v>0.56666666666666665</v>
      </c>
      <c r="BU379" s="3" t="s">
        <v>267</v>
      </c>
      <c r="BV379" s="3" t="s">
        <v>87</v>
      </c>
      <c r="BW379" s="3" t="s">
        <v>579</v>
      </c>
      <c r="BX379" s="3" t="s">
        <v>580</v>
      </c>
      <c r="BY379" s="3">
        <v>1200</v>
      </c>
      <c r="BZ379" s="3" t="s">
        <v>165</v>
      </c>
      <c r="CA379" s="3" t="s">
        <v>268</v>
      </c>
      <c r="CC379" s="3" t="s">
        <v>188</v>
      </c>
      <c r="CD379" s="3">
        <v>7300</v>
      </c>
      <c r="CE379" s="3" t="s">
        <v>93</v>
      </c>
      <c r="CF379" s="4">
        <v>44574</v>
      </c>
      <c r="CI379" s="3">
        <v>1</v>
      </c>
      <c r="CJ379" s="3">
        <v>1</v>
      </c>
      <c r="CK379" s="3">
        <v>23</v>
      </c>
      <c r="CL379" s="3" t="s">
        <v>87</v>
      </c>
    </row>
    <row r="380" spans="1:90" x14ac:dyDescent="0.2">
      <c r="A380" s="3" t="s">
        <v>72</v>
      </c>
      <c r="B380" s="3" t="s">
        <v>73</v>
      </c>
      <c r="C380" s="3" t="s">
        <v>74</v>
      </c>
      <c r="E380" s="3" t="str">
        <f>"FES1162844493"</f>
        <v>FES1162844493</v>
      </c>
      <c r="F380" s="4">
        <v>44572</v>
      </c>
      <c r="G380" s="3">
        <v>202207</v>
      </c>
      <c r="H380" s="3" t="s">
        <v>75</v>
      </c>
      <c r="I380" s="3" t="s">
        <v>76</v>
      </c>
      <c r="J380" s="3" t="s">
        <v>77</v>
      </c>
      <c r="K380" s="3" t="s">
        <v>78</v>
      </c>
      <c r="L380" s="3" t="s">
        <v>335</v>
      </c>
      <c r="M380" s="3" t="s">
        <v>336</v>
      </c>
      <c r="N380" s="3" t="s">
        <v>704</v>
      </c>
      <c r="O380" s="3" t="s">
        <v>82</v>
      </c>
      <c r="P380" s="3" t="str">
        <f>"2170816144                    "</f>
        <v xml:space="preserve">2170816144                    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15.46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15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1</v>
      </c>
      <c r="BI380" s="3">
        <v>1</v>
      </c>
      <c r="BJ380" s="3">
        <v>0.2</v>
      </c>
      <c r="BK380" s="3">
        <v>1</v>
      </c>
      <c r="BL380" s="3">
        <v>74</v>
      </c>
      <c r="BM380" s="3">
        <v>11.1</v>
      </c>
      <c r="BN380" s="3">
        <v>85.1</v>
      </c>
      <c r="BO380" s="3">
        <v>85.1</v>
      </c>
      <c r="BQ380" s="3" t="s">
        <v>705</v>
      </c>
      <c r="BR380" s="3" t="s">
        <v>84</v>
      </c>
      <c r="BS380" s="4">
        <v>44573</v>
      </c>
      <c r="BT380" s="5">
        <v>0.38263888888888892</v>
      </c>
      <c r="BU380" s="3" t="s">
        <v>527</v>
      </c>
      <c r="BV380" s="3" t="s">
        <v>105</v>
      </c>
      <c r="BY380" s="3">
        <v>1200</v>
      </c>
      <c r="BZ380" s="3" t="s">
        <v>446</v>
      </c>
      <c r="CA380" s="3" t="s">
        <v>528</v>
      </c>
      <c r="CC380" s="3" t="s">
        <v>336</v>
      </c>
      <c r="CD380" s="3">
        <v>4133</v>
      </c>
      <c r="CE380" s="3" t="s">
        <v>93</v>
      </c>
      <c r="CF380" s="4">
        <v>44574</v>
      </c>
      <c r="CI380" s="3">
        <v>1</v>
      </c>
      <c r="CJ380" s="3">
        <v>1</v>
      </c>
      <c r="CK380" s="3">
        <v>21</v>
      </c>
      <c r="CL380" s="3" t="s">
        <v>87</v>
      </c>
    </row>
    <row r="381" spans="1:90" x14ac:dyDescent="0.2">
      <c r="A381" s="3" t="s">
        <v>72</v>
      </c>
      <c r="B381" s="3" t="s">
        <v>73</v>
      </c>
      <c r="C381" s="3" t="s">
        <v>74</v>
      </c>
      <c r="E381" s="3" t="str">
        <f>"FES1162844685"</f>
        <v>FES1162844685</v>
      </c>
      <c r="F381" s="4">
        <v>44572</v>
      </c>
      <c r="G381" s="3">
        <v>202207</v>
      </c>
      <c r="H381" s="3" t="s">
        <v>75</v>
      </c>
      <c r="I381" s="3" t="s">
        <v>76</v>
      </c>
      <c r="J381" s="3" t="s">
        <v>77</v>
      </c>
      <c r="K381" s="3" t="s">
        <v>78</v>
      </c>
      <c r="L381" s="3" t="s">
        <v>75</v>
      </c>
      <c r="M381" s="3" t="s">
        <v>76</v>
      </c>
      <c r="N381" s="3" t="s">
        <v>147</v>
      </c>
      <c r="O381" s="3" t="s">
        <v>82</v>
      </c>
      <c r="P381" s="3" t="str">
        <f>"2170816265                    "</f>
        <v xml:space="preserve">2170816265                    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12.07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1</v>
      </c>
      <c r="BI381" s="3">
        <v>1</v>
      </c>
      <c r="BJ381" s="3">
        <v>0.2</v>
      </c>
      <c r="BK381" s="3">
        <v>1</v>
      </c>
      <c r="BL381" s="3">
        <v>46.08</v>
      </c>
      <c r="BM381" s="3">
        <v>6.91</v>
      </c>
      <c r="BN381" s="3">
        <v>52.99</v>
      </c>
      <c r="BO381" s="3">
        <v>52.99</v>
      </c>
      <c r="BQ381" s="3" t="s">
        <v>89</v>
      </c>
      <c r="BR381" s="3" t="s">
        <v>84</v>
      </c>
      <c r="BS381" s="4">
        <v>44573</v>
      </c>
      <c r="BT381" s="5">
        <v>0.4201388888888889</v>
      </c>
      <c r="BU381" s="3" t="s">
        <v>476</v>
      </c>
      <c r="BV381" s="3" t="s">
        <v>105</v>
      </c>
      <c r="BY381" s="3">
        <v>1200</v>
      </c>
      <c r="BZ381" s="3" t="s">
        <v>165</v>
      </c>
      <c r="CA381" s="3" t="s">
        <v>477</v>
      </c>
      <c r="CC381" s="3" t="s">
        <v>76</v>
      </c>
      <c r="CD381" s="3">
        <v>1645</v>
      </c>
      <c r="CE381" s="3" t="s">
        <v>93</v>
      </c>
      <c r="CF381" s="4">
        <v>44574</v>
      </c>
      <c r="CI381" s="3">
        <v>1</v>
      </c>
      <c r="CJ381" s="3">
        <v>1</v>
      </c>
      <c r="CK381" s="3">
        <v>22</v>
      </c>
      <c r="CL381" s="3" t="s">
        <v>87</v>
      </c>
    </row>
    <row r="382" spans="1:90" x14ac:dyDescent="0.2">
      <c r="A382" s="3" t="s">
        <v>72</v>
      </c>
      <c r="B382" s="3" t="s">
        <v>73</v>
      </c>
      <c r="C382" s="3" t="s">
        <v>74</v>
      </c>
      <c r="E382" s="3" t="str">
        <f>"FES1162844442"</f>
        <v>FES1162844442</v>
      </c>
      <c r="F382" s="4">
        <v>44572</v>
      </c>
      <c r="G382" s="3">
        <v>202207</v>
      </c>
      <c r="H382" s="3" t="s">
        <v>75</v>
      </c>
      <c r="I382" s="3" t="s">
        <v>76</v>
      </c>
      <c r="J382" s="3" t="s">
        <v>77</v>
      </c>
      <c r="K382" s="3" t="s">
        <v>78</v>
      </c>
      <c r="L382" s="3" t="s">
        <v>187</v>
      </c>
      <c r="M382" s="3" t="s">
        <v>188</v>
      </c>
      <c r="N382" s="3" t="s">
        <v>189</v>
      </c>
      <c r="O382" s="3" t="s">
        <v>82</v>
      </c>
      <c r="P382" s="3" t="str">
        <f>"2170815920                    "</f>
        <v xml:space="preserve">2170815920                    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0</v>
      </c>
      <c r="AF382" s="3">
        <v>0</v>
      </c>
      <c r="AG382" s="3">
        <v>0</v>
      </c>
      <c r="AH382" s="3">
        <v>0</v>
      </c>
      <c r="AI382" s="3">
        <v>0</v>
      </c>
      <c r="AJ382" s="3">
        <v>0</v>
      </c>
      <c r="AK382" s="3">
        <v>29.95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1</v>
      </c>
      <c r="BI382" s="3">
        <v>1</v>
      </c>
      <c r="BJ382" s="3">
        <v>0.2</v>
      </c>
      <c r="BK382" s="3">
        <v>1</v>
      </c>
      <c r="BL382" s="3">
        <v>114.31</v>
      </c>
      <c r="BM382" s="3">
        <v>17.149999999999999</v>
      </c>
      <c r="BN382" s="3">
        <v>131.46</v>
      </c>
      <c r="BO382" s="3">
        <v>131.46</v>
      </c>
      <c r="BQ382" s="3" t="s">
        <v>83</v>
      </c>
      <c r="BR382" s="3" t="s">
        <v>84</v>
      </c>
      <c r="BS382" s="4">
        <v>44573</v>
      </c>
      <c r="BT382" s="5">
        <v>0.56388888888888888</v>
      </c>
      <c r="BU382" s="3" t="s">
        <v>267</v>
      </c>
      <c r="BV382" s="3" t="s">
        <v>87</v>
      </c>
      <c r="BW382" s="3" t="s">
        <v>457</v>
      </c>
      <c r="BX382" s="3" t="s">
        <v>580</v>
      </c>
      <c r="BY382" s="3">
        <v>1200</v>
      </c>
      <c r="BZ382" s="3" t="s">
        <v>165</v>
      </c>
      <c r="CA382" s="3" t="s">
        <v>268</v>
      </c>
      <c r="CC382" s="3" t="s">
        <v>188</v>
      </c>
      <c r="CD382" s="3">
        <v>7300</v>
      </c>
      <c r="CE382" s="3" t="s">
        <v>93</v>
      </c>
      <c r="CF382" s="4">
        <v>44574</v>
      </c>
      <c r="CI382" s="3">
        <v>1</v>
      </c>
      <c r="CJ382" s="3">
        <v>1</v>
      </c>
      <c r="CK382" s="3">
        <v>23</v>
      </c>
      <c r="CL382" s="3" t="s">
        <v>87</v>
      </c>
    </row>
    <row r="383" spans="1:90" x14ac:dyDescent="0.2">
      <c r="A383" s="3" t="s">
        <v>72</v>
      </c>
      <c r="B383" s="3" t="s">
        <v>73</v>
      </c>
      <c r="C383" s="3" t="s">
        <v>74</v>
      </c>
      <c r="E383" s="3" t="str">
        <f>"FES1162844602"</f>
        <v>FES1162844602</v>
      </c>
      <c r="F383" s="4">
        <v>44572</v>
      </c>
      <c r="G383" s="3">
        <v>202207</v>
      </c>
      <c r="H383" s="3" t="s">
        <v>75</v>
      </c>
      <c r="I383" s="3" t="s">
        <v>76</v>
      </c>
      <c r="J383" s="3" t="s">
        <v>77</v>
      </c>
      <c r="K383" s="3" t="s">
        <v>78</v>
      </c>
      <c r="L383" s="3" t="s">
        <v>154</v>
      </c>
      <c r="M383" s="3" t="s">
        <v>155</v>
      </c>
      <c r="N383" s="3" t="s">
        <v>706</v>
      </c>
      <c r="O383" s="3" t="s">
        <v>82</v>
      </c>
      <c r="P383" s="3" t="str">
        <f>"2170815224                    "</f>
        <v xml:space="preserve">2170815224                    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0</v>
      </c>
      <c r="AH383" s="3">
        <v>0</v>
      </c>
      <c r="AI383" s="3">
        <v>0</v>
      </c>
      <c r="AJ383" s="3">
        <v>0</v>
      </c>
      <c r="AK383" s="3">
        <v>12.07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1</v>
      </c>
      <c r="BI383" s="3">
        <v>1</v>
      </c>
      <c r="BJ383" s="3">
        <v>0.2</v>
      </c>
      <c r="BK383" s="3">
        <v>1</v>
      </c>
      <c r="BL383" s="3">
        <v>46.08</v>
      </c>
      <c r="BM383" s="3">
        <v>6.91</v>
      </c>
      <c r="BN383" s="3">
        <v>52.99</v>
      </c>
      <c r="BO383" s="3">
        <v>52.99</v>
      </c>
      <c r="BQ383" s="3" t="s">
        <v>83</v>
      </c>
      <c r="BR383" s="3" t="s">
        <v>84</v>
      </c>
      <c r="BS383" s="4">
        <v>44573</v>
      </c>
      <c r="BT383" s="5">
        <v>0.3611111111111111</v>
      </c>
      <c r="BU383" s="3" t="s">
        <v>707</v>
      </c>
      <c r="BV383" s="3" t="s">
        <v>105</v>
      </c>
      <c r="BY383" s="3">
        <v>1200</v>
      </c>
      <c r="BZ383" s="3" t="s">
        <v>165</v>
      </c>
      <c r="CA383" s="3" t="s">
        <v>708</v>
      </c>
      <c r="CC383" s="3" t="s">
        <v>155</v>
      </c>
      <c r="CD383" s="3">
        <v>1682</v>
      </c>
      <c r="CE383" s="3" t="s">
        <v>93</v>
      </c>
      <c r="CF383" s="4">
        <v>44574</v>
      </c>
      <c r="CI383" s="3">
        <v>1</v>
      </c>
      <c r="CJ383" s="3">
        <v>1</v>
      </c>
      <c r="CK383" s="3">
        <v>22</v>
      </c>
      <c r="CL383" s="3" t="s">
        <v>87</v>
      </c>
    </row>
    <row r="384" spans="1:90" x14ac:dyDescent="0.2">
      <c r="A384" s="3" t="s">
        <v>72</v>
      </c>
      <c r="B384" s="3" t="s">
        <v>73</v>
      </c>
      <c r="C384" s="3" t="s">
        <v>74</v>
      </c>
      <c r="E384" s="3" t="str">
        <f>"FES1162844450"</f>
        <v>FES1162844450</v>
      </c>
      <c r="F384" s="4">
        <v>44572</v>
      </c>
      <c r="G384" s="3">
        <v>202207</v>
      </c>
      <c r="H384" s="3" t="s">
        <v>75</v>
      </c>
      <c r="I384" s="3" t="s">
        <v>76</v>
      </c>
      <c r="J384" s="3" t="s">
        <v>77</v>
      </c>
      <c r="K384" s="3" t="s">
        <v>78</v>
      </c>
      <c r="L384" s="3" t="s">
        <v>123</v>
      </c>
      <c r="M384" s="3" t="s">
        <v>124</v>
      </c>
      <c r="N384" s="3" t="s">
        <v>709</v>
      </c>
      <c r="O384" s="3" t="s">
        <v>82</v>
      </c>
      <c r="P384" s="3" t="str">
        <f>"2170816083                    "</f>
        <v xml:space="preserve">2170816083                    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12.07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1</v>
      </c>
      <c r="BI384" s="3">
        <v>1</v>
      </c>
      <c r="BJ384" s="3">
        <v>0.2</v>
      </c>
      <c r="BK384" s="3">
        <v>1</v>
      </c>
      <c r="BL384" s="3">
        <v>46.08</v>
      </c>
      <c r="BM384" s="3">
        <v>6.91</v>
      </c>
      <c r="BN384" s="3">
        <v>52.99</v>
      </c>
      <c r="BO384" s="3">
        <v>52.99</v>
      </c>
      <c r="BQ384" s="3" t="s">
        <v>89</v>
      </c>
      <c r="BR384" s="3" t="s">
        <v>84</v>
      </c>
      <c r="BS384" s="4">
        <v>44573</v>
      </c>
      <c r="BT384" s="5">
        <v>0.34722222222222227</v>
      </c>
      <c r="BU384" s="3" t="s">
        <v>710</v>
      </c>
      <c r="BV384" s="3" t="s">
        <v>105</v>
      </c>
      <c r="BY384" s="3">
        <v>1200</v>
      </c>
      <c r="BZ384" s="3" t="s">
        <v>165</v>
      </c>
      <c r="CA384" s="3" t="s">
        <v>266</v>
      </c>
      <c r="CC384" s="3" t="s">
        <v>124</v>
      </c>
      <c r="CD384" s="3">
        <v>1725</v>
      </c>
      <c r="CE384" s="3" t="s">
        <v>93</v>
      </c>
      <c r="CF384" s="4">
        <v>44573</v>
      </c>
      <c r="CI384" s="3">
        <v>1</v>
      </c>
      <c r="CJ384" s="3">
        <v>1</v>
      </c>
      <c r="CK384" s="3">
        <v>22</v>
      </c>
      <c r="CL384" s="3" t="s">
        <v>87</v>
      </c>
    </row>
    <row r="385" spans="1:90" x14ac:dyDescent="0.2">
      <c r="A385" s="3" t="s">
        <v>72</v>
      </c>
      <c r="B385" s="3" t="s">
        <v>73</v>
      </c>
      <c r="C385" s="3" t="s">
        <v>74</v>
      </c>
      <c r="E385" s="3" t="str">
        <f>"FES1162844474"</f>
        <v>FES1162844474</v>
      </c>
      <c r="F385" s="4">
        <v>44572</v>
      </c>
      <c r="G385" s="3">
        <v>202207</v>
      </c>
      <c r="H385" s="3" t="s">
        <v>75</v>
      </c>
      <c r="I385" s="3" t="s">
        <v>76</v>
      </c>
      <c r="J385" s="3" t="s">
        <v>77</v>
      </c>
      <c r="K385" s="3" t="s">
        <v>78</v>
      </c>
      <c r="L385" s="3" t="s">
        <v>171</v>
      </c>
      <c r="M385" s="3" t="s">
        <v>172</v>
      </c>
      <c r="N385" s="3" t="s">
        <v>249</v>
      </c>
      <c r="O385" s="3" t="s">
        <v>82</v>
      </c>
      <c r="P385" s="3" t="str">
        <f>"2170815990                    "</f>
        <v xml:space="preserve">2170815990                    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>
        <v>0</v>
      </c>
      <c r="AG385" s="3">
        <v>0</v>
      </c>
      <c r="AH385" s="3">
        <v>0</v>
      </c>
      <c r="AI385" s="3">
        <v>0</v>
      </c>
      <c r="AJ385" s="3">
        <v>0</v>
      </c>
      <c r="AK385" s="3">
        <v>15.46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1</v>
      </c>
      <c r="BI385" s="3">
        <v>1</v>
      </c>
      <c r="BJ385" s="3">
        <v>0.2</v>
      </c>
      <c r="BK385" s="3">
        <v>1</v>
      </c>
      <c r="BL385" s="3">
        <v>59</v>
      </c>
      <c r="BM385" s="3">
        <v>8.85</v>
      </c>
      <c r="BN385" s="3">
        <v>67.849999999999994</v>
      </c>
      <c r="BO385" s="3">
        <v>67.849999999999994</v>
      </c>
      <c r="BQ385" s="3" t="s">
        <v>89</v>
      </c>
      <c r="BR385" s="3" t="s">
        <v>84</v>
      </c>
      <c r="BS385" s="4">
        <v>44573</v>
      </c>
      <c r="BT385" s="5">
        <v>0.38125000000000003</v>
      </c>
      <c r="BU385" s="3" t="s">
        <v>508</v>
      </c>
      <c r="BV385" s="3" t="s">
        <v>105</v>
      </c>
      <c r="BY385" s="3">
        <v>1200</v>
      </c>
      <c r="BZ385" s="3" t="s">
        <v>165</v>
      </c>
      <c r="CA385" s="3" t="s">
        <v>509</v>
      </c>
      <c r="CC385" s="3" t="s">
        <v>172</v>
      </c>
      <c r="CD385" s="3">
        <v>6001</v>
      </c>
      <c r="CE385" s="3" t="s">
        <v>93</v>
      </c>
      <c r="CF385" s="4">
        <v>44574</v>
      </c>
      <c r="CI385" s="3">
        <v>1</v>
      </c>
      <c r="CJ385" s="3">
        <v>1</v>
      </c>
      <c r="CK385" s="3">
        <v>21</v>
      </c>
      <c r="CL385" s="3" t="s">
        <v>87</v>
      </c>
    </row>
    <row r="386" spans="1:90" x14ac:dyDescent="0.2">
      <c r="A386" s="3" t="s">
        <v>72</v>
      </c>
      <c r="B386" s="3" t="s">
        <v>73</v>
      </c>
      <c r="C386" s="3" t="s">
        <v>74</v>
      </c>
      <c r="E386" s="3" t="str">
        <f>"FES1162844298"</f>
        <v>FES1162844298</v>
      </c>
      <c r="F386" s="4">
        <v>44572</v>
      </c>
      <c r="G386" s="3">
        <v>202207</v>
      </c>
      <c r="H386" s="3" t="s">
        <v>75</v>
      </c>
      <c r="I386" s="3" t="s">
        <v>76</v>
      </c>
      <c r="J386" s="3" t="s">
        <v>77</v>
      </c>
      <c r="K386" s="3" t="s">
        <v>78</v>
      </c>
      <c r="L386" s="3" t="s">
        <v>90</v>
      </c>
      <c r="M386" s="3" t="s">
        <v>91</v>
      </c>
      <c r="N386" s="3" t="s">
        <v>711</v>
      </c>
      <c r="O386" s="3" t="s">
        <v>82</v>
      </c>
      <c r="P386" s="3" t="str">
        <f>"2170811886                    "</f>
        <v xml:space="preserve">2170811886                    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  <c r="AE386" s="3">
        <v>0</v>
      </c>
      <c r="AF386" s="3">
        <v>0</v>
      </c>
      <c r="AG386" s="3">
        <v>0</v>
      </c>
      <c r="AH386" s="3">
        <v>0</v>
      </c>
      <c r="AI386" s="3">
        <v>0</v>
      </c>
      <c r="AJ386" s="3">
        <v>0</v>
      </c>
      <c r="AK386" s="3">
        <v>77.260000000000005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1</v>
      </c>
      <c r="BI386" s="3">
        <v>9.5</v>
      </c>
      <c r="BJ386" s="3">
        <v>9.6</v>
      </c>
      <c r="BK386" s="3">
        <v>10</v>
      </c>
      <c r="BL386" s="3">
        <v>294.88</v>
      </c>
      <c r="BM386" s="3">
        <v>44.23</v>
      </c>
      <c r="BN386" s="3">
        <v>339.11</v>
      </c>
      <c r="BO386" s="3">
        <v>339.11</v>
      </c>
      <c r="BQ386" s="3" t="s">
        <v>83</v>
      </c>
      <c r="BR386" s="3" t="s">
        <v>84</v>
      </c>
      <c r="BS386" s="4">
        <v>44575</v>
      </c>
      <c r="BT386" s="5">
        <v>0.45347222222222222</v>
      </c>
      <c r="BU386" s="3" t="s">
        <v>712</v>
      </c>
      <c r="BV386" s="3" t="s">
        <v>87</v>
      </c>
      <c r="BW386" s="3" t="s">
        <v>353</v>
      </c>
      <c r="BX386" s="3" t="s">
        <v>354</v>
      </c>
      <c r="BY386" s="3">
        <v>47950.32</v>
      </c>
      <c r="BZ386" s="3" t="s">
        <v>165</v>
      </c>
      <c r="CA386" s="3" t="s">
        <v>713</v>
      </c>
      <c r="CC386" s="3" t="s">
        <v>91</v>
      </c>
      <c r="CD386" s="3">
        <v>7441</v>
      </c>
      <c r="CE386" s="3" t="s">
        <v>86</v>
      </c>
      <c r="CF386" s="4">
        <v>44578</v>
      </c>
      <c r="CI386" s="3">
        <v>1</v>
      </c>
      <c r="CJ386" s="3">
        <v>3</v>
      </c>
      <c r="CK386" s="3">
        <v>21</v>
      </c>
      <c r="CL386" s="3" t="s">
        <v>87</v>
      </c>
    </row>
    <row r="387" spans="1:90" x14ac:dyDescent="0.2">
      <c r="A387" s="3" t="s">
        <v>72</v>
      </c>
      <c r="B387" s="3" t="s">
        <v>73</v>
      </c>
      <c r="C387" s="3" t="s">
        <v>74</v>
      </c>
      <c r="E387" s="3" t="str">
        <f>"FES1162844626"</f>
        <v>FES1162844626</v>
      </c>
      <c r="F387" s="4">
        <v>44572</v>
      </c>
      <c r="G387" s="3">
        <v>202207</v>
      </c>
      <c r="H387" s="3" t="s">
        <v>75</v>
      </c>
      <c r="I387" s="3" t="s">
        <v>76</v>
      </c>
      <c r="J387" s="3" t="s">
        <v>77</v>
      </c>
      <c r="K387" s="3" t="s">
        <v>78</v>
      </c>
      <c r="L387" s="3" t="s">
        <v>176</v>
      </c>
      <c r="M387" s="3" t="s">
        <v>177</v>
      </c>
      <c r="N387" s="3" t="s">
        <v>714</v>
      </c>
      <c r="O387" s="3" t="s">
        <v>82</v>
      </c>
      <c r="P387" s="3" t="str">
        <f>"2170812250                    "</f>
        <v xml:space="preserve">2170812250                    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0</v>
      </c>
      <c r="AH387" s="3">
        <v>0</v>
      </c>
      <c r="AI387" s="3">
        <v>0</v>
      </c>
      <c r="AJ387" s="3">
        <v>0</v>
      </c>
      <c r="AK387" s="3">
        <v>15.46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1</v>
      </c>
      <c r="BI387" s="3">
        <v>1</v>
      </c>
      <c r="BJ387" s="3">
        <v>0.2</v>
      </c>
      <c r="BK387" s="3">
        <v>1</v>
      </c>
      <c r="BL387" s="3">
        <v>59</v>
      </c>
      <c r="BM387" s="3">
        <v>8.85</v>
      </c>
      <c r="BN387" s="3">
        <v>67.849999999999994</v>
      </c>
      <c r="BO387" s="3">
        <v>67.849999999999994</v>
      </c>
      <c r="BQ387" s="3" t="s">
        <v>83</v>
      </c>
      <c r="BR387" s="3" t="s">
        <v>84</v>
      </c>
      <c r="BS387" s="4">
        <v>44573</v>
      </c>
      <c r="BT387" s="5">
        <v>0.43194444444444446</v>
      </c>
      <c r="BU387" s="3" t="s">
        <v>715</v>
      </c>
      <c r="BV387" s="3" t="s">
        <v>105</v>
      </c>
      <c r="BY387" s="3">
        <v>1200</v>
      </c>
      <c r="BZ387" s="3" t="s">
        <v>165</v>
      </c>
      <c r="CA387" s="3" t="s">
        <v>528</v>
      </c>
      <c r="CC387" s="3" t="s">
        <v>177</v>
      </c>
      <c r="CD387" s="3">
        <v>4026</v>
      </c>
      <c r="CE387" s="3" t="s">
        <v>93</v>
      </c>
      <c r="CF387" s="4">
        <v>44574</v>
      </c>
      <c r="CI387" s="3">
        <v>1</v>
      </c>
      <c r="CJ387" s="3">
        <v>1</v>
      </c>
      <c r="CK387" s="3">
        <v>21</v>
      </c>
      <c r="CL387" s="3" t="s">
        <v>87</v>
      </c>
    </row>
    <row r="388" spans="1:90" x14ac:dyDescent="0.2">
      <c r="A388" s="3" t="s">
        <v>72</v>
      </c>
      <c r="B388" s="3" t="s">
        <v>73</v>
      </c>
      <c r="C388" s="3" t="s">
        <v>74</v>
      </c>
      <c r="E388" s="3" t="str">
        <f>"FES1162844605"</f>
        <v>FES1162844605</v>
      </c>
      <c r="F388" s="4">
        <v>44572</v>
      </c>
      <c r="G388" s="3">
        <v>202207</v>
      </c>
      <c r="H388" s="3" t="s">
        <v>75</v>
      </c>
      <c r="I388" s="3" t="s">
        <v>76</v>
      </c>
      <c r="J388" s="3" t="s">
        <v>77</v>
      </c>
      <c r="K388" s="3" t="s">
        <v>78</v>
      </c>
      <c r="L388" s="3" t="s">
        <v>716</v>
      </c>
      <c r="M388" s="3" t="s">
        <v>717</v>
      </c>
      <c r="N388" s="3" t="s">
        <v>718</v>
      </c>
      <c r="O388" s="3" t="s">
        <v>82</v>
      </c>
      <c r="P388" s="3" t="str">
        <f>"2170815379                    "</f>
        <v xml:space="preserve">2170815379                    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0</v>
      </c>
      <c r="AF388" s="3">
        <v>0</v>
      </c>
      <c r="AG388" s="3">
        <v>0</v>
      </c>
      <c r="AH388" s="3">
        <v>0</v>
      </c>
      <c r="AI388" s="3">
        <v>0</v>
      </c>
      <c r="AJ388" s="3">
        <v>0</v>
      </c>
      <c r="AK388" s="3">
        <v>29.95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1</v>
      </c>
      <c r="BI388" s="3">
        <v>1</v>
      </c>
      <c r="BJ388" s="3">
        <v>0.2</v>
      </c>
      <c r="BK388" s="3">
        <v>1</v>
      </c>
      <c r="BL388" s="3">
        <v>114.31</v>
      </c>
      <c r="BM388" s="3">
        <v>17.149999999999999</v>
      </c>
      <c r="BN388" s="3">
        <v>131.46</v>
      </c>
      <c r="BO388" s="3">
        <v>131.46</v>
      </c>
      <c r="BQ388" s="3" t="s">
        <v>89</v>
      </c>
      <c r="BR388" s="3" t="s">
        <v>84</v>
      </c>
      <c r="BS388" s="4">
        <v>44573</v>
      </c>
      <c r="BT388" s="5">
        <v>0.54791666666666672</v>
      </c>
      <c r="BU388" s="3" t="s">
        <v>719</v>
      </c>
      <c r="BV388" s="3" t="s">
        <v>105</v>
      </c>
      <c r="BY388" s="3">
        <v>1200</v>
      </c>
      <c r="BZ388" s="3" t="s">
        <v>165</v>
      </c>
      <c r="CA388" s="3" t="s">
        <v>720</v>
      </c>
      <c r="CC388" s="3" t="s">
        <v>717</v>
      </c>
      <c r="CD388" s="3">
        <v>1028</v>
      </c>
      <c r="CE388" s="3" t="s">
        <v>93</v>
      </c>
      <c r="CF388" s="4">
        <v>44573</v>
      </c>
      <c r="CI388" s="3">
        <v>1</v>
      </c>
      <c r="CJ388" s="3">
        <v>1</v>
      </c>
      <c r="CK388" s="3">
        <v>23</v>
      </c>
      <c r="CL388" s="3" t="s">
        <v>87</v>
      </c>
    </row>
    <row r="389" spans="1:90" x14ac:dyDescent="0.2">
      <c r="A389" s="3" t="s">
        <v>72</v>
      </c>
      <c r="B389" s="3" t="s">
        <v>73</v>
      </c>
      <c r="C389" s="3" t="s">
        <v>74</v>
      </c>
      <c r="E389" s="3" t="str">
        <f>"FES1162844645"</f>
        <v>FES1162844645</v>
      </c>
      <c r="F389" s="4">
        <v>44572</v>
      </c>
      <c r="G389" s="3">
        <v>202207</v>
      </c>
      <c r="H389" s="3" t="s">
        <v>75</v>
      </c>
      <c r="I389" s="3" t="s">
        <v>76</v>
      </c>
      <c r="J389" s="3" t="s">
        <v>77</v>
      </c>
      <c r="K389" s="3" t="s">
        <v>78</v>
      </c>
      <c r="L389" s="3" t="s">
        <v>90</v>
      </c>
      <c r="M389" s="3" t="s">
        <v>91</v>
      </c>
      <c r="N389" s="3" t="s">
        <v>157</v>
      </c>
      <c r="O389" s="3" t="s">
        <v>82</v>
      </c>
      <c r="P389" s="3" t="str">
        <f>"2170816222                    "</f>
        <v xml:space="preserve">2170816222                    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0</v>
      </c>
      <c r="AF389" s="3">
        <v>0</v>
      </c>
      <c r="AG389" s="3">
        <v>0</v>
      </c>
      <c r="AH389" s="3">
        <v>0</v>
      </c>
      <c r="AI389" s="3">
        <v>0</v>
      </c>
      <c r="AJ389" s="3">
        <v>0</v>
      </c>
      <c r="AK389" s="3">
        <v>15.46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1</v>
      </c>
      <c r="BI389" s="3">
        <v>1</v>
      </c>
      <c r="BJ389" s="3">
        <v>0.2</v>
      </c>
      <c r="BK389" s="3">
        <v>1</v>
      </c>
      <c r="BL389" s="3">
        <v>59</v>
      </c>
      <c r="BM389" s="3">
        <v>8.85</v>
      </c>
      <c r="BN389" s="3">
        <v>67.849999999999994</v>
      </c>
      <c r="BO389" s="3">
        <v>67.849999999999994</v>
      </c>
      <c r="BQ389" s="3" t="s">
        <v>89</v>
      </c>
      <c r="BR389" s="3" t="s">
        <v>84</v>
      </c>
      <c r="BS389" s="4">
        <v>44573</v>
      </c>
      <c r="BT389" s="5">
        <v>0.35694444444444445</v>
      </c>
      <c r="BU389" s="3" t="s">
        <v>693</v>
      </c>
      <c r="BV389" s="3" t="s">
        <v>105</v>
      </c>
      <c r="BY389" s="3">
        <v>1200</v>
      </c>
      <c r="BZ389" s="3" t="s">
        <v>165</v>
      </c>
      <c r="CA389" s="3" t="s">
        <v>289</v>
      </c>
      <c r="CC389" s="3" t="s">
        <v>91</v>
      </c>
      <c r="CD389" s="3">
        <v>7441</v>
      </c>
      <c r="CE389" s="3" t="s">
        <v>93</v>
      </c>
      <c r="CF389" s="4">
        <v>44579</v>
      </c>
      <c r="CI389" s="3">
        <v>1</v>
      </c>
      <c r="CJ389" s="3">
        <v>1</v>
      </c>
      <c r="CK389" s="3">
        <v>21</v>
      </c>
      <c r="CL389" s="3" t="s">
        <v>87</v>
      </c>
    </row>
    <row r="390" spans="1:90" x14ac:dyDescent="0.2">
      <c r="A390" s="3" t="s">
        <v>72</v>
      </c>
      <c r="B390" s="3" t="s">
        <v>73</v>
      </c>
      <c r="C390" s="3" t="s">
        <v>74</v>
      </c>
      <c r="E390" s="3" t="str">
        <f>"FES1162844518"</f>
        <v>FES1162844518</v>
      </c>
      <c r="F390" s="4">
        <v>44572</v>
      </c>
      <c r="G390" s="3">
        <v>202207</v>
      </c>
      <c r="H390" s="3" t="s">
        <v>75</v>
      </c>
      <c r="I390" s="3" t="s">
        <v>76</v>
      </c>
      <c r="J390" s="3" t="s">
        <v>77</v>
      </c>
      <c r="K390" s="3" t="s">
        <v>78</v>
      </c>
      <c r="L390" s="3" t="s">
        <v>75</v>
      </c>
      <c r="M390" s="3" t="s">
        <v>76</v>
      </c>
      <c r="N390" s="3" t="s">
        <v>688</v>
      </c>
      <c r="O390" s="3" t="s">
        <v>82</v>
      </c>
      <c r="P390" s="3" t="str">
        <f>"2170816168                    "</f>
        <v xml:space="preserve">2170816168                    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0</v>
      </c>
      <c r="AG390" s="3">
        <v>0</v>
      </c>
      <c r="AH390" s="3">
        <v>0</v>
      </c>
      <c r="AI390" s="3">
        <v>0</v>
      </c>
      <c r="AJ390" s="3">
        <v>0</v>
      </c>
      <c r="AK390" s="3">
        <v>12.07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1</v>
      </c>
      <c r="BI390" s="3">
        <v>1</v>
      </c>
      <c r="BJ390" s="3">
        <v>0.2</v>
      </c>
      <c r="BK390" s="3">
        <v>1</v>
      </c>
      <c r="BL390" s="3">
        <v>46.08</v>
      </c>
      <c r="BM390" s="3">
        <v>6.91</v>
      </c>
      <c r="BN390" s="3">
        <v>52.99</v>
      </c>
      <c r="BO390" s="3">
        <v>52.99</v>
      </c>
      <c r="BQ390" s="3" t="s">
        <v>83</v>
      </c>
      <c r="BR390" s="3" t="s">
        <v>84</v>
      </c>
      <c r="BS390" s="4">
        <v>44573</v>
      </c>
      <c r="BT390" s="5">
        <v>0.33819444444444446</v>
      </c>
      <c r="BU390" s="3" t="s">
        <v>721</v>
      </c>
      <c r="BV390" s="3" t="s">
        <v>105</v>
      </c>
      <c r="BY390" s="3">
        <v>1200</v>
      </c>
      <c r="BZ390" s="3" t="s">
        <v>165</v>
      </c>
      <c r="CC390" s="3" t="s">
        <v>76</v>
      </c>
      <c r="CD390" s="3">
        <v>1620</v>
      </c>
      <c r="CE390" s="3" t="s">
        <v>93</v>
      </c>
      <c r="CF390" s="4">
        <v>44573</v>
      </c>
      <c r="CI390" s="3">
        <v>1</v>
      </c>
      <c r="CJ390" s="3">
        <v>1</v>
      </c>
      <c r="CK390" s="3">
        <v>22</v>
      </c>
      <c r="CL390" s="3" t="s">
        <v>87</v>
      </c>
    </row>
    <row r="391" spans="1:90" x14ac:dyDescent="0.2">
      <c r="A391" s="3" t="s">
        <v>72</v>
      </c>
      <c r="B391" s="3" t="s">
        <v>73</v>
      </c>
      <c r="C391" s="3" t="s">
        <v>74</v>
      </c>
      <c r="E391" s="3" t="str">
        <f>"FES1162844495"</f>
        <v>FES1162844495</v>
      </c>
      <c r="F391" s="4">
        <v>44572</v>
      </c>
      <c r="G391" s="3">
        <v>202207</v>
      </c>
      <c r="H391" s="3" t="s">
        <v>75</v>
      </c>
      <c r="I391" s="3" t="s">
        <v>76</v>
      </c>
      <c r="J391" s="3" t="s">
        <v>77</v>
      </c>
      <c r="K391" s="3" t="s">
        <v>78</v>
      </c>
      <c r="L391" s="3" t="s">
        <v>258</v>
      </c>
      <c r="M391" s="3" t="s">
        <v>259</v>
      </c>
      <c r="N391" s="3" t="s">
        <v>260</v>
      </c>
      <c r="O391" s="3" t="s">
        <v>82</v>
      </c>
      <c r="P391" s="3" t="str">
        <f>"2170816149                    "</f>
        <v xml:space="preserve">2170816149                    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21.74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1</v>
      </c>
      <c r="BI391" s="3">
        <v>1</v>
      </c>
      <c r="BJ391" s="3">
        <v>0.2</v>
      </c>
      <c r="BK391" s="3">
        <v>1</v>
      </c>
      <c r="BL391" s="3">
        <v>82.98</v>
      </c>
      <c r="BM391" s="3">
        <v>12.45</v>
      </c>
      <c r="BN391" s="3">
        <v>95.43</v>
      </c>
      <c r="BO391" s="3">
        <v>95.43</v>
      </c>
      <c r="BQ391" s="3" t="s">
        <v>83</v>
      </c>
      <c r="BR391" s="3" t="s">
        <v>84</v>
      </c>
      <c r="BS391" s="4">
        <v>44573</v>
      </c>
      <c r="BT391" s="5">
        <v>0.43958333333333338</v>
      </c>
      <c r="BU391" s="3" t="s">
        <v>722</v>
      </c>
      <c r="BV391" s="3" t="s">
        <v>87</v>
      </c>
      <c r="BW391" s="3" t="s">
        <v>353</v>
      </c>
      <c r="BX391" s="3" t="s">
        <v>723</v>
      </c>
      <c r="BY391" s="3">
        <v>1200</v>
      </c>
      <c r="BZ391" s="3" t="s">
        <v>165</v>
      </c>
      <c r="CA391" s="3" t="s">
        <v>724</v>
      </c>
      <c r="CC391" s="3" t="s">
        <v>259</v>
      </c>
      <c r="CD391" s="3">
        <v>2302</v>
      </c>
      <c r="CE391" s="3" t="s">
        <v>93</v>
      </c>
      <c r="CF391" s="4">
        <v>44574</v>
      </c>
      <c r="CI391" s="3">
        <v>1</v>
      </c>
      <c r="CJ391" s="3">
        <v>1</v>
      </c>
      <c r="CK391" s="3">
        <v>24</v>
      </c>
      <c r="CL391" s="3" t="s">
        <v>87</v>
      </c>
    </row>
    <row r="392" spans="1:90" x14ac:dyDescent="0.2">
      <c r="A392" s="3" t="s">
        <v>72</v>
      </c>
      <c r="B392" s="3" t="s">
        <v>73</v>
      </c>
      <c r="C392" s="3" t="s">
        <v>74</v>
      </c>
      <c r="E392" s="3" t="str">
        <f>"FES1162844415"</f>
        <v>FES1162844415</v>
      </c>
      <c r="F392" s="4">
        <v>44572</v>
      </c>
      <c r="G392" s="3">
        <v>202207</v>
      </c>
      <c r="H392" s="3" t="s">
        <v>75</v>
      </c>
      <c r="I392" s="3" t="s">
        <v>76</v>
      </c>
      <c r="J392" s="3" t="s">
        <v>77</v>
      </c>
      <c r="K392" s="3" t="s">
        <v>78</v>
      </c>
      <c r="L392" s="3" t="s">
        <v>171</v>
      </c>
      <c r="M392" s="3" t="s">
        <v>172</v>
      </c>
      <c r="N392" s="3" t="s">
        <v>725</v>
      </c>
      <c r="O392" s="3" t="s">
        <v>82</v>
      </c>
      <c r="P392" s="3" t="str">
        <f>"2170816043                    "</f>
        <v xml:space="preserve">2170816043                    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0</v>
      </c>
      <c r="AG392" s="3">
        <v>0</v>
      </c>
      <c r="AH392" s="3">
        <v>0</v>
      </c>
      <c r="AI392" s="3">
        <v>0</v>
      </c>
      <c r="AJ392" s="3">
        <v>0</v>
      </c>
      <c r="AK392" s="3">
        <v>15.46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1</v>
      </c>
      <c r="BI392" s="3">
        <v>1</v>
      </c>
      <c r="BJ392" s="3">
        <v>0.2</v>
      </c>
      <c r="BK392" s="3">
        <v>1</v>
      </c>
      <c r="BL392" s="3">
        <v>59</v>
      </c>
      <c r="BM392" s="3">
        <v>8.85</v>
      </c>
      <c r="BN392" s="3">
        <v>67.849999999999994</v>
      </c>
      <c r="BO392" s="3">
        <v>67.849999999999994</v>
      </c>
      <c r="BQ392" s="3" t="s">
        <v>83</v>
      </c>
      <c r="BR392" s="3" t="s">
        <v>84</v>
      </c>
      <c r="BS392" s="4">
        <v>44573</v>
      </c>
      <c r="BT392" s="5">
        <v>0.45208333333333334</v>
      </c>
      <c r="BU392" s="3" t="s">
        <v>726</v>
      </c>
      <c r="BV392" s="3" t="s">
        <v>87</v>
      </c>
      <c r="BW392" s="3" t="s">
        <v>457</v>
      </c>
      <c r="BX392" s="3" t="s">
        <v>486</v>
      </c>
      <c r="BY392" s="3">
        <v>1200</v>
      </c>
      <c r="BZ392" s="3" t="s">
        <v>165</v>
      </c>
      <c r="CA392" s="3" t="s">
        <v>408</v>
      </c>
      <c r="CC392" s="3" t="s">
        <v>172</v>
      </c>
      <c r="CD392" s="3">
        <v>6001</v>
      </c>
      <c r="CE392" s="3" t="s">
        <v>93</v>
      </c>
      <c r="CF392" s="4">
        <v>44574</v>
      </c>
      <c r="CI392" s="3">
        <v>1</v>
      </c>
      <c r="CJ392" s="3">
        <v>1</v>
      </c>
      <c r="CK392" s="3">
        <v>21</v>
      </c>
      <c r="CL392" s="3" t="s">
        <v>87</v>
      </c>
    </row>
    <row r="393" spans="1:90" x14ac:dyDescent="0.2">
      <c r="A393" s="3" t="s">
        <v>72</v>
      </c>
      <c r="B393" s="3" t="s">
        <v>73</v>
      </c>
      <c r="C393" s="3" t="s">
        <v>74</v>
      </c>
      <c r="E393" s="3" t="str">
        <f>"FES1162844534"</f>
        <v>FES1162844534</v>
      </c>
      <c r="F393" s="4">
        <v>44572</v>
      </c>
      <c r="G393" s="3">
        <v>202207</v>
      </c>
      <c r="H393" s="3" t="s">
        <v>75</v>
      </c>
      <c r="I393" s="3" t="s">
        <v>76</v>
      </c>
      <c r="J393" s="3" t="s">
        <v>77</v>
      </c>
      <c r="K393" s="3" t="s">
        <v>78</v>
      </c>
      <c r="L393" s="3" t="s">
        <v>133</v>
      </c>
      <c r="M393" s="3" t="s">
        <v>134</v>
      </c>
      <c r="N393" s="3" t="s">
        <v>670</v>
      </c>
      <c r="O393" s="3" t="s">
        <v>82</v>
      </c>
      <c r="P393" s="3" t="str">
        <f>"2170816181                    "</f>
        <v xml:space="preserve">2170816181                    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0</v>
      </c>
      <c r="AH393" s="3">
        <v>0</v>
      </c>
      <c r="AI393" s="3">
        <v>0</v>
      </c>
      <c r="AJ393" s="3">
        <v>0</v>
      </c>
      <c r="AK393" s="3">
        <v>21.74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1</v>
      </c>
      <c r="BI393" s="3">
        <v>2</v>
      </c>
      <c r="BJ393" s="3">
        <v>1.1000000000000001</v>
      </c>
      <c r="BK393" s="3">
        <v>2</v>
      </c>
      <c r="BL393" s="3">
        <v>82.98</v>
      </c>
      <c r="BM393" s="3">
        <v>12.45</v>
      </c>
      <c r="BN393" s="3">
        <v>95.43</v>
      </c>
      <c r="BO393" s="3">
        <v>95.43</v>
      </c>
      <c r="BQ393" s="3" t="s">
        <v>671</v>
      </c>
      <c r="BR393" s="3" t="s">
        <v>84</v>
      </c>
      <c r="BS393" s="3" t="s">
        <v>85</v>
      </c>
      <c r="BY393" s="3">
        <v>5320</v>
      </c>
      <c r="BZ393" s="3" t="s">
        <v>165</v>
      </c>
      <c r="CC393" s="3" t="s">
        <v>134</v>
      </c>
      <c r="CD393" s="3">
        <v>1911</v>
      </c>
      <c r="CE393" s="3" t="s">
        <v>86</v>
      </c>
      <c r="CI393" s="3">
        <v>1</v>
      </c>
      <c r="CJ393" s="3" t="s">
        <v>85</v>
      </c>
      <c r="CK393" s="3">
        <v>24</v>
      </c>
      <c r="CL393" s="3" t="s">
        <v>87</v>
      </c>
    </row>
    <row r="394" spans="1:90" x14ac:dyDescent="0.2">
      <c r="A394" s="3" t="s">
        <v>72</v>
      </c>
      <c r="B394" s="3" t="s">
        <v>73</v>
      </c>
      <c r="C394" s="3" t="s">
        <v>74</v>
      </c>
      <c r="E394" s="3" t="str">
        <f>"FES1162844454"</f>
        <v>FES1162844454</v>
      </c>
      <c r="F394" s="4">
        <v>44572</v>
      </c>
      <c r="G394" s="3">
        <v>202207</v>
      </c>
      <c r="H394" s="3" t="s">
        <v>75</v>
      </c>
      <c r="I394" s="3" t="s">
        <v>76</v>
      </c>
      <c r="J394" s="3" t="s">
        <v>77</v>
      </c>
      <c r="K394" s="3" t="s">
        <v>78</v>
      </c>
      <c r="L394" s="3" t="s">
        <v>218</v>
      </c>
      <c r="M394" s="3" t="s">
        <v>219</v>
      </c>
      <c r="N394" s="3" t="s">
        <v>727</v>
      </c>
      <c r="O394" s="3" t="s">
        <v>82</v>
      </c>
      <c r="P394" s="3" t="str">
        <f>"2170816087                    "</f>
        <v xml:space="preserve">2170816087                    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15.46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1</v>
      </c>
      <c r="BI394" s="3">
        <v>1</v>
      </c>
      <c r="BJ394" s="3">
        <v>0.2</v>
      </c>
      <c r="BK394" s="3">
        <v>1</v>
      </c>
      <c r="BL394" s="3">
        <v>59</v>
      </c>
      <c r="BM394" s="3">
        <v>8.85</v>
      </c>
      <c r="BN394" s="3">
        <v>67.849999999999994</v>
      </c>
      <c r="BO394" s="3">
        <v>67.849999999999994</v>
      </c>
      <c r="BQ394" s="3" t="s">
        <v>89</v>
      </c>
      <c r="BR394" s="3" t="s">
        <v>84</v>
      </c>
      <c r="BS394" s="4">
        <v>44573</v>
      </c>
      <c r="BT394" s="5">
        <v>0.39166666666666666</v>
      </c>
      <c r="BU394" s="3" t="s">
        <v>728</v>
      </c>
      <c r="BV394" s="3" t="s">
        <v>105</v>
      </c>
      <c r="BY394" s="3">
        <v>1200</v>
      </c>
      <c r="BZ394" s="3" t="s">
        <v>165</v>
      </c>
      <c r="CA394" s="3" t="s">
        <v>362</v>
      </c>
      <c r="CC394" s="3" t="s">
        <v>219</v>
      </c>
      <c r="CD394" s="3">
        <v>157</v>
      </c>
      <c r="CE394" s="3" t="s">
        <v>93</v>
      </c>
      <c r="CF394" s="4">
        <v>44573</v>
      </c>
      <c r="CI394" s="3">
        <v>1</v>
      </c>
      <c r="CJ394" s="3">
        <v>1</v>
      </c>
      <c r="CK394" s="3">
        <v>21</v>
      </c>
      <c r="CL394" s="3" t="s">
        <v>87</v>
      </c>
    </row>
    <row r="395" spans="1:90" x14ac:dyDescent="0.2">
      <c r="A395" s="3" t="s">
        <v>72</v>
      </c>
      <c r="B395" s="3" t="s">
        <v>73</v>
      </c>
      <c r="C395" s="3" t="s">
        <v>74</v>
      </c>
      <c r="E395" s="3" t="str">
        <f>"FES1162844592"</f>
        <v>FES1162844592</v>
      </c>
      <c r="F395" s="4">
        <v>44572</v>
      </c>
      <c r="G395" s="3">
        <v>202207</v>
      </c>
      <c r="H395" s="3" t="s">
        <v>75</v>
      </c>
      <c r="I395" s="3" t="s">
        <v>76</v>
      </c>
      <c r="J395" s="3" t="s">
        <v>77</v>
      </c>
      <c r="K395" s="3" t="s">
        <v>78</v>
      </c>
      <c r="L395" s="3" t="s">
        <v>187</v>
      </c>
      <c r="M395" s="3" t="s">
        <v>188</v>
      </c>
      <c r="N395" s="3" t="s">
        <v>189</v>
      </c>
      <c r="O395" s="3" t="s">
        <v>82</v>
      </c>
      <c r="P395" s="3" t="str">
        <f>"2170815140                    "</f>
        <v xml:space="preserve">2170815140                    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29.95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1</v>
      </c>
      <c r="BI395" s="3">
        <v>1</v>
      </c>
      <c r="BJ395" s="3">
        <v>0.2</v>
      </c>
      <c r="BK395" s="3">
        <v>1</v>
      </c>
      <c r="BL395" s="3">
        <v>114.31</v>
      </c>
      <c r="BM395" s="3">
        <v>17.149999999999999</v>
      </c>
      <c r="BN395" s="3">
        <v>131.46</v>
      </c>
      <c r="BO395" s="3">
        <v>131.46</v>
      </c>
      <c r="BQ395" s="3" t="s">
        <v>83</v>
      </c>
      <c r="BR395" s="3" t="s">
        <v>84</v>
      </c>
      <c r="BS395" s="4">
        <v>44573</v>
      </c>
      <c r="BT395" s="5">
        <v>0.5625</v>
      </c>
      <c r="BU395" s="3" t="s">
        <v>267</v>
      </c>
      <c r="BV395" s="3" t="s">
        <v>87</v>
      </c>
      <c r="BW395" s="3" t="s">
        <v>579</v>
      </c>
      <c r="BX395" s="3" t="s">
        <v>580</v>
      </c>
      <c r="BY395" s="3">
        <v>1200</v>
      </c>
      <c r="BZ395" s="3" t="s">
        <v>165</v>
      </c>
      <c r="CA395" s="3" t="s">
        <v>268</v>
      </c>
      <c r="CC395" s="3" t="s">
        <v>188</v>
      </c>
      <c r="CD395" s="3">
        <v>7300</v>
      </c>
      <c r="CE395" s="3" t="s">
        <v>93</v>
      </c>
      <c r="CF395" s="4">
        <v>44574</v>
      </c>
      <c r="CI395" s="3">
        <v>1</v>
      </c>
      <c r="CJ395" s="3">
        <v>1</v>
      </c>
      <c r="CK395" s="3">
        <v>23</v>
      </c>
      <c r="CL395" s="3" t="s">
        <v>87</v>
      </c>
    </row>
    <row r="396" spans="1:90" x14ac:dyDescent="0.2">
      <c r="A396" s="3" t="s">
        <v>72</v>
      </c>
      <c r="B396" s="3" t="s">
        <v>73</v>
      </c>
      <c r="C396" s="3" t="s">
        <v>74</v>
      </c>
      <c r="E396" s="3" t="str">
        <f>"FES1162844504"</f>
        <v>FES1162844504</v>
      </c>
      <c r="F396" s="4">
        <v>44572</v>
      </c>
      <c r="G396" s="3">
        <v>202207</v>
      </c>
      <c r="H396" s="3" t="s">
        <v>75</v>
      </c>
      <c r="I396" s="3" t="s">
        <v>76</v>
      </c>
      <c r="J396" s="3" t="s">
        <v>77</v>
      </c>
      <c r="K396" s="3" t="s">
        <v>78</v>
      </c>
      <c r="L396" s="3" t="s">
        <v>138</v>
      </c>
      <c r="M396" s="3" t="s">
        <v>139</v>
      </c>
      <c r="N396" s="3" t="s">
        <v>729</v>
      </c>
      <c r="O396" s="3" t="s">
        <v>82</v>
      </c>
      <c r="P396" s="3" t="str">
        <f>"2170813927                    "</f>
        <v xml:space="preserve">2170813927                    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15.46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0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1</v>
      </c>
      <c r="BI396" s="3">
        <v>1</v>
      </c>
      <c r="BJ396" s="3">
        <v>0.2</v>
      </c>
      <c r="BK396" s="3">
        <v>1</v>
      </c>
      <c r="BL396" s="3">
        <v>59</v>
      </c>
      <c r="BM396" s="3">
        <v>8.85</v>
      </c>
      <c r="BN396" s="3">
        <v>67.849999999999994</v>
      </c>
      <c r="BO396" s="3">
        <v>67.849999999999994</v>
      </c>
      <c r="BQ396" s="3" t="s">
        <v>89</v>
      </c>
      <c r="BR396" s="3" t="s">
        <v>84</v>
      </c>
      <c r="BS396" s="4">
        <v>44573</v>
      </c>
      <c r="BT396" s="5">
        <v>0.3923611111111111</v>
      </c>
      <c r="BU396" s="3" t="s">
        <v>730</v>
      </c>
      <c r="BV396" s="3" t="s">
        <v>105</v>
      </c>
      <c r="BY396" s="3">
        <v>1200</v>
      </c>
      <c r="BZ396" s="3" t="s">
        <v>165</v>
      </c>
      <c r="CA396" s="3" t="s">
        <v>334</v>
      </c>
      <c r="CC396" s="3" t="s">
        <v>139</v>
      </c>
      <c r="CD396" s="3">
        <v>3610</v>
      </c>
      <c r="CE396" s="3" t="s">
        <v>93</v>
      </c>
      <c r="CF396" s="4">
        <v>44573</v>
      </c>
      <c r="CI396" s="3">
        <v>1</v>
      </c>
      <c r="CJ396" s="3">
        <v>1</v>
      </c>
      <c r="CK396" s="3">
        <v>21</v>
      </c>
      <c r="CL396" s="3" t="s">
        <v>87</v>
      </c>
    </row>
    <row r="397" spans="1:90" x14ac:dyDescent="0.2">
      <c r="A397" s="3" t="s">
        <v>72</v>
      </c>
      <c r="B397" s="3" t="s">
        <v>73</v>
      </c>
      <c r="C397" s="3" t="s">
        <v>74</v>
      </c>
      <c r="E397" s="3" t="str">
        <f>"FES1162844564"</f>
        <v>FES1162844564</v>
      </c>
      <c r="F397" s="4">
        <v>44572</v>
      </c>
      <c r="G397" s="3">
        <v>202207</v>
      </c>
      <c r="H397" s="3" t="s">
        <v>75</v>
      </c>
      <c r="I397" s="3" t="s">
        <v>76</v>
      </c>
      <c r="J397" s="3" t="s">
        <v>77</v>
      </c>
      <c r="K397" s="3" t="s">
        <v>78</v>
      </c>
      <c r="L397" s="3" t="s">
        <v>731</v>
      </c>
      <c r="M397" s="3" t="s">
        <v>732</v>
      </c>
      <c r="N397" s="3" t="s">
        <v>733</v>
      </c>
      <c r="O397" s="3" t="s">
        <v>82</v>
      </c>
      <c r="P397" s="3" t="str">
        <f>"2170814305                    "</f>
        <v xml:space="preserve">2170814305                    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29.95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1</v>
      </c>
      <c r="BI397" s="3">
        <v>1</v>
      </c>
      <c r="BJ397" s="3">
        <v>0.2</v>
      </c>
      <c r="BK397" s="3">
        <v>1</v>
      </c>
      <c r="BL397" s="3">
        <v>114.31</v>
      </c>
      <c r="BM397" s="3">
        <v>17.149999999999999</v>
      </c>
      <c r="BN397" s="3">
        <v>131.46</v>
      </c>
      <c r="BO397" s="3">
        <v>131.46</v>
      </c>
      <c r="BQ397" s="3" t="s">
        <v>89</v>
      </c>
      <c r="BR397" s="3" t="s">
        <v>84</v>
      </c>
      <c r="BS397" s="4">
        <v>44573</v>
      </c>
      <c r="BT397" s="5">
        <v>0.47916666666666669</v>
      </c>
      <c r="BU397" s="3" t="s">
        <v>734</v>
      </c>
      <c r="BV397" s="3" t="s">
        <v>105</v>
      </c>
      <c r="BY397" s="3">
        <v>1200</v>
      </c>
      <c r="BZ397" s="3" t="s">
        <v>165</v>
      </c>
      <c r="CC397" s="3" t="s">
        <v>732</v>
      </c>
      <c r="CD397" s="3">
        <v>3290</v>
      </c>
      <c r="CE397" s="3" t="s">
        <v>93</v>
      </c>
      <c r="CF397" s="4">
        <v>44575</v>
      </c>
      <c r="CI397" s="3">
        <v>1</v>
      </c>
      <c r="CJ397" s="3">
        <v>1</v>
      </c>
      <c r="CK397" s="3">
        <v>23</v>
      </c>
      <c r="CL397" s="3" t="s">
        <v>87</v>
      </c>
    </row>
    <row r="398" spans="1:90" x14ac:dyDescent="0.2">
      <c r="A398" s="3" t="s">
        <v>72</v>
      </c>
      <c r="B398" s="3" t="s">
        <v>73</v>
      </c>
      <c r="C398" s="3" t="s">
        <v>74</v>
      </c>
      <c r="E398" s="3" t="str">
        <f>"FES1162844586"</f>
        <v>FES1162844586</v>
      </c>
      <c r="F398" s="4">
        <v>44572</v>
      </c>
      <c r="G398" s="3">
        <v>202207</v>
      </c>
      <c r="H398" s="3" t="s">
        <v>75</v>
      </c>
      <c r="I398" s="3" t="s">
        <v>76</v>
      </c>
      <c r="J398" s="3" t="s">
        <v>77</v>
      </c>
      <c r="K398" s="3" t="s">
        <v>78</v>
      </c>
      <c r="L398" s="3" t="s">
        <v>90</v>
      </c>
      <c r="M398" s="3" t="s">
        <v>91</v>
      </c>
      <c r="N398" s="3" t="s">
        <v>735</v>
      </c>
      <c r="O398" s="3" t="s">
        <v>82</v>
      </c>
      <c r="P398" s="3" t="str">
        <f>"2170815107                    "</f>
        <v xml:space="preserve">2170815107                    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15.46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1</v>
      </c>
      <c r="BI398" s="3">
        <v>1</v>
      </c>
      <c r="BJ398" s="3">
        <v>0.2</v>
      </c>
      <c r="BK398" s="3">
        <v>1</v>
      </c>
      <c r="BL398" s="3">
        <v>59</v>
      </c>
      <c r="BM398" s="3">
        <v>8.85</v>
      </c>
      <c r="BN398" s="3">
        <v>67.849999999999994</v>
      </c>
      <c r="BO398" s="3">
        <v>67.849999999999994</v>
      </c>
      <c r="BQ398" s="3" t="s">
        <v>273</v>
      </c>
      <c r="BR398" s="3" t="s">
        <v>84</v>
      </c>
      <c r="BS398" s="4">
        <v>44573</v>
      </c>
      <c r="BT398" s="5">
        <v>0.32847222222222222</v>
      </c>
      <c r="BU398" s="3" t="s">
        <v>736</v>
      </c>
      <c r="BV398" s="3" t="s">
        <v>105</v>
      </c>
      <c r="BY398" s="3">
        <v>1200</v>
      </c>
      <c r="BZ398" s="3" t="s">
        <v>165</v>
      </c>
      <c r="CA398" s="3" t="s">
        <v>566</v>
      </c>
      <c r="CC398" s="3" t="s">
        <v>91</v>
      </c>
      <c r="CD398" s="3">
        <v>7460</v>
      </c>
      <c r="CE398" s="3" t="s">
        <v>93</v>
      </c>
      <c r="CF398" s="4">
        <v>44574</v>
      </c>
      <c r="CI398" s="3">
        <v>1</v>
      </c>
      <c r="CJ398" s="3">
        <v>1</v>
      </c>
      <c r="CK398" s="3">
        <v>21</v>
      </c>
      <c r="CL398" s="3" t="s">
        <v>87</v>
      </c>
    </row>
    <row r="399" spans="1:90" x14ac:dyDescent="0.2">
      <c r="A399" s="3" t="s">
        <v>72</v>
      </c>
      <c r="B399" s="3" t="s">
        <v>73</v>
      </c>
      <c r="C399" s="3" t="s">
        <v>74</v>
      </c>
      <c r="E399" s="3" t="str">
        <f>"FES1162844445"</f>
        <v>FES1162844445</v>
      </c>
      <c r="F399" s="4">
        <v>44572</v>
      </c>
      <c r="G399" s="3">
        <v>202207</v>
      </c>
      <c r="H399" s="3" t="s">
        <v>75</v>
      </c>
      <c r="I399" s="3" t="s">
        <v>76</v>
      </c>
      <c r="J399" s="3" t="s">
        <v>77</v>
      </c>
      <c r="K399" s="3" t="s">
        <v>78</v>
      </c>
      <c r="L399" s="3" t="s">
        <v>176</v>
      </c>
      <c r="M399" s="3" t="s">
        <v>177</v>
      </c>
      <c r="N399" s="3" t="s">
        <v>178</v>
      </c>
      <c r="O399" s="3" t="s">
        <v>82</v>
      </c>
      <c r="P399" s="3" t="str">
        <f>"2170816078                    "</f>
        <v xml:space="preserve">2170816078                    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15.46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1</v>
      </c>
      <c r="BI399" s="3">
        <v>1</v>
      </c>
      <c r="BJ399" s="3">
        <v>1.1000000000000001</v>
      </c>
      <c r="BK399" s="3">
        <v>1.5</v>
      </c>
      <c r="BL399" s="3">
        <v>59</v>
      </c>
      <c r="BM399" s="3">
        <v>8.85</v>
      </c>
      <c r="BN399" s="3">
        <v>67.849999999999994</v>
      </c>
      <c r="BO399" s="3">
        <v>67.849999999999994</v>
      </c>
      <c r="BQ399" s="3" t="s">
        <v>83</v>
      </c>
      <c r="BR399" s="3" t="s">
        <v>84</v>
      </c>
      <c r="BS399" s="4">
        <v>44573</v>
      </c>
      <c r="BT399" s="5">
        <v>0.43263888888888885</v>
      </c>
      <c r="BU399" s="3" t="s">
        <v>614</v>
      </c>
      <c r="BV399" s="3" t="s">
        <v>105</v>
      </c>
      <c r="BY399" s="3">
        <v>5320</v>
      </c>
      <c r="BZ399" s="3" t="s">
        <v>165</v>
      </c>
      <c r="CA399" s="3" t="s">
        <v>615</v>
      </c>
      <c r="CC399" s="3" t="s">
        <v>177</v>
      </c>
      <c r="CD399" s="3">
        <v>4026</v>
      </c>
      <c r="CE399" s="3" t="s">
        <v>86</v>
      </c>
      <c r="CF399" s="4">
        <v>44573</v>
      </c>
      <c r="CI399" s="3">
        <v>1</v>
      </c>
      <c r="CJ399" s="3">
        <v>1</v>
      </c>
      <c r="CK399" s="3">
        <v>21</v>
      </c>
      <c r="CL399" s="3" t="s">
        <v>87</v>
      </c>
    </row>
    <row r="400" spans="1:90" x14ac:dyDescent="0.2">
      <c r="A400" s="3" t="s">
        <v>72</v>
      </c>
      <c r="B400" s="3" t="s">
        <v>73</v>
      </c>
      <c r="C400" s="3" t="s">
        <v>74</v>
      </c>
      <c r="E400" s="3" t="str">
        <f>"009941147020"</f>
        <v>009941147020</v>
      </c>
      <c r="F400" s="4">
        <v>44572</v>
      </c>
      <c r="G400" s="3">
        <v>202207</v>
      </c>
      <c r="H400" s="3" t="s">
        <v>90</v>
      </c>
      <c r="I400" s="3" t="s">
        <v>91</v>
      </c>
      <c r="J400" s="3" t="s">
        <v>711</v>
      </c>
      <c r="K400" s="3" t="s">
        <v>78</v>
      </c>
      <c r="L400" s="3" t="s">
        <v>90</v>
      </c>
      <c r="M400" s="3" t="s">
        <v>91</v>
      </c>
      <c r="N400" s="3" t="s">
        <v>737</v>
      </c>
      <c r="O400" s="3" t="s">
        <v>82</v>
      </c>
      <c r="P400" s="3" t="str">
        <f>"NA                            "</f>
        <v xml:space="preserve">NA                            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12.07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1</v>
      </c>
      <c r="BI400" s="3">
        <v>0.8</v>
      </c>
      <c r="BJ400" s="3">
        <v>1.5</v>
      </c>
      <c r="BK400" s="3">
        <v>1.5</v>
      </c>
      <c r="BL400" s="3">
        <v>46.08</v>
      </c>
      <c r="BM400" s="3">
        <v>6.91</v>
      </c>
      <c r="BN400" s="3">
        <v>52.99</v>
      </c>
      <c r="BO400" s="3">
        <v>52.99</v>
      </c>
      <c r="BR400" s="3" t="s">
        <v>738</v>
      </c>
      <c r="BS400" s="4">
        <v>44578</v>
      </c>
      <c r="BT400" s="5">
        <v>0.36805555555555558</v>
      </c>
      <c r="BU400" s="3" t="s">
        <v>601</v>
      </c>
      <c r="BV400" s="3" t="s">
        <v>87</v>
      </c>
      <c r="BW400" s="3" t="s">
        <v>353</v>
      </c>
      <c r="BX400" s="3" t="s">
        <v>602</v>
      </c>
      <c r="BY400" s="3">
        <v>7625.48</v>
      </c>
      <c r="BZ400" s="3" t="s">
        <v>165</v>
      </c>
      <c r="CA400" s="3" t="s">
        <v>603</v>
      </c>
      <c r="CC400" s="3" t="s">
        <v>91</v>
      </c>
      <c r="CD400" s="3">
        <v>7945</v>
      </c>
      <c r="CE400" s="3" t="s">
        <v>86</v>
      </c>
      <c r="CF400" s="4">
        <v>44579</v>
      </c>
      <c r="CI400" s="3">
        <v>1</v>
      </c>
      <c r="CJ400" s="3">
        <v>4</v>
      </c>
      <c r="CK400" s="3">
        <v>22</v>
      </c>
      <c r="CL400" s="3" t="s">
        <v>87</v>
      </c>
    </row>
    <row r="401" spans="1:90" x14ac:dyDescent="0.2">
      <c r="A401" s="3" t="s">
        <v>72</v>
      </c>
      <c r="B401" s="3" t="s">
        <v>73</v>
      </c>
      <c r="C401" s="3" t="s">
        <v>74</v>
      </c>
      <c r="E401" s="3" t="str">
        <f>"FES1162844500"</f>
        <v>FES1162844500</v>
      </c>
      <c r="F401" s="4">
        <v>44572</v>
      </c>
      <c r="G401" s="3">
        <v>202207</v>
      </c>
      <c r="H401" s="3" t="s">
        <v>75</v>
      </c>
      <c r="I401" s="3" t="s">
        <v>76</v>
      </c>
      <c r="J401" s="3" t="s">
        <v>77</v>
      </c>
      <c r="K401" s="3" t="s">
        <v>78</v>
      </c>
      <c r="L401" s="3" t="s">
        <v>244</v>
      </c>
      <c r="M401" s="3" t="s">
        <v>245</v>
      </c>
      <c r="N401" s="3" t="s">
        <v>246</v>
      </c>
      <c r="O401" s="3" t="s">
        <v>82</v>
      </c>
      <c r="P401" s="3" t="str">
        <f>"2170808563                    "</f>
        <v xml:space="preserve">2170808563                    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29.95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1</v>
      </c>
      <c r="BI401" s="3">
        <v>2</v>
      </c>
      <c r="BJ401" s="3">
        <v>1.5</v>
      </c>
      <c r="BK401" s="3">
        <v>2</v>
      </c>
      <c r="BL401" s="3">
        <v>114.31</v>
      </c>
      <c r="BM401" s="3">
        <v>17.149999999999999</v>
      </c>
      <c r="BN401" s="3">
        <v>131.46</v>
      </c>
      <c r="BO401" s="3">
        <v>131.46</v>
      </c>
      <c r="BQ401" s="3" t="s">
        <v>89</v>
      </c>
      <c r="BR401" s="3" t="s">
        <v>84</v>
      </c>
      <c r="BS401" s="4">
        <v>44573</v>
      </c>
      <c r="BT401" s="5">
        <v>0.39930555555555558</v>
      </c>
      <c r="BU401" s="3" t="s">
        <v>739</v>
      </c>
      <c r="BV401" s="3" t="s">
        <v>105</v>
      </c>
      <c r="BY401" s="3">
        <v>7540</v>
      </c>
      <c r="BZ401" s="3" t="s">
        <v>165</v>
      </c>
      <c r="CA401" s="3" t="s">
        <v>402</v>
      </c>
      <c r="CC401" s="3" t="s">
        <v>245</v>
      </c>
      <c r="CD401" s="3">
        <v>1947</v>
      </c>
      <c r="CE401" s="3" t="s">
        <v>86</v>
      </c>
      <c r="CF401" s="4">
        <v>44574</v>
      </c>
      <c r="CI401" s="3">
        <v>1</v>
      </c>
      <c r="CJ401" s="3">
        <v>1</v>
      </c>
      <c r="CK401" s="3">
        <v>23</v>
      </c>
      <c r="CL401" s="3" t="s">
        <v>87</v>
      </c>
    </row>
    <row r="402" spans="1:90" x14ac:dyDescent="0.2">
      <c r="A402" s="3" t="s">
        <v>72</v>
      </c>
      <c r="B402" s="3" t="s">
        <v>73</v>
      </c>
      <c r="C402" s="3" t="s">
        <v>74</v>
      </c>
      <c r="E402" s="3" t="str">
        <f>"FES1162844623"</f>
        <v>FES1162844623</v>
      </c>
      <c r="F402" s="4">
        <v>44572</v>
      </c>
      <c r="G402" s="3">
        <v>202207</v>
      </c>
      <c r="H402" s="3" t="s">
        <v>75</v>
      </c>
      <c r="I402" s="3" t="s">
        <v>76</v>
      </c>
      <c r="J402" s="3" t="s">
        <v>77</v>
      </c>
      <c r="K402" s="3" t="s">
        <v>78</v>
      </c>
      <c r="L402" s="3" t="s">
        <v>110</v>
      </c>
      <c r="M402" s="3" t="s">
        <v>110</v>
      </c>
      <c r="N402" s="3" t="s">
        <v>146</v>
      </c>
      <c r="O402" s="3" t="s">
        <v>82</v>
      </c>
      <c r="P402" s="3" t="str">
        <f>"2170811548                    "</f>
        <v xml:space="preserve">2170811548                    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57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1</v>
      </c>
      <c r="BI402" s="3">
        <v>4</v>
      </c>
      <c r="BJ402" s="3">
        <v>1.5</v>
      </c>
      <c r="BK402" s="3">
        <v>4</v>
      </c>
      <c r="BL402" s="3">
        <v>217.56</v>
      </c>
      <c r="BM402" s="3">
        <v>32.630000000000003</v>
      </c>
      <c r="BN402" s="3">
        <v>250.19</v>
      </c>
      <c r="BO402" s="3">
        <v>250.19</v>
      </c>
      <c r="BQ402" s="3" t="s">
        <v>89</v>
      </c>
      <c r="BR402" s="3" t="s">
        <v>84</v>
      </c>
      <c r="BS402" s="4">
        <v>44573</v>
      </c>
      <c r="BT402" s="5">
        <v>0.50694444444444442</v>
      </c>
      <c r="BU402" s="3" t="s">
        <v>562</v>
      </c>
      <c r="BV402" s="3" t="s">
        <v>105</v>
      </c>
      <c r="BY402" s="3">
        <v>7480</v>
      </c>
      <c r="BZ402" s="3" t="s">
        <v>165</v>
      </c>
      <c r="CA402" s="3" t="s">
        <v>563</v>
      </c>
      <c r="CC402" s="3" t="s">
        <v>110</v>
      </c>
      <c r="CD402" s="3">
        <v>7646</v>
      </c>
      <c r="CE402" s="3" t="s">
        <v>86</v>
      </c>
      <c r="CF402" s="4">
        <v>44574</v>
      </c>
      <c r="CI402" s="3">
        <v>1</v>
      </c>
      <c r="CJ402" s="3">
        <v>1</v>
      </c>
      <c r="CK402" s="3">
        <v>23</v>
      </c>
      <c r="CL402" s="3" t="s">
        <v>87</v>
      </c>
    </row>
    <row r="403" spans="1:90" x14ac:dyDescent="0.2">
      <c r="A403" s="3" t="s">
        <v>72</v>
      </c>
      <c r="B403" s="3" t="s">
        <v>73</v>
      </c>
      <c r="C403" s="3" t="s">
        <v>74</v>
      </c>
      <c r="E403" s="3" t="str">
        <f>"FES1162844502"</f>
        <v>FES1162844502</v>
      </c>
      <c r="F403" s="4">
        <v>44572</v>
      </c>
      <c r="G403" s="3">
        <v>202207</v>
      </c>
      <c r="H403" s="3" t="s">
        <v>75</v>
      </c>
      <c r="I403" s="3" t="s">
        <v>76</v>
      </c>
      <c r="J403" s="3" t="s">
        <v>77</v>
      </c>
      <c r="K403" s="3" t="s">
        <v>78</v>
      </c>
      <c r="L403" s="3" t="s">
        <v>79</v>
      </c>
      <c r="M403" s="3" t="s">
        <v>80</v>
      </c>
      <c r="N403" s="3" t="s">
        <v>740</v>
      </c>
      <c r="O403" s="3" t="s">
        <v>82</v>
      </c>
      <c r="P403" s="3" t="str">
        <f>"2170813031                    "</f>
        <v xml:space="preserve">2170813031                    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15.46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1</v>
      </c>
      <c r="BI403" s="3">
        <v>2</v>
      </c>
      <c r="BJ403" s="3">
        <v>2</v>
      </c>
      <c r="BK403" s="3">
        <v>2</v>
      </c>
      <c r="BL403" s="3">
        <v>59</v>
      </c>
      <c r="BM403" s="3">
        <v>8.85</v>
      </c>
      <c r="BN403" s="3">
        <v>67.849999999999994</v>
      </c>
      <c r="BO403" s="3">
        <v>67.849999999999994</v>
      </c>
      <c r="BQ403" s="3" t="s">
        <v>126</v>
      </c>
      <c r="BR403" s="3" t="s">
        <v>84</v>
      </c>
      <c r="BS403" s="4">
        <v>44573</v>
      </c>
      <c r="BT403" s="5">
        <v>0.3923611111111111</v>
      </c>
      <c r="BU403" s="3" t="s">
        <v>741</v>
      </c>
      <c r="BV403" s="3" t="s">
        <v>105</v>
      </c>
      <c r="BY403" s="3">
        <v>9918</v>
      </c>
      <c r="BZ403" s="3" t="s">
        <v>165</v>
      </c>
      <c r="CA403" s="3" t="s">
        <v>742</v>
      </c>
      <c r="CC403" s="3" t="s">
        <v>80</v>
      </c>
      <c r="CD403" s="3">
        <v>200</v>
      </c>
      <c r="CE403" s="3" t="s">
        <v>86</v>
      </c>
      <c r="CF403" s="4">
        <v>44573</v>
      </c>
      <c r="CI403" s="3">
        <v>1</v>
      </c>
      <c r="CJ403" s="3">
        <v>1</v>
      </c>
      <c r="CK403" s="3">
        <v>21</v>
      </c>
      <c r="CL403" s="3" t="s">
        <v>87</v>
      </c>
    </row>
    <row r="404" spans="1:90" x14ac:dyDescent="0.2">
      <c r="A404" s="3" t="s">
        <v>72</v>
      </c>
      <c r="B404" s="3" t="s">
        <v>73</v>
      </c>
      <c r="C404" s="3" t="s">
        <v>74</v>
      </c>
      <c r="E404" s="3" t="str">
        <f>"FES1162844625"</f>
        <v>FES1162844625</v>
      </c>
      <c r="F404" s="4">
        <v>44572</v>
      </c>
      <c r="G404" s="3">
        <v>202207</v>
      </c>
      <c r="H404" s="3" t="s">
        <v>75</v>
      </c>
      <c r="I404" s="3" t="s">
        <v>76</v>
      </c>
      <c r="J404" s="3" t="s">
        <v>77</v>
      </c>
      <c r="K404" s="3" t="s">
        <v>78</v>
      </c>
      <c r="L404" s="3" t="s">
        <v>97</v>
      </c>
      <c r="M404" s="3" t="s">
        <v>98</v>
      </c>
      <c r="N404" s="3" t="s">
        <v>295</v>
      </c>
      <c r="O404" s="3" t="s">
        <v>82</v>
      </c>
      <c r="P404" s="3" t="str">
        <f>"2170812209                    "</f>
        <v xml:space="preserve">2170812209                    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12.07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1</v>
      </c>
      <c r="BI404" s="3">
        <v>1</v>
      </c>
      <c r="BJ404" s="3">
        <v>0.2</v>
      </c>
      <c r="BK404" s="3">
        <v>1</v>
      </c>
      <c r="BL404" s="3">
        <v>46.08</v>
      </c>
      <c r="BM404" s="3">
        <v>6.91</v>
      </c>
      <c r="BN404" s="3">
        <v>52.99</v>
      </c>
      <c r="BO404" s="3">
        <v>52.99</v>
      </c>
      <c r="BR404" s="3" t="s">
        <v>84</v>
      </c>
      <c r="BS404" s="4">
        <v>44573</v>
      </c>
      <c r="BT404" s="5">
        <v>0.31736111111111115</v>
      </c>
      <c r="BU404" s="3" t="s">
        <v>296</v>
      </c>
      <c r="BV404" s="3" t="s">
        <v>105</v>
      </c>
      <c r="BY404" s="3">
        <v>1200</v>
      </c>
      <c r="BZ404" s="3" t="s">
        <v>165</v>
      </c>
      <c r="CA404" s="3" t="s">
        <v>297</v>
      </c>
      <c r="CC404" s="3" t="s">
        <v>98</v>
      </c>
      <c r="CD404" s="3">
        <v>2013</v>
      </c>
      <c r="CE404" s="3" t="s">
        <v>93</v>
      </c>
      <c r="CF404" s="4">
        <v>44574</v>
      </c>
      <c r="CI404" s="3">
        <v>1</v>
      </c>
      <c r="CJ404" s="3">
        <v>1</v>
      </c>
      <c r="CK404" s="3">
        <v>22</v>
      </c>
      <c r="CL404" s="3" t="s">
        <v>87</v>
      </c>
    </row>
    <row r="405" spans="1:90" x14ac:dyDescent="0.2">
      <c r="A405" s="3" t="s">
        <v>72</v>
      </c>
      <c r="B405" s="3" t="s">
        <v>73</v>
      </c>
      <c r="C405" s="3" t="s">
        <v>74</v>
      </c>
      <c r="E405" s="3" t="str">
        <f>"FES1162844398"</f>
        <v>FES1162844398</v>
      </c>
      <c r="F405" s="4">
        <v>44571</v>
      </c>
      <c r="G405" s="3">
        <v>202207</v>
      </c>
      <c r="H405" s="3" t="s">
        <v>75</v>
      </c>
      <c r="I405" s="3" t="s">
        <v>76</v>
      </c>
      <c r="J405" s="3" t="s">
        <v>77</v>
      </c>
      <c r="K405" s="3" t="s">
        <v>78</v>
      </c>
      <c r="L405" s="3" t="s">
        <v>94</v>
      </c>
      <c r="M405" s="3" t="s">
        <v>95</v>
      </c>
      <c r="N405" s="3" t="s">
        <v>96</v>
      </c>
      <c r="O405" s="3" t="s">
        <v>82</v>
      </c>
      <c r="P405" s="3" t="str">
        <f>"2170812800                    "</f>
        <v xml:space="preserve">2170812800                    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34.770000000000003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1</v>
      </c>
      <c r="BI405" s="3">
        <v>4</v>
      </c>
      <c r="BJ405" s="3">
        <v>4.0999999999999996</v>
      </c>
      <c r="BK405" s="3">
        <v>4.5</v>
      </c>
      <c r="BL405" s="3">
        <v>132.71</v>
      </c>
      <c r="BM405" s="3">
        <v>19.91</v>
      </c>
      <c r="BN405" s="3">
        <v>152.62</v>
      </c>
      <c r="BO405" s="3">
        <v>152.62</v>
      </c>
      <c r="BQ405" s="3" t="s">
        <v>89</v>
      </c>
      <c r="BR405" s="3" t="s">
        <v>364</v>
      </c>
      <c r="BS405" s="4">
        <v>44572</v>
      </c>
      <c r="BT405" s="5">
        <v>0.58333333333333337</v>
      </c>
      <c r="BU405" s="3" t="s">
        <v>743</v>
      </c>
      <c r="BV405" s="3" t="s">
        <v>87</v>
      </c>
      <c r="BW405" s="3" t="s">
        <v>453</v>
      </c>
      <c r="BX405" s="3" t="s">
        <v>279</v>
      </c>
      <c r="BY405" s="3">
        <v>20358</v>
      </c>
      <c r="BZ405" s="3" t="s">
        <v>165</v>
      </c>
      <c r="CA405" s="3" t="s">
        <v>328</v>
      </c>
      <c r="CC405" s="3" t="s">
        <v>95</v>
      </c>
      <c r="CD405" s="3">
        <v>3201</v>
      </c>
      <c r="CE405" s="3" t="s">
        <v>86</v>
      </c>
      <c r="CF405" s="4">
        <v>44574</v>
      </c>
      <c r="CI405" s="3">
        <v>1</v>
      </c>
      <c r="CJ405" s="3">
        <v>1</v>
      </c>
      <c r="CK405" s="3">
        <v>21</v>
      </c>
      <c r="CL405" s="3" t="s">
        <v>87</v>
      </c>
    </row>
    <row r="406" spans="1:90" x14ac:dyDescent="0.2">
      <c r="A406" s="3" t="s">
        <v>72</v>
      </c>
      <c r="B406" s="3" t="s">
        <v>73</v>
      </c>
      <c r="C406" s="3" t="s">
        <v>74</v>
      </c>
      <c r="E406" s="3" t="str">
        <f>"FES1162844283"</f>
        <v>FES1162844283</v>
      </c>
      <c r="F406" s="4">
        <v>44571</v>
      </c>
      <c r="G406" s="3">
        <v>202207</v>
      </c>
      <c r="H406" s="3" t="s">
        <v>75</v>
      </c>
      <c r="I406" s="3" t="s">
        <v>76</v>
      </c>
      <c r="J406" s="3" t="s">
        <v>77</v>
      </c>
      <c r="K406" s="3" t="s">
        <v>78</v>
      </c>
      <c r="L406" s="3" t="s">
        <v>171</v>
      </c>
      <c r="M406" s="3" t="s">
        <v>172</v>
      </c>
      <c r="N406" s="3" t="s">
        <v>744</v>
      </c>
      <c r="O406" s="3" t="s">
        <v>82</v>
      </c>
      <c r="P406" s="3" t="str">
        <f>"2170809685                    "</f>
        <v xml:space="preserve">2170809685                    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34.770000000000003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1</v>
      </c>
      <c r="BI406" s="3">
        <v>2</v>
      </c>
      <c r="BJ406" s="3">
        <v>4.0999999999999996</v>
      </c>
      <c r="BK406" s="3">
        <v>4.5</v>
      </c>
      <c r="BL406" s="3">
        <v>132.71</v>
      </c>
      <c r="BM406" s="3">
        <v>19.91</v>
      </c>
      <c r="BN406" s="3">
        <v>152.62</v>
      </c>
      <c r="BO406" s="3">
        <v>152.62</v>
      </c>
      <c r="BQ406" s="3" t="s">
        <v>745</v>
      </c>
      <c r="BR406" s="3" t="s">
        <v>364</v>
      </c>
      <c r="BS406" s="4">
        <v>44572</v>
      </c>
      <c r="BT406" s="5">
        <v>0.64583333333333337</v>
      </c>
      <c r="BU406" s="3" t="s">
        <v>746</v>
      </c>
      <c r="BV406" s="3" t="s">
        <v>87</v>
      </c>
      <c r="BW406" s="3" t="s">
        <v>457</v>
      </c>
      <c r="BX406" s="3" t="s">
        <v>458</v>
      </c>
      <c r="BY406" s="3">
        <v>20358</v>
      </c>
      <c r="BZ406" s="3" t="s">
        <v>165</v>
      </c>
      <c r="CA406" s="3" t="s">
        <v>263</v>
      </c>
      <c r="CC406" s="3" t="s">
        <v>172</v>
      </c>
      <c r="CD406" s="3">
        <v>6100</v>
      </c>
      <c r="CE406" s="3" t="s">
        <v>86</v>
      </c>
      <c r="CF406" s="4">
        <v>44572</v>
      </c>
      <c r="CI406" s="3">
        <v>1</v>
      </c>
      <c r="CJ406" s="3">
        <v>1</v>
      </c>
      <c r="CK406" s="3">
        <v>21</v>
      </c>
      <c r="CL406" s="3" t="s">
        <v>87</v>
      </c>
    </row>
    <row r="407" spans="1:90" x14ac:dyDescent="0.2">
      <c r="A407" s="3" t="s">
        <v>72</v>
      </c>
      <c r="B407" s="3" t="s">
        <v>73</v>
      </c>
      <c r="C407" s="3" t="s">
        <v>74</v>
      </c>
      <c r="E407" s="3" t="str">
        <f>"FES1162844359"</f>
        <v>FES1162844359</v>
      </c>
      <c r="F407" s="4">
        <v>44571</v>
      </c>
      <c r="G407" s="3">
        <v>202207</v>
      </c>
      <c r="H407" s="3" t="s">
        <v>75</v>
      </c>
      <c r="I407" s="3" t="s">
        <v>76</v>
      </c>
      <c r="J407" s="3" t="s">
        <v>77</v>
      </c>
      <c r="K407" s="3" t="s">
        <v>78</v>
      </c>
      <c r="L407" s="3" t="s">
        <v>90</v>
      </c>
      <c r="M407" s="3" t="s">
        <v>91</v>
      </c>
      <c r="N407" s="3" t="s">
        <v>444</v>
      </c>
      <c r="O407" s="3" t="s">
        <v>82</v>
      </c>
      <c r="P407" s="3" t="str">
        <f>"2170814828                    "</f>
        <v xml:space="preserve">2170814828                    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15.46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1</v>
      </c>
      <c r="BI407" s="3">
        <v>2</v>
      </c>
      <c r="BJ407" s="3">
        <v>0.9</v>
      </c>
      <c r="BK407" s="3">
        <v>2</v>
      </c>
      <c r="BL407" s="3">
        <v>59</v>
      </c>
      <c r="BM407" s="3">
        <v>8.85</v>
      </c>
      <c r="BN407" s="3">
        <v>67.849999999999994</v>
      </c>
      <c r="BO407" s="3">
        <v>67.849999999999994</v>
      </c>
      <c r="BQ407" s="3" t="s">
        <v>145</v>
      </c>
      <c r="BR407" s="3" t="s">
        <v>84</v>
      </c>
      <c r="BS407" s="4">
        <v>44572</v>
      </c>
      <c r="BT407" s="5">
        <v>0.41041666666666665</v>
      </c>
      <c r="BU407" s="3" t="s">
        <v>747</v>
      </c>
      <c r="BV407" s="3" t="s">
        <v>105</v>
      </c>
      <c r="BY407" s="3">
        <v>4275</v>
      </c>
      <c r="BZ407" s="3" t="s">
        <v>165</v>
      </c>
      <c r="CA407" s="3" t="s">
        <v>748</v>
      </c>
      <c r="CC407" s="3" t="s">
        <v>91</v>
      </c>
      <c r="CD407" s="3">
        <v>7500</v>
      </c>
      <c r="CE407" s="3" t="s">
        <v>86</v>
      </c>
      <c r="CF407" s="4">
        <v>44573</v>
      </c>
      <c r="CI407" s="3">
        <v>1</v>
      </c>
      <c r="CJ407" s="3">
        <v>1</v>
      </c>
      <c r="CK407" s="3">
        <v>21</v>
      </c>
      <c r="CL407" s="3" t="s">
        <v>87</v>
      </c>
    </row>
    <row r="408" spans="1:90" x14ac:dyDescent="0.2">
      <c r="A408" s="3" t="s">
        <v>72</v>
      </c>
      <c r="B408" s="3" t="s">
        <v>73</v>
      </c>
      <c r="C408" s="3" t="s">
        <v>74</v>
      </c>
      <c r="E408" s="3" t="str">
        <f>"FES1162844374"</f>
        <v>FES1162844374</v>
      </c>
      <c r="F408" s="4">
        <v>44571</v>
      </c>
      <c r="G408" s="3">
        <v>202207</v>
      </c>
      <c r="H408" s="3" t="s">
        <v>75</v>
      </c>
      <c r="I408" s="3" t="s">
        <v>76</v>
      </c>
      <c r="J408" s="3" t="s">
        <v>77</v>
      </c>
      <c r="K408" s="3" t="s">
        <v>78</v>
      </c>
      <c r="L408" s="3" t="s">
        <v>101</v>
      </c>
      <c r="M408" s="3" t="s">
        <v>102</v>
      </c>
      <c r="N408" s="3" t="s">
        <v>749</v>
      </c>
      <c r="O408" s="3" t="s">
        <v>82</v>
      </c>
      <c r="P408" s="3" t="str">
        <f>"2170814984                    "</f>
        <v xml:space="preserve">2170814984                    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15.46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1</v>
      </c>
      <c r="BI408" s="3">
        <v>1</v>
      </c>
      <c r="BJ408" s="3">
        <v>0.2</v>
      </c>
      <c r="BK408" s="3">
        <v>1</v>
      </c>
      <c r="BL408" s="3">
        <v>59</v>
      </c>
      <c r="BM408" s="3">
        <v>8.85</v>
      </c>
      <c r="BN408" s="3">
        <v>67.849999999999994</v>
      </c>
      <c r="BO408" s="3">
        <v>67.849999999999994</v>
      </c>
      <c r="BQ408" s="3" t="s">
        <v>750</v>
      </c>
      <c r="BR408" s="3" t="s">
        <v>84</v>
      </c>
      <c r="BS408" s="4">
        <v>44572</v>
      </c>
      <c r="BT408" s="5">
        <v>0.4548611111111111</v>
      </c>
      <c r="BU408" s="3" t="s">
        <v>751</v>
      </c>
      <c r="BV408" s="3" t="s">
        <v>87</v>
      </c>
      <c r="BW408" s="3" t="s">
        <v>278</v>
      </c>
      <c r="BX408" s="3" t="s">
        <v>279</v>
      </c>
      <c r="BY408" s="3">
        <v>1200</v>
      </c>
      <c r="BZ408" s="3" t="s">
        <v>165</v>
      </c>
      <c r="CA408" s="3" t="s">
        <v>303</v>
      </c>
      <c r="CC408" s="3" t="s">
        <v>102</v>
      </c>
      <c r="CD408" s="3">
        <v>4052</v>
      </c>
      <c r="CE408" s="3" t="s">
        <v>93</v>
      </c>
      <c r="CF408" s="4">
        <v>44572</v>
      </c>
      <c r="CI408" s="3">
        <v>1</v>
      </c>
      <c r="CJ408" s="3">
        <v>1</v>
      </c>
      <c r="CK408" s="3">
        <v>21</v>
      </c>
      <c r="CL408" s="3" t="s">
        <v>87</v>
      </c>
    </row>
    <row r="409" spans="1:90" x14ac:dyDescent="0.2">
      <c r="A409" s="3" t="s">
        <v>72</v>
      </c>
      <c r="B409" s="3" t="s">
        <v>73</v>
      </c>
      <c r="C409" s="3" t="s">
        <v>74</v>
      </c>
      <c r="E409" s="3" t="str">
        <f>"009942045049"</f>
        <v>009942045049</v>
      </c>
      <c r="F409" s="4">
        <v>44571</v>
      </c>
      <c r="G409" s="3">
        <v>202207</v>
      </c>
      <c r="H409" s="3" t="s">
        <v>75</v>
      </c>
      <c r="I409" s="3" t="s">
        <v>76</v>
      </c>
      <c r="J409" s="3" t="s">
        <v>77</v>
      </c>
      <c r="K409" s="3" t="s">
        <v>78</v>
      </c>
      <c r="L409" s="3" t="s">
        <v>489</v>
      </c>
      <c r="M409" s="3" t="s">
        <v>490</v>
      </c>
      <c r="N409" s="3" t="s">
        <v>491</v>
      </c>
      <c r="O409" s="3" t="s">
        <v>82</v>
      </c>
      <c r="P409" s="3" t="str">
        <f>"1162841921                    "</f>
        <v xml:space="preserve">1162841921                    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29.95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15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1</v>
      </c>
      <c r="BI409" s="3">
        <v>1</v>
      </c>
      <c r="BJ409" s="3">
        <v>0.2</v>
      </c>
      <c r="BK409" s="3">
        <v>1</v>
      </c>
      <c r="BL409" s="3">
        <v>129.31</v>
      </c>
      <c r="BM409" s="3">
        <v>19.399999999999999</v>
      </c>
      <c r="BN409" s="3">
        <v>148.71</v>
      </c>
      <c r="BO409" s="3">
        <v>148.71</v>
      </c>
      <c r="BQ409" s="3" t="s">
        <v>83</v>
      </c>
      <c r="BR409" s="3" t="s">
        <v>84</v>
      </c>
      <c r="BS409" s="4">
        <v>44572</v>
      </c>
      <c r="BT409" s="5">
        <v>0.5756944444444444</v>
      </c>
      <c r="BU409" s="3" t="s">
        <v>492</v>
      </c>
      <c r="BV409" s="3" t="s">
        <v>87</v>
      </c>
      <c r="BW409" s="3" t="s">
        <v>493</v>
      </c>
      <c r="BX409" s="3" t="s">
        <v>494</v>
      </c>
      <c r="BY409" s="3">
        <v>1200</v>
      </c>
      <c r="BZ409" s="3" t="s">
        <v>446</v>
      </c>
      <c r="CA409" s="3" t="s">
        <v>495</v>
      </c>
      <c r="CC409" s="3" t="s">
        <v>490</v>
      </c>
      <c r="CD409" s="3">
        <v>250</v>
      </c>
      <c r="CE409" s="3" t="s">
        <v>93</v>
      </c>
      <c r="CF409" s="4">
        <v>44572</v>
      </c>
      <c r="CI409" s="3">
        <v>1</v>
      </c>
      <c r="CJ409" s="3">
        <v>1</v>
      </c>
      <c r="CK409" s="3">
        <v>23</v>
      </c>
      <c r="CL409" s="3" t="s">
        <v>87</v>
      </c>
    </row>
    <row r="410" spans="1:90" x14ac:dyDescent="0.2">
      <c r="A410" s="3" t="s">
        <v>72</v>
      </c>
      <c r="B410" s="3" t="s">
        <v>73</v>
      </c>
      <c r="C410" s="3" t="s">
        <v>74</v>
      </c>
      <c r="E410" s="3" t="str">
        <f>"009942045050"</f>
        <v>009942045050</v>
      </c>
      <c r="F410" s="4">
        <v>44571</v>
      </c>
      <c r="G410" s="3">
        <v>202207</v>
      </c>
      <c r="H410" s="3" t="s">
        <v>75</v>
      </c>
      <c r="I410" s="3" t="s">
        <v>76</v>
      </c>
      <c r="J410" s="3" t="s">
        <v>77</v>
      </c>
      <c r="K410" s="3" t="s">
        <v>78</v>
      </c>
      <c r="L410" s="3" t="s">
        <v>489</v>
      </c>
      <c r="M410" s="3" t="s">
        <v>490</v>
      </c>
      <c r="N410" s="3" t="s">
        <v>491</v>
      </c>
      <c r="O410" s="3" t="s">
        <v>82</v>
      </c>
      <c r="P410" s="3" t="str">
        <f>"1162842340                    "</f>
        <v xml:space="preserve">1162842340                    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29.95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15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1</v>
      </c>
      <c r="BI410" s="3">
        <v>1</v>
      </c>
      <c r="BJ410" s="3">
        <v>0.2</v>
      </c>
      <c r="BK410" s="3">
        <v>1</v>
      </c>
      <c r="BL410" s="3">
        <v>129.31</v>
      </c>
      <c r="BM410" s="3">
        <v>19.399999999999999</v>
      </c>
      <c r="BN410" s="3">
        <v>148.71</v>
      </c>
      <c r="BO410" s="3">
        <v>148.71</v>
      </c>
      <c r="BQ410" s="3" t="s">
        <v>83</v>
      </c>
      <c r="BR410" s="3" t="s">
        <v>84</v>
      </c>
      <c r="BS410" s="4">
        <v>44572</v>
      </c>
      <c r="BT410" s="5">
        <v>0.57777777777777783</v>
      </c>
      <c r="BU410" s="3" t="s">
        <v>492</v>
      </c>
      <c r="BV410" s="3" t="s">
        <v>87</v>
      </c>
      <c r="BW410" s="3" t="s">
        <v>493</v>
      </c>
      <c r="BX410" s="3" t="s">
        <v>494</v>
      </c>
      <c r="BY410" s="3">
        <v>1200</v>
      </c>
      <c r="BZ410" s="3" t="s">
        <v>446</v>
      </c>
      <c r="CA410" s="3" t="s">
        <v>495</v>
      </c>
      <c r="CC410" s="3" t="s">
        <v>490</v>
      </c>
      <c r="CD410" s="3">
        <v>250</v>
      </c>
      <c r="CE410" s="3" t="s">
        <v>93</v>
      </c>
      <c r="CF410" s="4">
        <v>44572</v>
      </c>
      <c r="CI410" s="3">
        <v>1</v>
      </c>
      <c r="CJ410" s="3">
        <v>1</v>
      </c>
      <c r="CK410" s="3">
        <v>23</v>
      </c>
      <c r="CL410" s="3" t="s">
        <v>87</v>
      </c>
    </row>
    <row r="411" spans="1:90" x14ac:dyDescent="0.2">
      <c r="A411" s="3" t="s">
        <v>72</v>
      </c>
      <c r="B411" s="3" t="s">
        <v>73</v>
      </c>
      <c r="C411" s="3" t="s">
        <v>74</v>
      </c>
      <c r="E411" s="3" t="str">
        <f>"FES1162844104"</f>
        <v>FES1162844104</v>
      </c>
      <c r="F411" s="4">
        <v>44571</v>
      </c>
      <c r="G411" s="3">
        <v>202207</v>
      </c>
      <c r="H411" s="3" t="s">
        <v>75</v>
      </c>
      <c r="I411" s="3" t="s">
        <v>76</v>
      </c>
      <c r="J411" s="3" t="s">
        <v>77</v>
      </c>
      <c r="K411" s="3" t="s">
        <v>78</v>
      </c>
      <c r="L411" s="3" t="s">
        <v>101</v>
      </c>
      <c r="M411" s="3" t="s">
        <v>102</v>
      </c>
      <c r="N411" s="3" t="s">
        <v>276</v>
      </c>
      <c r="O411" s="3" t="s">
        <v>82</v>
      </c>
      <c r="P411" s="3" t="str">
        <f>"2170815543                    "</f>
        <v xml:space="preserve">2170815543                    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15.46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0</v>
      </c>
      <c r="AZ411" s="3">
        <v>0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1</v>
      </c>
      <c r="BI411" s="3">
        <v>1</v>
      </c>
      <c r="BJ411" s="3">
        <v>0.2</v>
      </c>
      <c r="BK411" s="3">
        <v>1</v>
      </c>
      <c r="BL411" s="3">
        <v>59</v>
      </c>
      <c r="BM411" s="3">
        <v>8.85</v>
      </c>
      <c r="BN411" s="3">
        <v>67.849999999999994</v>
      </c>
      <c r="BO411" s="3">
        <v>67.849999999999994</v>
      </c>
      <c r="BQ411" s="3" t="s">
        <v>89</v>
      </c>
      <c r="BR411" s="3" t="s">
        <v>84</v>
      </c>
      <c r="BS411" s="4">
        <v>44572</v>
      </c>
      <c r="BT411" s="5">
        <v>0.61319444444444449</v>
      </c>
      <c r="BU411" s="3" t="s">
        <v>277</v>
      </c>
      <c r="BV411" s="3" t="s">
        <v>87</v>
      </c>
      <c r="BW411" s="3" t="s">
        <v>278</v>
      </c>
      <c r="BX411" s="3" t="s">
        <v>279</v>
      </c>
      <c r="BY411" s="3">
        <v>1200</v>
      </c>
      <c r="BZ411" s="3" t="s">
        <v>165</v>
      </c>
      <c r="CA411" s="3" t="s">
        <v>280</v>
      </c>
      <c r="CC411" s="3" t="s">
        <v>102</v>
      </c>
      <c r="CD411" s="3">
        <v>4001</v>
      </c>
      <c r="CE411" s="3" t="s">
        <v>93</v>
      </c>
      <c r="CF411" s="4">
        <v>44572</v>
      </c>
      <c r="CI411" s="3">
        <v>1</v>
      </c>
      <c r="CJ411" s="3">
        <v>1</v>
      </c>
      <c r="CK411" s="3">
        <v>21</v>
      </c>
      <c r="CL411" s="3" t="s">
        <v>87</v>
      </c>
    </row>
    <row r="412" spans="1:90" x14ac:dyDescent="0.2">
      <c r="A412" s="3" t="s">
        <v>72</v>
      </c>
      <c r="B412" s="3" t="s">
        <v>73</v>
      </c>
      <c r="C412" s="3" t="s">
        <v>74</v>
      </c>
      <c r="E412" s="3" t="str">
        <f>"FES1162844232"</f>
        <v>FES1162844232</v>
      </c>
      <c r="F412" s="4">
        <v>44571</v>
      </c>
      <c r="G412" s="3">
        <v>202207</v>
      </c>
      <c r="H412" s="3" t="s">
        <v>75</v>
      </c>
      <c r="I412" s="3" t="s">
        <v>76</v>
      </c>
      <c r="J412" s="3" t="s">
        <v>77</v>
      </c>
      <c r="K412" s="3" t="s">
        <v>78</v>
      </c>
      <c r="L412" s="3" t="s">
        <v>250</v>
      </c>
      <c r="M412" s="3" t="s">
        <v>251</v>
      </c>
      <c r="N412" s="3" t="s">
        <v>252</v>
      </c>
      <c r="O412" s="3" t="s">
        <v>82</v>
      </c>
      <c r="P412" s="3" t="str">
        <f>"2170815984                    "</f>
        <v xml:space="preserve">2170815984                    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29.95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1</v>
      </c>
      <c r="BI412" s="3">
        <v>1</v>
      </c>
      <c r="BJ412" s="3">
        <v>0.2</v>
      </c>
      <c r="BK412" s="3">
        <v>1</v>
      </c>
      <c r="BL412" s="3">
        <v>114.31</v>
      </c>
      <c r="BM412" s="3">
        <v>17.149999999999999</v>
      </c>
      <c r="BN412" s="3">
        <v>131.46</v>
      </c>
      <c r="BO412" s="3">
        <v>131.46</v>
      </c>
      <c r="BQ412" s="3" t="s">
        <v>253</v>
      </c>
      <c r="BR412" s="3" t="s">
        <v>84</v>
      </c>
      <c r="BS412" s="4">
        <v>44572</v>
      </c>
      <c r="BT412" s="5">
        <v>0.54722222222222217</v>
      </c>
      <c r="BU412" s="3" t="s">
        <v>752</v>
      </c>
      <c r="BV412" s="3" t="s">
        <v>105</v>
      </c>
      <c r="BY412" s="3">
        <v>1200</v>
      </c>
      <c r="BZ412" s="3" t="s">
        <v>165</v>
      </c>
      <c r="CC412" s="3" t="s">
        <v>251</v>
      </c>
      <c r="CD412" s="3">
        <v>6300</v>
      </c>
      <c r="CE412" s="3" t="s">
        <v>93</v>
      </c>
      <c r="CF412" s="4">
        <v>44572</v>
      </c>
      <c r="CI412" s="3">
        <v>2</v>
      </c>
      <c r="CJ412" s="3">
        <v>1</v>
      </c>
      <c r="CK412" s="3">
        <v>23</v>
      </c>
      <c r="CL412" s="3" t="s">
        <v>87</v>
      </c>
    </row>
    <row r="413" spans="1:90" x14ac:dyDescent="0.2">
      <c r="A413" s="3" t="s">
        <v>72</v>
      </c>
      <c r="B413" s="3" t="s">
        <v>73</v>
      </c>
      <c r="C413" s="3" t="s">
        <v>74</v>
      </c>
      <c r="E413" s="3" t="str">
        <f>"FES1162844231"</f>
        <v>FES1162844231</v>
      </c>
      <c r="F413" s="4">
        <v>44571</v>
      </c>
      <c r="G413" s="3">
        <v>202207</v>
      </c>
      <c r="H413" s="3" t="s">
        <v>75</v>
      </c>
      <c r="I413" s="3" t="s">
        <v>76</v>
      </c>
      <c r="J413" s="3" t="s">
        <v>77</v>
      </c>
      <c r="K413" s="3" t="s">
        <v>78</v>
      </c>
      <c r="L413" s="3" t="s">
        <v>158</v>
      </c>
      <c r="M413" s="3" t="s">
        <v>159</v>
      </c>
      <c r="N413" s="3" t="s">
        <v>753</v>
      </c>
      <c r="O413" s="3" t="s">
        <v>82</v>
      </c>
      <c r="P413" s="3" t="str">
        <f>"2170815982                    "</f>
        <v xml:space="preserve">2170815982                    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12.07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1</v>
      </c>
      <c r="BI413" s="3">
        <v>1</v>
      </c>
      <c r="BJ413" s="3">
        <v>0.2</v>
      </c>
      <c r="BK413" s="3">
        <v>1</v>
      </c>
      <c r="BL413" s="3">
        <v>46.08</v>
      </c>
      <c r="BM413" s="3">
        <v>6.91</v>
      </c>
      <c r="BN413" s="3">
        <v>52.99</v>
      </c>
      <c r="BO413" s="3">
        <v>52.99</v>
      </c>
      <c r="BR413" s="3" t="s">
        <v>84</v>
      </c>
      <c r="BS413" s="4">
        <v>44572</v>
      </c>
      <c r="BT413" s="5">
        <v>0.35625000000000001</v>
      </c>
      <c r="BU413" s="3" t="s">
        <v>754</v>
      </c>
      <c r="BV413" s="3" t="s">
        <v>105</v>
      </c>
      <c r="BY413" s="3">
        <v>1200</v>
      </c>
      <c r="BZ413" s="3" t="s">
        <v>165</v>
      </c>
      <c r="CA413" s="3" t="s">
        <v>653</v>
      </c>
      <c r="CC413" s="3" t="s">
        <v>159</v>
      </c>
      <c r="CD413" s="3">
        <v>1459</v>
      </c>
      <c r="CE413" s="3" t="s">
        <v>93</v>
      </c>
      <c r="CF413" s="4">
        <v>44572</v>
      </c>
      <c r="CI413" s="3">
        <v>1</v>
      </c>
      <c r="CJ413" s="3">
        <v>1</v>
      </c>
      <c r="CK413" s="3">
        <v>22</v>
      </c>
      <c r="CL413" s="3" t="s">
        <v>87</v>
      </c>
    </row>
    <row r="414" spans="1:90" x14ac:dyDescent="0.2">
      <c r="A414" s="3" t="s">
        <v>72</v>
      </c>
      <c r="B414" s="3" t="s">
        <v>73</v>
      </c>
      <c r="C414" s="3" t="s">
        <v>74</v>
      </c>
      <c r="E414" s="3" t="str">
        <f>"FES1162844378"</f>
        <v>FES1162844378</v>
      </c>
      <c r="F414" s="4">
        <v>44571</v>
      </c>
      <c r="G414" s="3">
        <v>202207</v>
      </c>
      <c r="H414" s="3" t="s">
        <v>75</v>
      </c>
      <c r="I414" s="3" t="s">
        <v>76</v>
      </c>
      <c r="J414" s="3" t="s">
        <v>77</v>
      </c>
      <c r="K414" s="3" t="s">
        <v>78</v>
      </c>
      <c r="L414" s="3" t="s">
        <v>90</v>
      </c>
      <c r="M414" s="3" t="s">
        <v>91</v>
      </c>
      <c r="N414" s="3" t="s">
        <v>157</v>
      </c>
      <c r="O414" s="3" t="s">
        <v>82</v>
      </c>
      <c r="P414" s="3" t="str">
        <f>"2170815038                    "</f>
        <v xml:space="preserve">2170815038                    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15.46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1</v>
      </c>
      <c r="BI414" s="3">
        <v>1</v>
      </c>
      <c r="BJ414" s="3">
        <v>0.2</v>
      </c>
      <c r="BK414" s="3">
        <v>1</v>
      </c>
      <c r="BL414" s="3">
        <v>59</v>
      </c>
      <c r="BM414" s="3">
        <v>8.85</v>
      </c>
      <c r="BN414" s="3">
        <v>67.849999999999994</v>
      </c>
      <c r="BO414" s="3">
        <v>67.849999999999994</v>
      </c>
      <c r="BQ414" s="3" t="s">
        <v>89</v>
      </c>
      <c r="BR414" s="3" t="s">
        <v>84</v>
      </c>
      <c r="BS414" s="4">
        <v>44572</v>
      </c>
      <c r="BT414" s="5">
        <v>0.36458333333333331</v>
      </c>
      <c r="BU414" s="3" t="s">
        <v>693</v>
      </c>
      <c r="BV414" s="3" t="s">
        <v>105</v>
      </c>
      <c r="BY414" s="3">
        <v>1200</v>
      </c>
      <c r="BZ414" s="3" t="s">
        <v>165</v>
      </c>
      <c r="CA414" s="3" t="s">
        <v>289</v>
      </c>
      <c r="CC414" s="3" t="s">
        <v>91</v>
      </c>
      <c r="CD414" s="3">
        <v>7441</v>
      </c>
      <c r="CE414" s="3" t="s">
        <v>93</v>
      </c>
      <c r="CF414" s="4">
        <v>44573</v>
      </c>
      <c r="CI414" s="3">
        <v>1</v>
      </c>
      <c r="CJ414" s="3">
        <v>1</v>
      </c>
      <c r="CK414" s="3">
        <v>21</v>
      </c>
      <c r="CL414" s="3" t="s">
        <v>87</v>
      </c>
    </row>
    <row r="415" spans="1:90" x14ac:dyDescent="0.2">
      <c r="A415" s="3" t="s">
        <v>72</v>
      </c>
      <c r="B415" s="3" t="s">
        <v>73</v>
      </c>
      <c r="C415" s="3" t="s">
        <v>74</v>
      </c>
      <c r="E415" s="3" t="str">
        <f>"FES1162844403"</f>
        <v>FES1162844403</v>
      </c>
      <c r="F415" s="4">
        <v>44571</v>
      </c>
      <c r="G415" s="3">
        <v>202207</v>
      </c>
      <c r="H415" s="3" t="s">
        <v>75</v>
      </c>
      <c r="I415" s="3" t="s">
        <v>76</v>
      </c>
      <c r="J415" s="3" t="s">
        <v>77</v>
      </c>
      <c r="K415" s="3" t="s">
        <v>78</v>
      </c>
      <c r="L415" s="3" t="s">
        <v>79</v>
      </c>
      <c r="M415" s="3" t="s">
        <v>80</v>
      </c>
      <c r="N415" s="3" t="s">
        <v>755</v>
      </c>
      <c r="O415" s="3" t="s">
        <v>82</v>
      </c>
      <c r="P415" s="3" t="str">
        <f>"2170816027                    "</f>
        <v xml:space="preserve">2170816027                    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15.46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3">
        <v>1</v>
      </c>
      <c r="BI415" s="3">
        <v>1</v>
      </c>
      <c r="BJ415" s="3">
        <v>0.2</v>
      </c>
      <c r="BK415" s="3">
        <v>1</v>
      </c>
      <c r="BL415" s="3">
        <v>59</v>
      </c>
      <c r="BM415" s="3">
        <v>8.85</v>
      </c>
      <c r="BN415" s="3">
        <v>67.849999999999994</v>
      </c>
      <c r="BO415" s="3">
        <v>67.849999999999994</v>
      </c>
      <c r="BR415" s="3" t="s">
        <v>84</v>
      </c>
      <c r="BS415" s="4">
        <v>44575</v>
      </c>
      <c r="BT415" s="5">
        <v>0.3659722222222222</v>
      </c>
      <c r="BU415" s="3" t="s">
        <v>756</v>
      </c>
      <c r="BV415" s="3" t="s">
        <v>87</v>
      </c>
      <c r="BW415" s="3" t="s">
        <v>757</v>
      </c>
      <c r="BX415" s="3" t="s">
        <v>758</v>
      </c>
      <c r="BY415" s="3">
        <v>1200</v>
      </c>
      <c r="BZ415" s="3" t="s">
        <v>165</v>
      </c>
      <c r="CA415" s="3" t="s">
        <v>759</v>
      </c>
      <c r="CC415" s="3" t="s">
        <v>80</v>
      </c>
      <c r="CD415" s="3">
        <v>87</v>
      </c>
      <c r="CE415" s="3" t="s">
        <v>93</v>
      </c>
      <c r="CF415" s="4">
        <v>44575</v>
      </c>
      <c r="CI415" s="3">
        <v>1</v>
      </c>
      <c r="CJ415" s="3">
        <v>4</v>
      </c>
      <c r="CK415" s="3">
        <v>21</v>
      </c>
      <c r="CL415" s="3" t="s">
        <v>87</v>
      </c>
    </row>
    <row r="416" spans="1:90" x14ac:dyDescent="0.2">
      <c r="A416" s="3" t="s">
        <v>72</v>
      </c>
      <c r="B416" s="3" t="s">
        <v>73</v>
      </c>
      <c r="C416" s="3" t="s">
        <v>74</v>
      </c>
      <c r="E416" s="3" t="str">
        <f>"FES1162844244"</f>
        <v>FES1162844244</v>
      </c>
      <c r="F416" s="4">
        <v>44571</v>
      </c>
      <c r="G416" s="3">
        <v>202207</v>
      </c>
      <c r="H416" s="3" t="s">
        <v>75</v>
      </c>
      <c r="I416" s="3" t="s">
        <v>76</v>
      </c>
      <c r="J416" s="3" t="s">
        <v>77</v>
      </c>
      <c r="K416" s="3" t="s">
        <v>78</v>
      </c>
      <c r="L416" s="3" t="s">
        <v>254</v>
      </c>
      <c r="M416" s="3" t="s">
        <v>255</v>
      </c>
      <c r="N416" s="3" t="s">
        <v>256</v>
      </c>
      <c r="O416" s="3" t="s">
        <v>82</v>
      </c>
      <c r="P416" s="3" t="str">
        <f>"2170815997                    "</f>
        <v xml:space="preserve">2170815997                    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15.46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1</v>
      </c>
      <c r="BI416" s="3">
        <v>1</v>
      </c>
      <c r="BJ416" s="3">
        <v>0.2</v>
      </c>
      <c r="BK416" s="3">
        <v>1</v>
      </c>
      <c r="BL416" s="3">
        <v>59</v>
      </c>
      <c r="BM416" s="3">
        <v>8.85</v>
      </c>
      <c r="BN416" s="3">
        <v>67.849999999999994</v>
      </c>
      <c r="BO416" s="3">
        <v>67.849999999999994</v>
      </c>
      <c r="BQ416" s="3" t="s">
        <v>89</v>
      </c>
      <c r="BR416" s="3" t="s">
        <v>84</v>
      </c>
      <c r="BS416" s="4">
        <v>44572</v>
      </c>
      <c r="BT416" s="5">
        <v>0.40486111111111112</v>
      </c>
      <c r="BU416" s="3" t="s">
        <v>657</v>
      </c>
      <c r="BV416" s="3" t="s">
        <v>105</v>
      </c>
      <c r="BY416" s="3">
        <v>1200</v>
      </c>
      <c r="BZ416" s="3" t="s">
        <v>165</v>
      </c>
      <c r="CA416" s="3" t="s">
        <v>328</v>
      </c>
      <c r="CC416" s="3" t="s">
        <v>255</v>
      </c>
      <c r="CD416" s="3">
        <v>6536</v>
      </c>
      <c r="CE416" s="3" t="s">
        <v>93</v>
      </c>
      <c r="CF416" s="4">
        <v>44572</v>
      </c>
      <c r="CI416" s="3">
        <v>1</v>
      </c>
      <c r="CJ416" s="3">
        <v>1</v>
      </c>
      <c r="CK416" s="3">
        <v>21</v>
      </c>
      <c r="CL416" s="3" t="s">
        <v>87</v>
      </c>
    </row>
    <row r="417" spans="1:90" x14ac:dyDescent="0.2">
      <c r="A417" s="3" t="s">
        <v>72</v>
      </c>
      <c r="B417" s="3" t="s">
        <v>73</v>
      </c>
      <c r="C417" s="3" t="s">
        <v>74</v>
      </c>
      <c r="E417" s="3" t="str">
        <f>"FES1162844320"</f>
        <v>FES1162844320</v>
      </c>
      <c r="F417" s="4">
        <v>44571</v>
      </c>
      <c r="G417" s="3">
        <v>202207</v>
      </c>
      <c r="H417" s="3" t="s">
        <v>75</v>
      </c>
      <c r="I417" s="3" t="s">
        <v>76</v>
      </c>
      <c r="J417" s="3" t="s">
        <v>77</v>
      </c>
      <c r="K417" s="3" t="s">
        <v>78</v>
      </c>
      <c r="L417" s="3" t="s">
        <v>90</v>
      </c>
      <c r="M417" s="3" t="s">
        <v>91</v>
      </c>
      <c r="N417" s="3" t="s">
        <v>760</v>
      </c>
      <c r="O417" s="3" t="s">
        <v>82</v>
      </c>
      <c r="P417" s="3" t="str">
        <f>"2170814571                    "</f>
        <v xml:space="preserve">2170814571                    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15.46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1</v>
      </c>
      <c r="BI417" s="3">
        <v>1</v>
      </c>
      <c r="BJ417" s="3">
        <v>0.2</v>
      </c>
      <c r="BK417" s="3">
        <v>1</v>
      </c>
      <c r="BL417" s="3">
        <v>59</v>
      </c>
      <c r="BM417" s="3">
        <v>8.85</v>
      </c>
      <c r="BN417" s="3">
        <v>67.849999999999994</v>
      </c>
      <c r="BO417" s="3">
        <v>67.849999999999994</v>
      </c>
      <c r="BQ417" s="3" t="s">
        <v>83</v>
      </c>
      <c r="BR417" s="3" t="s">
        <v>84</v>
      </c>
      <c r="BS417" s="4">
        <v>44572</v>
      </c>
      <c r="BT417" s="5">
        <v>0.34097222222222223</v>
      </c>
      <c r="BU417" s="3" t="s">
        <v>761</v>
      </c>
      <c r="BV417" s="3" t="s">
        <v>105</v>
      </c>
      <c r="BY417" s="3">
        <v>1200</v>
      </c>
      <c r="BZ417" s="3" t="s">
        <v>165</v>
      </c>
      <c r="CA417" s="3" t="s">
        <v>566</v>
      </c>
      <c r="CC417" s="3" t="s">
        <v>91</v>
      </c>
      <c r="CD417" s="3">
        <v>7460</v>
      </c>
      <c r="CE417" s="3" t="s">
        <v>93</v>
      </c>
      <c r="CF417" s="4">
        <v>44573</v>
      </c>
      <c r="CI417" s="3">
        <v>1</v>
      </c>
      <c r="CJ417" s="3">
        <v>1</v>
      </c>
      <c r="CK417" s="3">
        <v>21</v>
      </c>
      <c r="CL417" s="3" t="s">
        <v>87</v>
      </c>
    </row>
    <row r="418" spans="1:90" x14ac:dyDescent="0.2">
      <c r="A418" s="3" t="s">
        <v>72</v>
      </c>
      <c r="B418" s="3" t="s">
        <v>73</v>
      </c>
      <c r="C418" s="3" t="s">
        <v>74</v>
      </c>
      <c r="E418" s="3" t="str">
        <f>"FES1162844291"</f>
        <v>FES1162844291</v>
      </c>
      <c r="F418" s="4">
        <v>44571</v>
      </c>
      <c r="G418" s="3">
        <v>202207</v>
      </c>
      <c r="H418" s="3" t="s">
        <v>75</v>
      </c>
      <c r="I418" s="3" t="s">
        <v>76</v>
      </c>
      <c r="J418" s="3" t="s">
        <v>77</v>
      </c>
      <c r="K418" s="3" t="s">
        <v>78</v>
      </c>
      <c r="L418" s="3" t="s">
        <v>158</v>
      </c>
      <c r="M418" s="3" t="s">
        <v>159</v>
      </c>
      <c r="N418" s="3" t="s">
        <v>417</v>
      </c>
      <c r="O418" s="3" t="s">
        <v>82</v>
      </c>
      <c r="P418" s="3" t="str">
        <f>"2170811318                    "</f>
        <v xml:space="preserve">2170811318                    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12.07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1</v>
      </c>
      <c r="BI418" s="3">
        <v>1</v>
      </c>
      <c r="BJ418" s="3">
        <v>0.2</v>
      </c>
      <c r="BK418" s="3">
        <v>1</v>
      </c>
      <c r="BL418" s="3">
        <v>46.08</v>
      </c>
      <c r="BM418" s="3">
        <v>6.91</v>
      </c>
      <c r="BN418" s="3">
        <v>52.99</v>
      </c>
      <c r="BO418" s="3">
        <v>52.99</v>
      </c>
      <c r="BQ418" s="3" t="s">
        <v>83</v>
      </c>
      <c r="BR418" s="3" t="s">
        <v>84</v>
      </c>
      <c r="BS418" s="4">
        <v>44572</v>
      </c>
      <c r="BT418" s="5">
        <v>0.28611111111111115</v>
      </c>
      <c r="BU418" s="3" t="s">
        <v>762</v>
      </c>
      <c r="BV418" s="3" t="s">
        <v>105</v>
      </c>
      <c r="BY418" s="3">
        <v>1200</v>
      </c>
      <c r="BZ418" s="3" t="s">
        <v>165</v>
      </c>
      <c r="CA418" s="3" t="s">
        <v>763</v>
      </c>
      <c r="CC418" s="3" t="s">
        <v>159</v>
      </c>
      <c r="CD418" s="3">
        <v>1459</v>
      </c>
      <c r="CE418" s="3" t="s">
        <v>93</v>
      </c>
      <c r="CF418" s="4">
        <v>44572</v>
      </c>
      <c r="CI418" s="3">
        <v>1</v>
      </c>
      <c r="CJ418" s="3">
        <v>1</v>
      </c>
      <c r="CK418" s="3">
        <v>22</v>
      </c>
      <c r="CL418" s="3" t="s">
        <v>87</v>
      </c>
    </row>
    <row r="419" spans="1:90" x14ac:dyDescent="0.2">
      <c r="A419" s="3" t="s">
        <v>72</v>
      </c>
      <c r="B419" s="3" t="s">
        <v>73</v>
      </c>
      <c r="C419" s="3" t="s">
        <v>74</v>
      </c>
      <c r="E419" s="3" t="str">
        <f>"FES1162844327"</f>
        <v>FES1162844327</v>
      </c>
      <c r="F419" s="4">
        <v>44571</v>
      </c>
      <c r="G419" s="3">
        <v>202207</v>
      </c>
      <c r="H419" s="3" t="s">
        <v>75</v>
      </c>
      <c r="I419" s="3" t="s">
        <v>76</v>
      </c>
      <c r="J419" s="3" t="s">
        <v>77</v>
      </c>
      <c r="K419" s="3" t="s">
        <v>78</v>
      </c>
      <c r="L419" s="3" t="s">
        <v>90</v>
      </c>
      <c r="M419" s="3" t="s">
        <v>91</v>
      </c>
      <c r="N419" s="3" t="s">
        <v>157</v>
      </c>
      <c r="O419" s="3" t="s">
        <v>82</v>
      </c>
      <c r="P419" s="3" t="str">
        <f>"2170814615                    "</f>
        <v xml:space="preserve">2170814615                    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46.36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0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1</v>
      </c>
      <c r="BI419" s="3">
        <v>6</v>
      </c>
      <c r="BJ419" s="3">
        <v>1.9</v>
      </c>
      <c r="BK419" s="3">
        <v>6</v>
      </c>
      <c r="BL419" s="3">
        <v>176.94</v>
      </c>
      <c r="BM419" s="3">
        <v>26.54</v>
      </c>
      <c r="BN419" s="3">
        <v>203.48</v>
      </c>
      <c r="BO419" s="3">
        <v>203.48</v>
      </c>
      <c r="BQ419" s="3" t="s">
        <v>89</v>
      </c>
      <c r="BR419" s="3" t="s">
        <v>84</v>
      </c>
      <c r="BS419" s="4">
        <v>44572</v>
      </c>
      <c r="BT419" s="5">
        <v>0.36458333333333331</v>
      </c>
      <c r="BU419" s="3" t="s">
        <v>693</v>
      </c>
      <c r="BV419" s="3" t="s">
        <v>105</v>
      </c>
      <c r="BY419" s="3">
        <v>9600</v>
      </c>
      <c r="BZ419" s="3" t="s">
        <v>165</v>
      </c>
      <c r="CA419" s="3" t="s">
        <v>289</v>
      </c>
      <c r="CC419" s="3" t="s">
        <v>91</v>
      </c>
      <c r="CD419" s="3">
        <v>7441</v>
      </c>
      <c r="CE419" s="3" t="s">
        <v>86</v>
      </c>
      <c r="CF419" s="4">
        <v>44573</v>
      </c>
      <c r="CI419" s="3">
        <v>1</v>
      </c>
      <c r="CJ419" s="3">
        <v>1</v>
      </c>
      <c r="CK419" s="3">
        <v>21</v>
      </c>
      <c r="CL419" s="3" t="s">
        <v>87</v>
      </c>
    </row>
    <row r="420" spans="1:90" x14ac:dyDescent="0.2">
      <c r="A420" s="3" t="s">
        <v>72</v>
      </c>
      <c r="B420" s="3" t="s">
        <v>73</v>
      </c>
      <c r="C420" s="3" t="s">
        <v>74</v>
      </c>
      <c r="E420" s="3" t="str">
        <f>"FES1162844305"</f>
        <v>FES1162844305</v>
      </c>
      <c r="F420" s="4">
        <v>44571</v>
      </c>
      <c r="G420" s="3">
        <v>202207</v>
      </c>
      <c r="H420" s="3" t="s">
        <v>75</v>
      </c>
      <c r="I420" s="3" t="s">
        <v>76</v>
      </c>
      <c r="J420" s="3" t="s">
        <v>77</v>
      </c>
      <c r="K420" s="3" t="s">
        <v>78</v>
      </c>
      <c r="L420" s="3" t="s">
        <v>110</v>
      </c>
      <c r="M420" s="3" t="s">
        <v>110</v>
      </c>
      <c r="N420" s="3" t="s">
        <v>764</v>
      </c>
      <c r="O420" s="3" t="s">
        <v>82</v>
      </c>
      <c r="P420" s="3" t="str">
        <f>"2170812873                    "</f>
        <v xml:space="preserve">2170812873                    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29.95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1</v>
      </c>
      <c r="BI420" s="3">
        <v>1</v>
      </c>
      <c r="BJ420" s="3">
        <v>0.2</v>
      </c>
      <c r="BK420" s="3">
        <v>1</v>
      </c>
      <c r="BL420" s="3">
        <v>114.31</v>
      </c>
      <c r="BM420" s="3">
        <v>17.149999999999999</v>
      </c>
      <c r="BN420" s="3">
        <v>131.46</v>
      </c>
      <c r="BO420" s="3">
        <v>131.46</v>
      </c>
      <c r="BQ420" s="3" t="s">
        <v>83</v>
      </c>
      <c r="BR420" s="3" t="s">
        <v>84</v>
      </c>
      <c r="BS420" s="4">
        <v>44572</v>
      </c>
      <c r="BT420" s="5">
        <v>0.4597222222222222</v>
      </c>
      <c r="BU420" s="3" t="s">
        <v>765</v>
      </c>
      <c r="BV420" s="3" t="s">
        <v>105</v>
      </c>
      <c r="BY420" s="3">
        <v>1200</v>
      </c>
      <c r="BZ420" s="3" t="s">
        <v>165</v>
      </c>
      <c r="CA420" s="3" t="s">
        <v>360</v>
      </c>
      <c r="CC420" s="3" t="s">
        <v>110</v>
      </c>
      <c r="CD420" s="3">
        <v>7646</v>
      </c>
      <c r="CE420" s="3" t="s">
        <v>93</v>
      </c>
      <c r="CF420" s="4">
        <v>44573</v>
      </c>
      <c r="CI420" s="3">
        <v>1</v>
      </c>
      <c r="CJ420" s="3">
        <v>1</v>
      </c>
      <c r="CK420" s="3">
        <v>23</v>
      </c>
      <c r="CL420" s="3" t="s">
        <v>87</v>
      </c>
    </row>
    <row r="421" spans="1:90" x14ac:dyDescent="0.2">
      <c r="A421" s="3" t="s">
        <v>72</v>
      </c>
      <c r="B421" s="3" t="s">
        <v>73</v>
      </c>
      <c r="C421" s="3" t="s">
        <v>74</v>
      </c>
      <c r="E421" s="3" t="str">
        <f>"FES1162844274"</f>
        <v>FES1162844274</v>
      </c>
      <c r="F421" s="4">
        <v>44571</v>
      </c>
      <c r="G421" s="3">
        <v>202207</v>
      </c>
      <c r="H421" s="3" t="s">
        <v>75</v>
      </c>
      <c r="I421" s="3" t="s">
        <v>76</v>
      </c>
      <c r="J421" s="3" t="s">
        <v>77</v>
      </c>
      <c r="K421" s="3" t="s">
        <v>78</v>
      </c>
      <c r="L421" s="3" t="s">
        <v>79</v>
      </c>
      <c r="M421" s="3" t="s">
        <v>80</v>
      </c>
      <c r="N421" s="3" t="s">
        <v>248</v>
      </c>
      <c r="O421" s="3" t="s">
        <v>82</v>
      </c>
      <c r="P421" s="3" t="str">
        <f>"2170806795                    "</f>
        <v xml:space="preserve">2170806795                    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15.46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3">
        <v>1</v>
      </c>
      <c r="BI421" s="3">
        <v>1</v>
      </c>
      <c r="BJ421" s="3">
        <v>0.2</v>
      </c>
      <c r="BK421" s="3">
        <v>1</v>
      </c>
      <c r="BL421" s="3">
        <v>59</v>
      </c>
      <c r="BM421" s="3">
        <v>8.85</v>
      </c>
      <c r="BN421" s="3">
        <v>67.849999999999994</v>
      </c>
      <c r="BO421" s="3">
        <v>67.849999999999994</v>
      </c>
      <c r="BQ421" s="3" t="s">
        <v>83</v>
      </c>
      <c r="BR421" s="3" t="s">
        <v>84</v>
      </c>
      <c r="BS421" s="4">
        <v>44572</v>
      </c>
      <c r="BT421" s="5">
        <v>0.36041666666666666</v>
      </c>
      <c r="BU421" s="3" t="s">
        <v>361</v>
      </c>
      <c r="BV421" s="3" t="s">
        <v>105</v>
      </c>
      <c r="BY421" s="3">
        <v>1200</v>
      </c>
      <c r="BZ421" s="3" t="s">
        <v>165</v>
      </c>
      <c r="CA421" s="3" t="s">
        <v>362</v>
      </c>
      <c r="CC421" s="3" t="s">
        <v>80</v>
      </c>
      <c r="CD421" s="3">
        <v>1</v>
      </c>
      <c r="CE421" s="3" t="s">
        <v>93</v>
      </c>
      <c r="CF421" s="4">
        <v>44572</v>
      </c>
      <c r="CI421" s="3">
        <v>1</v>
      </c>
      <c r="CJ421" s="3">
        <v>1</v>
      </c>
      <c r="CK421" s="3">
        <v>21</v>
      </c>
      <c r="CL421" s="3" t="s">
        <v>87</v>
      </c>
    </row>
    <row r="422" spans="1:90" x14ac:dyDescent="0.2">
      <c r="A422" s="3" t="s">
        <v>72</v>
      </c>
      <c r="B422" s="3" t="s">
        <v>73</v>
      </c>
      <c r="C422" s="3" t="s">
        <v>74</v>
      </c>
      <c r="E422" s="3" t="str">
        <f>"FES1162844260"</f>
        <v>FES1162844260</v>
      </c>
      <c r="F422" s="4">
        <v>44571</v>
      </c>
      <c r="G422" s="3">
        <v>202207</v>
      </c>
      <c r="H422" s="3" t="s">
        <v>75</v>
      </c>
      <c r="I422" s="3" t="s">
        <v>76</v>
      </c>
      <c r="J422" s="3" t="s">
        <v>77</v>
      </c>
      <c r="K422" s="3" t="s">
        <v>78</v>
      </c>
      <c r="L422" s="3" t="s">
        <v>218</v>
      </c>
      <c r="M422" s="3" t="s">
        <v>219</v>
      </c>
      <c r="N422" s="3" t="s">
        <v>766</v>
      </c>
      <c r="O422" s="3" t="s">
        <v>82</v>
      </c>
      <c r="P422" s="3" t="str">
        <f>"2170816004                    "</f>
        <v xml:space="preserve">2170816004                    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15.46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1</v>
      </c>
      <c r="BI422" s="3">
        <v>1</v>
      </c>
      <c r="BJ422" s="3">
        <v>0.2</v>
      </c>
      <c r="BK422" s="3">
        <v>1</v>
      </c>
      <c r="BL422" s="3">
        <v>59</v>
      </c>
      <c r="BM422" s="3">
        <v>8.85</v>
      </c>
      <c r="BN422" s="3">
        <v>67.849999999999994</v>
      </c>
      <c r="BO422" s="3">
        <v>67.849999999999994</v>
      </c>
      <c r="BQ422" s="3" t="s">
        <v>89</v>
      </c>
      <c r="BR422" s="3" t="s">
        <v>84</v>
      </c>
      <c r="BS422" s="4">
        <v>44572</v>
      </c>
      <c r="BT422" s="5">
        <v>0.43055555555555558</v>
      </c>
      <c r="BU422" s="3" t="s">
        <v>767</v>
      </c>
      <c r="BV422" s="3" t="s">
        <v>105</v>
      </c>
      <c r="BY422" s="3">
        <v>1200</v>
      </c>
      <c r="BZ422" s="3" t="s">
        <v>165</v>
      </c>
      <c r="CA422" s="3" t="s">
        <v>362</v>
      </c>
      <c r="CC422" s="3" t="s">
        <v>219</v>
      </c>
      <c r="CD422" s="3">
        <v>157</v>
      </c>
      <c r="CE422" s="3" t="s">
        <v>93</v>
      </c>
      <c r="CF422" s="4">
        <v>44572</v>
      </c>
      <c r="CI422" s="3">
        <v>1</v>
      </c>
      <c r="CJ422" s="3">
        <v>1</v>
      </c>
      <c r="CK422" s="3">
        <v>21</v>
      </c>
      <c r="CL422" s="3" t="s">
        <v>87</v>
      </c>
    </row>
    <row r="423" spans="1:90" x14ac:dyDescent="0.2">
      <c r="A423" s="3" t="s">
        <v>72</v>
      </c>
      <c r="B423" s="3" t="s">
        <v>73</v>
      </c>
      <c r="C423" s="3" t="s">
        <v>74</v>
      </c>
      <c r="E423" s="3" t="str">
        <f>"FES1162844358"</f>
        <v>FES1162844358</v>
      </c>
      <c r="F423" s="4">
        <v>44571</v>
      </c>
      <c r="G423" s="3">
        <v>202207</v>
      </c>
      <c r="H423" s="3" t="s">
        <v>75</v>
      </c>
      <c r="I423" s="3" t="s">
        <v>76</v>
      </c>
      <c r="J423" s="3" t="s">
        <v>77</v>
      </c>
      <c r="K423" s="3" t="s">
        <v>78</v>
      </c>
      <c r="L423" s="3" t="s">
        <v>158</v>
      </c>
      <c r="M423" s="3" t="s">
        <v>159</v>
      </c>
      <c r="N423" s="3" t="s">
        <v>768</v>
      </c>
      <c r="O423" s="3" t="s">
        <v>82</v>
      </c>
      <c r="P423" s="3" t="str">
        <f>"2170814825                    "</f>
        <v xml:space="preserve">2170814825                    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12.07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1</v>
      </c>
      <c r="BI423" s="3">
        <v>1</v>
      </c>
      <c r="BJ423" s="3">
        <v>0.2</v>
      </c>
      <c r="BK423" s="3">
        <v>1</v>
      </c>
      <c r="BL423" s="3">
        <v>46.08</v>
      </c>
      <c r="BM423" s="3">
        <v>6.91</v>
      </c>
      <c r="BN423" s="3">
        <v>52.99</v>
      </c>
      <c r="BO423" s="3">
        <v>52.99</v>
      </c>
      <c r="BQ423" s="3" t="s">
        <v>83</v>
      </c>
      <c r="BR423" s="3" t="s">
        <v>84</v>
      </c>
      <c r="BS423" s="4">
        <v>44572</v>
      </c>
      <c r="BT423" s="5">
        <v>0.3520833333333333</v>
      </c>
      <c r="BU423" s="3" t="s">
        <v>769</v>
      </c>
      <c r="BV423" s="3" t="s">
        <v>105</v>
      </c>
      <c r="BY423" s="3">
        <v>1200</v>
      </c>
      <c r="BZ423" s="3" t="s">
        <v>165</v>
      </c>
      <c r="CA423" s="3" t="s">
        <v>653</v>
      </c>
      <c r="CC423" s="3" t="s">
        <v>159</v>
      </c>
      <c r="CD423" s="3">
        <v>1459</v>
      </c>
      <c r="CE423" s="3" t="s">
        <v>93</v>
      </c>
      <c r="CF423" s="4">
        <v>44572</v>
      </c>
      <c r="CI423" s="3">
        <v>1</v>
      </c>
      <c r="CJ423" s="3">
        <v>1</v>
      </c>
      <c r="CK423" s="3">
        <v>22</v>
      </c>
      <c r="CL423" s="3" t="s">
        <v>87</v>
      </c>
    </row>
    <row r="424" spans="1:90" x14ac:dyDescent="0.2">
      <c r="A424" s="3" t="s">
        <v>72</v>
      </c>
      <c r="B424" s="3" t="s">
        <v>73</v>
      </c>
      <c r="C424" s="3" t="s">
        <v>74</v>
      </c>
      <c r="E424" s="3" t="str">
        <f>"FES1162844261"</f>
        <v>FES1162844261</v>
      </c>
      <c r="F424" s="4">
        <v>44571</v>
      </c>
      <c r="G424" s="3">
        <v>202207</v>
      </c>
      <c r="H424" s="3" t="s">
        <v>75</v>
      </c>
      <c r="I424" s="3" t="s">
        <v>76</v>
      </c>
      <c r="J424" s="3" t="s">
        <v>77</v>
      </c>
      <c r="K424" s="3" t="s">
        <v>78</v>
      </c>
      <c r="L424" s="3" t="s">
        <v>218</v>
      </c>
      <c r="M424" s="3" t="s">
        <v>219</v>
      </c>
      <c r="N424" s="3" t="s">
        <v>766</v>
      </c>
      <c r="O424" s="3" t="s">
        <v>82</v>
      </c>
      <c r="P424" s="3" t="str">
        <f>"2170816005                    "</f>
        <v xml:space="preserve">2170816005                    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15.46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1</v>
      </c>
      <c r="BI424" s="3">
        <v>1</v>
      </c>
      <c r="BJ424" s="3">
        <v>0.2</v>
      </c>
      <c r="BK424" s="3">
        <v>1</v>
      </c>
      <c r="BL424" s="3">
        <v>59</v>
      </c>
      <c r="BM424" s="3">
        <v>8.85</v>
      </c>
      <c r="BN424" s="3">
        <v>67.849999999999994</v>
      </c>
      <c r="BO424" s="3">
        <v>67.849999999999994</v>
      </c>
      <c r="BR424" s="3" t="s">
        <v>84</v>
      </c>
      <c r="BS424" s="4">
        <v>44572</v>
      </c>
      <c r="BT424" s="5">
        <v>0.43055555555555558</v>
      </c>
      <c r="BU424" s="3" t="s">
        <v>767</v>
      </c>
      <c r="BV424" s="3" t="s">
        <v>105</v>
      </c>
      <c r="BY424" s="3">
        <v>1200</v>
      </c>
      <c r="BZ424" s="3" t="s">
        <v>165</v>
      </c>
      <c r="CA424" s="3" t="s">
        <v>362</v>
      </c>
      <c r="CC424" s="3" t="s">
        <v>219</v>
      </c>
      <c r="CD424" s="3">
        <v>157</v>
      </c>
      <c r="CE424" s="3" t="s">
        <v>93</v>
      </c>
      <c r="CF424" s="4">
        <v>44573</v>
      </c>
      <c r="CI424" s="3">
        <v>1</v>
      </c>
      <c r="CJ424" s="3">
        <v>1</v>
      </c>
      <c r="CK424" s="3">
        <v>21</v>
      </c>
      <c r="CL424" s="3" t="s">
        <v>87</v>
      </c>
    </row>
    <row r="425" spans="1:90" x14ac:dyDescent="0.2">
      <c r="A425" s="3" t="s">
        <v>72</v>
      </c>
      <c r="B425" s="3" t="s">
        <v>73</v>
      </c>
      <c r="C425" s="3" t="s">
        <v>74</v>
      </c>
      <c r="E425" s="3" t="str">
        <f>"FES1162844409"</f>
        <v>FES1162844409</v>
      </c>
      <c r="F425" s="4">
        <v>44571</v>
      </c>
      <c r="G425" s="3">
        <v>202207</v>
      </c>
      <c r="H425" s="3" t="s">
        <v>75</v>
      </c>
      <c r="I425" s="3" t="s">
        <v>76</v>
      </c>
      <c r="J425" s="3" t="s">
        <v>77</v>
      </c>
      <c r="K425" s="3" t="s">
        <v>78</v>
      </c>
      <c r="L425" s="3" t="s">
        <v>142</v>
      </c>
      <c r="M425" s="3" t="s">
        <v>143</v>
      </c>
      <c r="N425" s="3" t="s">
        <v>337</v>
      </c>
      <c r="O425" s="3" t="s">
        <v>82</v>
      </c>
      <c r="P425" s="3" t="str">
        <f>"2170816018                    "</f>
        <v xml:space="preserve">2170816018                    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12.07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1</v>
      </c>
      <c r="BI425" s="3">
        <v>1</v>
      </c>
      <c r="BJ425" s="3">
        <v>0.2</v>
      </c>
      <c r="BK425" s="3">
        <v>1</v>
      </c>
      <c r="BL425" s="3">
        <v>46.08</v>
      </c>
      <c r="BM425" s="3">
        <v>6.91</v>
      </c>
      <c r="BN425" s="3">
        <v>52.99</v>
      </c>
      <c r="BO425" s="3">
        <v>52.99</v>
      </c>
      <c r="BQ425" s="3" t="s">
        <v>89</v>
      </c>
      <c r="BR425" s="3" t="s">
        <v>84</v>
      </c>
      <c r="BS425" s="4">
        <v>44572</v>
      </c>
      <c r="BT425" s="5">
        <v>0.3347222222222222</v>
      </c>
      <c r="BU425" s="3" t="s">
        <v>470</v>
      </c>
      <c r="BV425" s="3" t="s">
        <v>105</v>
      </c>
      <c r="BY425" s="3">
        <v>1200</v>
      </c>
      <c r="BZ425" s="3" t="s">
        <v>165</v>
      </c>
      <c r="CA425" s="3" t="s">
        <v>471</v>
      </c>
      <c r="CC425" s="3" t="s">
        <v>143</v>
      </c>
      <c r="CD425" s="3">
        <v>1451</v>
      </c>
      <c r="CE425" s="3" t="s">
        <v>93</v>
      </c>
      <c r="CF425" s="4">
        <v>44572</v>
      </c>
      <c r="CI425" s="3">
        <v>1</v>
      </c>
      <c r="CJ425" s="3">
        <v>1</v>
      </c>
      <c r="CK425" s="3">
        <v>22</v>
      </c>
      <c r="CL425" s="3" t="s">
        <v>87</v>
      </c>
    </row>
    <row r="426" spans="1:90" x14ac:dyDescent="0.2">
      <c r="A426" s="3" t="s">
        <v>72</v>
      </c>
      <c r="B426" s="3" t="s">
        <v>73</v>
      </c>
      <c r="C426" s="3" t="s">
        <v>74</v>
      </c>
      <c r="E426" s="3" t="str">
        <f>"FES1162844223"</f>
        <v>FES1162844223</v>
      </c>
      <c r="F426" s="4">
        <v>44571</v>
      </c>
      <c r="G426" s="3">
        <v>202207</v>
      </c>
      <c r="H426" s="3" t="s">
        <v>75</v>
      </c>
      <c r="I426" s="3" t="s">
        <v>76</v>
      </c>
      <c r="J426" s="3" t="s">
        <v>77</v>
      </c>
      <c r="K426" s="3" t="s">
        <v>78</v>
      </c>
      <c r="L426" s="3" t="s">
        <v>138</v>
      </c>
      <c r="M426" s="3" t="s">
        <v>139</v>
      </c>
      <c r="N426" s="3" t="s">
        <v>214</v>
      </c>
      <c r="O426" s="3" t="s">
        <v>82</v>
      </c>
      <c r="P426" s="3" t="str">
        <f>"2170815973                    "</f>
        <v xml:space="preserve">2170815973                    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15.46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1</v>
      </c>
      <c r="BI426" s="3">
        <v>1</v>
      </c>
      <c r="BJ426" s="3">
        <v>0.2</v>
      </c>
      <c r="BK426" s="3">
        <v>1</v>
      </c>
      <c r="BL426" s="3">
        <v>59</v>
      </c>
      <c r="BM426" s="3">
        <v>8.85</v>
      </c>
      <c r="BN426" s="3">
        <v>67.849999999999994</v>
      </c>
      <c r="BO426" s="3">
        <v>67.849999999999994</v>
      </c>
      <c r="BQ426" s="3" t="s">
        <v>126</v>
      </c>
      <c r="BR426" s="3" t="s">
        <v>84</v>
      </c>
      <c r="BS426" s="4">
        <v>44572</v>
      </c>
      <c r="BT426" s="5">
        <v>0.38055555555555554</v>
      </c>
      <c r="BU426" s="3" t="s">
        <v>770</v>
      </c>
      <c r="BV426" s="3" t="s">
        <v>105</v>
      </c>
      <c r="BY426" s="3">
        <v>1200</v>
      </c>
      <c r="BZ426" s="3" t="s">
        <v>165</v>
      </c>
      <c r="CA426" s="3" t="s">
        <v>303</v>
      </c>
      <c r="CC426" s="3" t="s">
        <v>139</v>
      </c>
      <c r="CD426" s="3">
        <v>3610</v>
      </c>
      <c r="CE426" s="3" t="s">
        <v>93</v>
      </c>
      <c r="CF426" s="4">
        <v>44572</v>
      </c>
      <c r="CI426" s="3">
        <v>1</v>
      </c>
      <c r="CJ426" s="3">
        <v>1</v>
      </c>
      <c r="CK426" s="3">
        <v>21</v>
      </c>
      <c r="CL426" s="3" t="s">
        <v>87</v>
      </c>
    </row>
    <row r="427" spans="1:90" x14ac:dyDescent="0.2">
      <c r="A427" s="3" t="s">
        <v>72</v>
      </c>
      <c r="B427" s="3" t="s">
        <v>73</v>
      </c>
      <c r="C427" s="3" t="s">
        <v>74</v>
      </c>
      <c r="E427" s="3" t="str">
        <f>"FES1162844253"</f>
        <v>FES1162844253</v>
      </c>
      <c r="F427" s="4">
        <v>44571</v>
      </c>
      <c r="G427" s="3">
        <v>202207</v>
      </c>
      <c r="H427" s="3" t="s">
        <v>75</v>
      </c>
      <c r="I427" s="3" t="s">
        <v>76</v>
      </c>
      <c r="J427" s="3" t="s">
        <v>77</v>
      </c>
      <c r="K427" s="3" t="s">
        <v>78</v>
      </c>
      <c r="L427" s="3" t="s">
        <v>79</v>
      </c>
      <c r="M427" s="3" t="s">
        <v>80</v>
      </c>
      <c r="N427" s="3" t="s">
        <v>771</v>
      </c>
      <c r="O427" s="3" t="s">
        <v>148</v>
      </c>
      <c r="P427" s="3" t="str">
        <f>"2170814904                    "</f>
        <v xml:space="preserve">2170814904                    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29.89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1</v>
      </c>
      <c r="BI427" s="3">
        <v>7</v>
      </c>
      <c r="BJ427" s="3">
        <v>2.6</v>
      </c>
      <c r="BK427" s="3">
        <v>7</v>
      </c>
      <c r="BL427" s="3">
        <v>119.34</v>
      </c>
      <c r="BM427" s="3">
        <v>17.899999999999999</v>
      </c>
      <c r="BN427" s="3">
        <v>137.24</v>
      </c>
      <c r="BO427" s="3">
        <v>137.24</v>
      </c>
      <c r="BQ427" s="3" t="s">
        <v>89</v>
      </c>
      <c r="BR427" s="3" t="s">
        <v>84</v>
      </c>
      <c r="BS427" s="4">
        <v>44572</v>
      </c>
      <c r="BT427" s="5">
        <v>0.40625</v>
      </c>
      <c r="BU427" s="3" t="s">
        <v>772</v>
      </c>
      <c r="BV427" s="3" t="s">
        <v>105</v>
      </c>
      <c r="BY427" s="3">
        <v>13140</v>
      </c>
      <c r="BZ427" s="3" t="s">
        <v>327</v>
      </c>
      <c r="CA427" s="3" t="s">
        <v>773</v>
      </c>
      <c r="CC427" s="3" t="s">
        <v>80</v>
      </c>
      <c r="CD427" s="3">
        <v>1</v>
      </c>
      <c r="CE427" s="3" t="s">
        <v>86</v>
      </c>
      <c r="CF427" s="4">
        <v>44572</v>
      </c>
      <c r="CI427" s="3">
        <v>1</v>
      </c>
      <c r="CJ427" s="3">
        <v>1</v>
      </c>
      <c r="CK427" s="3">
        <v>41</v>
      </c>
      <c r="CL427" s="3" t="s">
        <v>87</v>
      </c>
    </row>
    <row r="428" spans="1:90" x14ac:dyDescent="0.2">
      <c r="A428" s="3" t="s">
        <v>72</v>
      </c>
      <c r="B428" s="3" t="s">
        <v>73</v>
      </c>
      <c r="C428" s="3" t="s">
        <v>74</v>
      </c>
      <c r="E428" s="3" t="str">
        <f>"FES1162844213"</f>
        <v>FES1162844213</v>
      </c>
      <c r="F428" s="4">
        <v>44571</v>
      </c>
      <c r="G428" s="3">
        <v>202207</v>
      </c>
      <c r="H428" s="3" t="s">
        <v>75</v>
      </c>
      <c r="I428" s="3" t="s">
        <v>76</v>
      </c>
      <c r="J428" s="3" t="s">
        <v>77</v>
      </c>
      <c r="K428" s="3" t="s">
        <v>78</v>
      </c>
      <c r="L428" s="3" t="s">
        <v>158</v>
      </c>
      <c r="M428" s="3" t="s">
        <v>159</v>
      </c>
      <c r="N428" s="3" t="s">
        <v>774</v>
      </c>
      <c r="O428" s="3" t="s">
        <v>82</v>
      </c>
      <c r="P428" s="3" t="str">
        <f>"2170815969                    "</f>
        <v xml:space="preserve">2170815969                    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12.07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1</v>
      </c>
      <c r="BI428" s="3">
        <v>1</v>
      </c>
      <c r="BJ428" s="3">
        <v>1.1000000000000001</v>
      </c>
      <c r="BK428" s="3">
        <v>1.5</v>
      </c>
      <c r="BL428" s="3">
        <v>46.08</v>
      </c>
      <c r="BM428" s="3">
        <v>6.91</v>
      </c>
      <c r="BN428" s="3">
        <v>52.99</v>
      </c>
      <c r="BO428" s="3">
        <v>52.99</v>
      </c>
      <c r="BQ428" s="3" t="s">
        <v>89</v>
      </c>
      <c r="BR428" s="3" t="s">
        <v>84</v>
      </c>
      <c r="BS428" s="4">
        <v>44572</v>
      </c>
      <c r="BT428" s="5">
        <v>0.38194444444444442</v>
      </c>
      <c r="BU428" s="3" t="s">
        <v>775</v>
      </c>
      <c r="BV428" s="3" t="s">
        <v>105</v>
      </c>
      <c r="BY428" s="3">
        <v>5320</v>
      </c>
      <c r="BZ428" s="3" t="s">
        <v>165</v>
      </c>
      <c r="CA428" s="3" t="s">
        <v>678</v>
      </c>
      <c r="CC428" s="3" t="s">
        <v>159</v>
      </c>
      <c r="CD428" s="3">
        <v>1459</v>
      </c>
      <c r="CE428" s="3" t="s">
        <v>86</v>
      </c>
      <c r="CF428" s="4">
        <v>44573</v>
      </c>
      <c r="CI428" s="3">
        <v>1</v>
      </c>
      <c r="CJ428" s="3">
        <v>1</v>
      </c>
      <c r="CK428" s="3">
        <v>22</v>
      </c>
      <c r="CL428" s="3" t="s">
        <v>87</v>
      </c>
    </row>
    <row r="429" spans="1:90" x14ac:dyDescent="0.2">
      <c r="A429" s="3" t="s">
        <v>72</v>
      </c>
      <c r="B429" s="3" t="s">
        <v>73</v>
      </c>
      <c r="C429" s="3" t="s">
        <v>74</v>
      </c>
      <c r="E429" s="3" t="str">
        <f>"FES1162844228"</f>
        <v>FES1162844228</v>
      </c>
      <c r="F429" s="4">
        <v>44571</v>
      </c>
      <c r="G429" s="3">
        <v>202207</v>
      </c>
      <c r="H429" s="3" t="s">
        <v>75</v>
      </c>
      <c r="I429" s="3" t="s">
        <v>76</v>
      </c>
      <c r="J429" s="3" t="s">
        <v>77</v>
      </c>
      <c r="K429" s="3" t="s">
        <v>78</v>
      </c>
      <c r="L429" s="3" t="s">
        <v>184</v>
      </c>
      <c r="M429" s="3" t="s">
        <v>185</v>
      </c>
      <c r="N429" s="3" t="s">
        <v>186</v>
      </c>
      <c r="O429" s="3" t="s">
        <v>148</v>
      </c>
      <c r="P429" s="3" t="str">
        <f>"2170815978                    "</f>
        <v xml:space="preserve">2170815978                    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29.89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1</v>
      </c>
      <c r="BI429" s="3">
        <v>8</v>
      </c>
      <c r="BJ429" s="3">
        <v>13.9</v>
      </c>
      <c r="BK429" s="3">
        <v>14</v>
      </c>
      <c r="BL429" s="3">
        <v>119.34</v>
      </c>
      <c r="BM429" s="3">
        <v>17.899999999999999</v>
      </c>
      <c r="BN429" s="3">
        <v>137.24</v>
      </c>
      <c r="BO429" s="3">
        <v>137.24</v>
      </c>
      <c r="BQ429" s="3" t="s">
        <v>83</v>
      </c>
      <c r="BR429" s="3" t="s">
        <v>84</v>
      </c>
      <c r="BS429" s="4">
        <v>44573</v>
      </c>
      <c r="BT429" s="5">
        <v>0.64236111111111105</v>
      </c>
      <c r="BU429" s="3" t="s">
        <v>604</v>
      </c>
      <c r="BV429" s="3" t="s">
        <v>105</v>
      </c>
      <c r="BY429" s="3">
        <v>69360</v>
      </c>
      <c r="BZ429" s="3" t="s">
        <v>327</v>
      </c>
      <c r="CA429" s="3" t="s">
        <v>357</v>
      </c>
      <c r="CC429" s="3" t="s">
        <v>185</v>
      </c>
      <c r="CD429" s="3">
        <v>5201</v>
      </c>
      <c r="CE429" s="3" t="s">
        <v>86</v>
      </c>
      <c r="CF429" s="4">
        <v>44573</v>
      </c>
      <c r="CI429" s="3">
        <v>3</v>
      </c>
      <c r="CJ429" s="3">
        <v>2</v>
      </c>
      <c r="CK429" s="3">
        <v>41</v>
      </c>
      <c r="CL429" s="3" t="s">
        <v>87</v>
      </c>
    </row>
    <row r="430" spans="1:90" x14ac:dyDescent="0.2">
      <c r="A430" s="3" t="s">
        <v>72</v>
      </c>
      <c r="B430" s="3" t="s">
        <v>73</v>
      </c>
      <c r="C430" s="3" t="s">
        <v>74</v>
      </c>
      <c r="E430" s="3" t="str">
        <f>"FES1162844140"</f>
        <v>FES1162844140</v>
      </c>
      <c r="F430" s="4">
        <v>44571</v>
      </c>
      <c r="G430" s="3">
        <v>202207</v>
      </c>
      <c r="H430" s="3" t="s">
        <v>75</v>
      </c>
      <c r="I430" s="3" t="s">
        <v>76</v>
      </c>
      <c r="J430" s="3" t="s">
        <v>77</v>
      </c>
      <c r="K430" s="3" t="s">
        <v>78</v>
      </c>
      <c r="L430" s="3" t="s">
        <v>138</v>
      </c>
      <c r="M430" s="3" t="s">
        <v>139</v>
      </c>
      <c r="N430" s="3" t="s">
        <v>152</v>
      </c>
      <c r="O430" s="3" t="s">
        <v>82</v>
      </c>
      <c r="P430" s="3" t="str">
        <f>"2170814750                    "</f>
        <v xml:space="preserve">2170814750                    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15.46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1</v>
      </c>
      <c r="BI430" s="3">
        <v>1</v>
      </c>
      <c r="BJ430" s="3">
        <v>0.2</v>
      </c>
      <c r="BK430" s="3">
        <v>1</v>
      </c>
      <c r="BL430" s="3">
        <v>59</v>
      </c>
      <c r="BM430" s="3">
        <v>8.85</v>
      </c>
      <c r="BN430" s="3">
        <v>67.849999999999994</v>
      </c>
      <c r="BO430" s="3">
        <v>67.849999999999994</v>
      </c>
      <c r="BQ430" s="3" t="s">
        <v>83</v>
      </c>
      <c r="BR430" s="3" t="s">
        <v>84</v>
      </c>
      <c r="BS430" s="4">
        <v>44572</v>
      </c>
      <c r="BT430" s="5">
        <v>0.3923611111111111</v>
      </c>
      <c r="BU430" s="3" t="s">
        <v>302</v>
      </c>
      <c r="BV430" s="3" t="s">
        <v>105</v>
      </c>
      <c r="BY430" s="3">
        <v>1200</v>
      </c>
      <c r="BZ430" s="3" t="s">
        <v>165</v>
      </c>
      <c r="CA430" s="3" t="s">
        <v>303</v>
      </c>
      <c r="CC430" s="3" t="s">
        <v>139</v>
      </c>
      <c r="CD430" s="3">
        <v>3610</v>
      </c>
      <c r="CE430" s="3" t="s">
        <v>93</v>
      </c>
      <c r="CF430" s="4">
        <v>44572</v>
      </c>
      <c r="CI430" s="3">
        <v>1</v>
      </c>
      <c r="CJ430" s="3">
        <v>1</v>
      </c>
      <c r="CK430" s="3">
        <v>21</v>
      </c>
      <c r="CL430" s="3" t="s">
        <v>87</v>
      </c>
    </row>
    <row r="431" spans="1:90" x14ac:dyDescent="0.2">
      <c r="A431" s="3" t="s">
        <v>72</v>
      </c>
      <c r="B431" s="3" t="s">
        <v>73</v>
      </c>
      <c r="C431" s="3" t="s">
        <v>74</v>
      </c>
      <c r="E431" s="3" t="str">
        <f>"FES1162844242"</f>
        <v>FES1162844242</v>
      </c>
      <c r="F431" s="4">
        <v>44571</v>
      </c>
      <c r="G431" s="3">
        <v>202207</v>
      </c>
      <c r="H431" s="3" t="s">
        <v>75</v>
      </c>
      <c r="I431" s="3" t="s">
        <v>76</v>
      </c>
      <c r="J431" s="3" t="s">
        <v>77</v>
      </c>
      <c r="K431" s="3" t="s">
        <v>78</v>
      </c>
      <c r="L431" s="3" t="s">
        <v>101</v>
      </c>
      <c r="M431" s="3" t="s">
        <v>102</v>
      </c>
      <c r="N431" s="3" t="s">
        <v>272</v>
      </c>
      <c r="O431" s="3" t="s">
        <v>82</v>
      </c>
      <c r="P431" s="3" t="str">
        <f>"2170815993                    "</f>
        <v xml:space="preserve">2170815993                    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15.46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1</v>
      </c>
      <c r="BI431" s="3">
        <v>1</v>
      </c>
      <c r="BJ431" s="3">
        <v>0.2</v>
      </c>
      <c r="BK431" s="3">
        <v>1</v>
      </c>
      <c r="BL431" s="3">
        <v>59</v>
      </c>
      <c r="BM431" s="3">
        <v>8.85</v>
      </c>
      <c r="BN431" s="3">
        <v>67.849999999999994</v>
      </c>
      <c r="BO431" s="3">
        <v>67.849999999999994</v>
      </c>
      <c r="BQ431" s="3" t="s">
        <v>273</v>
      </c>
      <c r="BR431" s="3" t="s">
        <v>84</v>
      </c>
      <c r="BS431" s="4">
        <v>44572</v>
      </c>
      <c r="BT431" s="5">
        <v>0.3840277777777778</v>
      </c>
      <c r="BU431" s="3" t="s">
        <v>274</v>
      </c>
      <c r="BV431" s="3" t="s">
        <v>105</v>
      </c>
      <c r="BY431" s="3">
        <v>1200</v>
      </c>
      <c r="BZ431" s="3" t="s">
        <v>165</v>
      </c>
      <c r="CA431" s="3" t="s">
        <v>275</v>
      </c>
      <c r="CC431" s="3" t="s">
        <v>102</v>
      </c>
      <c r="CD431" s="3">
        <v>4000</v>
      </c>
      <c r="CE431" s="3" t="s">
        <v>93</v>
      </c>
      <c r="CF431" s="4">
        <v>44572</v>
      </c>
      <c r="CI431" s="3">
        <v>1</v>
      </c>
      <c r="CJ431" s="3">
        <v>1</v>
      </c>
      <c r="CK431" s="3">
        <v>21</v>
      </c>
      <c r="CL431" s="3" t="s">
        <v>87</v>
      </c>
    </row>
    <row r="432" spans="1:90" x14ac:dyDescent="0.2">
      <c r="A432" s="3" t="s">
        <v>72</v>
      </c>
      <c r="B432" s="3" t="s">
        <v>73</v>
      </c>
      <c r="C432" s="3" t="s">
        <v>74</v>
      </c>
      <c r="E432" s="3" t="str">
        <f>"FES1162844229"</f>
        <v>FES1162844229</v>
      </c>
      <c r="F432" s="4">
        <v>44571</v>
      </c>
      <c r="G432" s="3">
        <v>202207</v>
      </c>
      <c r="H432" s="3" t="s">
        <v>75</v>
      </c>
      <c r="I432" s="3" t="s">
        <v>76</v>
      </c>
      <c r="J432" s="3" t="s">
        <v>77</v>
      </c>
      <c r="K432" s="3" t="s">
        <v>78</v>
      </c>
      <c r="L432" s="3" t="s">
        <v>90</v>
      </c>
      <c r="M432" s="3" t="s">
        <v>91</v>
      </c>
      <c r="N432" s="3" t="s">
        <v>776</v>
      </c>
      <c r="O432" s="3" t="s">
        <v>82</v>
      </c>
      <c r="P432" s="3" t="str">
        <f>"2170815979                    "</f>
        <v xml:space="preserve">2170815979                    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15.46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0</v>
      </c>
      <c r="AZ432" s="3">
        <v>0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1</v>
      </c>
      <c r="BI432" s="3">
        <v>1</v>
      </c>
      <c r="BJ432" s="3">
        <v>0.2</v>
      </c>
      <c r="BK432" s="3">
        <v>1</v>
      </c>
      <c r="BL432" s="3">
        <v>59</v>
      </c>
      <c r="BM432" s="3">
        <v>8.85</v>
      </c>
      <c r="BN432" s="3">
        <v>67.849999999999994</v>
      </c>
      <c r="BO432" s="3">
        <v>67.849999999999994</v>
      </c>
      <c r="BQ432" s="3" t="s">
        <v>83</v>
      </c>
      <c r="BR432" s="3" t="s">
        <v>84</v>
      </c>
      <c r="BS432" s="4">
        <v>44572</v>
      </c>
      <c r="BT432" s="5">
        <v>0.45277777777777778</v>
      </c>
      <c r="BU432" s="3" t="s">
        <v>777</v>
      </c>
      <c r="BV432" s="3" t="s">
        <v>105</v>
      </c>
      <c r="BY432" s="3">
        <v>1200</v>
      </c>
      <c r="BZ432" s="3" t="s">
        <v>165</v>
      </c>
      <c r="CA432" s="3" t="s">
        <v>603</v>
      </c>
      <c r="CC432" s="3" t="s">
        <v>91</v>
      </c>
      <c r="CD432" s="3">
        <v>7975</v>
      </c>
      <c r="CE432" s="3" t="s">
        <v>93</v>
      </c>
      <c r="CF432" s="4">
        <v>44573</v>
      </c>
      <c r="CI432" s="3">
        <v>1</v>
      </c>
      <c r="CJ432" s="3">
        <v>1</v>
      </c>
      <c r="CK432" s="3">
        <v>21</v>
      </c>
      <c r="CL432" s="3" t="s">
        <v>87</v>
      </c>
    </row>
    <row r="433" spans="1:90" x14ac:dyDescent="0.2">
      <c r="A433" s="3" t="s">
        <v>72</v>
      </c>
      <c r="B433" s="3" t="s">
        <v>73</v>
      </c>
      <c r="C433" s="3" t="s">
        <v>74</v>
      </c>
      <c r="E433" s="3" t="str">
        <f>"FES1162844375"</f>
        <v>FES1162844375</v>
      </c>
      <c r="F433" s="4">
        <v>44571</v>
      </c>
      <c r="G433" s="3">
        <v>202207</v>
      </c>
      <c r="H433" s="3" t="s">
        <v>75</v>
      </c>
      <c r="I433" s="3" t="s">
        <v>76</v>
      </c>
      <c r="J433" s="3" t="s">
        <v>77</v>
      </c>
      <c r="K433" s="3" t="s">
        <v>78</v>
      </c>
      <c r="L433" s="3" t="s">
        <v>258</v>
      </c>
      <c r="M433" s="3" t="s">
        <v>259</v>
      </c>
      <c r="N433" s="3" t="s">
        <v>412</v>
      </c>
      <c r="O433" s="3" t="s">
        <v>82</v>
      </c>
      <c r="P433" s="3" t="str">
        <f>"2170814987                    "</f>
        <v xml:space="preserve">2170814987                    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21.74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1</v>
      </c>
      <c r="BI433" s="3">
        <v>1</v>
      </c>
      <c r="BJ433" s="3">
        <v>0.2</v>
      </c>
      <c r="BK433" s="3">
        <v>1</v>
      </c>
      <c r="BL433" s="3">
        <v>82.98</v>
      </c>
      <c r="BM433" s="3">
        <v>12.45</v>
      </c>
      <c r="BN433" s="3">
        <v>95.43</v>
      </c>
      <c r="BO433" s="3">
        <v>95.43</v>
      </c>
      <c r="BQ433" s="3" t="s">
        <v>83</v>
      </c>
      <c r="BR433" s="3" t="s">
        <v>84</v>
      </c>
      <c r="BS433" s="4">
        <v>44573</v>
      </c>
      <c r="BT433" s="5">
        <v>0.43472222222222223</v>
      </c>
      <c r="BU433" s="3" t="s">
        <v>778</v>
      </c>
      <c r="BV433" s="3" t="s">
        <v>87</v>
      </c>
      <c r="BW433" s="3" t="s">
        <v>376</v>
      </c>
      <c r="BX433" s="3" t="s">
        <v>723</v>
      </c>
      <c r="BY433" s="3">
        <v>1200</v>
      </c>
      <c r="BZ433" s="3" t="s">
        <v>165</v>
      </c>
      <c r="CA433" s="3" t="s">
        <v>779</v>
      </c>
      <c r="CC433" s="3" t="s">
        <v>259</v>
      </c>
      <c r="CD433" s="3">
        <v>2302</v>
      </c>
      <c r="CE433" s="3" t="s">
        <v>93</v>
      </c>
      <c r="CF433" s="4">
        <v>44574</v>
      </c>
      <c r="CI433" s="3">
        <v>1</v>
      </c>
      <c r="CJ433" s="3">
        <v>2</v>
      </c>
      <c r="CK433" s="3">
        <v>24</v>
      </c>
      <c r="CL433" s="3" t="s">
        <v>87</v>
      </c>
    </row>
    <row r="434" spans="1:90" x14ac:dyDescent="0.2">
      <c r="A434" s="3" t="s">
        <v>72</v>
      </c>
      <c r="B434" s="3" t="s">
        <v>73</v>
      </c>
      <c r="C434" s="3" t="s">
        <v>74</v>
      </c>
      <c r="E434" s="3" t="str">
        <f>"FES1162844217"</f>
        <v>FES1162844217</v>
      </c>
      <c r="F434" s="4">
        <v>44571</v>
      </c>
      <c r="G434" s="3">
        <v>202207</v>
      </c>
      <c r="H434" s="3" t="s">
        <v>75</v>
      </c>
      <c r="I434" s="3" t="s">
        <v>76</v>
      </c>
      <c r="J434" s="3" t="s">
        <v>77</v>
      </c>
      <c r="K434" s="3" t="s">
        <v>78</v>
      </c>
      <c r="L434" s="3" t="s">
        <v>75</v>
      </c>
      <c r="M434" s="3" t="s">
        <v>76</v>
      </c>
      <c r="N434" s="3" t="s">
        <v>166</v>
      </c>
      <c r="O434" s="3" t="s">
        <v>82</v>
      </c>
      <c r="P434" s="3" t="str">
        <f>"2170815934                    "</f>
        <v xml:space="preserve">2170815934                    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12.07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1</v>
      </c>
      <c r="BI434" s="3">
        <v>1</v>
      </c>
      <c r="BJ434" s="3">
        <v>0.2</v>
      </c>
      <c r="BK434" s="3">
        <v>1</v>
      </c>
      <c r="BL434" s="3">
        <v>46.08</v>
      </c>
      <c r="BM434" s="3">
        <v>6.91</v>
      </c>
      <c r="BN434" s="3">
        <v>52.99</v>
      </c>
      <c r="BO434" s="3">
        <v>52.99</v>
      </c>
      <c r="BQ434" s="3" t="s">
        <v>89</v>
      </c>
      <c r="BR434" s="3" t="s">
        <v>84</v>
      </c>
      <c r="BS434" s="4">
        <v>44572</v>
      </c>
      <c r="BT434" s="5">
        <v>0.2986111111111111</v>
      </c>
      <c r="BU434" s="3" t="s">
        <v>780</v>
      </c>
      <c r="BV434" s="3" t="s">
        <v>105</v>
      </c>
      <c r="BY434" s="3">
        <v>1200</v>
      </c>
      <c r="BZ434" s="3" t="s">
        <v>165</v>
      </c>
      <c r="CA434" s="3" t="s">
        <v>607</v>
      </c>
      <c r="CC434" s="3" t="s">
        <v>76</v>
      </c>
      <c r="CD434" s="3">
        <v>1665</v>
      </c>
      <c r="CE434" s="3" t="s">
        <v>93</v>
      </c>
      <c r="CF434" s="4">
        <v>44573</v>
      </c>
      <c r="CI434" s="3">
        <v>1</v>
      </c>
      <c r="CJ434" s="3">
        <v>1</v>
      </c>
      <c r="CK434" s="3">
        <v>22</v>
      </c>
      <c r="CL434" s="3" t="s">
        <v>87</v>
      </c>
    </row>
    <row r="435" spans="1:90" x14ac:dyDescent="0.2">
      <c r="A435" s="3" t="s">
        <v>72</v>
      </c>
      <c r="B435" s="3" t="s">
        <v>73</v>
      </c>
      <c r="C435" s="3" t="s">
        <v>74</v>
      </c>
      <c r="E435" s="3" t="str">
        <f>"FES1162844297"</f>
        <v>FES1162844297</v>
      </c>
      <c r="F435" s="4">
        <v>44571</v>
      </c>
      <c r="G435" s="3">
        <v>202207</v>
      </c>
      <c r="H435" s="3" t="s">
        <v>75</v>
      </c>
      <c r="I435" s="3" t="s">
        <v>76</v>
      </c>
      <c r="J435" s="3" t="s">
        <v>77</v>
      </c>
      <c r="K435" s="3" t="s">
        <v>78</v>
      </c>
      <c r="L435" s="3" t="s">
        <v>162</v>
      </c>
      <c r="M435" s="3" t="s">
        <v>163</v>
      </c>
      <c r="N435" s="3" t="s">
        <v>781</v>
      </c>
      <c r="O435" s="3" t="s">
        <v>82</v>
      </c>
      <c r="P435" s="3" t="str">
        <f>"2170811879                    "</f>
        <v xml:space="preserve">2170811879                    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12.07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1</v>
      </c>
      <c r="BI435" s="3">
        <v>1</v>
      </c>
      <c r="BJ435" s="3">
        <v>0.2</v>
      </c>
      <c r="BK435" s="3">
        <v>1</v>
      </c>
      <c r="BL435" s="3">
        <v>46.08</v>
      </c>
      <c r="BM435" s="3">
        <v>6.91</v>
      </c>
      <c r="BN435" s="3">
        <v>52.99</v>
      </c>
      <c r="BO435" s="3">
        <v>52.99</v>
      </c>
      <c r="BQ435" s="3" t="s">
        <v>782</v>
      </c>
      <c r="BR435" s="3" t="s">
        <v>84</v>
      </c>
      <c r="BS435" s="4">
        <v>44572</v>
      </c>
      <c r="BT435" s="5">
        <v>0.38263888888888892</v>
      </c>
      <c r="BU435" s="3" t="s">
        <v>783</v>
      </c>
      <c r="BV435" s="3" t="s">
        <v>105</v>
      </c>
      <c r="BY435" s="3">
        <v>1200</v>
      </c>
      <c r="BZ435" s="3" t="s">
        <v>165</v>
      </c>
      <c r="CA435" s="3" t="s">
        <v>293</v>
      </c>
      <c r="CC435" s="3" t="s">
        <v>163</v>
      </c>
      <c r="CD435" s="3">
        <v>1428</v>
      </c>
      <c r="CE435" s="3" t="s">
        <v>93</v>
      </c>
      <c r="CF435" s="4">
        <v>44572</v>
      </c>
      <c r="CI435" s="3">
        <v>1</v>
      </c>
      <c r="CJ435" s="3">
        <v>1</v>
      </c>
      <c r="CK435" s="3">
        <v>22</v>
      </c>
      <c r="CL435" s="3" t="s">
        <v>87</v>
      </c>
    </row>
    <row r="436" spans="1:90" x14ac:dyDescent="0.2">
      <c r="A436" s="3" t="s">
        <v>72</v>
      </c>
      <c r="B436" s="3" t="s">
        <v>73</v>
      </c>
      <c r="C436" s="3" t="s">
        <v>74</v>
      </c>
      <c r="E436" s="3" t="str">
        <f>"FES1162844221"</f>
        <v>FES1162844221</v>
      </c>
      <c r="F436" s="4">
        <v>44571</v>
      </c>
      <c r="G436" s="3">
        <v>202207</v>
      </c>
      <c r="H436" s="3" t="s">
        <v>75</v>
      </c>
      <c r="I436" s="3" t="s">
        <v>76</v>
      </c>
      <c r="J436" s="3" t="s">
        <v>77</v>
      </c>
      <c r="K436" s="3" t="s">
        <v>78</v>
      </c>
      <c r="L436" s="3" t="s">
        <v>335</v>
      </c>
      <c r="M436" s="3" t="s">
        <v>336</v>
      </c>
      <c r="N436" s="3" t="s">
        <v>784</v>
      </c>
      <c r="O436" s="3" t="s">
        <v>82</v>
      </c>
      <c r="P436" s="3" t="str">
        <f>"2170815952                    "</f>
        <v xml:space="preserve">2170815952                    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15.46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1</v>
      </c>
      <c r="BI436" s="3">
        <v>1</v>
      </c>
      <c r="BJ436" s="3">
        <v>0.2</v>
      </c>
      <c r="BK436" s="3">
        <v>1</v>
      </c>
      <c r="BL436" s="3">
        <v>59</v>
      </c>
      <c r="BM436" s="3">
        <v>8.85</v>
      </c>
      <c r="BN436" s="3">
        <v>67.849999999999994</v>
      </c>
      <c r="BO436" s="3">
        <v>67.849999999999994</v>
      </c>
      <c r="BQ436" s="3" t="s">
        <v>89</v>
      </c>
      <c r="BR436" s="3" t="s">
        <v>84</v>
      </c>
      <c r="BS436" s="4">
        <v>44572</v>
      </c>
      <c r="BT436" s="5">
        <v>0.37847222222222227</v>
      </c>
      <c r="BU436" s="3" t="s">
        <v>785</v>
      </c>
      <c r="BV436" s="3" t="s">
        <v>105</v>
      </c>
      <c r="BY436" s="3">
        <v>1200</v>
      </c>
      <c r="BZ436" s="3" t="s">
        <v>165</v>
      </c>
      <c r="CA436" s="3" t="s">
        <v>339</v>
      </c>
      <c r="CC436" s="3" t="s">
        <v>336</v>
      </c>
      <c r="CD436" s="3">
        <v>4133</v>
      </c>
      <c r="CE436" s="3" t="s">
        <v>93</v>
      </c>
      <c r="CF436" s="4">
        <v>44572</v>
      </c>
      <c r="CI436" s="3">
        <v>1</v>
      </c>
      <c r="CJ436" s="3">
        <v>1</v>
      </c>
      <c r="CK436" s="3">
        <v>21</v>
      </c>
      <c r="CL436" s="3" t="s">
        <v>87</v>
      </c>
    </row>
    <row r="437" spans="1:90" x14ac:dyDescent="0.2">
      <c r="A437" s="3" t="s">
        <v>72</v>
      </c>
      <c r="B437" s="3" t="s">
        <v>73</v>
      </c>
      <c r="C437" s="3" t="s">
        <v>74</v>
      </c>
      <c r="E437" s="3" t="str">
        <f>"FES1162844216"</f>
        <v>FES1162844216</v>
      </c>
      <c r="F437" s="4">
        <v>44571</v>
      </c>
      <c r="G437" s="3">
        <v>202207</v>
      </c>
      <c r="H437" s="3" t="s">
        <v>75</v>
      </c>
      <c r="I437" s="3" t="s">
        <v>76</v>
      </c>
      <c r="J437" s="3" t="s">
        <v>77</v>
      </c>
      <c r="K437" s="3" t="s">
        <v>78</v>
      </c>
      <c r="L437" s="3" t="s">
        <v>335</v>
      </c>
      <c r="M437" s="3" t="s">
        <v>336</v>
      </c>
      <c r="N437" s="3" t="s">
        <v>337</v>
      </c>
      <c r="O437" s="3" t="s">
        <v>82</v>
      </c>
      <c r="P437" s="3" t="str">
        <f>"2170815930                    "</f>
        <v xml:space="preserve">2170815930                    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15.46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1</v>
      </c>
      <c r="BI437" s="3">
        <v>1</v>
      </c>
      <c r="BJ437" s="3">
        <v>0.2</v>
      </c>
      <c r="BK437" s="3">
        <v>1</v>
      </c>
      <c r="BL437" s="3">
        <v>59</v>
      </c>
      <c r="BM437" s="3">
        <v>8.85</v>
      </c>
      <c r="BN437" s="3">
        <v>67.849999999999994</v>
      </c>
      <c r="BO437" s="3">
        <v>67.849999999999994</v>
      </c>
      <c r="BQ437" s="3" t="s">
        <v>89</v>
      </c>
      <c r="BR437" s="3" t="s">
        <v>84</v>
      </c>
      <c r="BS437" s="4">
        <v>44572</v>
      </c>
      <c r="BT437" s="5">
        <v>0.42986111111111108</v>
      </c>
      <c r="BU437" s="3" t="s">
        <v>338</v>
      </c>
      <c r="BV437" s="3" t="s">
        <v>105</v>
      </c>
      <c r="BY437" s="3">
        <v>1200</v>
      </c>
      <c r="BZ437" s="3" t="s">
        <v>165</v>
      </c>
      <c r="CA437" s="3" t="s">
        <v>339</v>
      </c>
      <c r="CC437" s="3" t="s">
        <v>336</v>
      </c>
      <c r="CD437" s="3">
        <v>4133</v>
      </c>
      <c r="CE437" s="3" t="s">
        <v>93</v>
      </c>
      <c r="CF437" s="4">
        <v>44572</v>
      </c>
      <c r="CI437" s="3">
        <v>1</v>
      </c>
      <c r="CJ437" s="3">
        <v>1</v>
      </c>
      <c r="CK437" s="3">
        <v>21</v>
      </c>
      <c r="CL437" s="3" t="s">
        <v>87</v>
      </c>
    </row>
    <row r="438" spans="1:90" x14ac:dyDescent="0.2">
      <c r="A438" s="3" t="s">
        <v>72</v>
      </c>
      <c r="B438" s="3" t="s">
        <v>73</v>
      </c>
      <c r="C438" s="3" t="s">
        <v>74</v>
      </c>
      <c r="E438" s="3" t="str">
        <f>"FES1162844254"</f>
        <v>FES1162844254</v>
      </c>
      <c r="F438" s="4">
        <v>44571</v>
      </c>
      <c r="G438" s="3">
        <v>202207</v>
      </c>
      <c r="H438" s="3" t="s">
        <v>75</v>
      </c>
      <c r="I438" s="3" t="s">
        <v>76</v>
      </c>
      <c r="J438" s="3" t="s">
        <v>77</v>
      </c>
      <c r="K438" s="3" t="s">
        <v>78</v>
      </c>
      <c r="L438" s="3" t="s">
        <v>786</v>
      </c>
      <c r="M438" s="3" t="s">
        <v>787</v>
      </c>
      <c r="N438" s="3" t="s">
        <v>788</v>
      </c>
      <c r="O438" s="3" t="s">
        <v>82</v>
      </c>
      <c r="P438" s="3" t="str">
        <f>"2170815971                    "</f>
        <v xml:space="preserve">2170815971                    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21.74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3">
        <v>1</v>
      </c>
      <c r="BI438" s="3">
        <v>1</v>
      </c>
      <c r="BJ438" s="3">
        <v>0.2</v>
      </c>
      <c r="BK438" s="3">
        <v>1</v>
      </c>
      <c r="BL438" s="3">
        <v>82.98</v>
      </c>
      <c r="BM438" s="3">
        <v>12.45</v>
      </c>
      <c r="BN438" s="3">
        <v>95.43</v>
      </c>
      <c r="BO438" s="3">
        <v>95.43</v>
      </c>
      <c r="BQ438" s="3" t="s">
        <v>83</v>
      </c>
      <c r="BR438" s="3" t="s">
        <v>84</v>
      </c>
      <c r="BS438" s="4">
        <v>44572</v>
      </c>
      <c r="BT438" s="5">
        <v>0.4465277777777778</v>
      </c>
      <c r="BU438" s="3" t="s">
        <v>789</v>
      </c>
      <c r="BV438" s="3" t="s">
        <v>105</v>
      </c>
      <c r="BY438" s="3">
        <v>1200</v>
      </c>
      <c r="BZ438" s="3" t="s">
        <v>165</v>
      </c>
      <c r="CA438" s="3" t="s">
        <v>790</v>
      </c>
      <c r="CC438" s="3" t="s">
        <v>787</v>
      </c>
      <c r="CD438" s="3">
        <v>2410</v>
      </c>
      <c r="CE438" s="3" t="s">
        <v>93</v>
      </c>
      <c r="CF438" s="4">
        <v>44573</v>
      </c>
      <c r="CI438" s="3">
        <v>1</v>
      </c>
      <c r="CJ438" s="3">
        <v>1</v>
      </c>
      <c r="CK438" s="3">
        <v>24</v>
      </c>
      <c r="CL438" s="3" t="s">
        <v>87</v>
      </c>
    </row>
    <row r="439" spans="1:90" x14ac:dyDescent="0.2">
      <c r="A439" s="3" t="s">
        <v>72</v>
      </c>
      <c r="B439" s="3" t="s">
        <v>73</v>
      </c>
      <c r="C439" s="3" t="s">
        <v>74</v>
      </c>
      <c r="E439" s="3" t="str">
        <f>"FES1162844441"</f>
        <v>FES1162844441</v>
      </c>
      <c r="F439" s="4">
        <v>44571</v>
      </c>
      <c r="G439" s="3">
        <v>202207</v>
      </c>
      <c r="H439" s="3" t="s">
        <v>75</v>
      </c>
      <c r="I439" s="3" t="s">
        <v>76</v>
      </c>
      <c r="J439" s="3" t="s">
        <v>77</v>
      </c>
      <c r="K439" s="3" t="s">
        <v>78</v>
      </c>
      <c r="L439" s="3" t="s">
        <v>90</v>
      </c>
      <c r="M439" s="3" t="s">
        <v>91</v>
      </c>
      <c r="N439" s="3" t="s">
        <v>791</v>
      </c>
      <c r="O439" s="3" t="s">
        <v>82</v>
      </c>
      <c r="P439" s="3" t="str">
        <f>"2170815033                    "</f>
        <v xml:space="preserve">2170815033                    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15.46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0</v>
      </c>
      <c r="AZ439" s="3">
        <v>0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1</v>
      </c>
      <c r="BI439" s="3">
        <v>1</v>
      </c>
      <c r="BJ439" s="3">
        <v>0.2</v>
      </c>
      <c r="BK439" s="3">
        <v>1</v>
      </c>
      <c r="BL439" s="3">
        <v>59</v>
      </c>
      <c r="BM439" s="3">
        <v>8.85</v>
      </c>
      <c r="BN439" s="3">
        <v>67.849999999999994</v>
      </c>
      <c r="BO439" s="3">
        <v>67.849999999999994</v>
      </c>
      <c r="BQ439" s="3" t="s">
        <v>145</v>
      </c>
      <c r="BR439" s="3" t="s">
        <v>84</v>
      </c>
      <c r="BS439" s="4">
        <v>44572</v>
      </c>
      <c r="BT439" s="5">
        <v>0.61805555555555558</v>
      </c>
      <c r="BU439" s="3" t="s">
        <v>792</v>
      </c>
      <c r="BV439" s="3" t="s">
        <v>87</v>
      </c>
      <c r="BW439" s="3" t="s">
        <v>376</v>
      </c>
      <c r="BX439" s="3" t="s">
        <v>602</v>
      </c>
      <c r="BY439" s="3">
        <v>1200</v>
      </c>
      <c r="BZ439" s="3" t="s">
        <v>165</v>
      </c>
      <c r="CA439" s="3" t="s">
        <v>623</v>
      </c>
      <c r="CC439" s="3" t="s">
        <v>91</v>
      </c>
      <c r="CD439" s="3">
        <v>7945</v>
      </c>
      <c r="CE439" s="3" t="s">
        <v>93</v>
      </c>
      <c r="CF439" s="4">
        <v>44573</v>
      </c>
      <c r="CI439" s="3">
        <v>1</v>
      </c>
      <c r="CJ439" s="3">
        <v>1</v>
      </c>
      <c r="CK439" s="3">
        <v>21</v>
      </c>
      <c r="CL439" s="3" t="s">
        <v>87</v>
      </c>
    </row>
    <row r="440" spans="1:90" x14ac:dyDescent="0.2">
      <c r="A440" s="3" t="s">
        <v>72</v>
      </c>
      <c r="B440" s="3" t="s">
        <v>73</v>
      </c>
      <c r="C440" s="3" t="s">
        <v>74</v>
      </c>
      <c r="E440" s="3" t="str">
        <f>"FES1162844215"</f>
        <v>FES1162844215</v>
      </c>
      <c r="F440" s="4">
        <v>44571</v>
      </c>
      <c r="G440" s="3">
        <v>202207</v>
      </c>
      <c r="H440" s="3" t="s">
        <v>75</v>
      </c>
      <c r="I440" s="3" t="s">
        <v>76</v>
      </c>
      <c r="J440" s="3" t="s">
        <v>77</v>
      </c>
      <c r="K440" s="3" t="s">
        <v>78</v>
      </c>
      <c r="L440" s="3" t="s">
        <v>184</v>
      </c>
      <c r="M440" s="3" t="s">
        <v>185</v>
      </c>
      <c r="N440" s="3" t="s">
        <v>793</v>
      </c>
      <c r="O440" s="3" t="s">
        <v>82</v>
      </c>
      <c r="P440" s="3" t="str">
        <f>"2170815924                    "</f>
        <v xml:space="preserve">2170815924                    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15.46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1</v>
      </c>
      <c r="BI440" s="3">
        <v>1</v>
      </c>
      <c r="BJ440" s="3">
        <v>0.2</v>
      </c>
      <c r="BK440" s="3">
        <v>1</v>
      </c>
      <c r="BL440" s="3">
        <v>59</v>
      </c>
      <c r="BM440" s="3">
        <v>8.85</v>
      </c>
      <c r="BN440" s="3">
        <v>67.849999999999994</v>
      </c>
      <c r="BO440" s="3">
        <v>67.849999999999994</v>
      </c>
      <c r="BQ440" s="3" t="s">
        <v>89</v>
      </c>
      <c r="BR440" s="3" t="s">
        <v>84</v>
      </c>
      <c r="BS440" s="4">
        <v>44572</v>
      </c>
      <c r="BT440" s="5">
        <v>0.36180555555555555</v>
      </c>
      <c r="BU440" s="3" t="s">
        <v>323</v>
      </c>
      <c r="BV440" s="3" t="s">
        <v>105</v>
      </c>
      <c r="BY440" s="3">
        <v>1200</v>
      </c>
      <c r="BZ440" s="3" t="s">
        <v>165</v>
      </c>
      <c r="CA440" s="3" t="s">
        <v>324</v>
      </c>
      <c r="CC440" s="3" t="s">
        <v>185</v>
      </c>
      <c r="CD440" s="3">
        <v>5200</v>
      </c>
      <c r="CE440" s="3" t="s">
        <v>93</v>
      </c>
      <c r="CF440" s="4">
        <v>44572</v>
      </c>
      <c r="CI440" s="3">
        <v>1</v>
      </c>
      <c r="CJ440" s="3">
        <v>1</v>
      </c>
      <c r="CK440" s="3">
        <v>21</v>
      </c>
      <c r="CL440" s="3" t="s">
        <v>87</v>
      </c>
    </row>
    <row r="441" spans="1:90" x14ac:dyDescent="0.2">
      <c r="A441" s="3" t="s">
        <v>72</v>
      </c>
      <c r="B441" s="3" t="s">
        <v>73</v>
      </c>
      <c r="C441" s="3" t="s">
        <v>74</v>
      </c>
      <c r="E441" s="3" t="str">
        <f>"FES1162844496"</f>
        <v>FES1162844496</v>
      </c>
      <c r="F441" s="4">
        <v>44572</v>
      </c>
      <c r="G441" s="3">
        <v>202207</v>
      </c>
      <c r="H441" s="3" t="s">
        <v>75</v>
      </c>
      <c r="I441" s="3" t="s">
        <v>76</v>
      </c>
      <c r="J441" s="3" t="s">
        <v>77</v>
      </c>
      <c r="K441" s="3" t="s">
        <v>78</v>
      </c>
      <c r="L441" s="3" t="s">
        <v>90</v>
      </c>
      <c r="M441" s="3" t="s">
        <v>91</v>
      </c>
      <c r="N441" s="3" t="s">
        <v>132</v>
      </c>
      <c r="O441" s="3" t="s">
        <v>82</v>
      </c>
      <c r="P441" s="3" t="str">
        <f>"2170816151                    "</f>
        <v xml:space="preserve">2170816151                    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15.46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1</v>
      </c>
      <c r="BI441" s="3">
        <v>1</v>
      </c>
      <c r="BJ441" s="3">
        <v>1.1000000000000001</v>
      </c>
      <c r="BK441" s="3">
        <v>1.5</v>
      </c>
      <c r="BL441" s="3">
        <v>59</v>
      </c>
      <c r="BM441" s="3">
        <v>8.85</v>
      </c>
      <c r="BN441" s="3">
        <v>67.849999999999994</v>
      </c>
      <c r="BO441" s="3">
        <v>67.849999999999994</v>
      </c>
      <c r="BQ441" s="3" t="s">
        <v>83</v>
      </c>
      <c r="BR441" s="3" t="s">
        <v>84</v>
      </c>
      <c r="BS441" s="4">
        <v>44573</v>
      </c>
      <c r="BT441" s="5">
        <v>0.40972222222222227</v>
      </c>
      <c r="BU441" s="3" t="s">
        <v>595</v>
      </c>
      <c r="BV441" s="3" t="s">
        <v>105</v>
      </c>
      <c r="BY441" s="3">
        <v>5320</v>
      </c>
      <c r="BZ441" s="3" t="s">
        <v>165</v>
      </c>
      <c r="CA441" s="3" t="s">
        <v>596</v>
      </c>
      <c r="CC441" s="3" t="s">
        <v>91</v>
      </c>
      <c r="CD441" s="3">
        <v>7530</v>
      </c>
      <c r="CE441" s="3" t="s">
        <v>86</v>
      </c>
      <c r="CF441" s="4">
        <v>44574</v>
      </c>
      <c r="CI441" s="3">
        <v>1</v>
      </c>
      <c r="CJ441" s="3">
        <v>1</v>
      </c>
      <c r="CK441" s="3">
        <v>21</v>
      </c>
      <c r="CL441" s="3" t="s">
        <v>87</v>
      </c>
    </row>
    <row r="442" spans="1:90" x14ac:dyDescent="0.2">
      <c r="A442" s="3" t="s">
        <v>72</v>
      </c>
      <c r="B442" s="3" t="s">
        <v>73</v>
      </c>
      <c r="C442" s="3" t="s">
        <v>74</v>
      </c>
      <c r="E442" s="3" t="str">
        <f>"RFES1162843955"</f>
        <v>RFES1162843955</v>
      </c>
      <c r="F442" s="4">
        <v>44573</v>
      </c>
      <c r="G442" s="3">
        <v>202207</v>
      </c>
      <c r="H442" s="3" t="s">
        <v>716</v>
      </c>
      <c r="I442" s="3" t="s">
        <v>717</v>
      </c>
      <c r="J442" s="3" t="s">
        <v>718</v>
      </c>
      <c r="K442" s="3" t="s">
        <v>78</v>
      </c>
      <c r="L442" s="3" t="s">
        <v>75</v>
      </c>
      <c r="M442" s="3" t="s">
        <v>76</v>
      </c>
      <c r="N442" s="3" t="s">
        <v>77</v>
      </c>
      <c r="O442" s="3" t="s">
        <v>82</v>
      </c>
      <c r="P442" s="3" t="str">
        <f>"2170813979                    "</f>
        <v xml:space="preserve">2170813979                    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29.95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1</v>
      </c>
      <c r="BI442" s="3">
        <v>1</v>
      </c>
      <c r="BJ442" s="3">
        <v>0.2</v>
      </c>
      <c r="BK442" s="3">
        <v>1</v>
      </c>
      <c r="BL442" s="3">
        <v>114.31</v>
      </c>
      <c r="BM442" s="3">
        <v>17.149999999999999</v>
      </c>
      <c r="BN442" s="3">
        <v>131.46</v>
      </c>
      <c r="BO442" s="3">
        <v>131.46</v>
      </c>
      <c r="BQ442" s="3" t="s">
        <v>364</v>
      </c>
      <c r="BR442" s="3" t="s">
        <v>89</v>
      </c>
      <c r="BS442" s="4">
        <v>44574</v>
      </c>
      <c r="BT442" s="5">
        <v>0.3666666666666667</v>
      </c>
      <c r="BU442" s="3" t="s">
        <v>794</v>
      </c>
      <c r="BV442" s="3" t="s">
        <v>105</v>
      </c>
      <c r="BY442" s="3">
        <v>1200</v>
      </c>
      <c r="BZ442" s="3" t="s">
        <v>165</v>
      </c>
      <c r="CA442" s="3" t="s">
        <v>311</v>
      </c>
      <c r="CC442" s="3" t="s">
        <v>76</v>
      </c>
      <c r="CD442" s="3">
        <v>1601</v>
      </c>
      <c r="CE442" s="3" t="s">
        <v>93</v>
      </c>
      <c r="CF442" s="4">
        <v>44575</v>
      </c>
      <c r="CI442" s="3">
        <v>1</v>
      </c>
      <c r="CJ442" s="3">
        <v>1</v>
      </c>
      <c r="CK442" s="3">
        <v>23</v>
      </c>
      <c r="CL442" s="3" t="s">
        <v>87</v>
      </c>
    </row>
    <row r="443" spans="1:90" x14ac:dyDescent="0.2">
      <c r="A443" s="3" t="s">
        <v>72</v>
      </c>
      <c r="B443" s="3" t="s">
        <v>73</v>
      </c>
      <c r="C443" s="3" t="s">
        <v>74</v>
      </c>
      <c r="E443" s="3" t="str">
        <f>"RFES1162844094"</f>
        <v>RFES1162844094</v>
      </c>
      <c r="F443" s="4">
        <v>44573</v>
      </c>
      <c r="G443" s="3">
        <v>202207</v>
      </c>
      <c r="H443" s="3" t="s">
        <v>158</v>
      </c>
      <c r="I443" s="3" t="s">
        <v>159</v>
      </c>
      <c r="J443" s="3" t="s">
        <v>795</v>
      </c>
      <c r="K443" s="3" t="s">
        <v>78</v>
      </c>
      <c r="L443" s="3" t="s">
        <v>75</v>
      </c>
      <c r="M443" s="3" t="s">
        <v>76</v>
      </c>
      <c r="N443" s="3" t="s">
        <v>77</v>
      </c>
      <c r="O443" s="3" t="s">
        <v>148</v>
      </c>
      <c r="P443" s="3" t="str">
        <f>"2170794777                    "</f>
        <v xml:space="preserve">2170794777                    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23.06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1</v>
      </c>
      <c r="BI443" s="3">
        <v>8</v>
      </c>
      <c r="BJ443" s="3">
        <v>12</v>
      </c>
      <c r="BK443" s="3">
        <v>12</v>
      </c>
      <c r="BL443" s="3">
        <v>93.28</v>
      </c>
      <c r="BM443" s="3">
        <v>13.99</v>
      </c>
      <c r="BN443" s="3">
        <v>107.27</v>
      </c>
      <c r="BO443" s="3">
        <v>107.27</v>
      </c>
      <c r="BQ443" s="3" t="s">
        <v>364</v>
      </c>
      <c r="BR443" s="3" t="s">
        <v>89</v>
      </c>
      <c r="BS443" s="4">
        <v>44574</v>
      </c>
      <c r="BT443" s="5">
        <v>0.4375</v>
      </c>
      <c r="BU443" s="3" t="s">
        <v>796</v>
      </c>
      <c r="BV443" s="3" t="s">
        <v>105</v>
      </c>
      <c r="BY443" s="3">
        <v>60000</v>
      </c>
      <c r="BZ443" s="3" t="s">
        <v>327</v>
      </c>
      <c r="CA443" s="3" t="s">
        <v>328</v>
      </c>
      <c r="CC443" s="3" t="s">
        <v>76</v>
      </c>
      <c r="CD443" s="3">
        <v>1601</v>
      </c>
      <c r="CE443" s="3" t="s">
        <v>86</v>
      </c>
      <c r="CF443" s="4">
        <v>44575</v>
      </c>
      <c r="CI443" s="3">
        <v>1</v>
      </c>
      <c r="CJ443" s="3">
        <v>1</v>
      </c>
      <c r="CK443" s="3">
        <v>42</v>
      </c>
      <c r="CL443" s="3" t="s">
        <v>87</v>
      </c>
    </row>
    <row r="444" spans="1:90" x14ac:dyDescent="0.2">
      <c r="A444" s="3" t="s">
        <v>72</v>
      </c>
      <c r="B444" s="3" t="s">
        <v>73</v>
      </c>
      <c r="C444" s="3" t="s">
        <v>74</v>
      </c>
      <c r="E444" s="3" t="str">
        <f>"FES1162844570"</f>
        <v>FES1162844570</v>
      </c>
      <c r="F444" s="4">
        <v>44572</v>
      </c>
      <c r="G444" s="3">
        <v>202207</v>
      </c>
      <c r="H444" s="3" t="s">
        <v>75</v>
      </c>
      <c r="I444" s="3" t="s">
        <v>76</v>
      </c>
      <c r="J444" s="3" t="s">
        <v>77</v>
      </c>
      <c r="K444" s="3" t="s">
        <v>78</v>
      </c>
      <c r="L444" s="3" t="s">
        <v>97</v>
      </c>
      <c r="M444" s="3" t="s">
        <v>98</v>
      </c>
      <c r="N444" s="3" t="s">
        <v>593</v>
      </c>
      <c r="O444" s="3" t="s">
        <v>82</v>
      </c>
      <c r="P444" s="3" t="str">
        <f>"2170814829                    "</f>
        <v xml:space="preserve">2170814829                    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12.07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1</v>
      </c>
      <c r="BI444" s="3">
        <v>1</v>
      </c>
      <c r="BJ444" s="3">
        <v>0.2</v>
      </c>
      <c r="BK444" s="3">
        <v>1</v>
      </c>
      <c r="BL444" s="3">
        <v>46.08</v>
      </c>
      <c r="BM444" s="3">
        <v>6.91</v>
      </c>
      <c r="BN444" s="3">
        <v>52.99</v>
      </c>
      <c r="BO444" s="3">
        <v>52.99</v>
      </c>
      <c r="BQ444" s="3" t="s">
        <v>83</v>
      </c>
      <c r="BR444" s="3" t="s">
        <v>84</v>
      </c>
      <c r="BS444" s="4">
        <v>44573</v>
      </c>
      <c r="BT444" s="5">
        <v>0.42986111111111108</v>
      </c>
      <c r="BU444" s="3" t="s">
        <v>594</v>
      </c>
      <c r="BV444" s="3" t="s">
        <v>105</v>
      </c>
      <c r="BY444" s="3">
        <v>1200</v>
      </c>
      <c r="BZ444" s="3" t="s">
        <v>165</v>
      </c>
      <c r="CC444" s="3" t="s">
        <v>98</v>
      </c>
      <c r="CD444" s="3">
        <v>2094</v>
      </c>
      <c r="CE444" s="3" t="s">
        <v>93</v>
      </c>
      <c r="CF444" s="4">
        <v>44573</v>
      </c>
      <c r="CI444" s="3">
        <v>1</v>
      </c>
      <c r="CJ444" s="3">
        <v>1</v>
      </c>
      <c r="CK444" s="3">
        <v>22</v>
      </c>
      <c r="CL444" s="3" t="s">
        <v>87</v>
      </c>
    </row>
    <row r="445" spans="1:90" x14ac:dyDescent="0.2">
      <c r="A445" s="3" t="s">
        <v>72</v>
      </c>
      <c r="B445" s="3" t="s">
        <v>73</v>
      </c>
      <c r="C445" s="3" t="s">
        <v>74</v>
      </c>
      <c r="E445" s="3" t="str">
        <f>"FES1162844367"</f>
        <v>FES1162844367</v>
      </c>
      <c r="F445" s="4">
        <v>44572</v>
      </c>
      <c r="G445" s="3">
        <v>202207</v>
      </c>
      <c r="H445" s="3" t="s">
        <v>75</v>
      </c>
      <c r="I445" s="3" t="s">
        <v>76</v>
      </c>
      <c r="J445" s="3" t="s">
        <v>77</v>
      </c>
      <c r="K445" s="3" t="s">
        <v>78</v>
      </c>
      <c r="L445" s="3" t="s">
        <v>90</v>
      </c>
      <c r="M445" s="3" t="s">
        <v>91</v>
      </c>
      <c r="N445" s="3" t="s">
        <v>797</v>
      </c>
      <c r="O445" s="3" t="s">
        <v>82</v>
      </c>
      <c r="P445" s="3" t="str">
        <f>"2170814883                    "</f>
        <v xml:space="preserve">2170814883                    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15.46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1</v>
      </c>
      <c r="BI445" s="3">
        <v>1</v>
      </c>
      <c r="BJ445" s="3">
        <v>0.2</v>
      </c>
      <c r="BK445" s="3">
        <v>1</v>
      </c>
      <c r="BL445" s="3">
        <v>59</v>
      </c>
      <c r="BM445" s="3">
        <v>8.85</v>
      </c>
      <c r="BN445" s="3">
        <v>67.849999999999994</v>
      </c>
      <c r="BO445" s="3">
        <v>67.849999999999994</v>
      </c>
      <c r="BR445" s="3" t="s">
        <v>84</v>
      </c>
      <c r="BS445" s="4">
        <v>44573</v>
      </c>
      <c r="BT445" s="5">
        <v>0.45</v>
      </c>
      <c r="BU445" s="3" t="s">
        <v>798</v>
      </c>
      <c r="BV445" s="3" t="s">
        <v>87</v>
      </c>
      <c r="BW445" s="3" t="s">
        <v>353</v>
      </c>
      <c r="BX445" s="3" t="s">
        <v>354</v>
      </c>
      <c r="BY445" s="3">
        <v>1200</v>
      </c>
      <c r="BZ445" s="3" t="s">
        <v>165</v>
      </c>
      <c r="CA445" s="3" t="s">
        <v>543</v>
      </c>
      <c r="CC445" s="3" t="s">
        <v>91</v>
      </c>
      <c r="CD445" s="3">
        <v>8000</v>
      </c>
      <c r="CE445" s="3" t="s">
        <v>93</v>
      </c>
      <c r="CF445" s="4">
        <v>44574</v>
      </c>
      <c r="CI445" s="3">
        <v>1</v>
      </c>
      <c r="CJ445" s="3">
        <v>1</v>
      </c>
      <c r="CK445" s="3">
        <v>21</v>
      </c>
      <c r="CL445" s="3" t="s">
        <v>87</v>
      </c>
    </row>
    <row r="446" spans="1:90" x14ac:dyDescent="0.2">
      <c r="A446" s="3" t="s">
        <v>72</v>
      </c>
      <c r="B446" s="3" t="s">
        <v>73</v>
      </c>
      <c r="C446" s="3" t="s">
        <v>74</v>
      </c>
      <c r="E446" s="3" t="str">
        <f>"FES1162844477"</f>
        <v>FES1162844477</v>
      </c>
      <c r="F446" s="4">
        <v>44572</v>
      </c>
      <c r="G446" s="3">
        <v>202207</v>
      </c>
      <c r="H446" s="3" t="s">
        <v>75</v>
      </c>
      <c r="I446" s="3" t="s">
        <v>76</v>
      </c>
      <c r="J446" s="3" t="s">
        <v>77</v>
      </c>
      <c r="K446" s="3" t="s">
        <v>78</v>
      </c>
      <c r="L446" s="3" t="s">
        <v>101</v>
      </c>
      <c r="M446" s="3" t="s">
        <v>102</v>
      </c>
      <c r="N446" s="3" t="s">
        <v>272</v>
      </c>
      <c r="O446" s="3" t="s">
        <v>82</v>
      </c>
      <c r="P446" s="3" t="str">
        <f>"2170816121                    "</f>
        <v xml:space="preserve">2170816121                    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15.46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1</v>
      </c>
      <c r="BI446" s="3">
        <v>1</v>
      </c>
      <c r="BJ446" s="3">
        <v>0.2</v>
      </c>
      <c r="BK446" s="3">
        <v>1</v>
      </c>
      <c r="BL446" s="3">
        <v>59</v>
      </c>
      <c r="BM446" s="3">
        <v>8.85</v>
      </c>
      <c r="BN446" s="3">
        <v>67.849999999999994</v>
      </c>
      <c r="BO446" s="3">
        <v>67.849999999999994</v>
      </c>
      <c r="BQ446" s="3" t="s">
        <v>273</v>
      </c>
      <c r="BR446" s="3" t="s">
        <v>84</v>
      </c>
      <c r="BS446" s="4">
        <v>44573</v>
      </c>
      <c r="BT446" s="5">
        <v>0.41111111111111115</v>
      </c>
      <c r="BU446" s="3" t="s">
        <v>274</v>
      </c>
      <c r="BV446" s="3" t="s">
        <v>105</v>
      </c>
      <c r="BY446" s="3">
        <v>1200</v>
      </c>
      <c r="BZ446" s="3" t="s">
        <v>165</v>
      </c>
      <c r="CA446" s="3" t="s">
        <v>275</v>
      </c>
      <c r="CC446" s="3" t="s">
        <v>102</v>
      </c>
      <c r="CD446" s="3">
        <v>4000</v>
      </c>
      <c r="CE446" s="3" t="s">
        <v>93</v>
      </c>
      <c r="CF446" s="4">
        <v>44574</v>
      </c>
      <c r="CI446" s="3">
        <v>1</v>
      </c>
      <c r="CJ446" s="3">
        <v>1</v>
      </c>
      <c r="CK446" s="3">
        <v>21</v>
      </c>
      <c r="CL446" s="3" t="s">
        <v>87</v>
      </c>
    </row>
    <row r="447" spans="1:90" x14ac:dyDescent="0.2">
      <c r="A447" s="3" t="s">
        <v>72</v>
      </c>
      <c r="B447" s="3" t="s">
        <v>73</v>
      </c>
      <c r="C447" s="3" t="s">
        <v>74</v>
      </c>
      <c r="E447" s="3" t="str">
        <f>"FES1162844527"</f>
        <v>FES1162844527</v>
      </c>
      <c r="F447" s="4">
        <v>44572</v>
      </c>
      <c r="G447" s="3">
        <v>202207</v>
      </c>
      <c r="H447" s="3" t="s">
        <v>75</v>
      </c>
      <c r="I447" s="3" t="s">
        <v>76</v>
      </c>
      <c r="J447" s="3" t="s">
        <v>77</v>
      </c>
      <c r="K447" s="3" t="s">
        <v>78</v>
      </c>
      <c r="L447" s="3" t="s">
        <v>799</v>
      </c>
      <c r="M447" s="3" t="s">
        <v>800</v>
      </c>
      <c r="N447" s="3" t="s">
        <v>801</v>
      </c>
      <c r="O447" s="3" t="s">
        <v>82</v>
      </c>
      <c r="P447" s="3" t="str">
        <f>"2170816179                    "</f>
        <v xml:space="preserve">2170816179                    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21.74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0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1</v>
      </c>
      <c r="BI447" s="3">
        <v>1</v>
      </c>
      <c r="BJ447" s="3">
        <v>0.2</v>
      </c>
      <c r="BK447" s="3">
        <v>1</v>
      </c>
      <c r="BL447" s="3">
        <v>82.98</v>
      </c>
      <c r="BM447" s="3">
        <v>12.45</v>
      </c>
      <c r="BN447" s="3">
        <v>95.43</v>
      </c>
      <c r="BO447" s="3">
        <v>95.43</v>
      </c>
      <c r="BQ447" s="3" t="s">
        <v>89</v>
      </c>
      <c r="BR447" s="3" t="s">
        <v>84</v>
      </c>
      <c r="BS447" s="4">
        <v>44573</v>
      </c>
      <c r="BT447" s="5">
        <v>0.37916666666666665</v>
      </c>
      <c r="BU447" s="3" t="s">
        <v>802</v>
      </c>
      <c r="BV447" s="3" t="s">
        <v>105</v>
      </c>
      <c r="BY447" s="3">
        <v>1200</v>
      </c>
      <c r="BZ447" s="3" t="s">
        <v>165</v>
      </c>
      <c r="CA447" s="3" t="s">
        <v>803</v>
      </c>
      <c r="CC447" s="3" t="s">
        <v>800</v>
      </c>
      <c r="CD447" s="3">
        <v>2210</v>
      </c>
      <c r="CE447" s="3" t="s">
        <v>93</v>
      </c>
      <c r="CF447" s="4">
        <v>44574</v>
      </c>
      <c r="CI447" s="3">
        <v>1</v>
      </c>
      <c r="CJ447" s="3">
        <v>1</v>
      </c>
      <c r="CK447" s="3">
        <v>24</v>
      </c>
      <c r="CL447" s="3" t="s">
        <v>87</v>
      </c>
    </row>
    <row r="448" spans="1:90" x14ac:dyDescent="0.2">
      <c r="A448" s="3" t="s">
        <v>72</v>
      </c>
      <c r="B448" s="3" t="s">
        <v>73</v>
      </c>
      <c r="C448" s="3" t="s">
        <v>74</v>
      </c>
      <c r="E448" s="3" t="str">
        <f>"FES1162844566"</f>
        <v>FES1162844566</v>
      </c>
      <c r="F448" s="4">
        <v>44572</v>
      </c>
      <c r="G448" s="3">
        <v>202207</v>
      </c>
      <c r="H448" s="3" t="s">
        <v>75</v>
      </c>
      <c r="I448" s="3" t="s">
        <v>76</v>
      </c>
      <c r="J448" s="3" t="s">
        <v>77</v>
      </c>
      <c r="K448" s="3" t="s">
        <v>78</v>
      </c>
      <c r="L448" s="3" t="s">
        <v>171</v>
      </c>
      <c r="M448" s="3" t="s">
        <v>172</v>
      </c>
      <c r="N448" s="3" t="s">
        <v>725</v>
      </c>
      <c r="O448" s="3" t="s">
        <v>82</v>
      </c>
      <c r="P448" s="3" t="str">
        <f>"2170814364                    "</f>
        <v xml:space="preserve">2170814364                    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15.46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1</v>
      </c>
      <c r="BI448" s="3">
        <v>1</v>
      </c>
      <c r="BJ448" s="3">
        <v>0.2</v>
      </c>
      <c r="BK448" s="3">
        <v>1</v>
      </c>
      <c r="BL448" s="3">
        <v>59</v>
      </c>
      <c r="BM448" s="3">
        <v>8.85</v>
      </c>
      <c r="BN448" s="3">
        <v>67.849999999999994</v>
      </c>
      <c r="BO448" s="3">
        <v>67.849999999999994</v>
      </c>
      <c r="BQ448" s="3" t="s">
        <v>83</v>
      </c>
      <c r="BR448" s="3" t="s">
        <v>84</v>
      </c>
      <c r="BS448" s="4">
        <v>44573</v>
      </c>
      <c r="BT448" s="5">
        <v>0.45208333333333334</v>
      </c>
      <c r="BU448" s="3" t="s">
        <v>726</v>
      </c>
      <c r="BV448" s="3" t="s">
        <v>87</v>
      </c>
      <c r="BW448" s="3" t="s">
        <v>457</v>
      </c>
      <c r="BX448" s="3" t="s">
        <v>486</v>
      </c>
      <c r="BY448" s="3">
        <v>1200</v>
      </c>
      <c r="BZ448" s="3" t="s">
        <v>165</v>
      </c>
      <c r="CA448" s="3" t="s">
        <v>408</v>
      </c>
      <c r="CC448" s="3" t="s">
        <v>172</v>
      </c>
      <c r="CD448" s="3">
        <v>6001</v>
      </c>
      <c r="CE448" s="3" t="s">
        <v>93</v>
      </c>
      <c r="CF448" s="4">
        <v>44574</v>
      </c>
      <c r="CI448" s="3">
        <v>1</v>
      </c>
      <c r="CJ448" s="3">
        <v>1</v>
      </c>
      <c r="CK448" s="3">
        <v>21</v>
      </c>
      <c r="CL448" s="3" t="s">
        <v>87</v>
      </c>
    </row>
    <row r="449" spans="1:90" x14ac:dyDescent="0.2">
      <c r="A449" s="3" t="s">
        <v>72</v>
      </c>
      <c r="B449" s="3" t="s">
        <v>73</v>
      </c>
      <c r="C449" s="3" t="s">
        <v>74</v>
      </c>
      <c r="E449" s="3" t="str">
        <f>"FES1162844549"</f>
        <v>FES1162844549</v>
      </c>
      <c r="F449" s="4">
        <v>44572</v>
      </c>
      <c r="G449" s="3">
        <v>202207</v>
      </c>
      <c r="H449" s="3" t="s">
        <v>75</v>
      </c>
      <c r="I449" s="3" t="s">
        <v>76</v>
      </c>
      <c r="J449" s="3" t="s">
        <v>77</v>
      </c>
      <c r="K449" s="3" t="s">
        <v>78</v>
      </c>
      <c r="L449" s="3" t="s">
        <v>75</v>
      </c>
      <c r="M449" s="3" t="s">
        <v>76</v>
      </c>
      <c r="N449" s="3" t="s">
        <v>153</v>
      </c>
      <c r="O449" s="3" t="s">
        <v>82</v>
      </c>
      <c r="P449" s="3" t="str">
        <f>"2170816207                    "</f>
        <v xml:space="preserve">2170816207                    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12.07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1</v>
      </c>
      <c r="BI449" s="3">
        <v>1</v>
      </c>
      <c r="BJ449" s="3">
        <v>0.2</v>
      </c>
      <c r="BK449" s="3">
        <v>1</v>
      </c>
      <c r="BL449" s="3">
        <v>46.08</v>
      </c>
      <c r="BM449" s="3">
        <v>6.91</v>
      </c>
      <c r="BN449" s="3">
        <v>52.99</v>
      </c>
      <c r="BO449" s="3">
        <v>52.99</v>
      </c>
      <c r="BR449" s="3" t="s">
        <v>84</v>
      </c>
      <c r="BS449" s="4">
        <v>44573</v>
      </c>
      <c r="BT449" s="5">
        <v>0.37361111111111112</v>
      </c>
      <c r="BU449" s="3" t="s">
        <v>804</v>
      </c>
      <c r="BV449" s="3" t="s">
        <v>105</v>
      </c>
      <c r="BY449" s="3">
        <v>1200</v>
      </c>
      <c r="BZ449" s="3" t="s">
        <v>165</v>
      </c>
      <c r="CA449" s="3" t="s">
        <v>227</v>
      </c>
      <c r="CC449" s="3" t="s">
        <v>76</v>
      </c>
      <c r="CD449" s="3">
        <v>1600</v>
      </c>
      <c r="CE449" s="3" t="s">
        <v>93</v>
      </c>
      <c r="CF449" s="4">
        <v>44573</v>
      </c>
      <c r="CI449" s="3">
        <v>1</v>
      </c>
      <c r="CJ449" s="3">
        <v>1</v>
      </c>
      <c r="CK449" s="3">
        <v>22</v>
      </c>
      <c r="CL449" s="3" t="s">
        <v>87</v>
      </c>
    </row>
    <row r="450" spans="1:90" x14ac:dyDescent="0.2">
      <c r="A450" s="3" t="s">
        <v>72</v>
      </c>
      <c r="B450" s="3" t="s">
        <v>73</v>
      </c>
      <c r="C450" s="3" t="s">
        <v>74</v>
      </c>
      <c r="E450" s="3" t="str">
        <f>"FES1162844489"</f>
        <v>FES1162844489</v>
      </c>
      <c r="F450" s="4">
        <v>44572</v>
      </c>
      <c r="G450" s="3">
        <v>202207</v>
      </c>
      <c r="H450" s="3" t="s">
        <v>75</v>
      </c>
      <c r="I450" s="3" t="s">
        <v>76</v>
      </c>
      <c r="J450" s="3" t="s">
        <v>77</v>
      </c>
      <c r="K450" s="3" t="s">
        <v>78</v>
      </c>
      <c r="L450" s="3" t="s">
        <v>94</v>
      </c>
      <c r="M450" s="3" t="s">
        <v>95</v>
      </c>
      <c r="N450" s="3" t="s">
        <v>613</v>
      </c>
      <c r="O450" s="3" t="s">
        <v>82</v>
      </c>
      <c r="P450" s="3" t="str">
        <f>"2170816135                    "</f>
        <v xml:space="preserve">2170816135                    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15.46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1</v>
      </c>
      <c r="BI450" s="3">
        <v>1</v>
      </c>
      <c r="BJ450" s="3">
        <v>0.2</v>
      </c>
      <c r="BK450" s="3">
        <v>1</v>
      </c>
      <c r="BL450" s="3">
        <v>59</v>
      </c>
      <c r="BM450" s="3">
        <v>8.85</v>
      </c>
      <c r="BN450" s="3">
        <v>67.849999999999994</v>
      </c>
      <c r="BO450" s="3">
        <v>67.849999999999994</v>
      </c>
      <c r="BQ450" s="3" t="s">
        <v>89</v>
      </c>
      <c r="BR450" s="3" t="s">
        <v>84</v>
      </c>
      <c r="BS450" s="3" t="s">
        <v>85</v>
      </c>
      <c r="BY450" s="3">
        <v>1200</v>
      </c>
      <c r="BZ450" s="3" t="s">
        <v>165</v>
      </c>
      <c r="CC450" s="3" t="s">
        <v>95</v>
      </c>
      <c r="CD450" s="3">
        <v>3212</v>
      </c>
      <c r="CE450" s="3" t="s">
        <v>93</v>
      </c>
      <c r="CI450" s="3">
        <v>1</v>
      </c>
      <c r="CJ450" s="3" t="s">
        <v>85</v>
      </c>
      <c r="CK450" s="3">
        <v>21</v>
      </c>
      <c r="CL450" s="3" t="s">
        <v>87</v>
      </c>
    </row>
    <row r="451" spans="1:90" x14ac:dyDescent="0.2">
      <c r="A451" s="3" t="s">
        <v>72</v>
      </c>
      <c r="B451" s="3" t="s">
        <v>73</v>
      </c>
      <c r="C451" s="3" t="s">
        <v>74</v>
      </c>
      <c r="E451" s="3" t="str">
        <f>"FES1162844385"</f>
        <v>FES1162844385</v>
      </c>
      <c r="F451" s="4">
        <v>44572</v>
      </c>
      <c r="G451" s="3">
        <v>202207</v>
      </c>
      <c r="H451" s="3" t="s">
        <v>75</v>
      </c>
      <c r="I451" s="3" t="s">
        <v>76</v>
      </c>
      <c r="J451" s="3" t="s">
        <v>77</v>
      </c>
      <c r="K451" s="3" t="s">
        <v>78</v>
      </c>
      <c r="L451" s="3" t="s">
        <v>805</v>
      </c>
      <c r="M451" s="3" t="s">
        <v>806</v>
      </c>
      <c r="N451" s="3" t="s">
        <v>807</v>
      </c>
      <c r="O451" s="3" t="s">
        <v>148</v>
      </c>
      <c r="P451" s="3" t="str">
        <f>"2170815323                    "</f>
        <v xml:space="preserve">2170815323                    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72.319999999999993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2</v>
      </c>
      <c r="BI451" s="3">
        <v>29</v>
      </c>
      <c r="BJ451" s="3">
        <v>12.6</v>
      </c>
      <c r="BK451" s="3">
        <v>29</v>
      </c>
      <c r="BL451" s="3">
        <v>281.3</v>
      </c>
      <c r="BM451" s="3">
        <v>42.2</v>
      </c>
      <c r="BN451" s="3">
        <v>323.5</v>
      </c>
      <c r="BO451" s="3">
        <v>323.5</v>
      </c>
      <c r="BQ451" s="3" t="s">
        <v>808</v>
      </c>
      <c r="BR451" s="3" t="s">
        <v>84</v>
      </c>
      <c r="BS451" s="4">
        <v>44573</v>
      </c>
      <c r="BT451" s="5">
        <v>0.53402777777777777</v>
      </c>
      <c r="BU451" s="3" t="s">
        <v>559</v>
      </c>
      <c r="BV451" s="3" t="s">
        <v>105</v>
      </c>
      <c r="BY451" s="3">
        <v>63060</v>
      </c>
      <c r="BZ451" s="3" t="s">
        <v>327</v>
      </c>
      <c r="CA451" s="3" t="s">
        <v>809</v>
      </c>
      <c r="CC451" s="3" t="s">
        <v>806</v>
      </c>
      <c r="CD451" s="3">
        <v>4400</v>
      </c>
      <c r="CE451" s="3" t="s">
        <v>221</v>
      </c>
      <c r="CF451" s="4">
        <v>44574</v>
      </c>
      <c r="CI451" s="3">
        <v>1</v>
      </c>
      <c r="CJ451" s="3">
        <v>1</v>
      </c>
      <c r="CK451" s="3">
        <v>43</v>
      </c>
      <c r="CL451" s="3" t="s">
        <v>87</v>
      </c>
    </row>
    <row r="452" spans="1:90" x14ac:dyDescent="0.2">
      <c r="A452" s="3" t="s">
        <v>72</v>
      </c>
      <c r="B452" s="3" t="s">
        <v>73</v>
      </c>
      <c r="C452" s="3" t="s">
        <v>74</v>
      </c>
      <c r="E452" s="3" t="str">
        <f>"FES1162844543"</f>
        <v>FES1162844543</v>
      </c>
      <c r="F452" s="4">
        <v>44572</v>
      </c>
      <c r="G452" s="3">
        <v>202207</v>
      </c>
      <c r="H452" s="3" t="s">
        <v>75</v>
      </c>
      <c r="I452" s="3" t="s">
        <v>76</v>
      </c>
      <c r="J452" s="3" t="s">
        <v>77</v>
      </c>
      <c r="K452" s="3" t="s">
        <v>78</v>
      </c>
      <c r="L452" s="3" t="s">
        <v>244</v>
      </c>
      <c r="M452" s="3" t="s">
        <v>245</v>
      </c>
      <c r="N452" s="3" t="s">
        <v>400</v>
      </c>
      <c r="O452" s="3" t="s">
        <v>82</v>
      </c>
      <c r="P452" s="3" t="str">
        <f>"2170816198                    "</f>
        <v xml:space="preserve">2170816198                    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29.95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1</v>
      </c>
      <c r="BI452" s="3">
        <v>1</v>
      </c>
      <c r="BJ452" s="3">
        <v>0.2</v>
      </c>
      <c r="BK452" s="3">
        <v>1</v>
      </c>
      <c r="BL452" s="3">
        <v>114.31</v>
      </c>
      <c r="BM452" s="3">
        <v>17.149999999999999</v>
      </c>
      <c r="BN452" s="3">
        <v>131.46</v>
      </c>
      <c r="BO452" s="3">
        <v>131.46</v>
      </c>
      <c r="BQ452" s="3" t="s">
        <v>83</v>
      </c>
      <c r="BR452" s="3" t="s">
        <v>84</v>
      </c>
      <c r="BS452" s="4">
        <v>44573</v>
      </c>
      <c r="BT452" s="5">
        <v>0.44722222222222219</v>
      </c>
      <c r="BU452" s="3" t="s">
        <v>810</v>
      </c>
      <c r="BV452" s="3" t="s">
        <v>87</v>
      </c>
      <c r="BW452" s="3" t="s">
        <v>353</v>
      </c>
      <c r="BX452" s="3" t="s">
        <v>811</v>
      </c>
      <c r="BY452" s="3">
        <v>1200</v>
      </c>
      <c r="BZ452" s="3" t="s">
        <v>165</v>
      </c>
      <c r="CA452" s="3" t="s">
        <v>402</v>
      </c>
      <c r="CC452" s="3" t="s">
        <v>245</v>
      </c>
      <c r="CD452" s="3">
        <v>1947</v>
      </c>
      <c r="CE452" s="3" t="s">
        <v>93</v>
      </c>
      <c r="CF452" s="4">
        <v>44574</v>
      </c>
      <c r="CI452" s="3">
        <v>1</v>
      </c>
      <c r="CJ452" s="3">
        <v>1</v>
      </c>
      <c r="CK452" s="3">
        <v>23</v>
      </c>
      <c r="CL452" s="3" t="s">
        <v>87</v>
      </c>
    </row>
    <row r="453" spans="1:90" x14ac:dyDescent="0.2">
      <c r="A453" s="3" t="s">
        <v>72</v>
      </c>
      <c r="B453" s="3" t="s">
        <v>73</v>
      </c>
      <c r="C453" s="3" t="s">
        <v>74</v>
      </c>
      <c r="E453" s="3" t="str">
        <f>"FES1162844362"</f>
        <v>FES1162844362</v>
      </c>
      <c r="F453" s="4">
        <v>44572</v>
      </c>
      <c r="G453" s="3">
        <v>202207</v>
      </c>
      <c r="H453" s="3" t="s">
        <v>75</v>
      </c>
      <c r="I453" s="3" t="s">
        <v>76</v>
      </c>
      <c r="J453" s="3" t="s">
        <v>77</v>
      </c>
      <c r="K453" s="3" t="s">
        <v>78</v>
      </c>
      <c r="L453" s="3" t="s">
        <v>184</v>
      </c>
      <c r="M453" s="3" t="s">
        <v>185</v>
      </c>
      <c r="N453" s="3" t="s">
        <v>503</v>
      </c>
      <c r="O453" s="3" t="s">
        <v>82</v>
      </c>
      <c r="P453" s="3" t="str">
        <f>"2170814845                    "</f>
        <v xml:space="preserve">2170814845                    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15.46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1</v>
      </c>
      <c r="BI453" s="3">
        <v>2</v>
      </c>
      <c r="BJ453" s="3">
        <v>1.5</v>
      </c>
      <c r="BK453" s="3">
        <v>2</v>
      </c>
      <c r="BL453" s="3">
        <v>59</v>
      </c>
      <c r="BM453" s="3">
        <v>8.85</v>
      </c>
      <c r="BN453" s="3">
        <v>67.849999999999994</v>
      </c>
      <c r="BO453" s="3">
        <v>67.849999999999994</v>
      </c>
      <c r="BQ453" s="3" t="s">
        <v>89</v>
      </c>
      <c r="BR453" s="3" t="s">
        <v>84</v>
      </c>
      <c r="BS453" s="4">
        <v>44573</v>
      </c>
      <c r="BT453" s="5">
        <v>0.62708333333333333</v>
      </c>
      <c r="BU453" s="3" t="s">
        <v>812</v>
      </c>
      <c r="BV453" s="3" t="s">
        <v>87</v>
      </c>
      <c r="BW453" s="3" t="s">
        <v>617</v>
      </c>
      <c r="BX453" s="3" t="s">
        <v>605</v>
      </c>
      <c r="BY453" s="3">
        <v>7540</v>
      </c>
      <c r="BZ453" s="3" t="s">
        <v>165</v>
      </c>
      <c r="CA453" s="3" t="s">
        <v>357</v>
      </c>
      <c r="CC453" s="3" t="s">
        <v>185</v>
      </c>
      <c r="CD453" s="3">
        <v>5201</v>
      </c>
      <c r="CE453" s="3" t="s">
        <v>86</v>
      </c>
      <c r="CF453" s="4">
        <v>44573</v>
      </c>
      <c r="CI453" s="3">
        <v>1</v>
      </c>
      <c r="CJ453" s="3">
        <v>1</v>
      </c>
      <c r="CK453" s="3">
        <v>21</v>
      </c>
      <c r="CL453" s="3" t="s">
        <v>87</v>
      </c>
    </row>
    <row r="454" spans="1:90" x14ac:dyDescent="0.2">
      <c r="A454" s="3" t="s">
        <v>72</v>
      </c>
      <c r="B454" s="3" t="s">
        <v>73</v>
      </c>
      <c r="C454" s="3" t="s">
        <v>74</v>
      </c>
      <c r="E454" s="3" t="str">
        <f>"FES1162843636"</f>
        <v>FES1162843636</v>
      </c>
      <c r="F454" s="4">
        <v>44573</v>
      </c>
      <c r="G454" s="3">
        <v>202207</v>
      </c>
      <c r="H454" s="3" t="s">
        <v>75</v>
      </c>
      <c r="I454" s="3" t="s">
        <v>76</v>
      </c>
      <c r="J454" s="3" t="s">
        <v>77</v>
      </c>
      <c r="K454" s="3" t="s">
        <v>78</v>
      </c>
      <c r="L454" s="3" t="s">
        <v>171</v>
      </c>
      <c r="M454" s="3" t="s">
        <v>172</v>
      </c>
      <c r="N454" s="3" t="s">
        <v>200</v>
      </c>
      <c r="O454" s="3" t="s">
        <v>82</v>
      </c>
      <c r="P454" s="3" t="str">
        <f>"2170804183                    "</f>
        <v xml:space="preserve">2170804183                    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15.46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1</v>
      </c>
      <c r="BI454" s="3">
        <v>1</v>
      </c>
      <c r="BJ454" s="3">
        <v>0.2</v>
      </c>
      <c r="BK454" s="3">
        <v>1</v>
      </c>
      <c r="BL454" s="3">
        <v>59</v>
      </c>
      <c r="BM454" s="3">
        <v>8.85</v>
      </c>
      <c r="BN454" s="3">
        <v>67.849999999999994</v>
      </c>
      <c r="BO454" s="3">
        <v>67.849999999999994</v>
      </c>
      <c r="BQ454" s="3" t="s">
        <v>89</v>
      </c>
      <c r="BR454" s="3" t="s">
        <v>84</v>
      </c>
      <c r="BS454" s="4">
        <v>44574</v>
      </c>
      <c r="BT454" s="5">
        <v>0.41875000000000001</v>
      </c>
      <c r="BU454" s="3" t="s">
        <v>813</v>
      </c>
      <c r="BV454" s="3" t="s">
        <v>105</v>
      </c>
      <c r="BY454" s="3">
        <v>1200</v>
      </c>
      <c r="BZ454" s="3" t="s">
        <v>165</v>
      </c>
      <c r="CA454" s="3" t="s">
        <v>814</v>
      </c>
      <c r="CC454" s="3" t="s">
        <v>172</v>
      </c>
      <c r="CD454" s="3">
        <v>6001</v>
      </c>
      <c r="CE454" s="3" t="s">
        <v>93</v>
      </c>
      <c r="CF454" s="4">
        <v>44575</v>
      </c>
      <c r="CI454" s="3">
        <v>1</v>
      </c>
      <c r="CJ454" s="3">
        <v>1</v>
      </c>
      <c r="CK454" s="3">
        <v>21</v>
      </c>
      <c r="CL454" s="3" t="s">
        <v>87</v>
      </c>
    </row>
    <row r="455" spans="1:90" x14ac:dyDescent="0.2">
      <c r="A455" s="3" t="s">
        <v>72</v>
      </c>
      <c r="B455" s="3" t="s">
        <v>73</v>
      </c>
      <c r="C455" s="3" t="s">
        <v>74</v>
      </c>
      <c r="E455" s="3" t="str">
        <f>"009942045021"</f>
        <v>009942045021</v>
      </c>
      <c r="F455" s="4">
        <v>44573</v>
      </c>
      <c r="G455" s="3">
        <v>202207</v>
      </c>
      <c r="H455" s="3" t="s">
        <v>75</v>
      </c>
      <c r="I455" s="3" t="s">
        <v>76</v>
      </c>
      <c r="J455" s="3" t="s">
        <v>77</v>
      </c>
      <c r="K455" s="3" t="s">
        <v>78</v>
      </c>
      <c r="L455" s="3" t="s">
        <v>464</v>
      </c>
      <c r="M455" s="3" t="s">
        <v>465</v>
      </c>
      <c r="N455" s="3" t="s">
        <v>815</v>
      </c>
      <c r="O455" s="3" t="s">
        <v>82</v>
      </c>
      <c r="P455" s="3" t="str">
        <f>"1162840393                    "</f>
        <v xml:space="preserve">1162840393                    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12.07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1</v>
      </c>
      <c r="BI455" s="3">
        <v>8</v>
      </c>
      <c r="BJ455" s="3">
        <v>1.6</v>
      </c>
      <c r="BK455" s="3">
        <v>8</v>
      </c>
      <c r="BL455" s="3">
        <v>46.08</v>
      </c>
      <c r="BM455" s="3">
        <v>6.91</v>
      </c>
      <c r="BN455" s="3">
        <v>52.99</v>
      </c>
      <c r="BO455" s="3">
        <v>52.99</v>
      </c>
      <c r="BR455" s="3" t="s">
        <v>84</v>
      </c>
      <c r="BS455" s="4">
        <v>44580</v>
      </c>
      <c r="BT455" s="5">
        <v>0.4375</v>
      </c>
      <c r="BU455" s="6">
        <v>9942045021</v>
      </c>
      <c r="BV455" s="3" t="s">
        <v>87</v>
      </c>
      <c r="BW455" s="3" t="s">
        <v>639</v>
      </c>
      <c r="BX455" s="3" t="s">
        <v>377</v>
      </c>
      <c r="BY455" s="3">
        <v>7875</v>
      </c>
      <c r="BZ455" s="3" t="s">
        <v>165</v>
      </c>
      <c r="CA455" s="3" t="s">
        <v>816</v>
      </c>
      <c r="CC455" s="3" t="s">
        <v>465</v>
      </c>
      <c r="CD455" s="3">
        <v>1501</v>
      </c>
      <c r="CE455" s="3" t="s">
        <v>86</v>
      </c>
      <c r="CF455" s="4">
        <v>44580</v>
      </c>
      <c r="CI455" s="3">
        <v>1</v>
      </c>
      <c r="CJ455" s="3">
        <v>5</v>
      </c>
      <c r="CK455" s="3">
        <v>22</v>
      </c>
      <c r="CL455" s="3" t="s">
        <v>87</v>
      </c>
    </row>
    <row r="456" spans="1:90" x14ac:dyDescent="0.2">
      <c r="A456" s="3" t="s">
        <v>72</v>
      </c>
      <c r="B456" s="3" t="s">
        <v>73</v>
      </c>
      <c r="C456" s="3" t="s">
        <v>74</v>
      </c>
      <c r="E456" s="3" t="str">
        <f>"FES1162844712"</f>
        <v>FES1162844712</v>
      </c>
      <c r="F456" s="4">
        <v>44573</v>
      </c>
      <c r="G456" s="3">
        <v>202207</v>
      </c>
      <c r="H456" s="3" t="s">
        <v>75</v>
      </c>
      <c r="I456" s="3" t="s">
        <v>76</v>
      </c>
      <c r="J456" s="3" t="s">
        <v>77</v>
      </c>
      <c r="K456" s="3" t="s">
        <v>78</v>
      </c>
      <c r="L456" s="3" t="s">
        <v>101</v>
      </c>
      <c r="M456" s="3" t="s">
        <v>102</v>
      </c>
      <c r="N456" s="3" t="s">
        <v>749</v>
      </c>
      <c r="O456" s="3" t="s">
        <v>148</v>
      </c>
      <c r="P456" s="3" t="str">
        <f>"2170816303                    "</f>
        <v xml:space="preserve">2170816303                    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29.89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0</v>
      </c>
      <c r="AZ456" s="3">
        <v>0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1</v>
      </c>
      <c r="BI456" s="3">
        <v>9</v>
      </c>
      <c r="BJ456" s="3">
        <v>3.8</v>
      </c>
      <c r="BK456" s="3">
        <v>9</v>
      </c>
      <c r="BL456" s="3">
        <v>119.34</v>
      </c>
      <c r="BM456" s="3">
        <v>17.899999999999999</v>
      </c>
      <c r="BN456" s="3">
        <v>137.24</v>
      </c>
      <c r="BO456" s="3">
        <v>137.24</v>
      </c>
      <c r="BQ456" s="3" t="s">
        <v>750</v>
      </c>
      <c r="BR456" s="3" t="s">
        <v>84</v>
      </c>
      <c r="BS456" s="4">
        <v>44574</v>
      </c>
      <c r="BT456" s="5">
        <v>0.61319444444444449</v>
      </c>
      <c r="BU456" s="3" t="s">
        <v>817</v>
      </c>
      <c r="BV456" s="3" t="s">
        <v>105</v>
      </c>
      <c r="BY456" s="3">
        <v>19200</v>
      </c>
      <c r="BZ456" s="3" t="s">
        <v>327</v>
      </c>
      <c r="CA456" s="3" t="s">
        <v>303</v>
      </c>
      <c r="CC456" s="3" t="s">
        <v>102</v>
      </c>
      <c r="CD456" s="3">
        <v>4052</v>
      </c>
      <c r="CE456" s="3" t="s">
        <v>86</v>
      </c>
      <c r="CF456" s="4">
        <v>44574</v>
      </c>
      <c r="CI456" s="3">
        <v>1</v>
      </c>
      <c r="CJ456" s="3">
        <v>1</v>
      </c>
      <c r="CK456" s="3">
        <v>41</v>
      </c>
      <c r="CL456" s="3" t="s">
        <v>87</v>
      </c>
    </row>
    <row r="457" spans="1:90" x14ac:dyDescent="0.2">
      <c r="A457" s="3" t="s">
        <v>72</v>
      </c>
      <c r="B457" s="3" t="s">
        <v>73</v>
      </c>
      <c r="C457" s="3" t="s">
        <v>74</v>
      </c>
      <c r="E457" s="3" t="str">
        <f>"FES1162844882"</f>
        <v>FES1162844882</v>
      </c>
      <c r="F457" s="4">
        <v>44573</v>
      </c>
      <c r="G457" s="3">
        <v>202207</v>
      </c>
      <c r="H457" s="3" t="s">
        <v>75</v>
      </c>
      <c r="I457" s="3" t="s">
        <v>76</v>
      </c>
      <c r="J457" s="3" t="s">
        <v>77</v>
      </c>
      <c r="K457" s="3" t="s">
        <v>78</v>
      </c>
      <c r="L457" s="3" t="s">
        <v>90</v>
      </c>
      <c r="M457" s="3" t="s">
        <v>91</v>
      </c>
      <c r="N457" s="3" t="s">
        <v>157</v>
      </c>
      <c r="O457" s="3" t="s">
        <v>82</v>
      </c>
      <c r="P457" s="3" t="str">
        <f>"2170816453                    "</f>
        <v xml:space="preserve">2170816453                    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15.46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1</v>
      </c>
      <c r="BI457" s="3">
        <v>1</v>
      </c>
      <c r="BJ457" s="3">
        <v>0.2</v>
      </c>
      <c r="BK457" s="3">
        <v>1</v>
      </c>
      <c r="BL457" s="3">
        <v>59</v>
      </c>
      <c r="BM457" s="3">
        <v>8.85</v>
      </c>
      <c r="BN457" s="3">
        <v>67.849999999999994</v>
      </c>
      <c r="BO457" s="3">
        <v>67.849999999999994</v>
      </c>
      <c r="BQ457" s="3" t="s">
        <v>89</v>
      </c>
      <c r="BR457" s="3" t="s">
        <v>84</v>
      </c>
      <c r="BS457" s="4">
        <v>44574</v>
      </c>
      <c r="BT457" s="5">
        <v>0.41666666666666669</v>
      </c>
      <c r="BU457" s="3" t="s">
        <v>818</v>
      </c>
      <c r="BV457" s="3" t="s">
        <v>105</v>
      </c>
      <c r="BY457" s="3">
        <v>1200</v>
      </c>
      <c r="BZ457" s="3" t="s">
        <v>165</v>
      </c>
      <c r="CC457" s="3" t="s">
        <v>91</v>
      </c>
      <c r="CD457" s="3">
        <v>7441</v>
      </c>
      <c r="CE457" s="3" t="s">
        <v>93</v>
      </c>
      <c r="CF457" s="4">
        <v>44575</v>
      </c>
      <c r="CI457" s="3">
        <v>1</v>
      </c>
      <c r="CJ457" s="3">
        <v>1</v>
      </c>
      <c r="CK457" s="3">
        <v>21</v>
      </c>
      <c r="CL457" s="3" t="s">
        <v>87</v>
      </c>
    </row>
    <row r="458" spans="1:90" x14ac:dyDescent="0.2">
      <c r="A458" s="3" t="s">
        <v>72</v>
      </c>
      <c r="B458" s="3" t="s">
        <v>73</v>
      </c>
      <c r="C458" s="3" t="s">
        <v>74</v>
      </c>
      <c r="E458" s="3" t="str">
        <f>"FES1162844786"</f>
        <v>FES1162844786</v>
      </c>
      <c r="F458" s="4">
        <v>44573</v>
      </c>
      <c r="G458" s="3">
        <v>202207</v>
      </c>
      <c r="H458" s="3" t="s">
        <v>75</v>
      </c>
      <c r="I458" s="3" t="s">
        <v>76</v>
      </c>
      <c r="J458" s="3" t="s">
        <v>77</v>
      </c>
      <c r="K458" s="3" t="s">
        <v>78</v>
      </c>
      <c r="L458" s="3" t="s">
        <v>138</v>
      </c>
      <c r="M458" s="3" t="s">
        <v>139</v>
      </c>
      <c r="N458" s="3" t="s">
        <v>140</v>
      </c>
      <c r="O458" s="3" t="s">
        <v>82</v>
      </c>
      <c r="P458" s="3" t="str">
        <f>"2170816276                    "</f>
        <v xml:space="preserve">2170816276                    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38.630000000000003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1</v>
      </c>
      <c r="BI458" s="3">
        <v>5</v>
      </c>
      <c r="BJ458" s="3">
        <v>4.0999999999999996</v>
      </c>
      <c r="BK458" s="3">
        <v>5</v>
      </c>
      <c r="BL458" s="3">
        <v>147.44999999999999</v>
      </c>
      <c r="BM458" s="3">
        <v>22.12</v>
      </c>
      <c r="BN458" s="3">
        <v>169.57</v>
      </c>
      <c r="BO458" s="3">
        <v>169.57</v>
      </c>
      <c r="BQ458" s="3" t="s">
        <v>126</v>
      </c>
      <c r="BR458" s="3" t="s">
        <v>84</v>
      </c>
      <c r="BS458" s="4">
        <v>44574</v>
      </c>
      <c r="BT458" s="5">
        <v>0.41736111111111113</v>
      </c>
      <c r="BU458" s="3" t="s">
        <v>819</v>
      </c>
      <c r="BV458" s="3" t="s">
        <v>105</v>
      </c>
      <c r="BY458" s="3">
        <v>20358</v>
      </c>
      <c r="BZ458" s="3" t="s">
        <v>165</v>
      </c>
      <c r="CA458" s="3" t="s">
        <v>334</v>
      </c>
      <c r="CC458" s="3" t="s">
        <v>139</v>
      </c>
      <c r="CD458" s="3">
        <v>3610</v>
      </c>
      <c r="CE458" s="3" t="s">
        <v>86</v>
      </c>
      <c r="CF458" s="4">
        <v>44574</v>
      </c>
      <c r="CI458" s="3">
        <v>1</v>
      </c>
      <c r="CJ458" s="3">
        <v>1</v>
      </c>
      <c r="CK458" s="3">
        <v>21</v>
      </c>
      <c r="CL458" s="3" t="s">
        <v>87</v>
      </c>
    </row>
    <row r="459" spans="1:90" x14ac:dyDescent="0.2">
      <c r="A459" s="3" t="s">
        <v>72</v>
      </c>
      <c r="B459" s="3" t="s">
        <v>73</v>
      </c>
      <c r="C459" s="3" t="s">
        <v>74</v>
      </c>
      <c r="E459" s="3" t="str">
        <f>"FES1162844739"</f>
        <v>FES1162844739</v>
      </c>
      <c r="F459" s="4">
        <v>44573</v>
      </c>
      <c r="G459" s="3">
        <v>202207</v>
      </c>
      <c r="H459" s="3" t="s">
        <v>75</v>
      </c>
      <c r="I459" s="3" t="s">
        <v>76</v>
      </c>
      <c r="J459" s="3" t="s">
        <v>77</v>
      </c>
      <c r="K459" s="3" t="s">
        <v>78</v>
      </c>
      <c r="L459" s="3" t="s">
        <v>195</v>
      </c>
      <c r="M459" s="3" t="s">
        <v>196</v>
      </c>
      <c r="N459" s="3" t="s">
        <v>197</v>
      </c>
      <c r="O459" s="3" t="s">
        <v>82</v>
      </c>
      <c r="P459" s="3" t="str">
        <f>"2170812574                    "</f>
        <v xml:space="preserve">2170812574                    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15.46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1</v>
      </c>
      <c r="BI459" s="3">
        <v>1</v>
      </c>
      <c r="BJ459" s="3">
        <v>0.2</v>
      </c>
      <c r="BK459" s="3">
        <v>1</v>
      </c>
      <c r="BL459" s="3">
        <v>59</v>
      </c>
      <c r="BM459" s="3">
        <v>8.85</v>
      </c>
      <c r="BN459" s="3">
        <v>67.849999999999994</v>
      </c>
      <c r="BO459" s="3">
        <v>67.849999999999994</v>
      </c>
      <c r="BQ459" s="3" t="s">
        <v>89</v>
      </c>
      <c r="BR459" s="3" t="s">
        <v>84</v>
      </c>
      <c r="BS459" s="4">
        <v>44574</v>
      </c>
      <c r="BT459" s="5">
        <v>0.43124999999999997</v>
      </c>
      <c r="BU459" s="3" t="s">
        <v>570</v>
      </c>
      <c r="BV459" s="3" t="s">
        <v>105</v>
      </c>
      <c r="BY459" s="3">
        <v>1200</v>
      </c>
      <c r="BZ459" s="3" t="s">
        <v>165</v>
      </c>
      <c r="CA459" s="3" t="s">
        <v>571</v>
      </c>
      <c r="CC459" s="3" t="s">
        <v>196</v>
      </c>
      <c r="CD459" s="3">
        <v>4302</v>
      </c>
      <c r="CE459" s="3" t="s">
        <v>93</v>
      </c>
      <c r="CF459" s="4">
        <v>44574</v>
      </c>
      <c r="CI459" s="3">
        <v>1</v>
      </c>
      <c r="CJ459" s="3">
        <v>1</v>
      </c>
      <c r="CK459" s="3">
        <v>21</v>
      </c>
      <c r="CL459" s="3" t="s">
        <v>87</v>
      </c>
    </row>
    <row r="460" spans="1:90" x14ac:dyDescent="0.2">
      <c r="A460" s="3" t="s">
        <v>72</v>
      </c>
      <c r="B460" s="3" t="s">
        <v>73</v>
      </c>
      <c r="C460" s="3" t="s">
        <v>74</v>
      </c>
      <c r="E460" s="3" t="str">
        <f>"FES1162843643"</f>
        <v>FES1162843643</v>
      </c>
      <c r="F460" s="4">
        <v>44573</v>
      </c>
      <c r="G460" s="3">
        <v>202207</v>
      </c>
      <c r="H460" s="3" t="s">
        <v>75</v>
      </c>
      <c r="I460" s="3" t="s">
        <v>76</v>
      </c>
      <c r="J460" s="3" t="s">
        <v>77</v>
      </c>
      <c r="K460" s="3" t="s">
        <v>78</v>
      </c>
      <c r="L460" s="3" t="s">
        <v>171</v>
      </c>
      <c r="M460" s="3" t="s">
        <v>172</v>
      </c>
      <c r="N460" s="3" t="s">
        <v>174</v>
      </c>
      <c r="O460" s="3" t="s">
        <v>82</v>
      </c>
      <c r="P460" s="3" t="str">
        <f>"2170809895                    "</f>
        <v xml:space="preserve">2170809895                    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15.46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1</v>
      </c>
      <c r="BI460" s="3">
        <v>1</v>
      </c>
      <c r="BJ460" s="3">
        <v>0.2</v>
      </c>
      <c r="BK460" s="3">
        <v>1</v>
      </c>
      <c r="BL460" s="3">
        <v>59</v>
      </c>
      <c r="BM460" s="3">
        <v>8.85</v>
      </c>
      <c r="BN460" s="3">
        <v>67.849999999999994</v>
      </c>
      <c r="BO460" s="3">
        <v>67.849999999999994</v>
      </c>
      <c r="BQ460" s="3" t="s">
        <v>83</v>
      </c>
      <c r="BR460" s="3" t="s">
        <v>84</v>
      </c>
      <c r="BS460" s="4">
        <v>44574</v>
      </c>
      <c r="BT460" s="5">
        <v>0.55972222222222223</v>
      </c>
      <c r="BU460" s="3" t="s">
        <v>820</v>
      </c>
      <c r="BV460" s="3" t="s">
        <v>87</v>
      </c>
      <c r="BW460" s="3" t="s">
        <v>457</v>
      </c>
      <c r="BX460" s="3" t="s">
        <v>458</v>
      </c>
      <c r="BY460" s="3">
        <v>1200</v>
      </c>
      <c r="BZ460" s="3" t="s">
        <v>165</v>
      </c>
      <c r="CA460" s="3" t="s">
        <v>263</v>
      </c>
      <c r="CC460" s="3" t="s">
        <v>172</v>
      </c>
      <c r="CD460" s="3">
        <v>6001</v>
      </c>
      <c r="CE460" s="3" t="s">
        <v>93</v>
      </c>
      <c r="CF460" s="4">
        <v>44574</v>
      </c>
      <c r="CI460" s="3">
        <v>1</v>
      </c>
      <c r="CJ460" s="3">
        <v>1</v>
      </c>
      <c r="CK460" s="3">
        <v>21</v>
      </c>
      <c r="CL460" s="3" t="s">
        <v>87</v>
      </c>
    </row>
    <row r="461" spans="1:90" x14ac:dyDescent="0.2">
      <c r="A461" s="3" t="s">
        <v>72</v>
      </c>
      <c r="B461" s="3" t="s">
        <v>73</v>
      </c>
      <c r="C461" s="3" t="s">
        <v>74</v>
      </c>
      <c r="E461" s="3" t="str">
        <f>"FES1162844734"</f>
        <v>FES1162844734</v>
      </c>
      <c r="F461" s="4">
        <v>44573</v>
      </c>
      <c r="G461" s="3">
        <v>202207</v>
      </c>
      <c r="H461" s="3" t="s">
        <v>75</v>
      </c>
      <c r="I461" s="3" t="s">
        <v>76</v>
      </c>
      <c r="J461" s="3" t="s">
        <v>77</v>
      </c>
      <c r="K461" s="3" t="s">
        <v>78</v>
      </c>
      <c r="L461" s="3" t="s">
        <v>94</v>
      </c>
      <c r="M461" s="3" t="s">
        <v>95</v>
      </c>
      <c r="N461" s="3" t="s">
        <v>96</v>
      </c>
      <c r="O461" s="3" t="s">
        <v>148</v>
      </c>
      <c r="P461" s="3" t="str">
        <f>"2170800288                    "</f>
        <v xml:space="preserve">2170800288                    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32.35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1</v>
      </c>
      <c r="BI461" s="3">
        <v>17</v>
      </c>
      <c r="BJ461" s="3">
        <v>9.1</v>
      </c>
      <c r="BK461" s="3">
        <v>17</v>
      </c>
      <c r="BL461" s="3">
        <v>128.74</v>
      </c>
      <c r="BM461" s="3">
        <v>19.309999999999999</v>
      </c>
      <c r="BN461" s="3">
        <v>148.05000000000001</v>
      </c>
      <c r="BO461" s="3">
        <v>148.05000000000001</v>
      </c>
      <c r="BQ461" s="3" t="s">
        <v>89</v>
      </c>
      <c r="BR461" s="3" t="s">
        <v>84</v>
      </c>
      <c r="BS461" s="4">
        <v>44578</v>
      </c>
      <c r="BT461" s="5">
        <v>0.53402777777777777</v>
      </c>
      <c r="BU461" s="3" t="s">
        <v>821</v>
      </c>
      <c r="BV461" s="3" t="s">
        <v>87</v>
      </c>
      <c r="BW461" s="3" t="s">
        <v>453</v>
      </c>
      <c r="BX461" s="3" t="s">
        <v>279</v>
      </c>
      <c r="BY461" s="3">
        <v>45632</v>
      </c>
      <c r="BZ461" s="3" t="s">
        <v>327</v>
      </c>
      <c r="CC461" s="3" t="s">
        <v>95</v>
      </c>
      <c r="CD461" s="3">
        <v>3201</v>
      </c>
      <c r="CE461" s="3" t="s">
        <v>86</v>
      </c>
      <c r="CF461" s="4">
        <v>44581</v>
      </c>
      <c r="CI461" s="3">
        <v>1</v>
      </c>
      <c r="CJ461" s="3">
        <v>3</v>
      </c>
      <c r="CK461" s="3">
        <v>41</v>
      </c>
      <c r="CL461" s="3" t="s">
        <v>87</v>
      </c>
    </row>
    <row r="462" spans="1:90" x14ac:dyDescent="0.2">
      <c r="A462" s="3" t="s">
        <v>72</v>
      </c>
      <c r="B462" s="3" t="s">
        <v>73</v>
      </c>
      <c r="C462" s="3" t="s">
        <v>74</v>
      </c>
      <c r="E462" s="3" t="str">
        <f>"FES1162844828"</f>
        <v>FES1162844828</v>
      </c>
      <c r="F462" s="4">
        <v>44573</v>
      </c>
      <c r="G462" s="3">
        <v>202207</v>
      </c>
      <c r="H462" s="3" t="s">
        <v>75</v>
      </c>
      <c r="I462" s="3" t="s">
        <v>76</v>
      </c>
      <c r="J462" s="3" t="s">
        <v>77</v>
      </c>
      <c r="K462" s="3" t="s">
        <v>78</v>
      </c>
      <c r="L462" s="3" t="s">
        <v>176</v>
      </c>
      <c r="M462" s="3" t="s">
        <v>177</v>
      </c>
      <c r="N462" s="3" t="s">
        <v>178</v>
      </c>
      <c r="O462" s="3" t="s">
        <v>82</v>
      </c>
      <c r="P462" s="3" t="str">
        <f>"2170814184                    "</f>
        <v xml:space="preserve">2170814184                    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38.630000000000003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1</v>
      </c>
      <c r="BI462" s="3">
        <v>5</v>
      </c>
      <c r="BJ462" s="3">
        <v>4.0999999999999996</v>
      </c>
      <c r="BK462" s="3">
        <v>5</v>
      </c>
      <c r="BL462" s="3">
        <v>147.44999999999999</v>
      </c>
      <c r="BM462" s="3">
        <v>22.12</v>
      </c>
      <c r="BN462" s="3">
        <v>169.57</v>
      </c>
      <c r="BO462" s="3">
        <v>169.57</v>
      </c>
      <c r="BQ462" s="3" t="s">
        <v>83</v>
      </c>
      <c r="BR462" s="3" t="s">
        <v>84</v>
      </c>
      <c r="BS462" s="4">
        <v>44574</v>
      </c>
      <c r="BT462" s="5">
        <v>0.42986111111111108</v>
      </c>
      <c r="BU462" s="3" t="s">
        <v>822</v>
      </c>
      <c r="BV462" s="3" t="s">
        <v>105</v>
      </c>
      <c r="BY462" s="3">
        <v>20358</v>
      </c>
      <c r="BZ462" s="3" t="s">
        <v>165</v>
      </c>
      <c r="CA462" s="3" t="s">
        <v>615</v>
      </c>
      <c r="CC462" s="3" t="s">
        <v>177</v>
      </c>
      <c r="CD462" s="3">
        <v>4026</v>
      </c>
      <c r="CE462" s="3" t="s">
        <v>86</v>
      </c>
      <c r="CF462" s="4">
        <v>44574</v>
      </c>
      <c r="CI462" s="3">
        <v>1</v>
      </c>
      <c r="CJ462" s="3">
        <v>1</v>
      </c>
      <c r="CK462" s="3">
        <v>21</v>
      </c>
      <c r="CL462" s="3" t="s">
        <v>87</v>
      </c>
    </row>
    <row r="463" spans="1:90" x14ac:dyDescent="0.2">
      <c r="A463" s="3" t="s">
        <v>72</v>
      </c>
      <c r="B463" s="3" t="s">
        <v>73</v>
      </c>
      <c r="C463" s="3" t="s">
        <v>74</v>
      </c>
      <c r="E463" s="3" t="str">
        <f>"FES1162844706"</f>
        <v>FES1162844706</v>
      </c>
      <c r="F463" s="4">
        <v>44573</v>
      </c>
      <c r="G463" s="3">
        <v>202207</v>
      </c>
      <c r="H463" s="3" t="s">
        <v>75</v>
      </c>
      <c r="I463" s="3" t="s">
        <v>76</v>
      </c>
      <c r="J463" s="3" t="s">
        <v>77</v>
      </c>
      <c r="K463" s="3" t="s">
        <v>78</v>
      </c>
      <c r="L463" s="3" t="s">
        <v>158</v>
      </c>
      <c r="M463" s="3" t="s">
        <v>159</v>
      </c>
      <c r="N463" s="3" t="s">
        <v>823</v>
      </c>
      <c r="O463" s="3" t="s">
        <v>148</v>
      </c>
      <c r="P463" s="3" t="str">
        <f>"2170816293                    "</f>
        <v xml:space="preserve">2170816293                    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25.76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1</v>
      </c>
      <c r="BI463" s="3">
        <v>17</v>
      </c>
      <c r="BJ463" s="3">
        <v>18.3</v>
      </c>
      <c r="BK463" s="3">
        <v>19</v>
      </c>
      <c r="BL463" s="3">
        <v>103.58</v>
      </c>
      <c r="BM463" s="3">
        <v>15.54</v>
      </c>
      <c r="BN463" s="3">
        <v>119.12</v>
      </c>
      <c r="BO463" s="3">
        <v>119.12</v>
      </c>
      <c r="BQ463" s="3" t="s">
        <v>89</v>
      </c>
      <c r="BR463" s="3" t="s">
        <v>84</v>
      </c>
      <c r="BS463" s="4">
        <v>44574</v>
      </c>
      <c r="BT463" s="5">
        <v>0.34583333333333338</v>
      </c>
      <c r="BU463" s="3" t="s">
        <v>824</v>
      </c>
      <c r="BV463" s="3" t="s">
        <v>105</v>
      </c>
      <c r="BY463" s="3">
        <v>91264</v>
      </c>
      <c r="BZ463" s="3" t="s">
        <v>327</v>
      </c>
      <c r="CA463" s="3" t="s">
        <v>825</v>
      </c>
      <c r="CC463" s="3" t="s">
        <v>159</v>
      </c>
      <c r="CD463" s="3">
        <v>1459</v>
      </c>
      <c r="CE463" s="3" t="s">
        <v>86</v>
      </c>
      <c r="CF463" s="4">
        <v>44574</v>
      </c>
      <c r="CI463" s="3">
        <v>1</v>
      </c>
      <c r="CJ463" s="3">
        <v>1</v>
      </c>
      <c r="CK463" s="3">
        <v>42</v>
      </c>
      <c r="CL463" s="3" t="s">
        <v>87</v>
      </c>
    </row>
    <row r="464" spans="1:90" x14ac:dyDescent="0.2">
      <c r="A464" s="3" t="s">
        <v>72</v>
      </c>
      <c r="B464" s="3" t="s">
        <v>73</v>
      </c>
      <c r="C464" s="3" t="s">
        <v>74</v>
      </c>
      <c r="E464" s="3" t="str">
        <f>"FES1162844881"</f>
        <v>FES1162844881</v>
      </c>
      <c r="F464" s="4">
        <v>44573</v>
      </c>
      <c r="G464" s="3">
        <v>202207</v>
      </c>
      <c r="H464" s="3" t="s">
        <v>75</v>
      </c>
      <c r="I464" s="3" t="s">
        <v>76</v>
      </c>
      <c r="J464" s="3" t="s">
        <v>77</v>
      </c>
      <c r="K464" s="3" t="s">
        <v>78</v>
      </c>
      <c r="L464" s="3" t="s">
        <v>90</v>
      </c>
      <c r="M464" s="3" t="s">
        <v>91</v>
      </c>
      <c r="N464" s="3" t="s">
        <v>157</v>
      </c>
      <c r="O464" s="3" t="s">
        <v>82</v>
      </c>
      <c r="P464" s="3" t="str">
        <f>"2170816452                    "</f>
        <v xml:space="preserve">2170816452                    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108.15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1</v>
      </c>
      <c r="BI464" s="3">
        <v>14</v>
      </c>
      <c r="BJ464" s="3">
        <v>2.8</v>
      </c>
      <c r="BK464" s="3">
        <v>14</v>
      </c>
      <c r="BL464" s="3">
        <v>412.81</v>
      </c>
      <c r="BM464" s="3">
        <v>61.92</v>
      </c>
      <c r="BN464" s="3">
        <v>474.73</v>
      </c>
      <c r="BO464" s="3">
        <v>474.73</v>
      </c>
      <c r="BQ464" s="3" t="s">
        <v>89</v>
      </c>
      <c r="BR464" s="3" t="s">
        <v>84</v>
      </c>
      <c r="BS464" s="4">
        <v>44574</v>
      </c>
      <c r="BT464" s="5">
        <v>0.41666666666666669</v>
      </c>
      <c r="BU464" s="3" t="s">
        <v>818</v>
      </c>
      <c r="BV464" s="3" t="s">
        <v>105</v>
      </c>
      <c r="BY464" s="3">
        <v>14098</v>
      </c>
      <c r="BZ464" s="3" t="s">
        <v>165</v>
      </c>
      <c r="CC464" s="3" t="s">
        <v>91</v>
      </c>
      <c r="CD464" s="3">
        <v>7441</v>
      </c>
      <c r="CE464" s="3" t="s">
        <v>86</v>
      </c>
      <c r="CF464" s="4">
        <v>44575</v>
      </c>
      <c r="CI464" s="3">
        <v>1</v>
      </c>
      <c r="CJ464" s="3">
        <v>1</v>
      </c>
      <c r="CK464" s="3">
        <v>21</v>
      </c>
      <c r="CL464" s="3" t="s">
        <v>87</v>
      </c>
    </row>
    <row r="465" spans="1:90" x14ac:dyDescent="0.2">
      <c r="A465" s="3" t="s">
        <v>72</v>
      </c>
      <c r="B465" s="3" t="s">
        <v>73</v>
      </c>
      <c r="C465" s="3" t="s">
        <v>74</v>
      </c>
      <c r="E465" s="3" t="str">
        <f>"FES1162843559"</f>
        <v>FES1162843559</v>
      </c>
      <c r="F465" s="4">
        <v>44573</v>
      </c>
      <c r="G465" s="3">
        <v>202207</v>
      </c>
      <c r="H465" s="3" t="s">
        <v>75</v>
      </c>
      <c r="I465" s="3" t="s">
        <v>76</v>
      </c>
      <c r="J465" s="3" t="s">
        <v>77</v>
      </c>
      <c r="K465" s="3" t="s">
        <v>78</v>
      </c>
      <c r="L465" s="3" t="s">
        <v>529</v>
      </c>
      <c r="M465" s="3" t="s">
        <v>530</v>
      </c>
      <c r="N465" s="3" t="s">
        <v>531</v>
      </c>
      <c r="O465" s="3" t="s">
        <v>82</v>
      </c>
      <c r="P465" s="3" t="str">
        <f>"2170813615                    "</f>
        <v xml:space="preserve">2170813615                    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36.71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1</v>
      </c>
      <c r="BI465" s="3">
        <v>1</v>
      </c>
      <c r="BJ465" s="3">
        <v>2.5</v>
      </c>
      <c r="BK465" s="3">
        <v>2.5</v>
      </c>
      <c r="BL465" s="3">
        <v>140.12</v>
      </c>
      <c r="BM465" s="3">
        <v>21.02</v>
      </c>
      <c r="BN465" s="3">
        <v>161.13999999999999</v>
      </c>
      <c r="BO465" s="3">
        <v>161.13999999999999</v>
      </c>
      <c r="BQ465" s="3" t="s">
        <v>83</v>
      </c>
      <c r="BR465" s="3" t="s">
        <v>84</v>
      </c>
      <c r="BS465" s="4">
        <v>44574</v>
      </c>
      <c r="BT465" s="5">
        <v>0.44861111111111113</v>
      </c>
      <c r="BU465" s="3" t="s">
        <v>826</v>
      </c>
      <c r="BV465" s="3" t="s">
        <v>105</v>
      </c>
      <c r="BY465" s="3">
        <v>12288</v>
      </c>
      <c r="BZ465" s="3" t="s">
        <v>165</v>
      </c>
      <c r="CA465" s="3" t="s">
        <v>328</v>
      </c>
      <c r="CC465" s="3" t="s">
        <v>530</v>
      </c>
      <c r="CD465" s="3">
        <v>6500</v>
      </c>
      <c r="CE465" s="3" t="s">
        <v>86</v>
      </c>
      <c r="CF465" s="4">
        <v>44574</v>
      </c>
      <c r="CI465" s="3">
        <v>1</v>
      </c>
      <c r="CJ465" s="3">
        <v>1</v>
      </c>
      <c r="CK465" s="3">
        <v>23</v>
      </c>
      <c r="CL465" s="3" t="s">
        <v>87</v>
      </c>
    </row>
    <row r="466" spans="1:90" x14ac:dyDescent="0.2">
      <c r="A466" s="3" t="s">
        <v>72</v>
      </c>
      <c r="B466" s="3" t="s">
        <v>73</v>
      </c>
      <c r="C466" s="3" t="s">
        <v>74</v>
      </c>
      <c r="E466" s="3" t="str">
        <f>"FES1162844850"</f>
        <v>FES1162844850</v>
      </c>
      <c r="F466" s="4">
        <v>44573</v>
      </c>
      <c r="G466" s="3">
        <v>202207</v>
      </c>
      <c r="H466" s="3" t="s">
        <v>75</v>
      </c>
      <c r="I466" s="3" t="s">
        <v>76</v>
      </c>
      <c r="J466" s="3" t="s">
        <v>77</v>
      </c>
      <c r="K466" s="3" t="s">
        <v>78</v>
      </c>
      <c r="L466" s="3" t="s">
        <v>90</v>
      </c>
      <c r="M466" s="3" t="s">
        <v>91</v>
      </c>
      <c r="N466" s="3" t="s">
        <v>827</v>
      </c>
      <c r="O466" s="3" t="s">
        <v>82</v>
      </c>
      <c r="P466" s="3" t="str">
        <f>"2170816337                    "</f>
        <v xml:space="preserve">2170816337                    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50.22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0</v>
      </c>
      <c r="AZ466" s="3">
        <v>0</v>
      </c>
      <c r="BA466" s="3">
        <v>0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3">
        <v>1</v>
      </c>
      <c r="BI466" s="3">
        <v>5</v>
      </c>
      <c r="BJ466" s="3">
        <v>6.1</v>
      </c>
      <c r="BK466" s="3">
        <v>6.5</v>
      </c>
      <c r="BL466" s="3">
        <v>191.68</v>
      </c>
      <c r="BM466" s="3">
        <v>28.75</v>
      </c>
      <c r="BN466" s="3">
        <v>220.43</v>
      </c>
      <c r="BO466" s="3">
        <v>220.43</v>
      </c>
      <c r="BQ466" s="3" t="s">
        <v>83</v>
      </c>
      <c r="BR466" s="3" t="s">
        <v>84</v>
      </c>
      <c r="BS466" s="4">
        <v>44574</v>
      </c>
      <c r="BT466" s="5">
        <v>0.3354166666666667</v>
      </c>
      <c r="BU466" s="3" t="s">
        <v>828</v>
      </c>
      <c r="BV466" s="3" t="s">
        <v>105</v>
      </c>
      <c r="BY466" s="3">
        <v>30720</v>
      </c>
      <c r="BZ466" s="3" t="s">
        <v>165</v>
      </c>
      <c r="CA466" s="3" t="s">
        <v>829</v>
      </c>
      <c r="CC466" s="3" t="s">
        <v>91</v>
      </c>
      <c r="CD466" s="3">
        <v>7499</v>
      </c>
      <c r="CE466" s="3" t="s">
        <v>86</v>
      </c>
      <c r="CF466" s="4">
        <v>44575</v>
      </c>
      <c r="CI466" s="3">
        <v>1</v>
      </c>
      <c r="CJ466" s="3">
        <v>1</v>
      </c>
      <c r="CK466" s="3">
        <v>21</v>
      </c>
      <c r="CL466" s="3" t="s">
        <v>87</v>
      </c>
    </row>
    <row r="467" spans="1:90" x14ac:dyDescent="0.2">
      <c r="A467" s="3" t="s">
        <v>72</v>
      </c>
      <c r="B467" s="3" t="s">
        <v>73</v>
      </c>
      <c r="C467" s="3" t="s">
        <v>74</v>
      </c>
      <c r="E467" s="3" t="str">
        <f>"FES1162844636"</f>
        <v>FES1162844636</v>
      </c>
      <c r="F467" s="4">
        <v>44573</v>
      </c>
      <c r="G467" s="3">
        <v>202207</v>
      </c>
      <c r="H467" s="3" t="s">
        <v>75</v>
      </c>
      <c r="I467" s="3" t="s">
        <v>76</v>
      </c>
      <c r="J467" s="3" t="s">
        <v>77</v>
      </c>
      <c r="K467" s="3" t="s">
        <v>78</v>
      </c>
      <c r="L467" s="3" t="s">
        <v>472</v>
      </c>
      <c r="M467" s="3" t="s">
        <v>473</v>
      </c>
      <c r="N467" s="3" t="s">
        <v>474</v>
      </c>
      <c r="O467" s="3" t="s">
        <v>82</v>
      </c>
      <c r="P467" s="3" t="str">
        <f>"2170814670                    "</f>
        <v xml:space="preserve">2170814670                    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29.95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1</v>
      </c>
      <c r="BI467" s="3">
        <v>1</v>
      </c>
      <c r="BJ467" s="3">
        <v>1.1000000000000001</v>
      </c>
      <c r="BK467" s="3">
        <v>1.5</v>
      </c>
      <c r="BL467" s="3">
        <v>114.31</v>
      </c>
      <c r="BM467" s="3">
        <v>17.149999999999999</v>
      </c>
      <c r="BN467" s="3">
        <v>131.46</v>
      </c>
      <c r="BO467" s="3">
        <v>131.46</v>
      </c>
      <c r="BQ467" s="3" t="s">
        <v>83</v>
      </c>
      <c r="BR467" s="3" t="s">
        <v>84</v>
      </c>
      <c r="BS467" s="4">
        <v>44574</v>
      </c>
      <c r="BT467" s="5">
        <v>0.43888888888888888</v>
      </c>
      <c r="BU467" s="3" t="s">
        <v>830</v>
      </c>
      <c r="BV467" s="3" t="s">
        <v>105</v>
      </c>
      <c r="BY467" s="3">
        <v>5320</v>
      </c>
      <c r="BZ467" s="3" t="s">
        <v>165</v>
      </c>
      <c r="CA467" s="3" t="s">
        <v>831</v>
      </c>
      <c r="CC467" s="3" t="s">
        <v>473</v>
      </c>
      <c r="CD467" s="3">
        <v>5257</v>
      </c>
      <c r="CE467" s="3" t="s">
        <v>86</v>
      </c>
      <c r="CF467" s="4">
        <v>44574</v>
      </c>
      <c r="CI467" s="3">
        <v>1</v>
      </c>
      <c r="CJ467" s="3">
        <v>1</v>
      </c>
      <c r="CK467" s="3">
        <v>23</v>
      </c>
      <c r="CL467" s="3" t="s">
        <v>87</v>
      </c>
    </row>
    <row r="468" spans="1:90" x14ac:dyDescent="0.2">
      <c r="A468" s="3" t="s">
        <v>72</v>
      </c>
      <c r="B468" s="3" t="s">
        <v>73</v>
      </c>
      <c r="C468" s="3" t="s">
        <v>74</v>
      </c>
      <c r="E468" s="3" t="str">
        <f>"FES1162843654"</f>
        <v>FES1162843654</v>
      </c>
      <c r="F468" s="4">
        <v>44573</v>
      </c>
      <c r="G468" s="3">
        <v>202207</v>
      </c>
      <c r="H468" s="3" t="s">
        <v>75</v>
      </c>
      <c r="I468" s="3" t="s">
        <v>76</v>
      </c>
      <c r="J468" s="3" t="s">
        <v>77</v>
      </c>
      <c r="K468" s="3" t="s">
        <v>78</v>
      </c>
      <c r="L468" s="3" t="s">
        <v>171</v>
      </c>
      <c r="M468" s="3" t="s">
        <v>172</v>
      </c>
      <c r="N468" s="3" t="s">
        <v>200</v>
      </c>
      <c r="O468" s="3" t="s">
        <v>82</v>
      </c>
      <c r="P468" s="3" t="str">
        <f>"2170813173                    "</f>
        <v xml:space="preserve">2170813173                    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15.46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0</v>
      </c>
      <c r="AZ468" s="3">
        <v>0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1</v>
      </c>
      <c r="BI468" s="3">
        <v>1</v>
      </c>
      <c r="BJ468" s="3">
        <v>0.2</v>
      </c>
      <c r="BK468" s="3">
        <v>1</v>
      </c>
      <c r="BL468" s="3">
        <v>59</v>
      </c>
      <c r="BM468" s="3">
        <v>8.85</v>
      </c>
      <c r="BN468" s="3">
        <v>67.849999999999994</v>
      </c>
      <c r="BO468" s="3">
        <v>67.849999999999994</v>
      </c>
      <c r="BQ468" s="3" t="s">
        <v>89</v>
      </c>
      <c r="BR468" s="3" t="s">
        <v>84</v>
      </c>
      <c r="BS468" s="4">
        <v>44574</v>
      </c>
      <c r="BT468" s="5">
        <v>0.41666666666666669</v>
      </c>
      <c r="BU468" s="3" t="s">
        <v>813</v>
      </c>
      <c r="BV468" s="3" t="s">
        <v>105</v>
      </c>
      <c r="BY468" s="3">
        <v>1200</v>
      </c>
      <c r="BZ468" s="3" t="s">
        <v>165</v>
      </c>
      <c r="CA468" s="3" t="s">
        <v>814</v>
      </c>
      <c r="CC468" s="3" t="s">
        <v>172</v>
      </c>
      <c r="CD468" s="3">
        <v>6001</v>
      </c>
      <c r="CE468" s="3" t="s">
        <v>93</v>
      </c>
      <c r="CF468" s="4">
        <v>44575</v>
      </c>
      <c r="CI468" s="3">
        <v>1</v>
      </c>
      <c r="CJ468" s="3">
        <v>1</v>
      </c>
      <c r="CK468" s="3">
        <v>21</v>
      </c>
      <c r="CL468" s="3" t="s">
        <v>87</v>
      </c>
    </row>
    <row r="469" spans="1:90" x14ac:dyDescent="0.2">
      <c r="A469" s="3" t="s">
        <v>72</v>
      </c>
      <c r="B469" s="3" t="s">
        <v>73</v>
      </c>
      <c r="C469" s="3" t="s">
        <v>74</v>
      </c>
      <c r="E469" s="3" t="str">
        <f>"FES1162844707"</f>
        <v>FES1162844707</v>
      </c>
      <c r="F469" s="4">
        <v>44573</v>
      </c>
      <c r="G469" s="3">
        <v>202207</v>
      </c>
      <c r="H469" s="3" t="s">
        <v>75</v>
      </c>
      <c r="I469" s="3" t="s">
        <v>76</v>
      </c>
      <c r="J469" s="3" t="s">
        <v>77</v>
      </c>
      <c r="K469" s="3" t="s">
        <v>78</v>
      </c>
      <c r="L469" s="3" t="s">
        <v>101</v>
      </c>
      <c r="M469" s="3" t="s">
        <v>102</v>
      </c>
      <c r="N469" s="3" t="s">
        <v>103</v>
      </c>
      <c r="O469" s="3" t="s">
        <v>82</v>
      </c>
      <c r="P469" s="3" t="str">
        <f>"2170816294                    "</f>
        <v xml:space="preserve">2170816294                    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92.7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1</v>
      </c>
      <c r="BI469" s="3">
        <v>12</v>
      </c>
      <c r="BJ469" s="3">
        <v>6.9</v>
      </c>
      <c r="BK469" s="3">
        <v>12</v>
      </c>
      <c r="BL469" s="3">
        <v>353.84</v>
      </c>
      <c r="BM469" s="3">
        <v>53.08</v>
      </c>
      <c r="BN469" s="3">
        <v>406.92</v>
      </c>
      <c r="BO469" s="3">
        <v>406.92</v>
      </c>
      <c r="BQ469" s="3" t="s">
        <v>83</v>
      </c>
      <c r="BR469" s="3" t="s">
        <v>84</v>
      </c>
      <c r="BS469" s="4">
        <v>44574</v>
      </c>
      <c r="BT469" s="5">
        <v>0.40833333333333338</v>
      </c>
      <c r="BU469" s="3" t="s">
        <v>463</v>
      </c>
      <c r="BV469" s="3" t="s">
        <v>105</v>
      </c>
      <c r="BY469" s="3">
        <v>34656</v>
      </c>
      <c r="BZ469" s="3" t="s">
        <v>165</v>
      </c>
      <c r="CA469" s="3" t="s">
        <v>334</v>
      </c>
      <c r="CC469" s="3" t="s">
        <v>102</v>
      </c>
      <c r="CD469" s="3">
        <v>4001</v>
      </c>
      <c r="CE469" s="3" t="s">
        <v>86</v>
      </c>
      <c r="CF469" s="4">
        <v>44574</v>
      </c>
      <c r="CI469" s="3">
        <v>1</v>
      </c>
      <c r="CJ469" s="3">
        <v>1</v>
      </c>
      <c r="CK469" s="3">
        <v>21</v>
      </c>
      <c r="CL469" s="3" t="s">
        <v>87</v>
      </c>
    </row>
    <row r="470" spans="1:90" x14ac:dyDescent="0.2">
      <c r="A470" s="3" t="s">
        <v>72</v>
      </c>
      <c r="B470" s="3" t="s">
        <v>73</v>
      </c>
      <c r="C470" s="3" t="s">
        <v>74</v>
      </c>
      <c r="E470" s="3" t="str">
        <f>"FES1162844942"</f>
        <v>FES1162844942</v>
      </c>
      <c r="F470" s="4">
        <v>44573</v>
      </c>
      <c r="G470" s="3">
        <v>202207</v>
      </c>
      <c r="H470" s="3" t="s">
        <v>75</v>
      </c>
      <c r="I470" s="3" t="s">
        <v>76</v>
      </c>
      <c r="J470" s="3" t="s">
        <v>77</v>
      </c>
      <c r="K470" s="3" t="s">
        <v>78</v>
      </c>
      <c r="L470" s="3" t="s">
        <v>158</v>
      </c>
      <c r="M470" s="3" t="s">
        <v>159</v>
      </c>
      <c r="N470" s="3" t="s">
        <v>832</v>
      </c>
      <c r="O470" s="3" t="s">
        <v>82</v>
      </c>
      <c r="P470" s="3" t="str">
        <f>"2170815730                    "</f>
        <v xml:space="preserve">2170815730                    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12.07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1</v>
      </c>
      <c r="BI470" s="3">
        <v>2</v>
      </c>
      <c r="BJ470" s="3">
        <v>4.0999999999999996</v>
      </c>
      <c r="BK470" s="3">
        <v>4.5</v>
      </c>
      <c r="BL470" s="3">
        <v>46.08</v>
      </c>
      <c r="BM470" s="3">
        <v>6.91</v>
      </c>
      <c r="BN470" s="3">
        <v>52.99</v>
      </c>
      <c r="BO470" s="3">
        <v>52.99</v>
      </c>
      <c r="BQ470" s="3" t="s">
        <v>83</v>
      </c>
      <c r="BR470" s="3" t="s">
        <v>84</v>
      </c>
      <c r="BS470" s="4">
        <v>44574</v>
      </c>
      <c r="BT470" s="5">
        <v>0.2902777777777778</v>
      </c>
      <c r="BU470" s="3" t="s">
        <v>833</v>
      </c>
      <c r="BV470" s="3" t="s">
        <v>105</v>
      </c>
      <c r="BY470" s="3">
        <v>20358</v>
      </c>
      <c r="BZ470" s="3" t="s">
        <v>165</v>
      </c>
      <c r="CA470" s="3" t="s">
        <v>763</v>
      </c>
      <c r="CC470" s="3" t="s">
        <v>159</v>
      </c>
      <c r="CD470" s="3">
        <v>1460</v>
      </c>
      <c r="CE470" s="3" t="s">
        <v>86</v>
      </c>
      <c r="CF470" s="4">
        <v>44574</v>
      </c>
      <c r="CI470" s="3">
        <v>1</v>
      </c>
      <c r="CJ470" s="3">
        <v>1</v>
      </c>
      <c r="CK470" s="3">
        <v>22</v>
      </c>
      <c r="CL470" s="3" t="s">
        <v>87</v>
      </c>
    </row>
    <row r="471" spans="1:90" x14ac:dyDescent="0.2">
      <c r="A471" s="3" t="s">
        <v>72</v>
      </c>
      <c r="B471" s="3" t="s">
        <v>73</v>
      </c>
      <c r="C471" s="3" t="s">
        <v>74</v>
      </c>
      <c r="E471" s="3" t="str">
        <f>"FES1162844637"</f>
        <v>FES1162844637</v>
      </c>
      <c r="F471" s="4">
        <v>44573</v>
      </c>
      <c r="G471" s="3">
        <v>202207</v>
      </c>
      <c r="H471" s="3" t="s">
        <v>75</v>
      </c>
      <c r="I471" s="3" t="s">
        <v>76</v>
      </c>
      <c r="J471" s="3" t="s">
        <v>77</v>
      </c>
      <c r="K471" s="3" t="s">
        <v>78</v>
      </c>
      <c r="L471" s="3" t="s">
        <v>211</v>
      </c>
      <c r="M471" s="3" t="s">
        <v>212</v>
      </c>
      <c r="N471" s="3" t="s">
        <v>834</v>
      </c>
      <c r="O471" s="3" t="s">
        <v>82</v>
      </c>
      <c r="P471" s="3" t="str">
        <f>"2170814908                    "</f>
        <v xml:space="preserve">2170814908                    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12.07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1</v>
      </c>
      <c r="BI471" s="3">
        <v>2</v>
      </c>
      <c r="BJ471" s="3">
        <v>1.1000000000000001</v>
      </c>
      <c r="BK471" s="3">
        <v>2</v>
      </c>
      <c r="BL471" s="3">
        <v>46.08</v>
      </c>
      <c r="BM471" s="3">
        <v>6.91</v>
      </c>
      <c r="BN471" s="3">
        <v>52.99</v>
      </c>
      <c r="BO471" s="3">
        <v>52.99</v>
      </c>
      <c r="BQ471" s="3" t="s">
        <v>835</v>
      </c>
      <c r="BR471" s="3" t="s">
        <v>84</v>
      </c>
      <c r="BS471" s="4">
        <v>44574</v>
      </c>
      <c r="BT471" s="5">
        <v>0.49722222222222223</v>
      </c>
      <c r="BU471" s="3" t="s">
        <v>836</v>
      </c>
      <c r="BV471" s="3" t="s">
        <v>87</v>
      </c>
      <c r="BW471" s="3" t="s">
        <v>353</v>
      </c>
      <c r="BX471" s="3" t="s">
        <v>377</v>
      </c>
      <c r="BY471" s="3">
        <v>5320</v>
      </c>
      <c r="BZ471" s="3" t="s">
        <v>165</v>
      </c>
      <c r="CA471" s="3" t="s">
        <v>837</v>
      </c>
      <c r="CC471" s="3" t="s">
        <v>212</v>
      </c>
      <c r="CD471" s="3">
        <v>2170</v>
      </c>
      <c r="CE471" s="3" t="s">
        <v>86</v>
      </c>
      <c r="CF471" s="4">
        <v>44575</v>
      </c>
      <c r="CI471" s="3">
        <v>1</v>
      </c>
      <c r="CJ471" s="3">
        <v>1</v>
      </c>
      <c r="CK471" s="3">
        <v>22</v>
      </c>
      <c r="CL471" s="3" t="s">
        <v>87</v>
      </c>
    </row>
    <row r="472" spans="1:90" x14ac:dyDescent="0.2">
      <c r="A472" s="3" t="s">
        <v>72</v>
      </c>
      <c r="B472" s="3" t="s">
        <v>73</v>
      </c>
      <c r="C472" s="3" t="s">
        <v>74</v>
      </c>
      <c r="E472" s="3" t="str">
        <f>"FES1162844898"</f>
        <v>FES1162844898</v>
      </c>
      <c r="F472" s="4">
        <v>44573</v>
      </c>
      <c r="G472" s="3">
        <v>202207</v>
      </c>
      <c r="H472" s="3" t="s">
        <v>75</v>
      </c>
      <c r="I472" s="3" t="s">
        <v>76</v>
      </c>
      <c r="J472" s="3" t="s">
        <v>77</v>
      </c>
      <c r="K472" s="3" t="s">
        <v>78</v>
      </c>
      <c r="L472" s="3" t="s">
        <v>171</v>
      </c>
      <c r="M472" s="3" t="s">
        <v>172</v>
      </c>
      <c r="N472" s="3" t="s">
        <v>838</v>
      </c>
      <c r="O472" s="3" t="s">
        <v>82</v>
      </c>
      <c r="P472" s="3" t="str">
        <f>"2170814329                    "</f>
        <v xml:space="preserve">2170814329                    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27.04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1</v>
      </c>
      <c r="BI472" s="3">
        <v>3</v>
      </c>
      <c r="BJ472" s="3">
        <v>3.4</v>
      </c>
      <c r="BK472" s="3">
        <v>3.5</v>
      </c>
      <c r="BL472" s="3">
        <v>103.22</v>
      </c>
      <c r="BM472" s="3">
        <v>15.48</v>
      </c>
      <c r="BN472" s="3">
        <v>118.7</v>
      </c>
      <c r="BO472" s="3">
        <v>118.7</v>
      </c>
      <c r="BQ472" s="3" t="s">
        <v>83</v>
      </c>
      <c r="BR472" s="3" t="s">
        <v>84</v>
      </c>
      <c r="BS472" s="4">
        <v>44574</v>
      </c>
      <c r="BT472" s="5">
        <v>0.44305555555555554</v>
      </c>
      <c r="BU472" s="3" t="s">
        <v>839</v>
      </c>
      <c r="BV472" s="3" t="s">
        <v>87</v>
      </c>
      <c r="BW472" s="3" t="s">
        <v>457</v>
      </c>
      <c r="BX472" s="3" t="s">
        <v>458</v>
      </c>
      <c r="BY472" s="3">
        <v>17248</v>
      </c>
      <c r="BZ472" s="3" t="s">
        <v>165</v>
      </c>
      <c r="CA472" s="3" t="s">
        <v>328</v>
      </c>
      <c r="CC472" s="3" t="s">
        <v>172</v>
      </c>
      <c r="CD472" s="3">
        <v>6001</v>
      </c>
      <c r="CE472" s="3" t="s">
        <v>86</v>
      </c>
      <c r="CF472" s="4">
        <v>44575</v>
      </c>
      <c r="CI472" s="3">
        <v>1</v>
      </c>
      <c r="CJ472" s="3">
        <v>1</v>
      </c>
      <c r="CK472" s="3">
        <v>21</v>
      </c>
      <c r="CL472" s="3" t="s">
        <v>87</v>
      </c>
    </row>
    <row r="473" spans="1:90" x14ac:dyDescent="0.2">
      <c r="A473" s="3" t="s">
        <v>72</v>
      </c>
      <c r="B473" s="3" t="s">
        <v>73</v>
      </c>
      <c r="C473" s="3" t="s">
        <v>74</v>
      </c>
      <c r="E473" s="3" t="str">
        <f>"FES1162844738"</f>
        <v>FES1162844738</v>
      </c>
      <c r="F473" s="4">
        <v>44573</v>
      </c>
      <c r="G473" s="3">
        <v>202207</v>
      </c>
      <c r="H473" s="3" t="s">
        <v>75</v>
      </c>
      <c r="I473" s="3" t="s">
        <v>76</v>
      </c>
      <c r="J473" s="3" t="s">
        <v>77</v>
      </c>
      <c r="K473" s="3" t="s">
        <v>78</v>
      </c>
      <c r="L473" s="3" t="s">
        <v>101</v>
      </c>
      <c r="M473" s="3" t="s">
        <v>102</v>
      </c>
      <c r="N473" s="3" t="s">
        <v>699</v>
      </c>
      <c r="O473" s="3" t="s">
        <v>82</v>
      </c>
      <c r="P473" s="3" t="str">
        <f>"2170810230                    "</f>
        <v xml:space="preserve">2170810230                    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27.04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1</v>
      </c>
      <c r="BI473" s="3">
        <v>1.9</v>
      </c>
      <c r="BJ473" s="3">
        <v>3.4</v>
      </c>
      <c r="BK473" s="3">
        <v>3.5</v>
      </c>
      <c r="BL473" s="3">
        <v>103.22</v>
      </c>
      <c r="BM473" s="3">
        <v>15.48</v>
      </c>
      <c r="BN473" s="3">
        <v>118.7</v>
      </c>
      <c r="BO473" s="3">
        <v>118.7</v>
      </c>
      <c r="BQ473" s="3" t="s">
        <v>89</v>
      </c>
      <c r="BR473" s="3" t="s">
        <v>84</v>
      </c>
      <c r="BS473" s="4">
        <v>44575</v>
      </c>
      <c r="BT473" s="5">
        <v>0.41875000000000001</v>
      </c>
      <c r="BU473" s="3" t="s">
        <v>840</v>
      </c>
      <c r="BV473" s="3" t="s">
        <v>87</v>
      </c>
      <c r="BW473" s="3" t="s">
        <v>453</v>
      </c>
      <c r="BX473" s="3" t="s">
        <v>841</v>
      </c>
      <c r="BY473" s="3">
        <v>16926</v>
      </c>
      <c r="BZ473" s="3" t="s">
        <v>165</v>
      </c>
      <c r="CC473" s="3" t="s">
        <v>102</v>
      </c>
      <c r="CD473" s="3">
        <v>4001</v>
      </c>
      <c r="CE473" s="3" t="s">
        <v>86</v>
      </c>
      <c r="CF473" s="4">
        <v>44579</v>
      </c>
      <c r="CI473" s="3">
        <v>1</v>
      </c>
      <c r="CJ473" s="3">
        <v>2</v>
      </c>
      <c r="CK473" s="3">
        <v>21</v>
      </c>
      <c r="CL473" s="3" t="s">
        <v>87</v>
      </c>
    </row>
    <row r="474" spans="1:90" x14ac:dyDescent="0.2">
      <c r="A474" s="3" t="s">
        <v>72</v>
      </c>
      <c r="B474" s="3" t="s">
        <v>73</v>
      </c>
      <c r="C474" s="3" t="s">
        <v>74</v>
      </c>
      <c r="E474" s="3" t="str">
        <f>"FES1162844921"</f>
        <v>FES1162844921</v>
      </c>
      <c r="F474" s="4">
        <v>44573</v>
      </c>
      <c r="G474" s="3">
        <v>202207</v>
      </c>
      <c r="H474" s="3" t="s">
        <v>75</v>
      </c>
      <c r="I474" s="3" t="s">
        <v>76</v>
      </c>
      <c r="J474" s="3" t="s">
        <v>77</v>
      </c>
      <c r="K474" s="3" t="s">
        <v>78</v>
      </c>
      <c r="L474" s="3" t="s">
        <v>75</v>
      </c>
      <c r="M474" s="3" t="s">
        <v>76</v>
      </c>
      <c r="N474" s="3" t="s">
        <v>224</v>
      </c>
      <c r="O474" s="3" t="s">
        <v>82</v>
      </c>
      <c r="P474" s="3" t="str">
        <f>"2170816484                    "</f>
        <v xml:space="preserve">2170816484                    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12.07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1</v>
      </c>
      <c r="BI474" s="3">
        <v>2</v>
      </c>
      <c r="BJ474" s="3">
        <v>0.9</v>
      </c>
      <c r="BK474" s="3">
        <v>2</v>
      </c>
      <c r="BL474" s="3">
        <v>46.08</v>
      </c>
      <c r="BM474" s="3">
        <v>6.91</v>
      </c>
      <c r="BN474" s="3">
        <v>52.99</v>
      </c>
      <c r="BO474" s="3">
        <v>52.99</v>
      </c>
      <c r="BQ474" s="3" t="s">
        <v>83</v>
      </c>
      <c r="BR474" s="3" t="s">
        <v>84</v>
      </c>
      <c r="BS474" s="4">
        <v>44574</v>
      </c>
      <c r="BT474" s="5">
        <v>0.37083333333333335</v>
      </c>
      <c r="BU474" s="3" t="s">
        <v>347</v>
      </c>
      <c r="BV474" s="3" t="s">
        <v>105</v>
      </c>
      <c r="BY474" s="3">
        <v>4560</v>
      </c>
      <c r="BZ474" s="3" t="s">
        <v>165</v>
      </c>
      <c r="CA474" s="3" t="s">
        <v>227</v>
      </c>
      <c r="CC474" s="3" t="s">
        <v>76</v>
      </c>
      <c r="CD474" s="3">
        <v>1600</v>
      </c>
      <c r="CE474" s="3" t="s">
        <v>86</v>
      </c>
      <c r="CF474" s="4">
        <v>44574</v>
      </c>
      <c r="CI474" s="3">
        <v>1</v>
      </c>
      <c r="CJ474" s="3">
        <v>1</v>
      </c>
      <c r="CK474" s="3">
        <v>22</v>
      </c>
      <c r="CL474" s="3" t="s">
        <v>87</v>
      </c>
    </row>
    <row r="475" spans="1:90" x14ac:dyDescent="0.2">
      <c r="A475" s="3" t="s">
        <v>72</v>
      </c>
      <c r="B475" s="3" t="s">
        <v>73</v>
      </c>
      <c r="C475" s="3" t="s">
        <v>74</v>
      </c>
      <c r="E475" s="3" t="str">
        <f>"FES1162844674"</f>
        <v>FES1162844674</v>
      </c>
      <c r="F475" s="4">
        <v>44573</v>
      </c>
      <c r="G475" s="3">
        <v>202207</v>
      </c>
      <c r="H475" s="3" t="s">
        <v>75</v>
      </c>
      <c r="I475" s="3" t="s">
        <v>76</v>
      </c>
      <c r="J475" s="3" t="s">
        <v>77</v>
      </c>
      <c r="K475" s="3" t="s">
        <v>78</v>
      </c>
      <c r="L475" s="3" t="s">
        <v>75</v>
      </c>
      <c r="M475" s="3" t="s">
        <v>76</v>
      </c>
      <c r="N475" s="3" t="s">
        <v>224</v>
      </c>
      <c r="O475" s="3" t="s">
        <v>82</v>
      </c>
      <c r="P475" s="3" t="str">
        <f>"2170816251                    "</f>
        <v xml:space="preserve">2170816251                    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12.07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1</v>
      </c>
      <c r="BI475" s="3">
        <v>1</v>
      </c>
      <c r="BJ475" s="3">
        <v>1.1000000000000001</v>
      </c>
      <c r="BK475" s="3">
        <v>1.5</v>
      </c>
      <c r="BL475" s="3">
        <v>46.08</v>
      </c>
      <c r="BM475" s="3">
        <v>6.91</v>
      </c>
      <c r="BN475" s="3">
        <v>52.99</v>
      </c>
      <c r="BO475" s="3">
        <v>52.99</v>
      </c>
      <c r="BQ475" s="3" t="s">
        <v>83</v>
      </c>
      <c r="BR475" s="3" t="s">
        <v>84</v>
      </c>
      <c r="BS475" s="4">
        <v>44574</v>
      </c>
      <c r="BT475" s="5">
        <v>0.37083333333333335</v>
      </c>
      <c r="BU475" s="3" t="s">
        <v>347</v>
      </c>
      <c r="BV475" s="3" t="s">
        <v>105</v>
      </c>
      <c r="BY475" s="3">
        <v>5320</v>
      </c>
      <c r="BZ475" s="3" t="s">
        <v>165</v>
      </c>
      <c r="CA475" s="3" t="s">
        <v>227</v>
      </c>
      <c r="CC475" s="3" t="s">
        <v>76</v>
      </c>
      <c r="CD475" s="3">
        <v>1600</v>
      </c>
      <c r="CE475" s="3" t="s">
        <v>86</v>
      </c>
      <c r="CF475" s="4">
        <v>44574</v>
      </c>
      <c r="CI475" s="3">
        <v>1</v>
      </c>
      <c r="CJ475" s="3">
        <v>1</v>
      </c>
      <c r="CK475" s="3">
        <v>22</v>
      </c>
      <c r="CL475" s="3" t="s">
        <v>87</v>
      </c>
    </row>
    <row r="476" spans="1:90" x14ac:dyDescent="0.2">
      <c r="A476" s="3" t="s">
        <v>72</v>
      </c>
      <c r="B476" s="3" t="s">
        <v>73</v>
      </c>
      <c r="C476" s="3" t="s">
        <v>74</v>
      </c>
      <c r="E476" s="3" t="str">
        <f>"FES1162844849"</f>
        <v>FES1162844849</v>
      </c>
      <c r="F476" s="4">
        <v>44573</v>
      </c>
      <c r="G476" s="3">
        <v>202207</v>
      </c>
      <c r="H476" s="3" t="s">
        <v>75</v>
      </c>
      <c r="I476" s="3" t="s">
        <v>76</v>
      </c>
      <c r="J476" s="3" t="s">
        <v>77</v>
      </c>
      <c r="K476" s="3" t="s">
        <v>78</v>
      </c>
      <c r="L476" s="3" t="s">
        <v>90</v>
      </c>
      <c r="M476" s="3" t="s">
        <v>91</v>
      </c>
      <c r="N476" s="3" t="s">
        <v>827</v>
      </c>
      <c r="O476" s="3" t="s">
        <v>82</v>
      </c>
      <c r="P476" s="3" t="str">
        <f>"2170816336                    "</f>
        <v xml:space="preserve">2170816336                    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54.08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1</v>
      </c>
      <c r="BI476" s="3">
        <v>7</v>
      </c>
      <c r="BJ476" s="3">
        <v>6.1</v>
      </c>
      <c r="BK476" s="3">
        <v>7</v>
      </c>
      <c r="BL476" s="3">
        <v>206.42</v>
      </c>
      <c r="BM476" s="3">
        <v>30.96</v>
      </c>
      <c r="BN476" s="3">
        <v>237.38</v>
      </c>
      <c r="BO476" s="3">
        <v>237.38</v>
      </c>
      <c r="BQ476" s="3" t="s">
        <v>83</v>
      </c>
      <c r="BR476" s="3" t="s">
        <v>84</v>
      </c>
      <c r="BS476" s="4">
        <v>44574</v>
      </c>
      <c r="BT476" s="5">
        <v>0.3354166666666667</v>
      </c>
      <c r="BU476" s="3" t="s">
        <v>828</v>
      </c>
      <c r="BV476" s="3" t="s">
        <v>105</v>
      </c>
      <c r="BY476" s="3">
        <v>30720</v>
      </c>
      <c r="BZ476" s="3" t="s">
        <v>165</v>
      </c>
      <c r="CA476" s="3" t="s">
        <v>829</v>
      </c>
      <c r="CC476" s="3" t="s">
        <v>91</v>
      </c>
      <c r="CD476" s="3">
        <v>7499</v>
      </c>
      <c r="CE476" s="3" t="s">
        <v>86</v>
      </c>
      <c r="CF476" s="4">
        <v>44575</v>
      </c>
      <c r="CI476" s="3">
        <v>1</v>
      </c>
      <c r="CJ476" s="3">
        <v>1</v>
      </c>
      <c r="CK476" s="3">
        <v>21</v>
      </c>
      <c r="CL476" s="3" t="s">
        <v>87</v>
      </c>
    </row>
    <row r="477" spans="1:90" x14ac:dyDescent="0.2">
      <c r="A477" s="3" t="s">
        <v>72</v>
      </c>
      <c r="B477" s="3" t="s">
        <v>73</v>
      </c>
      <c r="C477" s="3" t="s">
        <v>74</v>
      </c>
      <c r="E477" s="3" t="str">
        <f>"FES1162844742"</f>
        <v>FES1162844742</v>
      </c>
      <c r="F477" s="4">
        <v>44573</v>
      </c>
      <c r="G477" s="3">
        <v>202207</v>
      </c>
      <c r="H477" s="3" t="s">
        <v>75</v>
      </c>
      <c r="I477" s="3" t="s">
        <v>76</v>
      </c>
      <c r="J477" s="3" t="s">
        <v>77</v>
      </c>
      <c r="K477" s="3" t="s">
        <v>78</v>
      </c>
      <c r="L477" s="3" t="s">
        <v>158</v>
      </c>
      <c r="M477" s="3" t="s">
        <v>159</v>
      </c>
      <c r="N477" s="3" t="s">
        <v>842</v>
      </c>
      <c r="O477" s="3" t="s">
        <v>82</v>
      </c>
      <c r="P477" s="3" t="str">
        <f>"2170815974                    "</f>
        <v xml:space="preserve">2170815974                    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12.07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0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1</v>
      </c>
      <c r="BI477" s="3">
        <v>2</v>
      </c>
      <c r="BJ477" s="3">
        <v>1.1000000000000001</v>
      </c>
      <c r="BK477" s="3">
        <v>2</v>
      </c>
      <c r="BL477" s="3">
        <v>46.08</v>
      </c>
      <c r="BM477" s="3">
        <v>6.91</v>
      </c>
      <c r="BN477" s="3">
        <v>52.99</v>
      </c>
      <c r="BO477" s="3">
        <v>52.99</v>
      </c>
      <c r="BQ477" s="3" t="s">
        <v>843</v>
      </c>
      <c r="BR477" s="3" t="s">
        <v>84</v>
      </c>
      <c r="BS477" s="4">
        <v>44574</v>
      </c>
      <c r="BT477" s="5">
        <v>0.31805555555555554</v>
      </c>
      <c r="BU477" s="3" t="s">
        <v>844</v>
      </c>
      <c r="BV477" s="3" t="s">
        <v>105</v>
      </c>
      <c r="BY477" s="3">
        <v>5320</v>
      </c>
      <c r="BZ477" s="3" t="s">
        <v>165</v>
      </c>
      <c r="CA477" s="3" t="s">
        <v>678</v>
      </c>
      <c r="CC477" s="3" t="s">
        <v>159</v>
      </c>
      <c r="CD477" s="3">
        <v>1459</v>
      </c>
      <c r="CE477" s="3" t="s">
        <v>86</v>
      </c>
      <c r="CF477" s="4">
        <v>44574</v>
      </c>
      <c r="CI477" s="3">
        <v>1</v>
      </c>
      <c r="CJ477" s="3">
        <v>1</v>
      </c>
      <c r="CK477" s="3">
        <v>22</v>
      </c>
      <c r="CL477" s="3" t="s">
        <v>87</v>
      </c>
    </row>
    <row r="478" spans="1:90" x14ac:dyDescent="0.2">
      <c r="A478" s="3" t="s">
        <v>72</v>
      </c>
      <c r="B478" s="3" t="s">
        <v>73</v>
      </c>
      <c r="C478" s="3" t="s">
        <v>74</v>
      </c>
      <c r="E478" s="3" t="str">
        <f>"FES1162844775"</f>
        <v>FES1162844775</v>
      </c>
      <c r="F478" s="4">
        <v>44573</v>
      </c>
      <c r="G478" s="3">
        <v>202207</v>
      </c>
      <c r="H478" s="3" t="s">
        <v>75</v>
      </c>
      <c r="I478" s="3" t="s">
        <v>76</v>
      </c>
      <c r="J478" s="3" t="s">
        <v>77</v>
      </c>
      <c r="K478" s="3" t="s">
        <v>78</v>
      </c>
      <c r="L478" s="3" t="s">
        <v>97</v>
      </c>
      <c r="M478" s="3" t="s">
        <v>98</v>
      </c>
      <c r="N478" s="3" t="s">
        <v>845</v>
      </c>
      <c r="O478" s="3" t="s">
        <v>82</v>
      </c>
      <c r="P478" s="3" t="str">
        <f>"2170816171                    "</f>
        <v xml:space="preserve">2170816171                    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12.07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1</v>
      </c>
      <c r="BI478" s="3">
        <v>1</v>
      </c>
      <c r="BJ478" s="3">
        <v>0.2</v>
      </c>
      <c r="BK478" s="3">
        <v>1</v>
      </c>
      <c r="BL478" s="3">
        <v>46.08</v>
      </c>
      <c r="BM478" s="3">
        <v>6.91</v>
      </c>
      <c r="BN478" s="3">
        <v>52.99</v>
      </c>
      <c r="BO478" s="3">
        <v>52.99</v>
      </c>
      <c r="BQ478" s="3" t="s">
        <v>83</v>
      </c>
      <c r="BR478" s="3" t="s">
        <v>84</v>
      </c>
      <c r="BS478" s="4">
        <v>44574</v>
      </c>
      <c r="BT478" s="5">
        <v>0.37152777777777773</v>
      </c>
      <c r="BU478" s="3" t="s">
        <v>846</v>
      </c>
      <c r="BV478" s="3" t="s">
        <v>105</v>
      </c>
      <c r="BY478" s="3">
        <v>1200</v>
      </c>
      <c r="BZ478" s="3" t="s">
        <v>165</v>
      </c>
      <c r="CA478" s="3" t="s">
        <v>847</v>
      </c>
      <c r="CC478" s="3" t="s">
        <v>98</v>
      </c>
      <c r="CD478" s="3">
        <v>2091</v>
      </c>
      <c r="CE478" s="3" t="s">
        <v>93</v>
      </c>
      <c r="CF478" s="4">
        <v>44574</v>
      </c>
      <c r="CI478" s="3">
        <v>1</v>
      </c>
      <c r="CJ478" s="3">
        <v>1</v>
      </c>
      <c r="CK478" s="3">
        <v>22</v>
      </c>
      <c r="CL478" s="3" t="s">
        <v>87</v>
      </c>
    </row>
    <row r="479" spans="1:90" x14ac:dyDescent="0.2">
      <c r="A479" s="3" t="s">
        <v>72</v>
      </c>
      <c r="B479" s="3" t="s">
        <v>73</v>
      </c>
      <c r="C479" s="3" t="s">
        <v>74</v>
      </c>
      <c r="E479" s="3" t="str">
        <f>"FES1162844717"</f>
        <v>FES1162844717</v>
      </c>
      <c r="F479" s="4">
        <v>44573</v>
      </c>
      <c r="G479" s="3">
        <v>202207</v>
      </c>
      <c r="H479" s="3" t="s">
        <v>75</v>
      </c>
      <c r="I479" s="3" t="s">
        <v>76</v>
      </c>
      <c r="J479" s="3" t="s">
        <v>77</v>
      </c>
      <c r="K479" s="3" t="s">
        <v>78</v>
      </c>
      <c r="L479" s="3" t="s">
        <v>90</v>
      </c>
      <c r="M479" s="3" t="s">
        <v>91</v>
      </c>
      <c r="N479" s="3" t="s">
        <v>157</v>
      </c>
      <c r="O479" s="3" t="s">
        <v>82</v>
      </c>
      <c r="P479" s="3" t="str">
        <f>"2170816307                    "</f>
        <v xml:space="preserve">2170816307                    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15.46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1</v>
      </c>
      <c r="BI479" s="3">
        <v>1</v>
      </c>
      <c r="BJ479" s="3">
        <v>0.2</v>
      </c>
      <c r="BK479" s="3">
        <v>1</v>
      </c>
      <c r="BL479" s="3">
        <v>59</v>
      </c>
      <c r="BM479" s="3">
        <v>8.85</v>
      </c>
      <c r="BN479" s="3">
        <v>67.849999999999994</v>
      </c>
      <c r="BO479" s="3">
        <v>67.849999999999994</v>
      </c>
      <c r="BQ479" s="3" t="s">
        <v>89</v>
      </c>
      <c r="BR479" s="3" t="s">
        <v>84</v>
      </c>
      <c r="BS479" s="4">
        <v>44574</v>
      </c>
      <c r="BT479" s="5">
        <v>0.41666666666666669</v>
      </c>
      <c r="BU479" s="3" t="s">
        <v>818</v>
      </c>
      <c r="BV479" s="3" t="s">
        <v>105</v>
      </c>
      <c r="BY479" s="3">
        <v>1200</v>
      </c>
      <c r="BZ479" s="3" t="s">
        <v>165</v>
      </c>
      <c r="CC479" s="3" t="s">
        <v>91</v>
      </c>
      <c r="CD479" s="3">
        <v>7441</v>
      </c>
      <c r="CE479" s="3" t="s">
        <v>93</v>
      </c>
      <c r="CF479" s="4">
        <v>44575</v>
      </c>
      <c r="CI479" s="3">
        <v>1</v>
      </c>
      <c r="CJ479" s="3">
        <v>1</v>
      </c>
      <c r="CK479" s="3">
        <v>21</v>
      </c>
      <c r="CL479" s="3" t="s">
        <v>87</v>
      </c>
    </row>
    <row r="480" spans="1:90" x14ac:dyDescent="0.2">
      <c r="A480" s="3" t="s">
        <v>72</v>
      </c>
      <c r="B480" s="3" t="s">
        <v>73</v>
      </c>
      <c r="C480" s="3" t="s">
        <v>74</v>
      </c>
      <c r="E480" s="3" t="str">
        <f>"FES1162844854"</f>
        <v>FES1162844854</v>
      </c>
      <c r="F480" s="4">
        <v>44573</v>
      </c>
      <c r="G480" s="3">
        <v>202207</v>
      </c>
      <c r="H480" s="3" t="s">
        <v>75</v>
      </c>
      <c r="I480" s="3" t="s">
        <v>76</v>
      </c>
      <c r="J480" s="3" t="s">
        <v>77</v>
      </c>
      <c r="K480" s="3" t="s">
        <v>78</v>
      </c>
      <c r="L480" s="3" t="s">
        <v>529</v>
      </c>
      <c r="M480" s="3" t="s">
        <v>530</v>
      </c>
      <c r="N480" s="3" t="s">
        <v>531</v>
      </c>
      <c r="O480" s="3" t="s">
        <v>148</v>
      </c>
      <c r="P480" s="3" t="str">
        <f>"2170816425                    "</f>
        <v xml:space="preserve">2170816425                    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50.78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1</v>
      </c>
      <c r="BI480" s="3">
        <v>6</v>
      </c>
      <c r="BJ480" s="3">
        <v>18.3</v>
      </c>
      <c r="BK480" s="3">
        <v>19</v>
      </c>
      <c r="BL480" s="3">
        <v>199.06</v>
      </c>
      <c r="BM480" s="3">
        <v>29.86</v>
      </c>
      <c r="BN480" s="3">
        <v>228.92</v>
      </c>
      <c r="BO480" s="3">
        <v>228.92</v>
      </c>
      <c r="BQ480" s="3" t="s">
        <v>83</v>
      </c>
      <c r="BR480" s="3" t="s">
        <v>84</v>
      </c>
      <c r="BS480" s="4">
        <v>44575</v>
      </c>
      <c r="BT480" s="5">
        <v>0.51180555555555551</v>
      </c>
      <c r="BU480" s="3" t="s">
        <v>826</v>
      </c>
      <c r="BV480" s="3" t="s">
        <v>105</v>
      </c>
      <c r="BY480" s="3">
        <v>91264</v>
      </c>
      <c r="BZ480" s="3" t="s">
        <v>327</v>
      </c>
      <c r="CA480" s="3" t="s">
        <v>328</v>
      </c>
      <c r="CC480" s="3" t="s">
        <v>530</v>
      </c>
      <c r="CD480" s="3">
        <v>6500</v>
      </c>
      <c r="CE480" s="3" t="s">
        <v>86</v>
      </c>
      <c r="CF480" s="4">
        <v>44576</v>
      </c>
      <c r="CI480" s="3">
        <v>2</v>
      </c>
      <c r="CJ480" s="3">
        <v>2</v>
      </c>
      <c r="CK480" s="3">
        <v>43</v>
      </c>
      <c r="CL480" s="3" t="s">
        <v>87</v>
      </c>
    </row>
    <row r="481" spans="1:90" x14ac:dyDescent="0.2">
      <c r="A481" s="3" t="s">
        <v>72</v>
      </c>
      <c r="B481" s="3" t="s">
        <v>73</v>
      </c>
      <c r="C481" s="3" t="s">
        <v>74</v>
      </c>
      <c r="E481" s="3" t="str">
        <f>"FES1162844741"</f>
        <v>FES1162844741</v>
      </c>
      <c r="F481" s="4">
        <v>44573</v>
      </c>
      <c r="G481" s="3">
        <v>202207</v>
      </c>
      <c r="H481" s="3" t="s">
        <v>75</v>
      </c>
      <c r="I481" s="3" t="s">
        <v>76</v>
      </c>
      <c r="J481" s="3" t="s">
        <v>77</v>
      </c>
      <c r="K481" s="3" t="s">
        <v>78</v>
      </c>
      <c r="L481" s="3" t="s">
        <v>94</v>
      </c>
      <c r="M481" s="3" t="s">
        <v>95</v>
      </c>
      <c r="N481" s="3" t="s">
        <v>96</v>
      </c>
      <c r="O481" s="3" t="s">
        <v>82</v>
      </c>
      <c r="P481" s="3" t="str">
        <f>"2170814778                    "</f>
        <v xml:space="preserve">2170814778                    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46.36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  <c r="BH481" s="3">
        <v>1</v>
      </c>
      <c r="BI481" s="3">
        <v>6</v>
      </c>
      <c r="BJ481" s="3">
        <v>4.0999999999999996</v>
      </c>
      <c r="BK481" s="3">
        <v>6</v>
      </c>
      <c r="BL481" s="3">
        <v>176.94</v>
      </c>
      <c r="BM481" s="3">
        <v>26.54</v>
      </c>
      <c r="BN481" s="3">
        <v>203.48</v>
      </c>
      <c r="BO481" s="3">
        <v>203.48</v>
      </c>
      <c r="BQ481" s="3" t="s">
        <v>89</v>
      </c>
      <c r="BR481" s="3" t="s">
        <v>84</v>
      </c>
      <c r="BS481" s="4">
        <v>44578</v>
      </c>
      <c r="BT481" s="5">
        <v>0.53402777777777777</v>
      </c>
      <c r="BU481" s="3" t="s">
        <v>821</v>
      </c>
      <c r="BV481" s="3" t="s">
        <v>87</v>
      </c>
      <c r="BW481" s="3" t="s">
        <v>453</v>
      </c>
      <c r="BX481" s="3" t="s">
        <v>279</v>
      </c>
      <c r="BY481" s="3">
        <v>20358</v>
      </c>
      <c r="BZ481" s="3" t="s">
        <v>165</v>
      </c>
      <c r="CC481" s="3" t="s">
        <v>95</v>
      </c>
      <c r="CD481" s="3">
        <v>3201</v>
      </c>
      <c r="CE481" s="3" t="s">
        <v>86</v>
      </c>
      <c r="CF481" s="4">
        <v>44581</v>
      </c>
      <c r="CI481" s="3">
        <v>1</v>
      </c>
      <c r="CJ481" s="3">
        <v>3</v>
      </c>
      <c r="CK481" s="3">
        <v>21</v>
      </c>
      <c r="CL481" s="3" t="s">
        <v>87</v>
      </c>
    </row>
    <row r="482" spans="1:90" x14ac:dyDescent="0.2">
      <c r="A482" s="3" t="s">
        <v>72</v>
      </c>
      <c r="B482" s="3" t="s">
        <v>73</v>
      </c>
      <c r="C482" s="3" t="s">
        <v>74</v>
      </c>
      <c r="E482" s="3" t="str">
        <f>"FES1162844808"</f>
        <v>FES1162844808</v>
      </c>
      <c r="F482" s="4">
        <v>44573</v>
      </c>
      <c r="G482" s="3">
        <v>202207</v>
      </c>
      <c r="H482" s="3" t="s">
        <v>75</v>
      </c>
      <c r="I482" s="3" t="s">
        <v>76</v>
      </c>
      <c r="J482" s="3" t="s">
        <v>77</v>
      </c>
      <c r="K482" s="3" t="s">
        <v>78</v>
      </c>
      <c r="L482" s="3" t="s">
        <v>206</v>
      </c>
      <c r="M482" s="3" t="s">
        <v>207</v>
      </c>
      <c r="N482" s="3" t="s">
        <v>445</v>
      </c>
      <c r="O482" s="3" t="s">
        <v>82</v>
      </c>
      <c r="P482" s="3" t="str">
        <f>"2170816366                    "</f>
        <v xml:space="preserve">2170816366                    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21.74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15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1</v>
      </c>
      <c r="BI482" s="3">
        <v>1</v>
      </c>
      <c r="BJ482" s="3">
        <v>2</v>
      </c>
      <c r="BK482" s="3">
        <v>2</v>
      </c>
      <c r="BL482" s="3">
        <v>97.98</v>
      </c>
      <c r="BM482" s="3">
        <v>14.7</v>
      </c>
      <c r="BN482" s="3">
        <v>112.68</v>
      </c>
      <c r="BO482" s="3">
        <v>112.68</v>
      </c>
      <c r="BQ482" s="3" t="s">
        <v>83</v>
      </c>
      <c r="BR482" s="3" t="s">
        <v>84</v>
      </c>
      <c r="BS482" s="4">
        <v>44574</v>
      </c>
      <c r="BT482" s="5">
        <v>0.41666666666666669</v>
      </c>
      <c r="BU482" s="3" t="s">
        <v>848</v>
      </c>
      <c r="BV482" s="3" t="s">
        <v>105</v>
      </c>
      <c r="BY482" s="3">
        <v>9918</v>
      </c>
      <c r="BZ482" s="3" t="s">
        <v>446</v>
      </c>
      <c r="CC482" s="3" t="s">
        <v>207</v>
      </c>
      <c r="CD482" s="3">
        <v>1754</v>
      </c>
      <c r="CE482" s="3" t="s">
        <v>86</v>
      </c>
      <c r="CF482" s="4">
        <v>44575</v>
      </c>
      <c r="CI482" s="3">
        <v>1</v>
      </c>
      <c r="CJ482" s="3">
        <v>1</v>
      </c>
      <c r="CK482" s="3">
        <v>24</v>
      </c>
      <c r="CL482" s="3" t="s">
        <v>87</v>
      </c>
    </row>
    <row r="483" spans="1:90" x14ac:dyDescent="0.2">
      <c r="A483" s="3" t="s">
        <v>72</v>
      </c>
      <c r="B483" s="3" t="s">
        <v>73</v>
      </c>
      <c r="C483" s="3" t="s">
        <v>74</v>
      </c>
      <c r="E483" s="3" t="str">
        <f>"FES1162844678"</f>
        <v>FES1162844678</v>
      </c>
      <c r="F483" s="4">
        <v>44573</v>
      </c>
      <c r="G483" s="3">
        <v>202207</v>
      </c>
      <c r="H483" s="3" t="s">
        <v>75</v>
      </c>
      <c r="I483" s="3" t="s">
        <v>76</v>
      </c>
      <c r="J483" s="3" t="s">
        <v>77</v>
      </c>
      <c r="K483" s="3" t="s">
        <v>78</v>
      </c>
      <c r="L483" s="3" t="s">
        <v>75</v>
      </c>
      <c r="M483" s="3" t="s">
        <v>76</v>
      </c>
      <c r="N483" s="3" t="s">
        <v>147</v>
      </c>
      <c r="O483" s="3" t="s">
        <v>82</v>
      </c>
      <c r="P483" s="3" t="str">
        <f>"2170816257                    "</f>
        <v xml:space="preserve">2170816257                    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12.07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1</v>
      </c>
      <c r="BI483" s="3">
        <v>1</v>
      </c>
      <c r="BJ483" s="3">
        <v>0.2</v>
      </c>
      <c r="BK483" s="3">
        <v>1</v>
      </c>
      <c r="BL483" s="3">
        <v>46.08</v>
      </c>
      <c r="BM483" s="3">
        <v>6.91</v>
      </c>
      <c r="BN483" s="3">
        <v>52.99</v>
      </c>
      <c r="BO483" s="3">
        <v>52.99</v>
      </c>
      <c r="BQ483" s="3" t="s">
        <v>89</v>
      </c>
      <c r="BR483" s="3" t="s">
        <v>84</v>
      </c>
      <c r="BS483" s="4">
        <v>44574</v>
      </c>
      <c r="BT483" s="5">
        <v>0.39305555555555555</v>
      </c>
      <c r="BU483" s="3" t="s">
        <v>849</v>
      </c>
      <c r="BV483" s="3" t="s">
        <v>105</v>
      </c>
      <c r="BY483" s="3">
        <v>1200</v>
      </c>
      <c r="BZ483" s="3" t="s">
        <v>165</v>
      </c>
      <c r="CA483" s="3" t="s">
        <v>477</v>
      </c>
      <c r="CC483" s="3" t="s">
        <v>76</v>
      </c>
      <c r="CD483" s="3">
        <v>1645</v>
      </c>
      <c r="CE483" s="3" t="s">
        <v>93</v>
      </c>
      <c r="CF483" s="4">
        <v>44575</v>
      </c>
      <c r="CI483" s="3">
        <v>1</v>
      </c>
      <c r="CJ483" s="3">
        <v>1</v>
      </c>
      <c r="CK483" s="3">
        <v>22</v>
      </c>
      <c r="CL483" s="3" t="s">
        <v>87</v>
      </c>
    </row>
    <row r="484" spans="1:90" x14ac:dyDescent="0.2">
      <c r="A484" s="3" t="s">
        <v>72</v>
      </c>
      <c r="B484" s="3" t="s">
        <v>73</v>
      </c>
      <c r="C484" s="3" t="s">
        <v>74</v>
      </c>
      <c r="E484" s="3" t="str">
        <f>"FES1162844760"</f>
        <v>FES1162844760</v>
      </c>
      <c r="F484" s="4">
        <v>44573</v>
      </c>
      <c r="G484" s="3">
        <v>202207</v>
      </c>
      <c r="H484" s="3" t="s">
        <v>75</v>
      </c>
      <c r="I484" s="3" t="s">
        <v>76</v>
      </c>
      <c r="J484" s="3" t="s">
        <v>77</v>
      </c>
      <c r="K484" s="3" t="s">
        <v>78</v>
      </c>
      <c r="L484" s="3" t="s">
        <v>171</v>
      </c>
      <c r="M484" s="3" t="s">
        <v>172</v>
      </c>
      <c r="N484" s="3" t="s">
        <v>200</v>
      </c>
      <c r="O484" s="3" t="s">
        <v>82</v>
      </c>
      <c r="P484" s="3" t="str">
        <f>"2170815440                    "</f>
        <v xml:space="preserve">2170815440                    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15.46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1</v>
      </c>
      <c r="BI484" s="3">
        <v>1</v>
      </c>
      <c r="BJ484" s="3">
        <v>0.2</v>
      </c>
      <c r="BK484" s="3">
        <v>1</v>
      </c>
      <c r="BL484" s="3">
        <v>59</v>
      </c>
      <c r="BM484" s="3">
        <v>8.85</v>
      </c>
      <c r="BN484" s="3">
        <v>67.849999999999994</v>
      </c>
      <c r="BO484" s="3">
        <v>67.849999999999994</v>
      </c>
      <c r="BQ484" s="3" t="s">
        <v>89</v>
      </c>
      <c r="BR484" s="3" t="s">
        <v>84</v>
      </c>
      <c r="BS484" s="4">
        <v>44574</v>
      </c>
      <c r="BT484" s="5">
        <v>0.4152777777777778</v>
      </c>
      <c r="BU484" s="3" t="s">
        <v>813</v>
      </c>
      <c r="BV484" s="3" t="s">
        <v>105</v>
      </c>
      <c r="BY484" s="3">
        <v>1200</v>
      </c>
      <c r="BZ484" s="3" t="s">
        <v>165</v>
      </c>
      <c r="CA484" s="3" t="s">
        <v>814</v>
      </c>
      <c r="CC484" s="3" t="s">
        <v>172</v>
      </c>
      <c r="CD484" s="3">
        <v>6001</v>
      </c>
      <c r="CE484" s="3" t="s">
        <v>93</v>
      </c>
      <c r="CF484" s="4">
        <v>44575</v>
      </c>
      <c r="CI484" s="3">
        <v>1</v>
      </c>
      <c r="CJ484" s="3">
        <v>1</v>
      </c>
      <c r="CK484" s="3">
        <v>21</v>
      </c>
      <c r="CL484" s="3" t="s">
        <v>87</v>
      </c>
    </row>
    <row r="485" spans="1:90" x14ac:dyDescent="0.2">
      <c r="A485" s="3" t="s">
        <v>72</v>
      </c>
      <c r="B485" s="3" t="s">
        <v>73</v>
      </c>
      <c r="C485" s="3" t="s">
        <v>74</v>
      </c>
      <c r="E485" s="3" t="str">
        <f>"FES1162844740"</f>
        <v>FES1162844740</v>
      </c>
      <c r="F485" s="4">
        <v>44573</v>
      </c>
      <c r="G485" s="3">
        <v>202207</v>
      </c>
      <c r="H485" s="3" t="s">
        <v>75</v>
      </c>
      <c r="I485" s="3" t="s">
        <v>76</v>
      </c>
      <c r="J485" s="3" t="s">
        <v>77</v>
      </c>
      <c r="K485" s="3" t="s">
        <v>78</v>
      </c>
      <c r="L485" s="3" t="s">
        <v>94</v>
      </c>
      <c r="M485" s="3" t="s">
        <v>95</v>
      </c>
      <c r="N485" s="3" t="s">
        <v>96</v>
      </c>
      <c r="O485" s="3" t="s">
        <v>82</v>
      </c>
      <c r="P485" s="3" t="str">
        <f>"2170813892                    "</f>
        <v xml:space="preserve">2170813892                    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46.36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1</v>
      </c>
      <c r="BI485" s="3">
        <v>6</v>
      </c>
      <c r="BJ485" s="3">
        <v>4.0999999999999996</v>
      </c>
      <c r="BK485" s="3">
        <v>6</v>
      </c>
      <c r="BL485" s="3">
        <v>176.94</v>
      </c>
      <c r="BM485" s="3">
        <v>26.54</v>
      </c>
      <c r="BN485" s="3">
        <v>203.48</v>
      </c>
      <c r="BO485" s="3">
        <v>203.48</v>
      </c>
      <c r="BQ485" s="3" t="s">
        <v>89</v>
      </c>
      <c r="BR485" s="3" t="s">
        <v>84</v>
      </c>
      <c r="BS485" s="4">
        <v>44578</v>
      </c>
      <c r="BT485" s="5">
        <v>0.53402777777777777</v>
      </c>
      <c r="BU485" s="3" t="s">
        <v>821</v>
      </c>
      <c r="BV485" s="3" t="s">
        <v>87</v>
      </c>
      <c r="BW485" s="3" t="s">
        <v>453</v>
      </c>
      <c r="BX485" s="3" t="s">
        <v>279</v>
      </c>
      <c r="BY485" s="3">
        <v>20358</v>
      </c>
      <c r="BZ485" s="3" t="s">
        <v>165</v>
      </c>
      <c r="CC485" s="3" t="s">
        <v>95</v>
      </c>
      <c r="CD485" s="3">
        <v>3201</v>
      </c>
      <c r="CE485" s="3" t="s">
        <v>86</v>
      </c>
      <c r="CF485" s="4">
        <v>44581</v>
      </c>
      <c r="CI485" s="3">
        <v>1</v>
      </c>
      <c r="CJ485" s="3">
        <v>3</v>
      </c>
      <c r="CK485" s="3">
        <v>21</v>
      </c>
      <c r="CL485" s="3" t="s">
        <v>87</v>
      </c>
    </row>
    <row r="486" spans="1:90" x14ac:dyDescent="0.2">
      <c r="A486" s="3" t="s">
        <v>72</v>
      </c>
      <c r="B486" s="3" t="s">
        <v>73</v>
      </c>
      <c r="C486" s="3" t="s">
        <v>74</v>
      </c>
      <c r="E486" s="3" t="str">
        <f>"FES1162844778"</f>
        <v>FES1162844778</v>
      </c>
      <c r="F486" s="4">
        <v>44573</v>
      </c>
      <c r="G486" s="3">
        <v>202207</v>
      </c>
      <c r="H486" s="3" t="s">
        <v>75</v>
      </c>
      <c r="I486" s="3" t="s">
        <v>76</v>
      </c>
      <c r="J486" s="3" t="s">
        <v>77</v>
      </c>
      <c r="K486" s="3" t="s">
        <v>78</v>
      </c>
      <c r="L486" s="3" t="s">
        <v>75</v>
      </c>
      <c r="M486" s="3" t="s">
        <v>76</v>
      </c>
      <c r="N486" s="3" t="s">
        <v>850</v>
      </c>
      <c r="O486" s="3" t="s">
        <v>82</v>
      </c>
      <c r="P486" s="3" t="str">
        <f>"2170816246                    "</f>
        <v xml:space="preserve">2170816246                    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12.07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1</v>
      </c>
      <c r="BI486" s="3">
        <v>1</v>
      </c>
      <c r="BJ486" s="3">
        <v>0.2</v>
      </c>
      <c r="BK486" s="3">
        <v>1</v>
      </c>
      <c r="BL486" s="3">
        <v>46.08</v>
      </c>
      <c r="BM486" s="3">
        <v>6.91</v>
      </c>
      <c r="BN486" s="3">
        <v>52.99</v>
      </c>
      <c r="BO486" s="3">
        <v>52.99</v>
      </c>
      <c r="BQ486" s="3" t="s">
        <v>89</v>
      </c>
      <c r="BR486" s="3" t="s">
        <v>84</v>
      </c>
      <c r="BS486" s="4">
        <v>44574</v>
      </c>
      <c r="BT486" s="5">
        <v>0.375</v>
      </c>
      <c r="BU486" s="3" t="s">
        <v>851</v>
      </c>
      <c r="BV486" s="3" t="s">
        <v>105</v>
      </c>
      <c r="BY486" s="3">
        <v>1200</v>
      </c>
      <c r="BZ486" s="3" t="s">
        <v>165</v>
      </c>
      <c r="CA486" s="3" t="s">
        <v>328</v>
      </c>
      <c r="CC486" s="3" t="s">
        <v>76</v>
      </c>
      <c r="CD486" s="3">
        <v>1614</v>
      </c>
      <c r="CE486" s="3" t="s">
        <v>93</v>
      </c>
      <c r="CF486" s="4">
        <v>44575</v>
      </c>
      <c r="CI486" s="3">
        <v>1</v>
      </c>
      <c r="CJ486" s="3">
        <v>1</v>
      </c>
      <c r="CK486" s="3">
        <v>22</v>
      </c>
      <c r="CL486" s="3" t="s">
        <v>87</v>
      </c>
    </row>
    <row r="487" spans="1:90" x14ac:dyDescent="0.2">
      <c r="A487" s="3" t="s">
        <v>72</v>
      </c>
      <c r="B487" s="3" t="s">
        <v>73</v>
      </c>
      <c r="C487" s="3" t="s">
        <v>74</v>
      </c>
      <c r="E487" s="3" t="str">
        <f>"FES1162844694"</f>
        <v>FES1162844694</v>
      </c>
      <c r="F487" s="4">
        <v>44573</v>
      </c>
      <c r="G487" s="3">
        <v>202207</v>
      </c>
      <c r="H487" s="3" t="s">
        <v>75</v>
      </c>
      <c r="I487" s="3" t="s">
        <v>76</v>
      </c>
      <c r="J487" s="3" t="s">
        <v>77</v>
      </c>
      <c r="K487" s="3" t="s">
        <v>78</v>
      </c>
      <c r="L487" s="3" t="s">
        <v>167</v>
      </c>
      <c r="M487" s="3" t="s">
        <v>168</v>
      </c>
      <c r="N487" s="3" t="s">
        <v>852</v>
      </c>
      <c r="O487" s="3" t="s">
        <v>82</v>
      </c>
      <c r="P487" s="3" t="str">
        <f>"2170816274                    "</f>
        <v xml:space="preserve">2170816274                    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15.46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1</v>
      </c>
      <c r="BI487" s="3">
        <v>1</v>
      </c>
      <c r="BJ487" s="3">
        <v>0.2</v>
      </c>
      <c r="BK487" s="3">
        <v>1</v>
      </c>
      <c r="BL487" s="3">
        <v>59</v>
      </c>
      <c r="BM487" s="3">
        <v>8.85</v>
      </c>
      <c r="BN487" s="3">
        <v>67.849999999999994</v>
      </c>
      <c r="BO487" s="3">
        <v>67.849999999999994</v>
      </c>
      <c r="BQ487" s="3" t="s">
        <v>83</v>
      </c>
      <c r="BR487" s="3" t="s">
        <v>84</v>
      </c>
      <c r="BS487" s="4">
        <v>44574</v>
      </c>
      <c r="BT487" s="5">
        <v>0.56111111111111112</v>
      </c>
      <c r="BU487" s="3" t="s">
        <v>853</v>
      </c>
      <c r="BV487" s="3" t="s">
        <v>87</v>
      </c>
      <c r="BW487" s="3" t="s">
        <v>457</v>
      </c>
      <c r="BX487" s="3" t="s">
        <v>458</v>
      </c>
      <c r="BY487" s="3">
        <v>1200</v>
      </c>
      <c r="BZ487" s="3" t="s">
        <v>165</v>
      </c>
      <c r="CA487" s="3" t="s">
        <v>553</v>
      </c>
      <c r="CC487" s="3" t="s">
        <v>168</v>
      </c>
      <c r="CD487" s="3">
        <v>6229</v>
      </c>
      <c r="CE487" s="3" t="s">
        <v>93</v>
      </c>
      <c r="CF487" s="4">
        <v>44575</v>
      </c>
      <c r="CI487" s="3">
        <v>1</v>
      </c>
      <c r="CJ487" s="3">
        <v>1</v>
      </c>
      <c r="CK487" s="3">
        <v>21</v>
      </c>
      <c r="CL487" s="3" t="s">
        <v>87</v>
      </c>
    </row>
    <row r="488" spans="1:90" x14ac:dyDescent="0.2">
      <c r="A488" s="3" t="s">
        <v>72</v>
      </c>
      <c r="B488" s="3" t="s">
        <v>73</v>
      </c>
      <c r="C488" s="3" t="s">
        <v>74</v>
      </c>
      <c r="E488" s="3" t="str">
        <f>"FES1162844736"</f>
        <v>FES1162844736</v>
      </c>
      <c r="F488" s="4">
        <v>44573</v>
      </c>
      <c r="G488" s="3">
        <v>202207</v>
      </c>
      <c r="H488" s="3" t="s">
        <v>75</v>
      </c>
      <c r="I488" s="3" t="s">
        <v>76</v>
      </c>
      <c r="J488" s="3" t="s">
        <v>77</v>
      </c>
      <c r="K488" s="3" t="s">
        <v>78</v>
      </c>
      <c r="L488" s="3" t="s">
        <v>171</v>
      </c>
      <c r="M488" s="3" t="s">
        <v>172</v>
      </c>
      <c r="N488" s="3" t="s">
        <v>329</v>
      </c>
      <c r="O488" s="3" t="s">
        <v>148</v>
      </c>
      <c r="P488" s="3" t="str">
        <f>"2170808089                    "</f>
        <v xml:space="preserve">2170808089                    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29.89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1</v>
      </c>
      <c r="BI488" s="3">
        <v>2</v>
      </c>
      <c r="BJ488" s="3">
        <v>3</v>
      </c>
      <c r="BK488" s="3">
        <v>3</v>
      </c>
      <c r="BL488" s="3">
        <v>119.34</v>
      </c>
      <c r="BM488" s="3">
        <v>17.899999999999999</v>
      </c>
      <c r="BN488" s="3">
        <v>137.24</v>
      </c>
      <c r="BO488" s="3">
        <v>137.24</v>
      </c>
      <c r="BQ488" s="3" t="s">
        <v>83</v>
      </c>
      <c r="BR488" s="3" t="s">
        <v>84</v>
      </c>
      <c r="BS488" s="4">
        <v>44574</v>
      </c>
      <c r="BT488" s="5">
        <v>0.37152777777777773</v>
      </c>
      <c r="BU488" s="3" t="s">
        <v>854</v>
      </c>
      <c r="BV488" s="3" t="s">
        <v>105</v>
      </c>
      <c r="BY488" s="3">
        <v>15075</v>
      </c>
      <c r="BZ488" s="3" t="s">
        <v>327</v>
      </c>
      <c r="CA488" s="3" t="s">
        <v>331</v>
      </c>
      <c r="CC488" s="3" t="s">
        <v>172</v>
      </c>
      <c r="CD488" s="3">
        <v>6001</v>
      </c>
      <c r="CE488" s="3" t="s">
        <v>86</v>
      </c>
      <c r="CF488" s="4">
        <v>44575</v>
      </c>
      <c r="CI488" s="3">
        <v>2</v>
      </c>
      <c r="CJ488" s="3">
        <v>1</v>
      </c>
      <c r="CK488" s="3">
        <v>41</v>
      </c>
      <c r="CL488" s="3" t="s">
        <v>87</v>
      </c>
    </row>
    <row r="489" spans="1:90" x14ac:dyDescent="0.2">
      <c r="A489" s="3" t="s">
        <v>72</v>
      </c>
      <c r="B489" s="3" t="s">
        <v>73</v>
      </c>
      <c r="C489" s="3" t="s">
        <v>74</v>
      </c>
      <c r="E489" s="3" t="str">
        <f>"FES1162844686"</f>
        <v>FES1162844686</v>
      </c>
      <c r="F489" s="4">
        <v>44573</v>
      </c>
      <c r="G489" s="3">
        <v>202207</v>
      </c>
      <c r="H489" s="3" t="s">
        <v>75</v>
      </c>
      <c r="I489" s="3" t="s">
        <v>76</v>
      </c>
      <c r="J489" s="3" t="s">
        <v>77</v>
      </c>
      <c r="K489" s="3" t="s">
        <v>78</v>
      </c>
      <c r="L489" s="3" t="s">
        <v>101</v>
      </c>
      <c r="M489" s="3" t="s">
        <v>102</v>
      </c>
      <c r="N489" s="3" t="s">
        <v>272</v>
      </c>
      <c r="O489" s="3" t="s">
        <v>82</v>
      </c>
      <c r="P489" s="3" t="str">
        <f>"2170816267                    "</f>
        <v xml:space="preserve">2170816267                    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15.46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  <c r="BH489" s="3">
        <v>1</v>
      </c>
      <c r="BI489" s="3">
        <v>1</v>
      </c>
      <c r="BJ489" s="3">
        <v>0.2</v>
      </c>
      <c r="BK489" s="3">
        <v>1</v>
      </c>
      <c r="BL489" s="3">
        <v>59</v>
      </c>
      <c r="BM489" s="3">
        <v>8.85</v>
      </c>
      <c r="BN489" s="3">
        <v>67.849999999999994</v>
      </c>
      <c r="BO489" s="3">
        <v>67.849999999999994</v>
      </c>
      <c r="BQ489" s="3" t="s">
        <v>273</v>
      </c>
      <c r="BR489" s="3" t="s">
        <v>84</v>
      </c>
      <c r="BS489" s="4">
        <v>44574</v>
      </c>
      <c r="BT489" s="5">
        <v>0.4368055555555555</v>
      </c>
      <c r="BU489" s="3" t="s">
        <v>855</v>
      </c>
      <c r="BV489" s="3" t="s">
        <v>105</v>
      </c>
      <c r="BY489" s="3">
        <v>1200</v>
      </c>
      <c r="BZ489" s="3" t="s">
        <v>165</v>
      </c>
      <c r="CA489" s="3" t="s">
        <v>275</v>
      </c>
      <c r="CC489" s="3" t="s">
        <v>102</v>
      </c>
      <c r="CD489" s="3">
        <v>4000</v>
      </c>
      <c r="CE489" s="3" t="s">
        <v>93</v>
      </c>
      <c r="CF489" s="4">
        <v>44574</v>
      </c>
      <c r="CI489" s="3">
        <v>1</v>
      </c>
      <c r="CJ489" s="3">
        <v>1</v>
      </c>
      <c r="CK489" s="3">
        <v>21</v>
      </c>
      <c r="CL489" s="3" t="s">
        <v>87</v>
      </c>
    </row>
    <row r="490" spans="1:90" x14ac:dyDescent="0.2">
      <c r="A490" s="3" t="s">
        <v>72</v>
      </c>
      <c r="B490" s="3" t="s">
        <v>73</v>
      </c>
      <c r="C490" s="3" t="s">
        <v>74</v>
      </c>
      <c r="E490" s="3" t="str">
        <f>"FES1162844730"</f>
        <v>FES1162844730</v>
      </c>
      <c r="F490" s="4">
        <v>44573</v>
      </c>
      <c r="G490" s="3">
        <v>202207</v>
      </c>
      <c r="H490" s="3" t="s">
        <v>75</v>
      </c>
      <c r="I490" s="3" t="s">
        <v>76</v>
      </c>
      <c r="J490" s="3" t="s">
        <v>77</v>
      </c>
      <c r="K490" s="3" t="s">
        <v>78</v>
      </c>
      <c r="L490" s="3" t="s">
        <v>94</v>
      </c>
      <c r="M490" s="3" t="s">
        <v>95</v>
      </c>
      <c r="N490" s="3" t="s">
        <v>96</v>
      </c>
      <c r="O490" s="3" t="s">
        <v>82</v>
      </c>
      <c r="P490" s="3" t="str">
        <f>"2170799887                    "</f>
        <v xml:space="preserve">2170799887                    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15.46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1</v>
      </c>
      <c r="BI490" s="3">
        <v>1</v>
      </c>
      <c r="BJ490" s="3">
        <v>0.2</v>
      </c>
      <c r="BK490" s="3">
        <v>1</v>
      </c>
      <c r="BL490" s="3">
        <v>59</v>
      </c>
      <c r="BM490" s="3">
        <v>8.85</v>
      </c>
      <c r="BN490" s="3">
        <v>67.849999999999994</v>
      </c>
      <c r="BO490" s="3">
        <v>67.849999999999994</v>
      </c>
      <c r="BQ490" s="3" t="s">
        <v>89</v>
      </c>
      <c r="BR490" s="3" t="s">
        <v>84</v>
      </c>
      <c r="BS490" s="4">
        <v>44578</v>
      </c>
      <c r="BT490" s="5">
        <v>0.53402777777777777</v>
      </c>
      <c r="BU490" s="3" t="s">
        <v>821</v>
      </c>
      <c r="BV490" s="3" t="s">
        <v>87</v>
      </c>
      <c r="BW490" s="3" t="s">
        <v>453</v>
      </c>
      <c r="BX490" s="3" t="s">
        <v>279</v>
      </c>
      <c r="BY490" s="3">
        <v>1200</v>
      </c>
      <c r="BZ490" s="3" t="s">
        <v>165</v>
      </c>
      <c r="CC490" s="3" t="s">
        <v>95</v>
      </c>
      <c r="CD490" s="3">
        <v>3201</v>
      </c>
      <c r="CE490" s="3" t="s">
        <v>93</v>
      </c>
      <c r="CF490" s="4">
        <v>44581</v>
      </c>
      <c r="CI490" s="3">
        <v>1</v>
      </c>
      <c r="CJ490" s="3">
        <v>3</v>
      </c>
      <c r="CK490" s="3">
        <v>21</v>
      </c>
      <c r="CL490" s="3" t="s">
        <v>87</v>
      </c>
    </row>
    <row r="491" spans="1:90" x14ac:dyDescent="0.2">
      <c r="A491" s="3" t="s">
        <v>72</v>
      </c>
      <c r="B491" s="3" t="s">
        <v>73</v>
      </c>
      <c r="C491" s="3" t="s">
        <v>74</v>
      </c>
      <c r="E491" s="3" t="str">
        <f>"FES1162844702"</f>
        <v>FES1162844702</v>
      </c>
      <c r="F491" s="4">
        <v>44573</v>
      </c>
      <c r="G491" s="3">
        <v>202207</v>
      </c>
      <c r="H491" s="3" t="s">
        <v>75</v>
      </c>
      <c r="I491" s="3" t="s">
        <v>76</v>
      </c>
      <c r="J491" s="3" t="s">
        <v>77</v>
      </c>
      <c r="K491" s="3" t="s">
        <v>78</v>
      </c>
      <c r="L491" s="3" t="s">
        <v>244</v>
      </c>
      <c r="M491" s="3" t="s">
        <v>245</v>
      </c>
      <c r="N491" s="3" t="s">
        <v>400</v>
      </c>
      <c r="O491" s="3" t="s">
        <v>82</v>
      </c>
      <c r="P491" s="3" t="str">
        <f>"2170816287                    "</f>
        <v xml:space="preserve">2170816287                    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29.95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1</v>
      </c>
      <c r="BI491" s="3">
        <v>1</v>
      </c>
      <c r="BJ491" s="3">
        <v>0.2</v>
      </c>
      <c r="BK491" s="3">
        <v>1</v>
      </c>
      <c r="BL491" s="3">
        <v>114.31</v>
      </c>
      <c r="BM491" s="3">
        <v>17.149999999999999</v>
      </c>
      <c r="BN491" s="3">
        <v>131.46</v>
      </c>
      <c r="BO491" s="3">
        <v>131.46</v>
      </c>
      <c r="BQ491" s="3" t="s">
        <v>83</v>
      </c>
      <c r="BR491" s="3" t="s">
        <v>84</v>
      </c>
      <c r="BS491" s="4">
        <v>44574</v>
      </c>
      <c r="BT491" s="5">
        <v>0.43402777777777773</v>
      </c>
      <c r="BU491" s="3" t="s">
        <v>856</v>
      </c>
      <c r="BV491" s="3" t="s">
        <v>105</v>
      </c>
      <c r="BY491" s="3">
        <v>1200</v>
      </c>
      <c r="BZ491" s="3" t="s">
        <v>165</v>
      </c>
      <c r="CA491" s="3" t="s">
        <v>402</v>
      </c>
      <c r="CC491" s="3" t="s">
        <v>245</v>
      </c>
      <c r="CD491" s="3">
        <v>1947</v>
      </c>
      <c r="CE491" s="3" t="s">
        <v>93</v>
      </c>
      <c r="CF491" s="4">
        <v>44575</v>
      </c>
      <c r="CI491" s="3">
        <v>1</v>
      </c>
      <c r="CJ491" s="3">
        <v>1</v>
      </c>
      <c r="CK491" s="3">
        <v>23</v>
      </c>
      <c r="CL491" s="3" t="s">
        <v>87</v>
      </c>
    </row>
    <row r="492" spans="1:90" x14ac:dyDescent="0.2">
      <c r="A492" s="3" t="s">
        <v>72</v>
      </c>
      <c r="B492" s="3" t="s">
        <v>73</v>
      </c>
      <c r="C492" s="3" t="s">
        <v>74</v>
      </c>
      <c r="E492" s="3" t="str">
        <f>"FES1162844815"</f>
        <v>FES1162844815</v>
      </c>
      <c r="F492" s="4">
        <v>44573</v>
      </c>
      <c r="G492" s="3">
        <v>202207</v>
      </c>
      <c r="H492" s="3" t="s">
        <v>75</v>
      </c>
      <c r="I492" s="3" t="s">
        <v>76</v>
      </c>
      <c r="J492" s="3" t="s">
        <v>77</v>
      </c>
      <c r="K492" s="3" t="s">
        <v>78</v>
      </c>
      <c r="L492" s="3" t="s">
        <v>138</v>
      </c>
      <c r="M492" s="3" t="s">
        <v>139</v>
      </c>
      <c r="N492" s="3" t="s">
        <v>857</v>
      </c>
      <c r="O492" s="3" t="s">
        <v>82</v>
      </c>
      <c r="P492" s="3" t="str">
        <f>"2170816371                    "</f>
        <v xml:space="preserve">2170816371                    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15.46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1</v>
      </c>
      <c r="BI492" s="3">
        <v>1</v>
      </c>
      <c r="BJ492" s="3">
        <v>0.2</v>
      </c>
      <c r="BK492" s="3">
        <v>1</v>
      </c>
      <c r="BL492" s="3">
        <v>59</v>
      </c>
      <c r="BM492" s="3">
        <v>8.85</v>
      </c>
      <c r="BN492" s="3">
        <v>67.849999999999994</v>
      </c>
      <c r="BO492" s="3">
        <v>67.849999999999994</v>
      </c>
      <c r="BQ492" s="3" t="s">
        <v>89</v>
      </c>
      <c r="BR492" s="3" t="s">
        <v>84</v>
      </c>
      <c r="BS492" s="4">
        <v>44574</v>
      </c>
      <c r="BT492" s="5">
        <v>0.4381944444444445</v>
      </c>
      <c r="BU492" s="3" t="s">
        <v>858</v>
      </c>
      <c r="BV492" s="3" t="s">
        <v>105</v>
      </c>
      <c r="BY492" s="3">
        <v>1200</v>
      </c>
      <c r="BZ492" s="3" t="s">
        <v>165</v>
      </c>
      <c r="CA492" s="3" t="s">
        <v>334</v>
      </c>
      <c r="CC492" s="3" t="s">
        <v>139</v>
      </c>
      <c r="CD492" s="3">
        <v>3610</v>
      </c>
      <c r="CE492" s="3" t="s">
        <v>93</v>
      </c>
      <c r="CF492" s="4">
        <v>44574</v>
      </c>
      <c r="CI492" s="3">
        <v>1</v>
      </c>
      <c r="CJ492" s="3">
        <v>1</v>
      </c>
      <c r="CK492" s="3">
        <v>21</v>
      </c>
      <c r="CL492" s="3" t="s">
        <v>87</v>
      </c>
    </row>
    <row r="493" spans="1:90" x14ac:dyDescent="0.2">
      <c r="A493" s="3" t="s">
        <v>72</v>
      </c>
      <c r="B493" s="3" t="s">
        <v>73</v>
      </c>
      <c r="C493" s="3" t="s">
        <v>74</v>
      </c>
      <c r="E493" s="3" t="str">
        <f>"FES1162843792"</f>
        <v>FES1162843792</v>
      </c>
      <c r="F493" s="4">
        <v>44573</v>
      </c>
      <c r="G493" s="3">
        <v>202207</v>
      </c>
      <c r="H493" s="3" t="s">
        <v>75</v>
      </c>
      <c r="I493" s="3" t="s">
        <v>76</v>
      </c>
      <c r="J493" s="3" t="s">
        <v>77</v>
      </c>
      <c r="K493" s="3" t="s">
        <v>78</v>
      </c>
      <c r="L493" s="3" t="s">
        <v>75</v>
      </c>
      <c r="M493" s="3" t="s">
        <v>76</v>
      </c>
      <c r="N493" s="3" t="s">
        <v>147</v>
      </c>
      <c r="O493" s="3" t="s">
        <v>82</v>
      </c>
      <c r="P493" s="3" t="str">
        <f>"2170814242                    "</f>
        <v xml:space="preserve">2170814242                    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12.07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1</v>
      </c>
      <c r="BI493" s="3">
        <v>1</v>
      </c>
      <c r="BJ493" s="3">
        <v>0.2</v>
      </c>
      <c r="BK493" s="3">
        <v>1</v>
      </c>
      <c r="BL493" s="3">
        <v>46.08</v>
      </c>
      <c r="BM493" s="3">
        <v>6.91</v>
      </c>
      <c r="BN493" s="3">
        <v>52.99</v>
      </c>
      <c r="BO493" s="3">
        <v>52.99</v>
      </c>
      <c r="BQ493" s="3" t="s">
        <v>89</v>
      </c>
      <c r="BR493" s="3" t="s">
        <v>84</v>
      </c>
      <c r="BS493" s="4">
        <v>44574</v>
      </c>
      <c r="BT493" s="5">
        <v>0.39305555555555555</v>
      </c>
      <c r="BU493" s="3" t="s">
        <v>849</v>
      </c>
      <c r="BV493" s="3" t="s">
        <v>105</v>
      </c>
      <c r="BY493" s="3">
        <v>1200</v>
      </c>
      <c r="BZ493" s="3" t="s">
        <v>165</v>
      </c>
      <c r="CA493" s="3" t="s">
        <v>477</v>
      </c>
      <c r="CC493" s="3" t="s">
        <v>76</v>
      </c>
      <c r="CD493" s="3">
        <v>1645</v>
      </c>
      <c r="CE493" s="3" t="s">
        <v>93</v>
      </c>
      <c r="CF493" s="4">
        <v>44575</v>
      </c>
      <c r="CI493" s="3">
        <v>1</v>
      </c>
      <c r="CJ493" s="3">
        <v>1</v>
      </c>
      <c r="CK493" s="3">
        <v>22</v>
      </c>
      <c r="CL493" s="3" t="s">
        <v>87</v>
      </c>
    </row>
    <row r="494" spans="1:90" x14ac:dyDescent="0.2">
      <c r="A494" s="3" t="s">
        <v>72</v>
      </c>
      <c r="B494" s="3" t="s">
        <v>73</v>
      </c>
      <c r="C494" s="3" t="s">
        <v>74</v>
      </c>
      <c r="E494" s="3" t="str">
        <f>"FES1162844704"</f>
        <v>FES1162844704</v>
      </c>
      <c r="F494" s="4">
        <v>44573</v>
      </c>
      <c r="G494" s="3">
        <v>202207</v>
      </c>
      <c r="H494" s="3" t="s">
        <v>75</v>
      </c>
      <c r="I494" s="3" t="s">
        <v>76</v>
      </c>
      <c r="J494" s="3" t="s">
        <v>77</v>
      </c>
      <c r="K494" s="3" t="s">
        <v>78</v>
      </c>
      <c r="L494" s="3" t="s">
        <v>90</v>
      </c>
      <c r="M494" s="3" t="s">
        <v>91</v>
      </c>
      <c r="N494" s="3" t="s">
        <v>859</v>
      </c>
      <c r="O494" s="3" t="s">
        <v>82</v>
      </c>
      <c r="P494" s="3" t="str">
        <f>"2170816290                    "</f>
        <v xml:space="preserve">2170816290                    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15.46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1</v>
      </c>
      <c r="BI494" s="3">
        <v>1</v>
      </c>
      <c r="BJ494" s="3">
        <v>0.2</v>
      </c>
      <c r="BK494" s="3">
        <v>1</v>
      </c>
      <c r="BL494" s="3">
        <v>59</v>
      </c>
      <c r="BM494" s="3">
        <v>8.85</v>
      </c>
      <c r="BN494" s="3">
        <v>67.849999999999994</v>
      </c>
      <c r="BO494" s="3">
        <v>67.849999999999994</v>
      </c>
      <c r="BQ494" s="3" t="s">
        <v>83</v>
      </c>
      <c r="BR494" s="3" t="s">
        <v>84</v>
      </c>
      <c r="BS494" s="4">
        <v>44574</v>
      </c>
      <c r="BT494" s="5">
        <v>0.4826388888888889</v>
      </c>
      <c r="BU494" s="3" t="s">
        <v>860</v>
      </c>
      <c r="BV494" s="3" t="s">
        <v>87</v>
      </c>
      <c r="BW494" s="3" t="s">
        <v>353</v>
      </c>
      <c r="BX494" s="3" t="s">
        <v>602</v>
      </c>
      <c r="BY494" s="3">
        <v>1200</v>
      </c>
      <c r="BZ494" s="3" t="s">
        <v>165</v>
      </c>
      <c r="CA494" s="3" t="s">
        <v>829</v>
      </c>
      <c r="CC494" s="3" t="s">
        <v>91</v>
      </c>
      <c r="CD494" s="3">
        <v>7500</v>
      </c>
      <c r="CE494" s="3" t="s">
        <v>93</v>
      </c>
      <c r="CF494" s="4">
        <v>44575</v>
      </c>
      <c r="CI494" s="3">
        <v>1</v>
      </c>
      <c r="CJ494" s="3">
        <v>1</v>
      </c>
      <c r="CK494" s="3">
        <v>21</v>
      </c>
      <c r="CL494" s="3" t="s">
        <v>87</v>
      </c>
    </row>
    <row r="495" spans="1:90" x14ac:dyDescent="0.2">
      <c r="A495" s="3" t="s">
        <v>72</v>
      </c>
      <c r="B495" s="3" t="s">
        <v>73</v>
      </c>
      <c r="C495" s="3" t="s">
        <v>74</v>
      </c>
      <c r="E495" s="3" t="str">
        <f>"FES1162844725"</f>
        <v>FES1162844725</v>
      </c>
      <c r="F495" s="4">
        <v>44573</v>
      </c>
      <c r="G495" s="3">
        <v>202207</v>
      </c>
      <c r="H495" s="3" t="s">
        <v>75</v>
      </c>
      <c r="I495" s="3" t="s">
        <v>76</v>
      </c>
      <c r="J495" s="3" t="s">
        <v>77</v>
      </c>
      <c r="K495" s="3" t="s">
        <v>78</v>
      </c>
      <c r="L495" s="3" t="s">
        <v>258</v>
      </c>
      <c r="M495" s="3" t="s">
        <v>259</v>
      </c>
      <c r="N495" s="3" t="s">
        <v>412</v>
      </c>
      <c r="O495" s="3" t="s">
        <v>82</v>
      </c>
      <c r="P495" s="3" t="str">
        <f>"2170810374                    "</f>
        <v xml:space="preserve">2170810374                    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21.74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1</v>
      </c>
      <c r="BI495" s="3">
        <v>1</v>
      </c>
      <c r="BJ495" s="3">
        <v>0.2</v>
      </c>
      <c r="BK495" s="3">
        <v>1</v>
      </c>
      <c r="BL495" s="3">
        <v>82.98</v>
      </c>
      <c r="BM495" s="3">
        <v>12.45</v>
      </c>
      <c r="BN495" s="3">
        <v>95.43</v>
      </c>
      <c r="BO495" s="3">
        <v>95.43</v>
      </c>
      <c r="BQ495" s="3" t="s">
        <v>83</v>
      </c>
      <c r="BR495" s="3" t="s">
        <v>84</v>
      </c>
      <c r="BS495" s="4">
        <v>44580</v>
      </c>
      <c r="BT495" s="5">
        <v>0.41180555555555554</v>
      </c>
      <c r="BU495" s="3" t="s">
        <v>861</v>
      </c>
      <c r="BV495" s="3" t="s">
        <v>87</v>
      </c>
      <c r="BW495" s="3" t="s">
        <v>353</v>
      </c>
      <c r="BX495" s="3" t="s">
        <v>723</v>
      </c>
      <c r="BY495" s="3">
        <v>1200</v>
      </c>
      <c r="BZ495" s="3" t="s">
        <v>165</v>
      </c>
      <c r="CA495" s="3" t="s">
        <v>779</v>
      </c>
      <c r="CC495" s="3" t="s">
        <v>259</v>
      </c>
      <c r="CD495" s="3">
        <v>2302</v>
      </c>
      <c r="CE495" s="3" t="s">
        <v>93</v>
      </c>
      <c r="CF495" s="4">
        <v>44581</v>
      </c>
      <c r="CI495" s="3">
        <v>1</v>
      </c>
      <c r="CJ495" s="3">
        <v>5</v>
      </c>
      <c r="CK495" s="3">
        <v>24</v>
      </c>
      <c r="CL495" s="3" t="s">
        <v>87</v>
      </c>
    </row>
    <row r="496" spans="1:90" x14ac:dyDescent="0.2">
      <c r="A496" s="3" t="s">
        <v>72</v>
      </c>
      <c r="B496" s="3" t="s">
        <v>73</v>
      </c>
      <c r="C496" s="3" t="s">
        <v>74</v>
      </c>
      <c r="E496" s="3" t="str">
        <f>"FES1162844916"</f>
        <v>FES1162844916</v>
      </c>
      <c r="F496" s="4">
        <v>44573</v>
      </c>
      <c r="G496" s="3">
        <v>202207</v>
      </c>
      <c r="H496" s="3" t="s">
        <v>75</v>
      </c>
      <c r="I496" s="3" t="s">
        <v>76</v>
      </c>
      <c r="J496" s="3" t="s">
        <v>77</v>
      </c>
      <c r="K496" s="3" t="s">
        <v>78</v>
      </c>
      <c r="L496" s="3" t="s">
        <v>75</v>
      </c>
      <c r="M496" s="3" t="s">
        <v>76</v>
      </c>
      <c r="N496" s="3" t="s">
        <v>224</v>
      </c>
      <c r="O496" s="3" t="s">
        <v>82</v>
      </c>
      <c r="P496" s="3" t="str">
        <f>"2170816479                    "</f>
        <v xml:space="preserve">2170816479                    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12.07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1</v>
      </c>
      <c r="BI496" s="3">
        <v>1</v>
      </c>
      <c r="BJ496" s="3">
        <v>0.2</v>
      </c>
      <c r="BK496" s="3">
        <v>1</v>
      </c>
      <c r="BL496" s="3">
        <v>46.08</v>
      </c>
      <c r="BM496" s="3">
        <v>6.91</v>
      </c>
      <c r="BN496" s="3">
        <v>52.99</v>
      </c>
      <c r="BO496" s="3">
        <v>52.99</v>
      </c>
      <c r="BQ496" s="3" t="s">
        <v>83</v>
      </c>
      <c r="BR496" s="3" t="s">
        <v>84</v>
      </c>
      <c r="BS496" s="4">
        <v>44574</v>
      </c>
      <c r="BT496" s="5">
        <v>0.37083333333333335</v>
      </c>
      <c r="BU496" s="3" t="s">
        <v>347</v>
      </c>
      <c r="BV496" s="3" t="s">
        <v>105</v>
      </c>
      <c r="BY496" s="3">
        <v>1200</v>
      </c>
      <c r="BZ496" s="3" t="s">
        <v>165</v>
      </c>
      <c r="CA496" s="3" t="s">
        <v>227</v>
      </c>
      <c r="CC496" s="3" t="s">
        <v>76</v>
      </c>
      <c r="CD496" s="3">
        <v>1600</v>
      </c>
      <c r="CE496" s="3" t="s">
        <v>93</v>
      </c>
      <c r="CF496" s="4">
        <v>44574</v>
      </c>
      <c r="CI496" s="3">
        <v>1</v>
      </c>
      <c r="CJ496" s="3">
        <v>1</v>
      </c>
      <c r="CK496" s="3">
        <v>22</v>
      </c>
      <c r="CL496" s="3" t="s">
        <v>87</v>
      </c>
    </row>
    <row r="497" spans="1:90" x14ac:dyDescent="0.2">
      <c r="A497" s="3" t="s">
        <v>72</v>
      </c>
      <c r="B497" s="3" t="s">
        <v>73</v>
      </c>
      <c r="C497" s="3" t="s">
        <v>74</v>
      </c>
      <c r="E497" s="3" t="str">
        <f>"FES1162844727"</f>
        <v>FES1162844727</v>
      </c>
      <c r="F497" s="4">
        <v>44573</v>
      </c>
      <c r="G497" s="3">
        <v>202207</v>
      </c>
      <c r="H497" s="3" t="s">
        <v>75</v>
      </c>
      <c r="I497" s="3" t="s">
        <v>76</v>
      </c>
      <c r="J497" s="3" t="s">
        <v>77</v>
      </c>
      <c r="K497" s="3" t="s">
        <v>78</v>
      </c>
      <c r="L497" s="3" t="s">
        <v>167</v>
      </c>
      <c r="M497" s="3" t="s">
        <v>168</v>
      </c>
      <c r="N497" s="3" t="s">
        <v>862</v>
      </c>
      <c r="O497" s="3" t="s">
        <v>82</v>
      </c>
      <c r="P497" s="3" t="str">
        <f>"2170816320                    "</f>
        <v xml:space="preserve">2170816320                    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15.46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1</v>
      </c>
      <c r="BI497" s="3">
        <v>1</v>
      </c>
      <c r="BJ497" s="3">
        <v>0.2</v>
      </c>
      <c r="BK497" s="3">
        <v>1</v>
      </c>
      <c r="BL497" s="3">
        <v>59</v>
      </c>
      <c r="BM497" s="3">
        <v>8.85</v>
      </c>
      <c r="BN497" s="3">
        <v>67.849999999999994</v>
      </c>
      <c r="BO497" s="3">
        <v>67.849999999999994</v>
      </c>
      <c r="BQ497" s="3" t="s">
        <v>863</v>
      </c>
      <c r="BR497" s="3" t="s">
        <v>84</v>
      </c>
      <c r="BS497" s="4">
        <v>44574</v>
      </c>
      <c r="BT497" s="5">
        <v>0.41666666666666669</v>
      </c>
      <c r="BU497" s="3" t="s">
        <v>864</v>
      </c>
      <c r="BV497" s="3" t="s">
        <v>105</v>
      </c>
      <c r="BY497" s="3">
        <v>1200</v>
      </c>
      <c r="BZ497" s="3" t="s">
        <v>165</v>
      </c>
      <c r="CC497" s="3" t="s">
        <v>168</v>
      </c>
      <c r="CD497" s="3">
        <v>6229</v>
      </c>
      <c r="CE497" s="3" t="s">
        <v>93</v>
      </c>
      <c r="CF497" s="4">
        <v>44575</v>
      </c>
      <c r="CI497" s="3">
        <v>1</v>
      </c>
      <c r="CJ497" s="3">
        <v>1</v>
      </c>
      <c r="CK497" s="3">
        <v>21</v>
      </c>
      <c r="CL497" s="3" t="s">
        <v>87</v>
      </c>
    </row>
    <row r="498" spans="1:90" x14ac:dyDescent="0.2">
      <c r="A498" s="3" t="s">
        <v>72</v>
      </c>
      <c r="B498" s="3" t="s">
        <v>73</v>
      </c>
      <c r="C498" s="3" t="s">
        <v>74</v>
      </c>
      <c r="E498" s="3" t="str">
        <f>"FES1162844729"</f>
        <v>FES1162844729</v>
      </c>
      <c r="F498" s="4">
        <v>44573</v>
      </c>
      <c r="G498" s="3">
        <v>202207</v>
      </c>
      <c r="H498" s="3" t="s">
        <v>75</v>
      </c>
      <c r="I498" s="3" t="s">
        <v>76</v>
      </c>
      <c r="J498" s="3" t="s">
        <v>77</v>
      </c>
      <c r="K498" s="3" t="s">
        <v>78</v>
      </c>
      <c r="L498" s="3" t="s">
        <v>123</v>
      </c>
      <c r="M498" s="3" t="s">
        <v>124</v>
      </c>
      <c r="N498" s="3" t="s">
        <v>264</v>
      </c>
      <c r="O498" s="3" t="s">
        <v>82</v>
      </c>
      <c r="P498" s="3" t="str">
        <f>"2170816328                    "</f>
        <v xml:space="preserve">2170816328                    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12.07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  <c r="BH498" s="3">
        <v>1</v>
      </c>
      <c r="BI498" s="3">
        <v>4</v>
      </c>
      <c r="BJ498" s="3">
        <v>4.0999999999999996</v>
      </c>
      <c r="BK498" s="3">
        <v>4.5</v>
      </c>
      <c r="BL498" s="3">
        <v>46.08</v>
      </c>
      <c r="BM498" s="3">
        <v>6.91</v>
      </c>
      <c r="BN498" s="3">
        <v>52.99</v>
      </c>
      <c r="BO498" s="3">
        <v>52.99</v>
      </c>
      <c r="BQ498" s="3" t="s">
        <v>89</v>
      </c>
      <c r="BR498" s="3" t="s">
        <v>84</v>
      </c>
      <c r="BS498" s="4">
        <v>44574</v>
      </c>
      <c r="BT498" s="5">
        <v>0.33402777777777781</v>
      </c>
      <c r="BU498" s="3" t="s">
        <v>865</v>
      </c>
      <c r="BV498" s="3" t="s">
        <v>105</v>
      </c>
      <c r="BY498" s="3">
        <v>20358</v>
      </c>
      <c r="BZ498" s="3" t="s">
        <v>165</v>
      </c>
      <c r="CA498" s="3" t="s">
        <v>266</v>
      </c>
      <c r="CC498" s="3" t="s">
        <v>124</v>
      </c>
      <c r="CD498" s="3">
        <v>1724</v>
      </c>
      <c r="CE498" s="3" t="s">
        <v>86</v>
      </c>
      <c r="CF498" s="4">
        <v>44575</v>
      </c>
      <c r="CI498" s="3">
        <v>1</v>
      </c>
      <c r="CJ498" s="3">
        <v>1</v>
      </c>
      <c r="CK498" s="3">
        <v>22</v>
      </c>
      <c r="CL498" s="3" t="s">
        <v>87</v>
      </c>
    </row>
    <row r="499" spans="1:90" x14ac:dyDescent="0.2">
      <c r="A499" s="3" t="s">
        <v>72</v>
      </c>
      <c r="B499" s="3" t="s">
        <v>73</v>
      </c>
      <c r="C499" s="3" t="s">
        <v>74</v>
      </c>
      <c r="E499" s="3" t="str">
        <f>"FES1162844681"</f>
        <v>FES1162844681</v>
      </c>
      <c r="F499" s="4">
        <v>44573</v>
      </c>
      <c r="G499" s="3">
        <v>202207</v>
      </c>
      <c r="H499" s="3" t="s">
        <v>75</v>
      </c>
      <c r="I499" s="3" t="s">
        <v>76</v>
      </c>
      <c r="J499" s="3" t="s">
        <v>77</v>
      </c>
      <c r="K499" s="3" t="s">
        <v>78</v>
      </c>
      <c r="L499" s="3" t="s">
        <v>529</v>
      </c>
      <c r="M499" s="3" t="s">
        <v>530</v>
      </c>
      <c r="N499" s="3" t="s">
        <v>531</v>
      </c>
      <c r="O499" s="3" t="s">
        <v>82</v>
      </c>
      <c r="P499" s="3" t="str">
        <f>"2170816260                    "</f>
        <v xml:space="preserve">2170816260                    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29.95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  <c r="BH499" s="3">
        <v>1</v>
      </c>
      <c r="BI499" s="3">
        <v>1</v>
      </c>
      <c r="BJ499" s="3">
        <v>0.2</v>
      </c>
      <c r="BK499" s="3">
        <v>1</v>
      </c>
      <c r="BL499" s="3">
        <v>114.31</v>
      </c>
      <c r="BM499" s="3">
        <v>17.149999999999999</v>
      </c>
      <c r="BN499" s="3">
        <v>131.46</v>
      </c>
      <c r="BO499" s="3">
        <v>131.46</v>
      </c>
      <c r="BQ499" s="3" t="s">
        <v>83</v>
      </c>
      <c r="BR499" s="3" t="s">
        <v>84</v>
      </c>
      <c r="BS499" s="4">
        <v>44575</v>
      </c>
      <c r="BT499" s="5">
        <v>0.51180555555555551</v>
      </c>
      <c r="BU499" s="3" t="s">
        <v>826</v>
      </c>
      <c r="BV499" s="3" t="s">
        <v>87</v>
      </c>
      <c r="BW499" s="3" t="s">
        <v>579</v>
      </c>
      <c r="BX499" s="3" t="s">
        <v>866</v>
      </c>
      <c r="BY499" s="3">
        <v>1200</v>
      </c>
      <c r="BZ499" s="3" t="s">
        <v>165</v>
      </c>
      <c r="CA499" s="3" t="s">
        <v>328</v>
      </c>
      <c r="CC499" s="3" t="s">
        <v>530</v>
      </c>
      <c r="CD499" s="3">
        <v>6500</v>
      </c>
      <c r="CE499" s="3" t="s">
        <v>93</v>
      </c>
      <c r="CF499" s="4">
        <v>44576</v>
      </c>
      <c r="CI499" s="3">
        <v>1</v>
      </c>
      <c r="CJ499" s="3">
        <v>2</v>
      </c>
      <c r="CK499" s="3">
        <v>23</v>
      </c>
      <c r="CL499" s="3" t="s">
        <v>87</v>
      </c>
    </row>
    <row r="500" spans="1:90" x14ac:dyDescent="0.2">
      <c r="A500" s="3" t="s">
        <v>72</v>
      </c>
      <c r="B500" s="3" t="s">
        <v>73</v>
      </c>
      <c r="C500" s="3" t="s">
        <v>74</v>
      </c>
      <c r="E500" s="3" t="str">
        <f>"FES1162844846"</f>
        <v>FES1162844846</v>
      </c>
      <c r="F500" s="4">
        <v>44573</v>
      </c>
      <c r="G500" s="3">
        <v>202207</v>
      </c>
      <c r="H500" s="3" t="s">
        <v>75</v>
      </c>
      <c r="I500" s="3" t="s">
        <v>76</v>
      </c>
      <c r="J500" s="3" t="s">
        <v>77</v>
      </c>
      <c r="K500" s="3" t="s">
        <v>78</v>
      </c>
      <c r="L500" s="3" t="s">
        <v>867</v>
      </c>
      <c r="M500" s="3" t="s">
        <v>868</v>
      </c>
      <c r="N500" s="3" t="s">
        <v>869</v>
      </c>
      <c r="O500" s="3" t="s">
        <v>82</v>
      </c>
      <c r="P500" s="3" t="str">
        <f>"2170816413                    "</f>
        <v xml:space="preserve">2170816413                    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29.95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1</v>
      </c>
      <c r="BI500" s="3">
        <v>1</v>
      </c>
      <c r="BJ500" s="3">
        <v>0.2</v>
      </c>
      <c r="BK500" s="3">
        <v>1</v>
      </c>
      <c r="BL500" s="3">
        <v>114.31</v>
      </c>
      <c r="BM500" s="3">
        <v>17.149999999999999</v>
      </c>
      <c r="BN500" s="3">
        <v>131.46</v>
      </c>
      <c r="BO500" s="3">
        <v>131.46</v>
      </c>
      <c r="BR500" s="3" t="s">
        <v>84</v>
      </c>
      <c r="BS500" s="4">
        <v>44578</v>
      </c>
      <c r="BT500" s="5">
        <v>0.52083333333333337</v>
      </c>
      <c r="BU500" s="3" t="s">
        <v>870</v>
      </c>
      <c r="BV500" s="3" t="s">
        <v>87</v>
      </c>
      <c r="BW500" s="3" t="s">
        <v>453</v>
      </c>
      <c r="BX500" s="3" t="s">
        <v>871</v>
      </c>
      <c r="BY500" s="3">
        <v>1200</v>
      </c>
      <c r="BZ500" s="3" t="s">
        <v>165</v>
      </c>
      <c r="CC500" s="3" t="s">
        <v>868</v>
      </c>
      <c r="CD500" s="3">
        <v>4170</v>
      </c>
      <c r="CE500" s="3" t="s">
        <v>93</v>
      </c>
      <c r="CF500" s="4">
        <v>44579</v>
      </c>
      <c r="CI500" s="3">
        <v>1</v>
      </c>
      <c r="CJ500" s="3">
        <v>3</v>
      </c>
      <c r="CK500" s="3">
        <v>23</v>
      </c>
      <c r="CL500" s="3" t="s">
        <v>87</v>
      </c>
    </row>
    <row r="501" spans="1:90" x14ac:dyDescent="0.2">
      <c r="A501" s="3" t="s">
        <v>72</v>
      </c>
      <c r="B501" s="3" t="s">
        <v>73</v>
      </c>
      <c r="C501" s="3" t="s">
        <v>74</v>
      </c>
      <c r="E501" s="3" t="str">
        <f>"FES1162844699"</f>
        <v>FES1162844699</v>
      </c>
      <c r="F501" s="4">
        <v>44573</v>
      </c>
      <c r="G501" s="3">
        <v>202207</v>
      </c>
      <c r="H501" s="3" t="s">
        <v>75</v>
      </c>
      <c r="I501" s="3" t="s">
        <v>76</v>
      </c>
      <c r="J501" s="3" t="s">
        <v>77</v>
      </c>
      <c r="K501" s="3" t="s">
        <v>78</v>
      </c>
      <c r="L501" s="3" t="s">
        <v>244</v>
      </c>
      <c r="M501" s="3" t="s">
        <v>245</v>
      </c>
      <c r="N501" s="3" t="s">
        <v>400</v>
      </c>
      <c r="O501" s="3" t="s">
        <v>82</v>
      </c>
      <c r="P501" s="3" t="str">
        <f>"2170816284                    "</f>
        <v xml:space="preserve">2170816284                    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29.95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3">
        <v>1</v>
      </c>
      <c r="BI501" s="3">
        <v>1</v>
      </c>
      <c r="BJ501" s="3">
        <v>0.2</v>
      </c>
      <c r="BK501" s="3">
        <v>1</v>
      </c>
      <c r="BL501" s="3">
        <v>114.31</v>
      </c>
      <c r="BM501" s="3">
        <v>17.149999999999999</v>
      </c>
      <c r="BN501" s="3">
        <v>131.46</v>
      </c>
      <c r="BO501" s="3">
        <v>131.46</v>
      </c>
      <c r="BQ501" s="3" t="s">
        <v>83</v>
      </c>
      <c r="BR501" s="3" t="s">
        <v>84</v>
      </c>
      <c r="BS501" s="4">
        <v>44574</v>
      </c>
      <c r="BT501" s="5">
        <v>0.43333333333333335</v>
      </c>
      <c r="BU501" s="3" t="s">
        <v>872</v>
      </c>
      <c r="BV501" s="3" t="s">
        <v>105</v>
      </c>
      <c r="BY501" s="3">
        <v>1200</v>
      </c>
      <c r="BZ501" s="3" t="s">
        <v>165</v>
      </c>
      <c r="CA501" s="3" t="s">
        <v>402</v>
      </c>
      <c r="CC501" s="3" t="s">
        <v>245</v>
      </c>
      <c r="CD501" s="3">
        <v>1947</v>
      </c>
      <c r="CE501" s="3" t="s">
        <v>93</v>
      </c>
      <c r="CF501" s="4">
        <v>44575</v>
      </c>
      <c r="CI501" s="3">
        <v>1</v>
      </c>
      <c r="CJ501" s="3">
        <v>1</v>
      </c>
      <c r="CK501" s="3">
        <v>23</v>
      </c>
      <c r="CL501" s="3" t="s">
        <v>87</v>
      </c>
    </row>
    <row r="502" spans="1:90" x14ac:dyDescent="0.2">
      <c r="A502" s="3" t="s">
        <v>72</v>
      </c>
      <c r="B502" s="3" t="s">
        <v>73</v>
      </c>
      <c r="C502" s="3" t="s">
        <v>74</v>
      </c>
      <c r="E502" s="3" t="str">
        <f>"FES1162844914"</f>
        <v>FES1162844914</v>
      </c>
      <c r="F502" s="4">
        <v>44573</v>
      </c>
      <c r="G502" s="3">
        <v>202207</v>
      </c>
      <c r="H502" s="3" t="s">
        <v>75</v>
      </c>
      <c r="I502" s="3" t="s">
        <v>76</v>
      </c>
      <c r="J502" s="3" t="s">
        <v>77</v>
      </c>
      <c r="K502" s="3" t="s">
        <v>78</v>
      </c>
      <c r="L502" s="3" t="s">
        <v>75</v>
      </c>
      <c r="M502" s="3" t="s">
        <v>76</v>
      </c>
      <c r="N502" s="3" t="s">
        <v>224</v>
      </c>
      <c r="O502" s="3" t="s">
        <v>82</v>
      </c>
      <c r="P502" s="3" t="str">
        <f>"2170816477                    "</f>
        <v xml:space="preserve">2170816477                    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12.07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1</v>
      </c>
      <c r="BI502" s="3">
        <v>1</v>
      </c>
      <c r="BJ502" s="3">
        <v>0.2</v>
      </c>
      <c r="BK502" s="3">
        <v>1</v>
      </c>
      <c r="BL502" s="3">
        <v>46.08</v>
      </c>
      <c r="BM502" s="3">
        <v>6.91</v>
      </c>
      <c r="BN502" s="3">
        <v>52.99</v>
      </c>
      <c r="BO502" s="3">
        <v>52.99</v>
      </c>
      <c r="BQ502" s="3" t="s">
        <v>83</v>
      </c>
      <c r="BR502" s="3" t="s">
        <v>84</v>
      </c>
      <c r="BS502" s="4">
        <v>44574</v>
      </c>
      <c r="BT502" s="5">
        <v>0.37083333333333335</v>
      </c>
      <c r="BU502" s="3" t="s">
        <v>347</v>
      </c>
      <c r="BV502" s="3" t="s">
        <v>105</v>
      </c>
      <c r="BY502" s="3">
        <v>1200</v>
      </c>
      <c r="BZ502" s="3" t="s">
        <v>165</v>
      </c>
      <c r="CA502" s="3" t="s">
        <v>227</v>
      </c>
      <c r="CC502" s="3" t="s">
        <v>76</v>
      </c>
      <c r="CD502" s="3">
        <v>1600</v>
      </c>
      <c r="CE502" s="3" t="s">
        <v>93</v>
      </c>
      <c r="CF502" s="4">
        <v>44574</v>
      </c>
      <c r="CI502" s="3">
        <v>1</v>
      </c>
      <c r="CJ502" s="3">
        <v>1</v>
      </c>
      <c r="CK502" s="3">
        <v>22</v>
      </c>
      <c r="CL502" s="3" t="s">
        <v>87</v>
      </c>
    </row>
    <row r="503" spans="1:90" x14ac:dyDescent="0.2">
      <c r="A503" s="3" t="s">
        <v>72</v>
      </c>
      <c r="B503" s="3" t="s">
        <v>73</v>
      </c>
      <c r="C503" s="3" t="s">
        <v>74</v>
      </c>
      <c r="E503" s="3" t="str">
        <f>"FES1162844701"</f>
        <v>FES1162844701</v>
      </c>
      <c r="F503" s="4">
        <v>44573</v>
      </c>
      <c r="G503" s="3">
        <v>202207</v>
      </c>
      <c r="H503" s="3" t="s">
        <v>75</v>
      </c>
      <c r="I503" s="3" t="s">
        <v>76</v>
      </c>
      <c r="J503" s="3" t="s">
        <v>77</v>
      </c>
      <c r="K503" s="3" t="s">
        <v>78</v>
      </c>
      <c r="L503" s="3" t="s">
        <v>211</v>
      </c>
      <c r="M503" s="3" t="s">
        <v>212</v>
      </c>
      <c r="N503" s="3" t="s">
        <v>213</v>
      </c>
      <c r="O503" s="3" t="s">
        <v>82</v>
      </c>
      <c r="P503" s="3" t="str">
        <f>"2170816280                    "</f>
        <v xml:space="preserve">2170816280                    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12.07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1</v>
      </c>
      <c r="BI503" s="3">
        <v>1</v>
      </c>
      <c r="BJ503" s="3">
        <v>0.2</v>
      </c>
      <c r="BK503" s="3">
        <v>1</v>
      </c>
      <c r="BL503" s="3">
        <v>46.08</v>
      </c>
      <c r="BM503" s="3">
        <v>6.91</v>
      </c>
      <c r="BN503" s="3">
        <v>52.99</v>
      </c>
      <c r="BO503" s="3">
        <v>52.99</v>
      </c>
      <c r="BQ503" s="3" t="s">
        <v>126</v>
      </c>
      <c r="BR503" s="3" t="s">
        <v>84</v>
      </c>
      <c r="BS503" s="4">
        <v>44574</v>
      </c>
      <c r="BT503" s="5">
        <v>0.36805555555555558</v>
      </c>
      <c r="BU503" s="3" t="s">
        <v>873</v>
      </c>
      <c r="BV503" s="3" t="s">
        <v>105</v>
      </c>
      <c r="BY503" s="3">
        <v>1200</v>
      </c>
      <c r="BZ503" s="3" t="s">
        <v>165</v>
      </c>
      <c r="CA503" s="3" t="s">
        <v>345</v>
      </c>
      <c r="CC503" s="3" t="s">
        <v>212</v>
      </c>
      <c r="CD503" s="3">
        <v>2162</v>
      </c>
      <c r="CE503" s="3" t="s">
        <v>93</v>
      </c>
      <c r="CF503" s="4">
        <v>44575</v>
      </c>
      <c r="CI503" s="3">
        <v>1</v>
      </c>
      <c r="CJ503" s="3">
        <v>1</v>
      </c>
      <c r="CK503" s="3">
        <v>22</v>
      </c>
      <c r="CL503" s="3" t="s">
        <v>87</v>
      </c>
    </row>
    <row r="504" spans="1:90" x14ac:dyDescent="0.2">
      <c r="A504" s="3" t="s">
        <v>72</v>
      </c>
      <c r="B504" s="3" t="s">
        <v>73</v>
      </c>
      <c r="C504" s="3" t="s">
        <v>74</v>
      </c>
      <c r="E504" s="3" t="str">
        <f>"FES1162844847"</f>
        <v>FES1162844847</v>
      </c>
      <c r="F504" s="4">
        <v>44573</v>
      </c>
      <c r="G504" s="3">
        <v>202207</v>
      </c>
      <c r="H504" s="3" t="s">
        <v>75</v>
      </c>
      <c r="I504" s="3" t="s">
        <v>76</v>
      </c>
      <c r="J504" s="3" t="s">
        <v>77</v>
      </c>
      <c r="K504" s="3" t="s">
        <v>78</v>
      </c>
      <c r="L504" s="3" t="s">
        <v>427</v>
      </c>
      <c r="M504" s="3" t="s">
        <v>428</v>
      </c>
      <c r="N504" s="3" t="s">
        <v>447</v>
      </c>
      <c r="O504" s="3" t="s">
        <v>82</v>
      </c>
      <c r="P504" s="3" t="str">
        <f>"2170816416                    "</f>
        <v xml:space="preserve">2170816416                    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97.58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1</v>
      </c>
      <c r="BI504" s="3">
        <v>7</v>
      </c>
      <c r="BJ504" s="3">
        <v>4.0999999999999996</v>
      </c>
      <c r="BK504" s="3">
        <v>7</v>
      </c>
      <c r="BL504" s="3">
        <v>372.44</v>
      </c>
      <c r="BM504" s="3">
        <v>55.87</v>
      </c>
      <c r="BN504" s="3">
        <v>428.31</v>
      </c>
      <c r="BO504" s="3">
        <v>428.31</v>
      </c>
      <c r="BQ504" s="3" t="s">
        <v>89</v>
      </c>
      <c r="BR504" s="3" t="s">
        <v>84</v>
      </c>
      <c r="BS504" s="4">
        <v>44574</v>
      </c>
      <c r="BT504" s="5">
        <v>0.51180555555555551</v>
      </c>
      <c r="BU504" s="3" t="s">
        <v>874</v>
      </c>
      <c r="BV504" s="3" t="s">
        <v>105</v>
      </c>
      <c r="BY504" s="3">
        <v>20358</v>
      </c>
      <c r="BZ504" s="3" t="s">
        <v>165</v>
      </c>
      <c r="CA504" s="3" t="s">
        <v>488</v>
      </c>
      <c r="CC504" s="3" t="s">
        <v>428</v>
      </c>
      <c r="CD504" s="3">
        <v>7130</v>
      </c>
      <c r="CE504" s="3" t="s">
        <v>86</v>
      </c>
      <c r="CF504" s="4">
        <v>44575</v>
      </c>
      <c r="CI504" s="3">
        <v>1</v>
      </c>
      <c r="CJ504" s="3">
        <v>1</v>
      </c>
      <c r="CK504" s="3">
        <v>23</v>
      </c>
      <c r="CL504" s="3" t="s">
        <v>87</v>
      </c>
    </row>
    <row r="505" spans="1:90" x14ac:dyDescent="0.2">
      <c r="A505" s="3" t="s">
        <v>72</v>
      </c>
      <c r="B505" s="3" t="s">
        <v>73</v>
      </c>
      <c r="C505" s="3" t="s">
        <v>74</v>
      </c>
      <c r="E505" s="3" t="str">
        <f>"FES1162843769"</f>
        <v>FES1162843769</v>
      </c>
      <c r="F505" s="4">
        <v>44573</v>
      </c>
      <c r="G505" s="3">
        <v>202207</v>
      </c>
      <c r="H505" s="3" t="s">
        <v>75</v>
      </c>
      <c r="I505" s="3" t="s">
        <v>76</v>
      </c>
      <c r="J505" s="3" t="s">
        <v>77</v>
      </c>
      <c r="K505" s="3" t="s">
        <v>78</v>
      </c>
      <c r="L505" s="3" t="s">
        <v>75</v>
      </c>
      <c r="M505" s="3" t="s">
        <v>76</v>
      </c>
      <c r="N505" s="3" t="s">
        <v>875</v>
      </c>
      <c r="O505" s="3" t="s">
        <v>82</v>
      </c>
      <c r="P505" s="3" t="str">
        <f>"2170814846                    "</f>
        <v xml:space="preserve">2170814846                    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12.07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1</v>
      </c>
      <c r="BI505" s="3">
        <v>1</v>
      </c>
      <c r="BJ505" s="3">
        <v>0.2</v>
      </c>
      <c r="BK505" s="3">
        <v>1</v>
      </c>
      <c r="BL505" s="3">
        <v>46.08</v>
      </c>
      <c r="BM505" s="3">
        <v>6.91</v>
      </c>
      <c r="BN505" s="3">
        <v>52.99</v>
      </c>
      <c r="BO505" s="3">
        <v>52.99</v>
      </c>
      <c r="BR505" s="3" t="s">
        <v>84</v>
      </c>
      <c r="BS505" s="4">
        <v>44574</v>
      </c>
      <c r="BT505" s="5">
        <v>0.33611111111111108</v>
      </c>
      <c r="BU505" s="3" t="s">
        <v>876</v>
      </c>
      <c r="BV505" s="3" t="s">
        <v>105</v>
      </c>
      <c r="BY505" s="3">
        <v>1200</v>
      </c>
      <c r="BZ505" s="3" t="s">
        <v>165</v>
      </c>
      <c r="CA505" s="3" t="s">
        <v>477</v>
      </c>
      <c r="CC505" s="3" t="s">
        <v>76</v>
      </c>
      <c r="CD505" s="3">
        <v>1609</v>
      </c>
      <c r="CE505" s="3" t="s">
        <v>93</v>
      </c>
      <c r="CF505" s="4">
        <v>44575</v>
      </c>
      <c r="CI505" s="3">
        <v>1</v>
      </c>
      <c r="CJ505" s="3">
        <v>1</v>
      </c>
      <c r="CK505" s="3">
        <v>22</v>
      </c>
      <c r="CL505" s="3" t="s">
        <v>87</v>
      </c>
    </row>
    <row r="506" spans="1:90" x14ac:dyDescent="0.2">
      <c r="A506" s="3" t="s">
        <v>72</v>
      </c>
      <c r="B506" s="3" t="s">
        <v>73</v>
      </c>
      <c r="C506" s="3" t="s">
        <v>74</v>
      </c>
      <c r="E506" s="3" t="str">
        <f>"FES1162844851"</f>
        <v>FES1162844851</v>
      </c>
      <c r="F506" s="4">
        <v>44573</v>
      </c>
      <c r="G506" s="3">
        <v>202207</v>
      </c>
      <c r="H506" s="3" t="s">
        <v>75</v>
      </c>
      <c r="I506" s="3" t="s">
        <v>76</v>
      </c>
      <c r="J506" s="3" t="s">
        <v>77</v>
      </c>
      <c r="K506" s="3" t="s">
        <v>78</v>
      </c>
      <c r="L506" s="3" t="s">
        <v>158</v>
      </c>
      <c r="M506" s="3" t="s">
        <v>159</v>
      </c>
      <c r="N506" s="3" t="s">
        <v>774</v>
      </c>
      <c r="O506" s="3" t="s">
        <v>82</v>
      </c>
      <c r="P506" s="3" t="str">
        <f>"2170816421                    "</f>
        <v xml:space="preserve">2170816421                    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12.07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1</v>
      </c>
      <c r="BI506" s="3">
        <v>1</v>
      </c>
      <c r="BJ506" s="3">
        <v>0.2</v>
      </c>
      <c r="BK506" s="3">
        <v>1</v>
      </c>
      <c r="BL506" s="3">
        <v>46.08</v>
      </c>
      <c r="BM506" s="3">
        <v>6.91</v>
      </c>
      <c r="BN506" s="3">
        <v>52.99</v>
      </c>
      <c r="BO506" s="3">
        <v>52.99</v>
      </c>
      <c r="BQ506" s="3" t="s">
        <v>89</v>
      </c>
      <c r="BR506" s="3" t="s">
        <v>84</v>
      </c>
      <c r="BS506" s="4">
        <v>44574</v>
      </c>
      <c r="BT506" s="5">
        <v>0.33333333333333331</v>
      </c>
      <c r="BU506" s="3" t="s">
        <v>775</v>
      </c>
      <c r="BV506" s="3" t="s">
        <v>105</v>
      </c>
      <c r="BY506" s="3">
        <v>1200</v>
      </c>
      <c r="BZ506" s="3" t="s">
        <v>165</v>
      </c>
      <c r="CA506" s="3" t="s">
        <v>678</v>
      </c>
      <c r="CC506" s="3" t="s">
        <v>159</v>
      </c>
      <c r="CD506" s="3">
        <v>1459</v>
      </c>
      <c r="CE506" s="3" t="s">
        <v>93</v>
      </c>
      <c r="CF506" s="4">
        <v>44574</v>
      </c>
      <c r="CI506" s="3">
        <v>1</v>
      </c>
      <c r="CJ506" s="3">
        <v>1</v>
      </c>
      <c r="CK506" s="3">
        <v>22</v>
      </c>
      <c r="CL506" s="3" t="s">
        <v>87</v>
      </c>
    </row>
    <row r="507" spans="1:90" x14ac:dyDescent="0.2">
      <c r="A507" s="3" t="s">
        <v>72</v>
      </c>
      <c r="B507" s="3" t="s">
        <v>73</v>
      </c>
      <c r="C507" s="3" t="s">
        <v>74</v>
      </c>
      <c r="E507" s="3" t="str">
        <f>"FES1162844692"</f>
        <v>FES1162844692</v>
      </c>
      <c r="F507" s="4">
        <v>44573</v>
      </c>
      <c r="G507" s="3">
        <v>202207</v>
      </c>
      <c r="H507" s="3" t="s">
        <v>75</v>
      </c>
      <c r="I507" s="3" t="s">
        <v>76</v>
      </c>
      <c r="J507" s="3" t="s">
        <v>77</v>
      </c>
      <c r="K507" s="3" t="s">
        <v>78</v>
      </c>
      <c r="L507" s="3" t="s">
        <v>115</v>
      </c>
      <c r="M507" s="3" t="s">
        <v>116</v>
      </c>
      <c r="N507" s="3" t="s">
        <v>877</v>
      </c>
      <c r="O507" s="3" t="s">
        <v>82</v>
      </c>
      <c r="P507" s="3" t="str">
        <f>"2170816273                    "</f>
        <v xml:space="preserve">2170816273                    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12.07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1</v>
      </c>
      <c r="BI507" s="3">
        <v>1</v>
      </c>
      <c r="BJ507" s="3">
        <v>0.2</v>
      </c>
      <c r="BK507" s="3">
        <v>1</v>
      </c>
      <c r="BL507" s="3">
        <v>46.08</v>
      </c>
      <c r="BM507" s="3">
        <v>6.91</v>
      </c>
      <c r="BN507" s="3">
        <v>52.99</v>
      </c>
      <c r="BO507" s="3">
        <v>52.99</v>
      </c>
      <c r="BQ507" s="3" t="s">
        <v>126</v>
      </c>
      <c r="BR507" s="3" t="s">
        <v>84</v>
      </c>
      <c r="BS507" s="4">
        <v>44574</v>
      </c>
      <c r="BT507" s="5">
        <v>0.43402777777777773</v>
      </c>
      <c r="BU507" s="3" t="s">
        <v>878</v>
      </c>
      <c r="BV507" s="3" t="s">
        <v>105</v>
      </c>
      <c r="BY507" s="3">
        <v>1200</v>
      </c>
      <c r="BZ507" s="3" t="s">
        <v>165</v>
      </c>
      <c r="CA507" s="3" t="s">
        <v>119</v>
      </c>
      <c r="CC507" s="3" t="s">
        <v>116</v>
      </c>
      <c r="CD507" s="3">
        <v>1559</v>
      </c>
      <c r="CE507" s="3" t="s">
        <v>93</v>
      </c>
      <c r="CF507" s="4">
        <v>44574</v>
      </c>
      <c r="CI507" s="3">
        <v>1</v>
      </c>
      <c r="CJ507" s="3">
        <v>1</v>
      </c>
      <c r="CK507" s="3">
        <v>22</v>
      </c>
      <c r="CL507" s="3" t="s">
        <v>87</v>
      </c>
    </row>
    <row r="508" spans="1:90" x14ac:dyDescent="0.2">
      <c r="A508" s="3" t="s">
        <v>72</v>
      </c>
      <c r="B508" s="3" t="s">
        <v>73</v>
      </c>
      <c r="C508" s="3" t="s">
        <v>74</v>
      </c>
      <c r="E508" s="3" t="str">
        <f>"FES1162844845"</f>
        <v>FES1162844845</v>
      </c>
      <c r="F508" s="4">
        <v>44573</v>
      </c>
      <c r="G508" s="3">
        <v>202207</v>
      </c>
      <c r="H508" s="3" t="s">
        <v>75</v>
      </c>
      <c r="I508" s="3" t="s">
        <v>76</v>
      </c>
      <c r="J508" s="3" t="s">
        <v>77</v>
      </c>
      <c r="K508" s="3" t="s">
        <v>78</v>
      </c>
      <c r="L508" s="3" t="s">
        <v>123</v>
      </c>
      <c r="M508" s="3" t="s">
        <v>124</v>
      </c>
      <c r="N508" s="3" t="s">
        <v>348</v>
      </c>
      <c r="O508" s="3" t="s">
        <v>82</v>
      </c>
      <c r="P508" s="3" t="str">
        <f>"2170816402                    "</f>
        <v xml:space="preserve">2170816402                    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12.07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1</v>
      </c>
      <c r="BI508" s="3">
        <v>1</v>
      </c>
      <c r="BJ508" s="3">
        <v>0.2</v>
      </c>
      <c r="BK508" s="3">
        <v>1</v>
      </c>
      <c r="BL508" s="3">
        <v>46.08</v>
      </c>
      <c r="BM508" s="3">
        <v>6.91</v>
      </c>
      <c r="BN508" s="3">
        <v>52.99</v>
      </c>
      <c r="BO508" s="3">
        <v>52.99</v>
      </c>
      <c r="BQ508" s="3" t="s">
        <v>349</v>
      </c>
      <c r="BR508" s="3" t="s">
        <v>84</v>
      </c>
      <c r="BS508" s="4">
        <v>44574</v>
      </c>
      <c r="BT508" s="5">
        <v>0.31597222222222221</v>
      </c>
      <c r="BU508" s="3" t="s">
        <v>879</v>
      </c>
      <c r="BV508" s="3" t="s">
        <v>105</v>
      </c>
      <c r="BY508" s="3">
        <v>1200</v>
      </c>
      <c r="BZ508" s="3" t="s">
        <v>165</v>
      </c>
      <c r="CA508" s="3" t="s">
        <v>351</v>
      </c>
      <c r="CC508" s="3" t="s">
        <v>124</v>
      </c>
      <c r="CD508" s="3">
        <v>1709</v>
      </c>
      <c r="CE508" s="3" t="s">
        <v>93</v>
      </c>
      <c r="CF508" s="4">
        <v>44575</v>
      </c>
      <c r="CI508" s="3">
        <v>1</v>
      </c>
      <c r="CJ508" s="3">
        <v>1</v>
      </c>
      <c r="CK508" s="3">
        <v>22</v>
      </c>
      <c r="CL508" s="3" t="s">
        <v>87</v>
      </c>
    </row>
    <row r="509" spans="1:90" x14ac:dyDescent="0.2">
      <c r="A509" s="3" t="s">
        <v>72</v>
      </c>
      <c r="B509" s="3" t="s">
        <v>73</v>
      </c>
      <c r="C509" s="3" t="s">
        <v>74</v>
      </c>
      <c r="E509" s="3" t="str">
        <f>"FES1162844798"</f>
        <v>FES1162844798</v>
      </c>
      <c r="F509" s="4">
        <v>44573</v>
      </c>
      <c r="G509" s="3">
        <v>202207</v>
      </c>
      <c r="H509" s="3" t="s">
        <v>75</v>
      </c>
      <c r="I509" s="3" t="s">
        <v>76</v>
      </c>
      <c r="J509" s="3" t="s">
        <v>77</v>
      </c>
      <c r="K509" s="3" t="s">
        <v>78</v>
      </c>
      <c r="L509" s="3" t="s">
        <v>427</v>
      </c>
      <c r="M509" s="3" t="s">
        <v>428</v>
      </c>
      <c r="N509" s="3" t="s">
        <v>429</v>
      </c>
      <c r="O509" s="3" t="s">
        <v>82</v>
      </c>
      <c r="P509" s="3" t="str">
        <f>"2170813309                    "</f>
        <v xml:space="preserve">2170813309                    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29.95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1</v>
      </c>
      <c r="BI509" s="3">
        <v>1</v>
      </c>
      <c r="BJ509" s="3">
        <v>1.1000000000000001</v>
      </c>
      <c r="BK509" s="3">
        <v>1.5</v>
      </c>
      <c r="BL509" s="3">
        <v>114.31</v>
      </c>
      <c r="BM509" s="3">
        <v>17.149999999999999</v>
      </c>
      <c r="BN509" s="3">
        <v>131.46</v>
      </c>
      <c r="BO509" s="3">
        <v>131.46</v>
      </c>
      <c r="BQ509" s="3" t="s">
        <v>83</v>
      </c>
      <c r="BR509" s="3" t="s">
        <v>84</v>
      </c>
      <c r="BS509" s="4">
        <v>44574</v>
      </c>
      <c r="BT509" s="5">
        <v>0.56805555555555554</v>
      </c>
      <c r="BU509" s="3" t="s">
        <v>880</v>
      </c>
      <c r="BV509" s="3" t="s">
        <v>87</v>
      </c>
      <c r="BW509" s="3" t="s">
        <v>353</v>
      </c>
      <c r="BX509" s="3" t="s">
        <v>602</v>
      </c>
      <c r="BY509" s="3">
        <v>5320</v>
      </c>
      <c r="BZ509" s="3" t="s">
        <v>165</v>
      </c>
      <c r="CA509" s="3" t="s">
        <v>488</v>
      </c>
      <c r="CC509" s="3" t="s">
        <v>428</v>
      </c>
      <c r="CD509" s="3">
        <v>7130</v>
      </c>
      <c r="CE509" s="3" t="s">
        <v>86</v>
      </c>
      <c r="CF509" s="4">
        <v>44575</v>
      </c>
      <c r="CI509" s="3">
        <v>1</v>
      </c>
      <c r="CJ509" s="3">
        <v>1</v>
      </c>
      <c r="CK509" s="3">
        <v>23</v>
      </c>
      <c r="CL509" s="3" t="s">
        <v>87</v>
      </c>
    </row>
    <row r="510" spans="1:90" x14ac:dyDescent="0.2">
      <c r="A510" s="3" t="s">
        <v>72</v>
      </c>
      <c r="B510" s="3" t="s">
        <v>73</v>
      </c>
      <c r="C510" s="3" t="s">
        <v>74</v>
      </c>
      <c r="E510" s="3" t="str">
        <f>"FES1162844830"</f>
        <v>FES1162844830</v>
      </c>
      <c r="F510" s="4">
        <v>44573</v>
      </c>
      <c r="G510" s="3">
        <v>202207</v>
      </c>
      <c r="H510" s="3" t="s">
        <v>75</v>
      </c>
      <c r="I510" s="3" t="s">
        <v>76</v>
      </c>
      <c r="J510" s="3" t="s">
        <v>77</v>
      </c>
      <c r="K510" s="3" t="s">
        <v>78</v>
      </c>
      <c r="L510" s="3" t="s">
        <v>184</v>
      </c>
      <c r="M510" s="3" t="s">
        <v>185</v>
      </c>
      <c r="N510" s="3" t="s">
        <v>186</v>
      </c>
      <c r="O510" s="3" t="s">
        <v>82</v>
      </c>
      <c r="P510" s="3" t="str">
        <f>"2170816391                    "</f>
        <v xml:space="preserve">2170816391                    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15.46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1</v>
      </c>
      <c r="BI510" s="3">
        <v>2</v>
      </c>
      <c r="BJ510" s="3">
        <v>0.8</v>
      </c>
      <c r="BK510" s="3">
        <v>2</v>
      </c>
      <c r="BL510" s="3">
        <v>59</v>
      </c>
      <c r="BM510" s="3">
        <v>8.85</v>
      </c>
      <c r="BN510" s="3">
        <v>67.849999999999994</v>
      </c>
      <c r="BO510" s="3">
        <v>67.849999999999994</v>
      </c>
      <c r="BQ510" s="3" t="s">
        <v>83</v>
      </c>
      <c r="BR510" s="3" t="s">
        <v>84</v>
      </c>
      <c r="BS510" s="4">
        <v>44574</v>
      </c>
      <c r="BT510" s="5">
        <v>0.47222222222222227</v>
      </c>
      <c r="BU510" s="3" t="s">
        <v>881</v>
      </c>
      <c r="BV510" s="3" t="s">
        <v>87</v>
      </c>
      <c r="BW510" s="3" t="s">
        <v>647</v>
      </c>
      <c r="BX510" s="3" t="s">
        <v>605</v>
      </c>
      <c r="BY510" s="3">
        <v>4200</v>
      </c>
      <c r="BZ510" s="3" t="s">
        <v>165</v>
      </c>
      <c r="CA510" s="3" t="s">
        <v>649</v>
      </c>
      <c r="CC510" s="3" t="s">
        <v>185</v>
      </c>
      <c r="CD510" s="3">
        <v>5201</v>
      </c>
      <c r="CE510" s="3" t="s">
        <v>86</v>
      </c>
      <c r="CF510" s="4">
        <v>44574</v>
      </c>
      <c r="CI510" s="3">
        <v>1</v>
      </c>
      <c r="CJ510" s="3">
        <v>1</v>
      </c>
      <c r="CK510" s="3">
        <v>21</v>
      </c>
      <c r="CL510" s="3" t="s">
        <v>87</v>
      </c>
    </row>
    <row r="511" spans="1:90" x14ac:dyDescent="0.2">
      <c r="A511" s="3" t="s">
        <v>72</v>
      </c>
      <c r="B511" s="3" t="s">
        <v>73</v>
      </c>
      <c r="C511" s="3" t="s">
        <v>74</v>
      </c>
      <c r="E511" s="3" t="str">
        <f>"FES1162844813"</f>
        <v>FES1162844813</v>
      </c>
      <c r="F511" s="4">
        <v>44573</v>
      </c>
      <c r="G511" s="3">
        <v>202207</v>
      </c>
      <c r="H511" s="3" t="s">
        <v>75</v>
      </c>
      <c r="I511" s="3" t="s">
        <v>76</v>
      </c>
      <c r="J511" s="3" t="s">
        <v>77</v>
      </c>
      <c r="K511" s="3" t="s">
        <v>78</v>
      </c>
      <c r="L511" s="3" t="s">
        <v>171</v>
      </c>
      <c r="M511" s="3" t="s">
        <v>172</v>
      </c>
      <c r="N511" s="3" t="s">
        <v>329</v>
      </c>
      <c r="O511" s="3" t="s">
        <v>82</v>
      </c>
      <c r="P511" s="3" t="str">
        <f>"2170806150                    "</f>
        <v xml:space="preserve">2170806150                    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15.46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1</v>
      </c>
      <c r="BI511" s="3">
        <v>2</v>
      </c>
      <c r="BJ511" s="3">
        <v>1.5</v>
      </c>
      <c r="BK511" s="3">
        <v>2</v>
      </c>
      <c r="BL511" s="3">
        <v>59</v>
      </c>
      <c r="BM511" s="3">
        <v>8.85</v>
      </c>
      <c r="BN511" s="3">
        <v>67.849999999999994</v>
      </c>
      <c r="BO511" s="3">
        <v>67.849999999999994</v>
      </c>
      <c r="BQ511" s="3" t="s">
        <v>83</v>
      </c>
      <c r="BR511" s="3" t="s">
        <v>84</v>
      </c>
      <c r="BS511" s="4">
        <v>44574</v>
      </c>
      <c r="BT511" s="5">
        <v>0.37152777777777773</v>
      </c>
      <c r="BU511" s="3" t="s">
        <v>854</v>
      </c>
      <c r="BV511" s="3" t="s">
        <v>105</v>
      </c>
      <c r="BY511" s="3">
        <v>7540</v>
      </c>
      <c r="BZ511" s="3" t="s">
        <v>165</v>
      </c>
      <c r="CA511" s="3" t="s">
        <v>331</v>
      </c>
      <c r="CC511" s="3" t="s">
        <v>172</v>
      </c>
      <c r="CD511" s="3">
        <v>6001</v>
      </c>
      <c r="CE511" s="3" t="s">
        <v>86</v>
      </c>
      <c r="CF511" s="4">
        <v>44575</v>
      </c>
      <c r="CI511" s="3">
        <v>1</v>
      </c>
      <c r="CJ511" s="3">
        <v>1</v>
      </c>
      <c r="CK511" s="3">
        <v>21</v>
      </c>
      <c r="CL511" s="3" t="s">
        <v>87</v>
      </c>
    </row>
    <row r="512" spans="1:90" x14ac:dyDescent="0.2">
      <c r="A512" s="3" t="s">
        <v>72</v>
      </c>
      <c r="B512" s="3" t="s">
        <v>73</v>
      </c>
      <c r="C512" s="3" t="s">
        <v>74</v>
      </c>
      <c r="E512" s="3" t="str">
        <f>"FES1162844892"</f>
        <v>FES1162844892</v>
      </c>
      <c r="F512" s="4">
        <v>44573</v>
      </c>
      <c r="G512" s="3">
        <v>202207</v>
      </c>
      <c r="H512" s="3" t="s">
        <v>75</v>
      </c>
      <c r="I512" s="3" t="s">
        <v>76</v>
      </c>
      <c r="J512" s="3" t="s">
        <v>77</v>
      </c>
      <c r="K512" s="3" t="s">
        <v>78</v>
      </c>
      <c r="L512" s="3" t="s">
        <v>138</v>
      </c>
      <c r="M512" s="3" t="s">
        <v>139</v>
      </c>
      <c r="N512" s="3" t="s">
        <v>729</v>
      </c>
      <c r="O512" s="3" t="s">
        <v>82</v>
      </c>
      <c r="P512" s="3" t="str">
        <f>"2170816463                    "</f>
        <v xml:space="preserve">2170816463                    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15.46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1</v>
      </c>
      <c r="BI512" s="3">
        <v>1</v>
      </c>
      <c r="BJ512" s="3">
        <v>0.2</v>
      </c>
      <c r="BK512" s="3">
        <v>1</v>
      </c>
      <c r="BL512" s="3">
        <v>59</v>
      </c>
      <c r="BM512" s="3">
        <v>8.85</v>
      </c>
      <c r="BN512" s="3">
        <v>67.849999999999994</v>
      </c>
      <c r="BO512" s="3">
        <v>67.849999999999994</v>
      </c>
      <c r="BQ512" s="3" t="s">
        <v>89</v>
      </c>
      <c r="BR512" s="3" t="s">
        <v>84</v>
      </c>
      <c r="BS512" s="4">
        <v>44574</v>
      </c>
      <c r="BT512" s="5">
        <v>0.46111111111111108</v>
      </c>
      <c r="BU512" s="3" t="s">
        <v>882</v>
      </c>
      <c r="BV512" s="3" t="s">
        <v>105</v>
      </c>
      <c r="BY512" s="3">
        <v>1200</v>
      </c>
      <c r="BZ512" s="3" t="s">
        <v>165</v>
      </c>
      <c r="CA512" s="3" t="s">
        <v>334</v>
      </c>
      <c r="CC512" s="3" t="s">
        <v>139</v>
      </c>
      <c r="CD512" s="3">
        <v>3610</v>
      </c>
      <c r="CE512" s="3" t="s">
        <v>93</v>
      </c>
      <c r="CF512" s="4">
        <v>44574</v>
      </c>
      <c r="CI512" s="3">
        <v>1</v>
      </c>
      <c r="CJ512" s="3">
        <v>1</v>
      </c>
      <c r="CK512" s="3">
        <v>21</v>
      </c>
      <c r="CL512" s="3" t="s">
        <v>87</v>
      </c>
    </row>
    <row r="513" spans="1:90" x14ac:dyDescent="0.2">
      <c r="A513" s="3" t="s">
        <v>72</v>
      </c>
      <c r="B513" s="3" t="s">
        <v>73</v>
      </c>
      <c r="C513" s="3" t="s">
        <v>74</v>
      </c>
      <c r="E513" s="3" t="str">
        <f>"FES1162844920"</f>
        <v>FES1162844920</v>
      </c>
      <c r="F513" s="4">
        <v>44573</v>
      </c>
      <c r="G513" s="3">
        <v>202207</v>
      </c>
      <c r="H513" s="3" t="s">
        <v>75</v>
      </c>
      <c r="I513" s="3" t="s">
        <v>76</v>
      </c>
      <c r="J513" s="3" t="s">
        <v>77</v>
      </c>
      <c r="K513" s="3" t="s">
        <v>78</v>
      </c>
      <c r="L513" s="3" t="s">
        <v>75</v>
      </c>
      <c r="M513" s="3" t="s">
        <v>76</v>
      </c>
      <c r="N513" s="3" t="s">
        <v>224</v>
      </c>
      <c r="O513" s="3" t="s">
        <v>82</v>
      </c>
      <c r="P513" s="3" t="str">
        <f>"2170816483                    "</f>
        <v xml:space="preserve">2170816483                    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12.07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>
        <v>0</v>
      </c>
      <c r="BH513" s="3">
        <v>1</v>
      </c>
      <c r="BI513" s="3">
        <v>1</v>
      </c>
      <c r="BJ513" s="3">
        <v>0.2</v>
      </c>
      <c r="BK513" s="3">
        <v>1</v>
      </c>
      <c r="BL513" s="3">
        <v>46.08</v>
      </c>
      <c r="BM513" s="3">
        <v>6.91</v>
      </c>
      <c r="BN513" s="3">
        <v>52.99</v>
      </c>
      <c r="BO513" s="3">
        <v>52.99</v>
      </c>
      <c r="BQ513" s="3" t="s">
        <v>83</v>
      </c>
      <c r="BR513" s="3" t="s">
        <v>84</v>
      </c>
      <c r="BS513" s="4">
        <v>44574</v>
      </c>
      <c r="BT513" s="5">
        <v>0.37083333333333335</v>
      </c>
      <c r="BU513" s="3" t="s">
        <v>347</v>
      </c>
      <c r="BV513" s="3" t="s">
        <v>105</v>
      </c>
      <c r="BY513" s="3">
        <v>1200</v>
      </c>
      <c r="BZ513" s="3" t="s">
        <v>165</v>
      </c>
      <c r="CA513" s="3" t="s">
        <v>227</v>
      </c>
      <c r="CC513" s="3" t="s">
        <v>76</v>
      </c>
      <c r="CD513" s="3">
        <v>1600</v>
      </c>
      <c r="CE513" s="3" t="s">
        <v>93</v>
      </c>
      <c r="CF513" s="4">
        <v>44574</v>
      </c>
      <c r="CI513" s="3">
        <v>1</v>
      </c>
      <c r="CJ513" s="3">
        <v>1</v>
      </c>
      <c r="CK513" s="3">
        <v>22</v>
      </c>
      <c r="CL513" s="3" t="s">
        <v>87</v>
      </c>
    </row>
    <row r="514" spans="1:90" x14ac:dyDescent="0.2">
      <c r="A514" s="3" t="s">
        <v>72</v>
      </c>
      <c r="B514" s="3" t="s">
        <v>73</v>
      </c>
      <c r="C514" s="3" t="s">
        <v>74</v>
      </c>
      <c r="E514" s="3" t="str">
        <f>"FES1162843222"</f>
        <v>FES1162843222</v>
      </c>
      <c r="F514" s="4">
        <v>44573</v>
      </c>
      <c r="G514" s="3">
        <v>202207</v>
      </c>
      <c r="H514" s="3" t="s">
        <v>75</v>
      </c>
      <c r="I514" s="3" t="s">
        <v>76</v>
      </c>
      <c r="J514" s="3" t="s">
        <v>77</v>
      </c>
      <c r="K514" s="3" t="s">
        <v>78</v>
      </c>
      <c r="L514" s="3" t="s">
        <v>529</v>
      </c>
      <c r="M514" s="3" t="s">
        <v>530</v>
      </c>
      <c r="N514" s="3" t="s">
        <v>531</v>
      </c>
      <c r="O514" s="3" t="s">
        <v>82</v>
      </c>
      <c r="P514" s="3" t="str">
        <f>"2170813545                    "</f>
        <v xml:space="preserve">2170813545                    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29.95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1</v>
      </c>
      <c r="BI514" s="3">
        <v>1</v>
      </c>
      <c r="BJ514" s="3">
        <v>0.2</v>
      </c>
      <c r="BK514" s="3">
        <v>1</v>
      </c>
      <c r="BL514" s="3">
        <v>114.31</v>
      </c>
      <c r="BM514" s="3">
        <v>17.149999999999999</v>
      </c>
      <c r="BN514" s="3">
        <v>131.46</v>
      </c>
      <c r="BO514" s="3">
        <v>131.46</v>
      </c>
      <c r="BQ514" s="3" t="s">
        <v>83</v>
      </c>
      <c r="BR514" s="3" t="s">
        <v>84</v>
      </c>
      <c r="BS514" s="4">
        <v>44575</v>
      </c>
      <c r="BT514" s="5">
        <v>0.51180555555555551</v>
      </c>
      <c r="BU514" s="3" t="s">
        <v>826</v>
      </c>
      <c r="BV514" s="3" t="s">
        <v>87</v>
      </c>
      <c r="BW514" s="3" t="s">
        <v>579</v>
      </c>
      <c r="BX514" s="3" t="s">
        <v>866</v>
      </c>
      <c r="BY514" s="3">
        <v>1200</v>
      </c>
      <c r="BZ514" s="3" t="s">
        <v>165</v>
      </c>
      <c r="CA514" s="3" t="s">
        <v>328</v>
      </c>
      <c r="CC514" s="3" t="s">
        <v>530</v>
      </c>
      <c r="CD514" s="3">
        <v>6500</v>
      </c>
      <c r="CE514" s="3" t="s">
        <v>93</v>
      </c>
      <c r="CF514" s="4">
        <v>44576</v>
      </c>
      <c r="CI514" s="3">
        <v>1</v>
      </c>
      <c r="CJ514" s="3">
        <v>2</v>
      </c>
      <c r="CK514" s="3">
        <v>23</v>
      </c>
      <c r="CL514" s="3" t="s">
        <v>87</v>
      </c>
    </row>
    <row r="515" spans="1:90" x14ac:dyDescent="0.2">
      <c r="A515" s="3" t="s">
        <v>72</v>
      </c>
      <c r="B515" s="3" t="s">
        <v>73</v>
      </c>
      <c r="C515" s="3" t="s">
        <v>74</v>
      </c>
      <c r="E515" s="3" t="str">
        <f>"FES1162844787"</f>
        <v>FES1162844787</v>
      </c>
      <c r="F515" s="4">
        <v>44573</v>
      </c>
      <c r="G515" s="3">
        <v>202207</v>
      </c>
      <c r="H515" s="3" t="s">
        <v>75</v>
      </c>
      <c r="I515" s="3" t="s">
        <v>76</v>
      </c>
      <c r="J515" s="3" t="s">
        <v>77</v>
      </c>
      <c r="K515" s="3" t="s">
        <v>78</v>
      </c>
      <c r="L515" s="3" t="s">
        <v>167</v>
      </c>
      <c r="M515" s="3" t="s">
        <v>168</v>
      </c>
      <c r="N515" s="3" t="s">
        <v>337</v>
      </c>
      <c r="O515" s="3" t="s">
        <v>82</v>
      </c>
      <c r="P515" s="3" t="str">
        <f>"2170816346                    "</f>
        <v xml:space="preserve">2170816346                    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15.46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1</v>
      </c>
      <c r="BI515" s="3">
        <v>1</v>
      </c>
      <c r="BJ515" s="3">
        <v>0.2</v>
      </c>
      <c r="BK515" s="3">
        <v>1</v>
      </c>
      <c r="BL515" s="3">
        <v>59</v>
      </c>
      <c r="BM515" s="3">
        <v>8.85</v>
      </c>
      <c r="BN515" s="3">
        <v>67.849999999999994</v>
      </c>
      <c r="BO515" s="3">
        <v>67.849999999999994</v>
      </c>
      <c r="BQ515" s="3" t="s">
        <v>89</v>
      </c>
      <c r="BR515" s="3" t="s">
        <v>84</v>
      </c>
      <c r="BS515" s="4">
        <v>44574</v>
      </c>
      <c r="BT515" s="5">
        <v>0.55555555555555558</v>
      </c>
      <c r="BU515" s="3" t="s">
        <v>485</v>
      </c>
      <c r="BV515" s="3" t="s">
        <v>87</v>
      </c>
      <c r="BW515" s="3" t="s">
        <v>457</v>
      </c>
      <c r="BX515" s="3" t="s">
        <v>458</v>
      </c>
      <c r="BY515" s="3">
        <v>1200</v>
      </c>
      <c r="BZ515" s="3" t="s">
        <v>165</v>
      </c>
      <c r="CA515" s="3" t="s">
        <v>263</v>
      </c>
      <c r="CC515" s="3" t="s">
        <v>168</v>
      </c>
      <c r="CD515" s="3">
        <v>6220</v>
      </c>
      <c r="CE515" s="3" t="s">
        <v>93</v>
      </c>
      <c r="CF515" s="4">
        <v>44574</v>
      </c>
      <c r="CI515" s="3">
        <v>1</v>
      </c>
      <c r="CJ515" s="3">
        <v>1</v>
      </c>
      <c r="CK515" s="3">
        <v>21</v>
      </c>
      <c r="CL515" s="3" t="s">
        <v>87</v>
      </c>
    </row>
    <row r="516" spans="1:90" x14ac:dyDescent="0.2">
      <c r="A516" s="3" t="s">
        <v>72</v>
      </c>
      <c r="B516" s="3" t="s">
        <v>73</v>
      </c>
      <c r="C516" s="3" t="s">
        <v>74</v>
      </c>
      <c r="E516" s="3" t="str">
        <f>"FES1162843275"</f>
        <v>FES1162843275</v>
      </c>
      <c r="F516" s="4">
        <v>44573</v>
      </c>
      <c r="G516" s="3">
        <v>202207</v>
      </c>
      <c r="H516" s="3" t="s">
        <v>75</v>
      </c>
      <c r="I516" s="3" t="s">
        <v>76</v>
      </c>
      <c r="J516" s="3" t="s">
        <v>77</v>
      </c>
      <c r="K516" s="3" t="s">
        <v>78</v>
      </c>
      <c r="L516" s="3" t="s">
        <v>731</v>
      </c>
      <c r="M516" s="3" t="s">
        <v>732</v>
      </c>
      <c r="N516" s="3" t="s">
        <v>883</v>
      </c>
      <c r="O516" s="3" t="s">
        <v>82</v>
      </c>
      <c r="P516" s="3" t="str">
        <f>"2170815318                    "</f>
        <v xml:space="preserve">2170815318                    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29.95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1</v>
      </c>
      <c r="BI516" s="3">
        <v>1</v>
      </c>
      <c r="BJ516" s="3">
        <v>0.2</v>
      </c>
      <c r="BK516" s="3">
        <v>1</v>
      </c>
      <c r="BL516" s="3">
        <v>114.31</v>
      </c>
      <c r="BM516" s="3">
        <v>17.149999999999999</v>
      </c>
      <c r="BN516" s="3">
        <v>131.46</v>
      </c>
      <c r="BO516" s="3">
        <v>131.46</v>
      </c>
      <c r="BQ516" s="3" t="s">
        <v>273</v>
      </c>
      <c r="BR516" s="3" t="s">
        <v>84</v>
      </c>
      <c r="BS516" s="4">
        <v>44578</v>
      </c>
      <c r="BT516" s="5">
        <v>0.5</v>
      </c>
      <c r="BU516" s="3" t="s">
        <v>884</v>
      </c>
      <c r="BV516" s="3" t="s">
        <v>87</v>
      </c>
      <c r="BW516" s="3" t="s">
        <v>453</v>
      </c>
      <c r="BX516" s="3" t="s">
        <v>279</v>
      </c>
      <c r="BY516" s="3">
        <v>1200</v>
      </c>
      <c r="BZ516" s="3" t="s">
        <v>165</v>
      </c>
      <c r="CC516" s="3" t="s">
        <v>732</v>
      </c>
      <c r="CD516" s="3">
        <v>3280</v>
      </c>
      <c r="CE516" s="3" t="s">
        <v>93</v>
      </c>
      <c r="CF516" s="4">
        <v>44582</v>
      </c>
      <c r="CI516" s="3">
        <v>1</v>
      </c>
      <c r="CJ516" s="3">
        <v>3</v>
      </c>
      <c r="CK516" s="3">
        <v>23</v>
      </c>
      <c r="CL516" s="3" t="s">
        <v>87</v>
      </c>
    </row>
    <row r="517" spans="1:90" x14ac:dyDescent="0.2">
      <c r="A517" s="3" t="s">
        <v>72</v>
      </c>
      <c r="B517" s="3" t="s">
        <v>73</v>
      </c>
      <c r="C517" s="3" t="s">
        <v>74</v>
      </c>
      <c r="E517" s="3" t="str">
        <f>"FES1162844757"</f>
        <v>FES1162844757</v>
      </c>
      <c r="F517" s="4">
        <v>44573</v>
      </c>
      <c r="G517" s="3">
        <v>202207</v>
      </c>
      <c r="H517" s="3" t="s">
        <v>75</v>
      </c>
      <c r="I517" s="3" t="s">
        <v>76</v>
      </c>
      <c r="J517" s="3" t="s">
        <v>77</v>
      </c>
      <c r="K517" s="3" t="s">
        <v>78</v>
      </c>
      <c r="L517" s="3" t="s">
        <v>162</v>
      </c>
      <c r="M517" s="3" t="s">
        <v>163</v>
      </c>
      <c r="N517" s="3" t="s">
        <v>885</v>
      </c>
      <c r="O517" s="3" t="s">
        <v>82</v>
      </c>
      <c r="P517" s="3" t="str">
        <f>"2170814401                    "</f>
        <v xml:space="preserve">2170814401                    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12.07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1</v>
      </c>
      <c r="BI517" s="3">
        <v>2</v>
      </c>
      <c r="BJ517" s="3">
        <v>1.4</v>
      </c>
      <c r="BK517" s="3">
        <v>2</v>
      </c>
      <c r="BL517" s="3">
        <v>46.08</v>
      </c>
      <c r="BM517" s="3">
        <v>6.91</v>
      </c>
      <c r="BN517" s="3">
        <v>52.99</v>
      </c>
      <c r="BO517" s="3">
        <v>52.99</v>
      </c>
      <c r="BQ517" s="3" t="s">
        <v>83</v>
      </c>
      <c r="BR517" s="3" t="s">
        <v>84</v>
      </c>
      <c r="BS517" s="4">
        <v>44574</v>
      </c>
      <c r="BT517" s="5">
        <v>0.30416666666666664</v>
      </c>
      <c r="BU517" s="3" t="s">
        <v>886</v>
      </c>
      <c r="BV517" s="3" t="s">
        <v>105</v>
      </c>
      <c r="BY517" s="3">
        <v>6860</v>
      </c>
      <c r="BZ517" s="3" t="s">
        <v>165</v>
      </c>
      <c r="CA517" s="3" t="s">
        <v>591</v>
      </c>
      <c r="CC517" s="3" t="s">
        <v>163</v>
      </c>
      <c r="CD517" s="3">
        <v>1422</v>
      </c>
      <c r="CE517" s="3" t="s">
        <v>86</v>
      </c>
      <c r="CF517" s="4">
        <v>44574</v>
      </c>
      <c r="CI517" s="3">
        <v>1</v>
      </c>
      <c r="CJ517" s="3">
        <v>1</v>
      </c>
      <c r="CK517" s="3">
        <v>22</v>
      </c>
      <c r="CL517" s="3" t="s">
        <v>87</v>
      </c>
    </row>
    <row r="518" spans="1:90" x14ac:dyDescent="0.2">
      <c r="A518" s="3" t="s">
        <v>72</v>
      </c>
      <c r="B518" s="3" t="s">
        <v>73</v>
      </c>
      <c r="C518" s="3" t="s">
        <v>74</v>
      </c>
      <c r="E518" s="3" t="str">
        <f>"FES1162844615"</f>
        <v>FES1162844615</v>
      </c>
      <c r="F518" s="4">
        <v>44573</v>
      </c>
      <c r="G518" s="3">
        <v>202207</v>
      </c>
      <c r="H518" s="3" t="s">
        <v>75</v>
      </c>
      <c r="I518" s="3" t="s">
        <v>76</v>
      </c>
      <c r="J518" s="3" t="s">
        <v>77</v>
      </c>
      <c r="K518" s="3" t="s">
        <v>78</v>
      </c>
      <c r="L518" s="3" t="s">
        <v>176</v>
      </c>
      <c r="M518" s="3" t="s">
        <v>177</v>
      </c>
      <c r="N518" s="3" t="s">
        <v>178</v>
      </c>
      <c r="O518" s="3" t="s">
        <v>82</v>
      </c>
      <c r="P518" s="3" t="str">
        <f>"2170800815                    "</f>
        <v xml:space="preserve">2170800815                    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15.46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1</v>
      </c>
      <c r="BI518" s="3">
        <v>1</v>
      </c>
      <c r="BJ518" s="3">
        <v>0.2</v>
      </c>
      <c r="BK518" s="3">
        <v>1</v>
      </c>
      <c r="BL518" s="3">
        <v>59</v>
      </c>
      <c r="BM518" s="3">
        <v>8.85</v>
      </c>
      <c r="BN518" s="3">
        <v>67.849999999999994</v>
      </c>
      <c r="BO518" s="3">
        <v>67.849999999999994</v>
      </c>
      <c r="BQ518" s="3" t="s">
        <v>83</v>
      </c>
      <c r="BR518" s="3" t="s">
        <v>84</v>
      </c>
      <c r="BS518" s="4">
        <v>44574</v>
      </c>
      <c r="BT518" s="5">
        <v>0.43055555555555558</v>
      </c>
      <c r="BU518" s="3" t="s">
        <v>822</v>
      </c>
      <c r="BV518" s="3" t="s">
        <v>105</v>
      </c>
      <c r="BY518" s="3">
        <v>1200</v>
      </c>
      <c r="BZ518" s="3" t="s">
        <v>165</v>
      </c>
      <c r="CA518" s="3" t="s">
        <v>615</v>
      </c>
      <c r="CC518" s="3" t="s">
        <v>177</v>
      </c>
      <c r="CD518" s="3">
        <v>4026</v>
      </c>
      <c r="CE518" s="3" t="s">
        <v>93</v>
      </c>
      <c r="CF518" s="4">
        <v>44574</v>
      </c>
      <c r="CI518" s="3">
        <v>1</v>
      </c>
      <c r="CJ518" s="3">
        <v>1</v>
      </c>
      <c r="CK518" s="3">
        <v>21</v>
      </c>
      <c r="CL518" s="3" t="s">
        <v>87</v>
      </c>
    </row>
    <row r="519" spans="1:90" x14ac:dyDescent="0.2">
      <c r="A519" s="3" t="s">
        <v>72</v>
      </c>
      <c r="B519" s="3" t="s">
        <v>73</v>
      </c>
      <c r="C519" s="3" t="s">
        <v>74</v>
      </c>
      <c r="E519" s="3" t="str">
        <f>"FES1162844711"</f>
        <v>FES1162844711</v>
      </c>
      <c r="F519" s="4">
        <v>44573</v>
      </c>
      <c r="G519" s="3">
        <v>202207</v>
      </c>
      <c r="H519" s="3" t="s">
        <v>75</v>
      </c>
      <c r="I519" s="3" t="s">
        <v>76</v>
      </c>
      <c r="J519" s="3" t="s">
        <v>77</v>
      </c>
      <c r="K519" s="3" t="s">
        <v>78</v>
      </c>
      <c r="L519" s="3" t="s">
        <v>90</v>
      </c>
      <c r="M519" s="3" t="s">
        <v>91</v>
      </c>
      <c r="N519" s="3" t="s">
        <v>887</v>
      </c>
      <c r="O519" s="3" t="s">
        <v>82</v>
      </c>
      <c r="P519" s="3" t="str">
        <f>"2170816300                    "</f>
        <v xml:space="preserve">2170816300                    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15.46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1</v>
      </c>
      <c r="BI519" s="3">
        <v>1</v>
      </c>
      <c r="BJ519" s="3">
        <v>0.2</v>
      </c>
      <c r="BK519" s="3">
        <v>1</v>
      </c>
      <c r="BL519" s="3">
        <v>59</v>
      </c>
      <c r="BM519" s="3">
        <v>8.85</v>
      </c>
      <c r="BN519" s="3">
        <v>67.849999999999994</v>
      </c>
      <c r="BO519" s="3">
        <v>67.849999999999994</v>
      </c>
      <c r="BQ519" s="3" t="s">
        <v>888</v>
      </c>
      <c r="BR519" s="3" t="s">
        <v>84</v>
      </c>
      <c r="BS519" s="4">
        <v>44574</v>
      </c>
      <c r="BT519" s="5">
        <v>0.3611111111111111</v>
      </c>
      <c r="BU519" s="3" t="s">
        <v>889</v>
      </c>
      <c r="BV519" s="3" t="s">
        <v>105</v>
      </c>
      <c r="BY519" s="3">
        <v>1200</v>
      </c>
      <c r="BZ519" s="3" t="s">
        <v>165</v>
      </c>
      <c r="CA519" s="3" t="s">
        <v>566</v>
      </c>
      <c r="CC519" s="3" t="s">
        <v>91</v>
      </c>
      <c r="CD519" s="3">
        <v>7460</v>
      </c>
      <c r="CE519" s="3" t="s">
        <v>93</v>
      </c>
      <c r="CF519" s="4">
        <v>44575</v>
      </c>
      <c r="CI519" s="3">
        <v>1</v>
      </c>
      <c r="CJ519" s="3">
        <v>1</v>
      </c>
      <c r="CK519" s="3">
        <v>21</v>
      </c>
      <c r="CL519" s="3" t="s">
        <v>87</v>
      </c>
    </row>
    <row r="520" spans="1:90" x14ac:dyDescent="0.2">
      <c r="A520" s="3" t="s">
        <v>72</v>
      </c>
      <c r="B520" s="3" t="s">
        <v>73</v>
      </c>
      <c r="C520" s="3" t="s">
        <v>74</v>
      </c>
      <c r="E520" s="3" t="str">
        <f>"FES1162844617"</f>
        <v>FES1162844617</v>
      </c>
      <c r="F520" s="4">
        <v>44573</v>
      </c>
      <c r="G520" s="3">
        <v>202207</v>
      </c>
      <c r="H520" s="3" t="s">
        <v>75</v>
      </c>
      <c r="I520" s="3" t="s">
        <v>76</v>
      </c>
      <c r="J520" s="3" t="s">
        <v>77</v>
      </c>
      <c r="K520" s="3" t="s">
        <v>78</v>
      </c>
      <c r="L520" s="3" t="s">
        <v>171</v>
      </c>
      <c r="M520" s="3" t="s">
        <v>172</v>
      </c>
      <c r="N520" s="3" t="s">
        <v>200</v>
      </c>
      <c r="O520" s="3" t="s">
        <v>82</v>
      </c>
      <c r="P520" s="3" t="str">
        <f>"2170805645                    "</f>
        <v xml:space="preserve">2170805645                    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15.46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0</v>
      </c>
      <c r="AT520" s="3">
        <v>0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1</v>
      </c>
      <c r="BI520" s="3">
        <v>1</v>
      </c>
      <c r="BJ520" s="3">
        <v>0.2</v>
      </c>
      <c r="BK520" s="3">
        <v>1</v>
      </c>
      <c r="BL520" s="3">
        <v>59</v>
      </c>
      <c r="BM520" s="3">
        <v>8.85</v>
      </c>
      <c r="BN520" s="3">
        <v>67.849999999999994</v>
      </c>
      <c r="BO520" s="3">
        <v>67.849999999999994</v>
      </c>
      <c r="BQ520" s="3" t="s">
        <v>89</v>
      </c>
      <c r="BR520" s="3" t="s">
        <v>84</v>
      </c>
      <c r="BS520" s="4">
        <v>44574</v>
      </c>
      <c r="BT520" s="5">
        <v>0.41736111111111113</v>
      </c>
      <c r="BU520" s="3" t="s">
        <v>813</v>
      </c>
      <c r="BV520" s="3" t="s">
        <v>105</v>
      </c>
      <c r="BY520" s="3">
        <v>1200</v>
      </c>
      <c r="BZ520" s="3" t="s">
        <v>165</v>
      </c>
      <c r="CA520" s="3" t="s">
        <v>814</v>
      </c>
      <c r="CC520" s="3" t="s">
        <v>172</v>
      </c>
      <c r="CD520" s="3">
        <v>6001</v>
      </c>
      <c r="CE520" s="3" t="s">
        <v>93</v>
      </c>
      <c r="CF520" s="4">
        <v>44575</v>
      </c>
      <c r="CI520" s="3">
        <v>1</v>
      </c>
      <c r="CJ520" s="3">
        <v>1</v>
      </c>
      <c r="CK520" s="3">
        <v>21</v>
      </c>
      <c r="CL520" s="3" t="s">
        <v>87</v>
      </c>
    </row>
    <row r="521" spans="1:90" x14ac:dyDescent="0.2">
      <c r="A521" s="3" t="s">
        <v>72</v>
      </c>
      <c r="B521" s="3" t="s">
        <v>73</v>
      </c>
      <c r="C521" s="3" t="s">
        <v>74</v>
      </c>
      <c r="E521" s="3" t="str">
        <f>"FES1162844680"</f>
        <v>FES1162844680</v>
      </c>
      <c r="F521" s="4">
        <v>44573</v>
      </c>
      <c r="G521" s="3">
        <v>202207</v>
      </c>
      <c r="H521" s="3" t="s">
        <v>75</v>
      </c>
      <c r="I521" s="3" t="s">
        <v>76</v>
      </c>
      <c r="J521" s="3" t="s">
        <v>77</v>
      </c>
      <c r="K521" s="3" t="s">
        <v>78</v>
      </c>
      <c r="L521" s="3" t="s">
        <v>75</v>
      </c>
      <c r="M521" s="3" t="s">
        <v>76</v>
      </c>
      <c r="N521" s="3" t="s">
        <v>147</v>
      </c>
      <c r="O521" s="3" t="s">
        <v>148</v>
      </c>
      <c r="P521" s="3" t="str">
        <f>"2170816259                    "</f>
        <v xml:space="preserve">2170816259                    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31.16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1</v>
      </c>
      <c r="BI521" s="3">
        <v>27</v>
      </c>
      <c r="BJ521" s="3">
        <v>18.3</v>
      </c>
      <c r="BK521" s="3">
        <v>27</v>
      </c>
      <c r="BL521" s="3">
        <v>124.18</v>
      </c>
      <c r="BM521" s="3">
        <v>18.63</v>
      </c>
      <c r="BN521" s="3">
        <v>142.81</v>
      </c>
      <c r="BO521" s="3">
        <v>142.81</v>
      </c>
      <c r="BQ521" s="3" t="s">
        <v>89</v>
      </c>
      <c r="BR521" s="3" t="s">
        <v>84</v>
      </c>
      <c r="BS521" s="4">
        <v>44574</v>
      </c>
      <c r="BT521" s="5">
        <v>0.39305555555555555</v>
      </c>
      <c r="BU521" s="3" t="s">
        <v>849</v>
      </c>
      <c r="BV521" s="3" t="s">
        <v>105</v>
      </c>
      <c r="BY521" s="3">
        <v>91264</v>
      </c>
      <c r="BZ521" s="3" t="s">
        <v>327</v>
      </c>
      <c r="CA521" s="3" t="s">
        <v>477</v>
      </c>
      <c r="CC521" s="3" t="s">
        <v>76</v>
      </c>
      <c r="CD521" s="3">
        <v>1645</v>
      </c>
      <c r="CE521" s="3" t="s">
        <v>86</v>
      </c>
      <c r="CF521" s="4">
        <v>44575</v>
      </c>
      <c r="CI521" s="3">
        <v>1</v>
      </c>
      <c r="CJ521" s="3">
        <v>1</v>
      </c>
      <c r="CK521" s="3">
        <v>42</v>
      </c>
      <c r="CL521" s="3" t="s">
        <v>87</v>
      </c>
    </row>
    <row r="522" spans="1:90" x14ac:dyDescent="0.2">
      <c r="A522" s="3" t="s">
        <v>72</v>
      </c>
      <c r="B522" s="3" t="s">
        <v>73</v>
      </c>
      <c r="C522" s="3" t="s">
        <v>74</v>
      </c>
      <c r="E522" s="3" t="str">
        <f>"FES1162844801"</f>
        <v>FES1162844801</v>
      </c>
      <c r="F522" s="4">
        <v>44573</v>
      </c>
      <c r="G522" s="3">
        <v>202207</v>
      </c>
      <c r="H522" s="3" t="s">
        <v>75</v>
      </c>
      <c r="I522" s="3" t="s">
        <v>76</v>
      </c>
      <c r="J522" s="3" t="s">
        <v>77</v>
      </c>
      <c r="K522" s="3" t="s">
        <v>78</v>
      </c>
      <c r="L522" s="3" t="s">
        <v>180</v>
      </c>
      <c r="M522" s="3" t="s">
        <v>181</v>
      </c>
      <c r="N522" s="3" t="s">
        <v>890</v>
      </c>
      <c r="O522" s="3" t="s">
        <v>82</v>
      </c>
      <c r="P522" s="3" t="str">
        <f>"2170815181                    "</f>
        <v xml:space="preserve">2170815181                    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21.74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1</v>
      </c>
      <c r="BI522" s="3">
        <v>1</v>
      </c>
      <c r="BJ522" s="3">
        <v>1.1000000000000001</v>
      </c>
      <c r="BK522" s="3">
        <v>1.5</v>
      </c>
      <c r="BL522" s="3">
        <v>82.98</v>
      </c>
      <c r="BM522" s="3">
        <v>12.45</v>
      </c>
      <c r="BN522" s="3">
        <v>95.43</v>
      </c>
      <c r="BO522" s="3">
        <v>95.43</v>
      </c>
      <c r="BQ522" s="3" t="s">
        <v>273</v>
      </c>
      <c r="BR522" s="3" t="s">
        <v>84</v>
      </c>
      <c r="BS522" s="4">
        <v>44574</v>
      </c>
      <c r="BT522" s="5">
        <v>0.55555555555555558</v>
      </c>
      <c r="BU522" s="3" t="s">
        <v>891</v>
      </c>
      <c r="BV522" s="3" t="s">
        <v>87</v>
      </c>
      <c r="BW522" s="3" t="s">
        <v>353</v>
      </c>
      <c r="BX522" s="3" t="s">
        <v>811</v>
      </c>
      <c r="BY522" s="3">
        <v>5320</v>
      </c>
      <c r="BZ522" s="3" t="s">
        <v>165</v>
      </c>
      <c r="CA522" s="3" t="s">
        <v>373</v>
      </c>
      <c r="CC522" s="3" t="s">
        <v>181</v>
      </c>
      <c r="CD522" s="3">
        <v>1871</v>
      </c>
      <c r="CE522" s="3" t="s">
        <v>86</v>
      </c>
      <c r="CF522" s="4">
        <v>44575</v>
      </c>
      <c r="CI522" s="3">
        <v>1</v>
      </c>
      <c r="CJ522" s="3">
        <v>1</v>
      </c>
      <c r="CK522" s="3">
        <v>24</v>
      </c>
      <c r="CL522" s="3" t="s">
        <v>87</v>
      </c>
    </row>
    <row r="523" spans="1:90" x14ac:dyDescent="0.2">
      <c r="A523" s="3" t="s">
        <v>72</v>
      </c>
      <c r="B523" s="3" t="s">
        <v>73</v>
      </c>
      <c r="C523" s="3" t="s">
        <v>74</v>
      </c>
      <c r="E523" s="3" t="str">
        <f>"FES1162844689"</f>
        <v>FES1162844689</v>
      </c>
      <c r="F523" s="4">
        <v>44573</v>
      </c>
      <c r="G523" s="3">
        <v>202207</v>
      </c>
      <c r="H523" s="3" t="s">
        <v>75</v>
      </c>
      <c r="I523" s="3" t="s">
        <v>76</v>
      </c>
      <c r="J523" s="3" t="s">
        <v>77</v>
      </c>
      <c r="K523" s="3" t="s">
        <v>78</v>
      </c>
      <c r="L523" s="3" t="s">
        <v>184</v>
      </c>
      <c r="M523" s="3" t="s">
        <v>185</v>
      </c>
      <c r="N523" s="3" t="s">
        <v>186</v>
      </c>
      <c r="O523" s="3" t="s">
        <v>82</v>
      </c>
      <c r="P523" s="3" t="str">
        <f>"2170816167                    "</f>
        <v xml:space="preserve">2170816167                    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15.46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0</v>
      </c>
      <c r="AZ523" s="3">
        <v>0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1</v>
      </c>
      <c r="BI523" s="3">
        <v>1</v>
      </c>
      <c r="BJ523" s="3">
        <v>1.1000000000000001</v>
      </c>
      <c r="BK523" s="3">
        <v>1.5</v>
      </c>
      <c r="BL523" s="3">
        <v>59</v>
      </c>
      <c r="BM523" s="3">
        <v>8.85</v>
      </c>
      <c r="BN523" s="3">
        <v>67.849999999999994</v>
      </c>
      <c r="BO523" s="3">
        <v>67.849999999999994</v>
      </c>
      <c r="BQ523" s="3" t="s">
        <v>83</v>
      </c>
      <c r="BR523" s="3" t="s">
        <v>84</v>
      </c>
      <c r="BS523" s="4">
        <v>44574</v>
      </c>
      <c r="BT523" s="5">
        <v>0.47291666666666665</v>
      </c>
      <c r="BU523" s="3" t="s">
        <v>881</v>
      </c>
      <c r="BV523" s="3" t="s">
        <v>87</v>
      </c>
      <c r="BW523" s="3" t="s">
        <v>647</v>
      </c>
      <c r="BX523" s="3" t="s">
        <v>605</v>
      </c>
      <c r="BY523" s="3">
        <v>5320</v>
      </c>
      <c r="BZ523" s="3" t="s">
        <v>165</v>
      </c>
      <c r="CA523" s="3" t="s">
        <v>649</v>
      </c>
      <c r="CC523" s="3" t="s">
        <v>185</v>
      </c>
      <c r="CD523" s="3">
        <v>5201</v>
      </c>
      <c r="CE523" s="3" t="s">
        <v>86</v>
      </c>
      <c r="CF523" s="4">
        <v>44574</v>
      </c>
      <c r="CI523" s="3">
        <v>1</v>
      </c>
      <c r="CJ523" s="3">
        <v>1</v>
      </c>
      <c r="CK523" s="3">
        <v>21</v>
      </c>
      <c r="CL523" s="3" t="s">
        <v>87</v>
      </c>
    </row>
    <row r="524" spans="1:90" x14ac:dyDescent="0.2">
      <c r="A524" s="3" t="s">
        <v>72</v>
      </c>
      <c r="B524" s="3" t="s">
        <v>73</v>
      </c>
      <c r="C524" s="3" t="s">
        <v>74</v>
      </c>
      <c r="E524" s="3" t="str">
        <f>"FES1162844696"</f>
        <v>FES1162844696</v>
      </c>
      <c r="F524" s="4">
        <v>44573</v>
      </c>
      <c r="G524" s="3">
        <v>202207</v>
      </c>
      <c r="H524" s="3" t="s">
        <v>75</v>
      </c>
      <c r="I524" s="3" t="s">
        <v>76</v>
      </c>
      <c r="J524" s="3" t="s">
        <v>77</v>
      </c>
      <c r="K524" s="3" t="s">
        <v>78</v>
      </c>
      <c r="L524" s="3" t="s">
        <v>101</v>
      </c>
      <c r="M524" s="3" t="s">
        <v>102</v>
      </c>
      <c r="N524" s="3" t="s">
        <v>272</v>
      </c>
      <c r="O524" s="3" t="s">
        <v>82</v>
      </c>
      <c r="P524" s="3" t="str">
        <f>"2170816277                    "</f>
        <v xml:space="preserve">2170816277                    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0</v>
      </c>
      <c r="AH524" s="3">
        <v>0</v>
      </c>
      <c r="AI524" s="3">
        <v>0</v>
      </c>
      <c r="AJ524" s="3">
        <v>0</v>
      </c>
      <c r="AK524" s="3">
        <v>15.46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1</v>
      </c>
      <c r="BI524" s="3">
        <v>2</v>
      </c>
      <c r="BJ524" s="3">
        <v>1.1000000000000001</v>
      </c>
      <c r="BK524" s="3">
        <v>2</v>
      </c>
      <c r="BL524" s="3">
        <v>59</v>
      </c>
      <c r="BM524" s="3">
        <v>8.85</v>
      </c>
      <c r="BN524" s="3">
        <v>67.849999999999994</v>
      </c>
      <c r="BO524" s="3">
        <v>67.849999999999994</v>
      </c>
      <c r="BQ524" s="3" t="s">
        <v>273</v>
      </c>
      <c r="BR524" s="3" t="s">
        <v>84</v>
      </c>
      <c r="BS524" s="4">
        <v>44574</v>
      </c>
      <c r="BT524" s="5">
        <v>0.4368055555555555</v>
      </c>
      <c r="BU524" s="3" t="s">
        <v>855</v>
      </c>
      <c r="BV524" s="3" t="s">
        <v>105</v>
      </c>
      <c r="BY524" s="3">
        <v>5320</v>
      </c>
      <c r="BZ524" s="3" t="s">
        <v>165</v>
      </c>
      <c r="CA524" s="3" t="s">
        <v>275</v>
      </c>
      <c r="CC524" s="3" t="s">
        <v>102</v>
      </c>
      <c r="CD524" s="3">
        <v>4000</v>
      </c>
      <c r="CE524" s="3" t="s">
        <v>86</v>
      </c>
      <c r="CF524" s="4">
        <v>44574</v>
      </c>
      <c r="CI524" s="3">
        <v>1</v>
      </c>
      <c r="CJ524" s="3">
        <v>1</v>
      </c>
      <c r="CK524" s="3">
        <v>21</v>
      </c>
      <c r="CL524" s="3" t="s">
        <v>87</v>
      </c>
    </row>
    <row r="525" spans="1:90" x14ac:dyDescent="0.2">
      <c r="A525" s="3" t="s">
        <v>72</v>
      </c>
      <c r="B525" s="3" t="s">
        <v>73</v>
      </c>
      <c r="C525" s="3" t="s">
        <v>74</v>
      </c>
      <c r="E525" s="3" t="str">
        <f>"FES1162844688"</f>
        <v>FES1162844688</v>
      </c>
      <c r="F525" s="4">
        <v>44573</v>
      </c>
      <c r="G525" s="3">
        <v>202207</v>
      </c>
      <c r="H525" s="3" t="s">
        <v>75</v>
      </c>
      <c r="I525" s="3" t="s">
        <v>76</v>
      </c>
      <c r="J525" s="3" t="s">
        <v>77</v>
      </c>
      <c r="K525" s="3" t="s">
        <v>78</v>
      </c>
      <c r="L525" s="3" t="s">
        <v>176</v>
      </c>
      <c r="M525" s="3" t="s">
        <v>177</v>
      </c>
      <c r="N525" s="3" t="s">
        <v>178</v>
      </c>
      <c r="O525" s="3" t="s">
        <v>82</v>
      </c>
      <c r="P525" s="3" t="str">
        <f>"2170816269                    "</f>
        <v xml:space="preserve">2170816269                    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0</v>
      </c>
      <c r="AF525" s="3">
        <v>0</v>
      </c>
      <c r="AG525" s="3">
        <v>0</v>
      </c>
      <c r="AH525" s="3">
        <v>0</v>
      </c>
      <c r="AI525" s="3">
        <v>0</v>
      </c>
      <c r="AJ525" s="3">
        <v>0</v>
      </c>
      <c r="AK525" s="3">
        <v>34.770000000000003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1</v>
      </c>
      <c r="BI525" s="3">
        <v>2</v>
      </c>
      <c r="BJ525" s="3">
        <v>4.0999999999999996</v>
      </c>
      <c r="BK525" s="3">
        <v>4.5</v>
      </c>
      <c r="BL525" s="3">
        <v>132.71</v>
      </c>
      <c r="BM525" s="3">
        <v>19.91</v>
      </c>
      <c r="BN525" s="3">
        <v>152.62</v>
      </c>
      <c r="BO525" s="3">
        <v>152.62</v>
      </c>
      <c r="BQ525" s="3" t="s">
        <v>83</v>
      </c>
      <c r="BR525" s="3" t="s">
        <v>84</v>
      </c>
      <c r="BS525" s="4">
        <v>44574</v>
      </c>
      <c r="BT525" s="5">
        <v>0.42986111111111108</v>
      </c>
      <c r="BU525" s="3" t="s">
        <v>822</v>
      </c>
      <c r="BV525" s="3" t="s">
        <v>105</v>
      </c>
      <c r="BY525" s="3">
        <v>20358</v>
      </c>
      <c r="BZ525" s="3" t="s">
        <v>165</v>
      </c>
      <c r="CA525" s="3" t="s">
        <v>615</v>
      </c>
      <c r="CC525" s="3" t="s">
        <v>177</v>
      </c>
      <c r="CD525" s="3">
        <v>4026</v>
      </c>
      <c r="CE525" s="3" t="s">
        <v>86</v>
      </c>
      <c r="CF525" s="4">
        <v>44574</v>
      </c>
      <c r="CI525" s="3">
        <v>1</v>
      </c>
      <c r="CJ525" s="3">
        <v>1</v>
      </c>
      <c r="CK525" s="3">
        <v>21</v>
      </c>
      <c r="CL525" s="3" t="s">
        <v>87</v>
      </c>
    </row>
    <row r="526" spans="1:90" x14ac:dyDescent="0.2">
      <c r="A526" s="3" t="s">
        <v>72</v>
      </c>
      <c r="B526" s="3" t="s">
        <v>73</v>
      </c>
      <c r="C526" s="3" t="s">
        <v>74</v>
      </c>
      <c r="E526" s="3" t="str">
        <f>"FES1162844713"</f>
        <v>FES1162844713</v>
      </c>
      <c r="F526" s="4">
        <v>44573</v>
      </c>
      <c r="G526" s="3">
        <v>202207</v>
      </c>
      <c r="H526" s="3" t="s">
        <v>75</v>
      </c>
      <c r="I526" s="3" t="s">
        <v>76</v>
      </c>
      <c r="J526" s="3" t="s">
        <v>77</v>
      </c>
      <c r="K526" s="3" t="s">
        <v>78</v>
      </c>
      <c r="L526" s="3" t="s">
        <v>195</v>
      </c>
      <c r="M526" s="3" t="s">
        <v>196</v>
      </c>
      <c r="N526" s="3" t="s">
        <v>449</v>
      </c>
      <c r="O526" s="3" t="s">
        <v>82</v>
      </c>
      <c r="P526" s="3" t="str">
        <f>"2170814519                    "</f>
        <v xml:space="preserve">2170814519                    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23.18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1</v>
      </c>
      <c r="BI526" s="3">
        <v>3</v>
      </c>
      <c r="BJ526" s="3">
        <v>2</v>
      </c>
      <c r="BK526" s="3">
        <v>3</v>
      </c>
      <c r="BL526" s="3">
        <v>88.48</v>
      </c>
      <c r="BM526" s="3">
        <v>13.27</v>
      </c>
      <c r="BN526" s="3">
        <v>101.75</v>
      </c>
      <c r="BO526" s="3">
        <v>101.75</v>
      </c>
      <c r="BQ526" s="3" t="s">
        <v>83</v>
      </c>
      <c r="BR526" s="3" t="s">
        <v>84</v>
      </c>
      <c r="BS526" s="4">
        <v>44574</v>
      </c>
      <c r="BT526" s="5">
        <v>0.4368055555555555</v>
      </c>
      <c r="BU526" s="3" t="s">
        <v>892</v>
      </c>
      <c r="BV526" s="3" t="s">
        <v>105</v>
      </c>
      <c r="BY526" s="3">
        <v>9918</v>
      </c>
      <c r="BZ526" s="3" t="s">
        <v>165</v>
      </c>
      <c r="CA526" s="3" t="s">
        <v>571</v>
      </c>
      <c r="CC526" s="3" t="s">
        <v>196</v>
      </c>
      <c r="CD526" s="3">
        <v>4302</v>
      </c>
      <c r="CE526" s="3" t="s">
        <v>86</v>
      </c>
      <c r="CF526" s="4">
        <v>44574</v>
      </c>
      <c r="CI526" s="3">
        <v>1</v>
      </c>
      <c r="CJ526" s="3">
        <v>1</v>
      </c>
      <c r="CK526" s="3">
        <v>21</v>
      </c>
      <c r="CL526" s="3" t="s">
        <v>87</v>
      </c>
    </row>
    <row r="527" spans="1:90" x14ac:dyDescent="0.2">
      <c r="A527" s="3" t="s">
        <v>72</v>
      </c>
      <c r="B527" s="3" t="s">
        <v>73</v>
      </c>
      <c r="C527" s="3" t="s">
        <v>74</v>
      </c>
      <c r="E527" s="3" t="str">
        <f>"FES1162844722"</f>
        <v>FES1162844722</v>
      </c>
      <c r="F527" s="4">
        <v>44573</v>
      </c>
      <c r="G527" s="3">
        <v>202207</v>
      </c>
      <c r="H527" s="3" t="s">
        <v>75</v>
      </c>
      <c r="I527" s="3" t="s">
        <v>76</v>
      </c>
      <c r="J527" s="3" t="s">
        <v>77</v>
      </c>
      <c r="K527" s="3" t="s">
        <v>78</v>
      </c>
      <c r="L527" s="3" t="s">
        <v>110</v>
      </c>
      <c r="M527" s="3" t="s">
        <v>110</v>
      </c>
      <c r="N527" s="3" t="s">
        <v>111</v>
      </c>
      <c r="O527" s="3" t="s">
        <v>82</v>
      </c>
      <c r="P527" s="3" t="str">
        <f>"2170816317                    "</f>
        <v xml:space="preserve">2170816317                    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0</v>
      </c>
      <c r="AF527" s="3">
        <v>0</v>
      </c>
      <c r="AG527" s="3">
        <v>0</v>
      </c>
      <c r="AH527" s="3">
        <v>0</v>
      </c>
      <c r="AI527" s="3">
        <v>0</v>
      </c>
      <c r="AJ527" s="3">
        <v>0</v>
      </c>
      <c r="AK527" s="3">
        <v>97.58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1</v>
      </c>
      <c r="BI527" s="3">
        <v>3</v>
      </c>
      <c r="BJ527" s="3">
        <v>6.6</v>
      </c>
      <c r="BK527" s="3">
        <v>7</v>
      </c>
      <c r="BL527" s="3">
        <v>372.44</v>
      </c>
      <c r="BM527" s="3">
        <v>55.87</v>
      </c>
      <c r="BN527" s="3">
        <v>428.31</v>
      </c>
      <c r="BO527" s="3">
        <v>428.31</v>
      </c>
      <c r="BQ527" s="3" t="s">
        <v>89</v>
      </c>
      <c r="BR527" s="3" t="s">
        <v>84</v>
      </c>
      <c r="BS527" s="4">
        <v>44574</v>
      </c>
      <c r="BT527" s="5">
        <v>0.50138888888888888</v>
      </c>
      <c r="BU527" s="3" t="s">
        <v>620</v>
      </c>
      <c r="BV527" s="3" t="s">
        <v>105</v>
      </c>
      <c r="BY527" s="3">
        <v>32799</v>
      </c>
      <c r="BZ527" s="3" t="s">
        <v>165</v>
      </c>
      <c r="CA527" s="3" t="s">
        <v>563</v>
      </c>
      <c r="CC527" s="3" t="s">
        <v>110</v>
      </c>
      <c r="CD527" s="3">
        <v>7646</v>
      </c>
      <c r="CE527" s="3" t="s">
        <v>86</v>
      </c>
      <c r="CF527" s="4">
        <v>44575</v>
      </c>
      <c r="CI527" s="3">
        <v>1</v>
      </c>
      <c r="CJ527" s="3">
        <v>1</v>
      </c>
      <c r="CK527" s="3">
        <v>23</v>
      </c>
      <c r="CL527" s="3" t="s">
        <v>87</v>
      </c>
    </row>
    <row r="528" spans="1:90" x14ac:dyDescent="0.2">
      <c r="A528" s="3" t="s">
        <v>72</v>
      </c>
      <c r="B528" s="3" t="s">
        <v>73</v>
      </c>
      <c r="C528" s="3" t="s">
        <v>74</v>
      </c>
      <c r="E528" s="3" t="str">
        <f>"FES1162844697"</f>
        <v>FES1162844697</v>
      </c>
      <c r="F528" s="4">
        <v>44573</v>
      </c>
      <c r="G528" s="3">
        <v>202207</v>
      </c>
      <c r="H528" s="3" t="s">
        <v>75</v>
      </c>
      <c r="I528" s="3" t="s">
        <v>76</v>
      </c>
      <c r="J528" s="3" t="s">
        <v>77</v>
      </c>
      <c r="K528" s="3" t="s">
        <v>78</v>
      </c>
      <c r="L528" s="3" t="s">
        <v>176</v>
      </c>
      <c r="M528" s="3" t="s">
        <v>177</v>
      </c>
      <c r="N528" s="3" t="s">
        <v>178</v>
      </c>
      <c r="O528" s="3" t="s">
        <v>82</v>
      </c>
      <c r="P528" s="3" t="str">
        <f>"2170816278                    "</f>
        <v xml:space="preserve">2170816278                    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15.46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0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1</v>
      </c>
      <c r="BI528" s="3">
        <v>1</v>
      </c>
      <c r="BJ528" s="3">
        <v>0.2</v>
      </c>
      <c r="BK528" s="3">
        <v>1</v>
      </c>
      <c r="BL528" s="3">
        <v>59</v>
      </c>
      <c r="BM528" s="3">
        <v>8.85</v>
      </c>
      <c r="BN528" s="3">
        <v>67.849999999999994</v>
      </c>
      <c r="BO528" s="3">
        <v>67.849999999999994</v>
      </c>
      <c r="BQ528" s="3" t="s">
        <v>83</v>
      </c>
      <c r="BR528" s="3" t="s">
        <v>84</v>
      </c>
      <c r="BS528" s="4">
        <v>44574</v>
      </c>
      <c r="BT528" s="5">
        <v>0.43055555555555558</v>
      </c>
      <c r="BU528" s="3" t="s">
        <v>822</v>
      </c>
      <c r="BV528" s="3" t="s">
        <v>105</v>
      </c>
      <c r="BY528" s="3">
        <v>1200</v>
      </c>
      <c r="BZ528" s="3" t="s">
        <v>165</v>
      </c>
      <c r="CA528" s="3" t="s">
        <v>615</v>
      </c>
      <c r="CC528" s="3" t="s">
        <v>177</v>
      </c>
      <c r="CD528" s="3">
        <v>4026</v>
      </c>
      <c r="CE528" s="3" t="s">
        <v>93</v>
      </c>
      <c r="CF528" s="4">
        <v>44574</v>
      </c>
      <c r="CI528" s="3">
        <v>1</v>
      </c>
      <c r="CJ528" s="3">
        <v>1</v>
      </c>
      <c r="CK528" s="3">
        <v>21</v>
      </c>
      <c r="CL528" s="3" t="s">
        <v>87</v>
      </c>
    </row>
    <row r="529" spans="1:90" x14ac:dyDescent="0.2">
      <c r="A529" s="3" t="s">
        <v>72</v>
      </c>
      <c r="B529" s="3" t="s">
        <v>73</v>
      </c>
      <c r="C529" s="3" t="s">
        <v>74</v>
      </c>
      <c r="E529" s="3" t="str">
        <f>"FES1162844703"</f>
        <v>FES1162844703</v>
      </c>
      <c r="F529" s="4">
        <v>44573</v>
      </c>
      <c r="G529" s="3">
        <v>202207</v>
      </c>
      <c r="H529" s="3" t="s">
        <v>75</v>
      </c>
      <c r="I529" s="3" t="s">
        <v>76</v>
      </c>
      <c r="J529" s="3" t="s">
        <v>77</v>
      </c>
      <c r="K529" s="3" t="s">
        <v>78</v>
      </c>
      <c r="L529" s="3" t="s">
        <v>79</v>
      </c>
      <c r="M529" s="3" t="s">
        <v>80</v>
      </c>
      <c r="N529" s="3" t="s">
        <v>81</v>
      </c>
      <c r="O529" s="3" t="s">
        <v>82</v>
      </c>
      <c r="P529" s="3" t="str">
        <f>"2170816289                    "</f>
        <v xml:space="preserve">2170816289                    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0</v>
      </c>
      <c r="AI529" s="3">
        <v>0</v>
      </c>
      <c r="AJ529" s="3">
        <v>0</v>
      </c>
      <c r="AK529" s="3">
        <v>15.46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1</v>
      </c>
      <c r="BI529" s="3">
        <v>1</v>
      </c>
      <c r="BJ529" s="3">
        <v>0.2</v>
      </c>
      <c r="BK529" s="3">
        <v>1</v>
      </c>
      <c r="BL529" s="3">
        <v>59</v>
      </c>
      <c r="BM529" s="3">
        <v>8.85</v>
      </c>
      <c r="BN529" s="3">
        <v>67.849999999999994</v>
      </c>
      <c r="BO529" s="3">
        <v>67.849999999999994</v>
      </c>
      <c r="BQ529" s="3" t="s">
        <v>83</v>
      </c>
      <c r="BR529" s="3" t="s">
        <v>84</v>
      </c>
      <c r="BS529" s="4">
        <v>44574</v>
      </c>
      <c r="BT529" s="5">
        <v>0.36805555555555558</v>
      </c>
      <c r="BU529" s="3" t="s">
        <v>893</v>
      </c>
      <c r="BV529" s="3" t="s">
        <v>105</v>
      </c>
      <c r="BY529" s="3">
        <v>1200</v>
      </c>
      <c r="BZ529" s="3" t="s">
        <v>165</v>
      </c>
      <c r="CA529" s="3" t="s">
        <v>366</v>
      </c>
      <c r="CC529" s="3" t="s">
        <v>80</v>
      </c>
      <c r="CD529" s="3">
        <v>200</v>
      </c>
      <c r="CE529" s="3" t="s">
        <v>93</v>
      </c>
      <c r="CF529" s="4">
        <v>44574</v>
      </c>
      <c r="CI529" s="3">
        <v>1</v>
      </c>
      <c r="CJ529" s="3">
        <v>1</v>
      </c>
      <c r="CK529" s="3">
        <v>21</v>
      </c>
      <c r="CL529" s="3" t="s">
        <v>87</v>
      </c>
    </row>
    <row r="530" spans="1:90" x14ac:dyDescent="0.2">
      <c r="A530" s="3" t="s">
        <v>72</v>
      </c>
      <c r="B530" s="3" t="s">
        <v>73</v>
      </c>
      <c r="C530" s="3" t="s">
        <v>74</v>
      </c>
      <c r="E530" s="3" t="str">
        <f>"FES1162844756"</f>
        <v>FES1162844756</v>
      </c>
      <c r="F530" s="4">
        <v>44573</v>
      </c>
      <c r="G530" s="3">
        <v>202207</v>
      </c>
      <c r="H530" s="3" t="s">
        <v>75</v>
      </c>
      <c r="I530" s="3" t="s">
        <v>76</v>
      </c>
      <c r="J530" s="3" t="s">
        <v>77</v>
      </c>
      <c r="K530" s="3" t="s">
        <v>78</v>
      </c>
      <c r="L530" s="3" t="s">
        <v>75</v>
      </c>
      <c r="M530" s="3" t="s">
        <v>76</v>
      </c>
      <c r="N530" s="3" t="s">
        <v>147</v>
      </c>
      <c r="O530" s="3" t="s">
        <v>82</v>
      </c>
      <c r="P530" s="3" t="str">
        <f>"2170814322                    "</f>
        <v xml:space="preserve">2170814322                    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0</v>
      </c>
      <c r="AH530" s="3">
        <v>0</v>
      </c>
      <c r="AI530" s="3">
        <v>0</v>
      </c>
      <c r="AJ530" s="3">
        <v>0</v>
      </c>
      <c r="AK530" s="3">
        <v>12.07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1</v>
      </c>
      <c r="BI530" s="3">
        <v>1</v>
      </c>
      <c r="BJ530" s="3">
        <v>0.2</v>
      </c>
      <c r="BK530" s="3">
        <v>1</v>
      </c>
      <c r="BL530" s="3">
        <v>46.08</v>
      </c>
      <c r="BM530" s="3">
        <v>6.91</v>
      </c>
      <c r="BN530" s="3">
        <v>52.99</v>
      </c>
      <c r="BO530" s="3">
        <v>52.99</v>
      </c>
      <c r="BQ530" s="3" t="s">
        <v>89</v>
      </c>
      <c r="BR530" s="3" t="s">
        <v>84</v>
      </c>
      <c r="BS530" s="4">
        <v>44574</v>
      </c>
      <c r="BT530" s="5">
        <v>0.3923611111111111</v>
      </c>
      <c r="BU530" s="3" t="s">
        <v>849</v>
      </c>
      <c r="BV530" s="3" t="s">
        <v>105</v>
      </c>
      <c r="BY530" s="3">
        <v>1200</v>
      </c>
      <c r="BZ530" s="3" t="s">
        <v>165</v>
      </c>
      <c r="CA530" s="3" t="s">
        <v>477</v>
      </c>
      <c r="CC530" s="3" t="s">
        <v>76</v>
      </c>
      <c r="CD530" s="3">
        <v>1645</v>
      </c>
      <c r="CE530" s="3" t="s">
        <v>93</v>
      </c>
      <c r="CF530" s="4">
        <v>44575</v>
      </c>
      <c r="CI530" s="3">
        <v>1</v>
      </c>
      <c r="CJ530" s="3">
        <v>1</v>
      </c>
      <c r="CK530" s="3">
        <v>22</v>
      </c>
      <c r="CL530" s="3" t="s">
        <v>87</v>
      </c>
    </row>
    <row r="531" spans="1:90" x14ac:dyDescent="0.2">
      <c r="A531" s="3" t="s">
        <v>72</v>
      </c>
      <c r="B531" s="3" t="s">
        <v>73</v>
      </c>
      <c r="C531" s="3" t="s">
        <v>74</v>
      </c>
      <c r="E531" s="3" t="str">
        <f>"FES1162844737"</f>
        <v>FES1162844737</v>
      </c>
      <c r="F531" s="4">
        <v>44573</v>
      </c>
      <c r="G531" s="3">
        <v>202207</v>
      </c>
      <c r="H531" s="3" t="s">
        <v>75</v>
      </c>
      <c r="I531" s="3" t="s">
        <v>76</v>
      </c>
      <c r="J531" s="3" t="s">
        <v>77</v>
      </c>
      <c r="K531" s="3" t="s">
        <v>78</v>
      </c>
      <c r="L531" s="3" t="s">
        <v>97</v>
      </c>
      <c r="M531" s="3" t="s">
        <v>98</v>
      </c>
      <c r="N531" s="3" t="s">
        <v>894</v>
      </c>
      <c r="O531" s="3" t="s">
        <v>82</v>
      </c>
      <c r="P531" s="3" t="str">
        <f>"2170809327                    "</f>
        <v xml:space="preserve">2170809327                    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0</v>
      </c>
      <c r="AF531" s="3">
        <v>0</v>
      </c>
      <c r="AG531" s="3">
        <v>0</v>
      </c>
      <c r="AH531" s="3">
        <v>0</v>
      </c>
      <c r="AI531" s="3">
        <v>0</v>
      </c>
      <c r="AJ531" s="3">
        <v>0</v>
      </c>
      <c r="AK531" s="3">
        <v>12.07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1</v>
      </c>
      <c r="BI531" s="3">
        <v>1</v>
      </c>
      <c r="BJ531" s="3">
        <v>0.2</v>
      </c>
      <c r="BK531" s="3">
        <v>1</v>
      </c>
      <c r="BL531" s="3">
        <v>46.08</v>
      </c>
      <c r="BM531" s="3">
        <v>6.91</v>
      </c>
      <c r="BN531" s="3">
        <v>52.99</v>
      </c>
      <c r="BO531" s="3">
        <v>52.99</v>
      </c>
      <c r="BQ531" s="3" t="s">
        <v>83</v>
      </c>
      <c r="BR531" s="3" t="s">
        <v>84</v>
      </c>
      <c r="BS531" s="4">
        <v>44574</v>
      </c>
      <c r="BT531" s="5">
        <v>0.38263888888888892</v>
      </c>
      <c r="BU531" s="3" t="s">
        <v>895</v>
      </c>
      <c r="BV531" s="3" t="s">
        <v>105</v>
      </c>
      <c r="BY531" s="3">
        <v>1200</v>
      </c>
      <c r="BZ531" s="3" t="s">
        <v>165</v>
      </c>
      <c r="CA531" s="3" t="s">
        <v>896</v>
      </c>
      <c r="CC531" s="3" t="s">
        <v>98</v>
      </c>
      <c r="CD531" s="3">
        <v>2157</v>
      </c>
      <c r="CE531" s="3" t="s">
        <v>93</v>
      </c>
      <c r="CF531" s="4">
        <v>44574</v>
      </c>
      <c r="CI531" s="3">
        <v>1</v>
      </c>
      <c r="CJ531" s="3">
        <v>1</v>
      </c>
      <c r="CK531" s="3">
        <v>22</v>
      </c>
      <c r="CL531" s="3" t="s">
        <v>87</v>
      </c>
    </row>
    <row r="532" spans="1:90" x14ac:dyDescent="0.2">
      <c r="A532" s="3" t="s">
        <v>72</v>
      </c>
      <c r="B532" s="3" t="s">
        <v>73</v>
      </c>
      <c r="C532" s="3" t="s">
        <v>74</v>
      </c>
      <c r="E532" s="3" t="str">
        <f>"FES1162844735"</f>
        <v>FES1162844735</v>
      </c>
      <c r="F532" s="4">
        <v>44573</v>
      </c>
      <c r="G532" s="3">
        <v>202207</v>
      </c>
      <c r="H532" s="3" t="s">
        <v>75</v>
      </c>
      <c r="I532" s="3" t="s">
        <v>76</v>
      </c>
      <c r="J532" s="3" t="s">
        <v>77</v>
      </c>
      <c r="K532" s="3" t="s">
        <v>78</v>
      </c>
      <c r="L532" s="3" t="s">
        <v>94</v>
      </c>
      <c r="M532" s="3" t="s">
        <v>95</v>
      </c>
      <c r="N532" s="3" t="s">
        <v>96</v>
      </c>
      <c r="O532" s="3" t="s">
        <v>148</v>
      </c>
      <c r="P532" s="3" t="str">
        <f>"2170805261                    "</f>
        <v xml:space="preserve">2170805261                    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0</v>
      </c>
      <c r="AF532" s="3">
        <v>0</v>
      </c>
      <c r="AG532" s="3">
        <v>0</v>
      </c>
      <c r="AH532" s="3">
        <v>0</v>
      </c>
      <c r="AI532" s="3">
        <v>0</v>
      </c>
      <c r="AJ532" s="3">
        <v>0</v>
      </c>
      <c r="AK532" s="3">
        <v>29.89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1</v>
      </c>
      <c r="BI532" s="3">
        <v>11</v>
      </c>
      <c r="BJ532" s="3">
        <v>4.4000000000000004</v>
      </c>
      <c r="BK532" s="3">
        <v>11</v>
      </c>
      <c r="BL532" s="3">
        <v>119.34</v>
      </c>
      <c r="BM532" s="3">
        <v>17.899999999999999</v>
      </c>
      <c r="BN532" s="3">
        <v>137.24</v>
      </c>
      <c r="BO532" s="3">
        <v>137.24</v>
      </c>
      <c r="BQ532" s="3" t="s">
        <v>89</v>
      </c>
      <c r="BR532" s="3" t="s">
        <v>84</v>
      </c>
      <c r="BS532" s="4">
        <v>44579</v>
      </c>
      <c r="BT532" s="5">
        <v>0.53055555555555556</v>
      </c>
      <c r="BU532" s="3" t="s">
        <v>897</v>
      </c>
      <c r="BV532" s="3" t="s">
        <v>87</v>
      </c>
      <c r="BW532" s="3" t="s">
        <v>453</v>
      </c>
      <c r="BX532" s="3" t="s">
        <v>279</v>
      </c>
      <c r="BY532" s="3">
        <v>21924</v>
      </c>
      <c r="BZ532" s="3" t="s">
        <v>327</v>
      </c>
      <c r="CC532" s="3" t="s">
        <v>95</v>
      </c>
      <c r="CD532" s="3">
        <v>3201</v>
      </c>
      <c r="CE532" s="3" t="s">
        <v>86</v>
      </c>
      <c r="CF532" s="4">
        <v>44582</v>
      </c>
      <c r="CI532" s="3">
        <v>1</v>
      </c>
      <c r="CJ532" s="3">
        <v>4</v>
      </c>
      <c r="CK532" s="3">
        <v>41</v>
      </c>
      <c r="CL532" s="3" t="s">
        <v>87</v>
      </c>
    </row>
    <row r="533" spans="1:90" x14ac:dyDescent="0.2">
      <c r="A533" s="3" t="s">
        <v>72</v>
      </c>
      <c r="B533" s="3" t="s">
        <v>73</v>
      </c>
      <c r="C533" s="3" t="s">
        <v>74</v>
      </c>
      <c r="E533" s="3" t="str">
        <f>"FES1162844751"</f>
        <v>FES1162844751</v>
      </c>
      <c r="F533" s="4">
        <v>44573</v>
      </c>
      <c r="G533" s="3">
        <v>202207</v>
      </c>
      <c r="H533" s="3" t="s">
        <v>75</v>
      </c>
      <c r="I533" s="3" t="s">
        <v>76</v>
      </c>
      <c r="J533" s="3" t="s">
        <v>77</v>
      </c>
      <c r="K533" s="3" t="s">
        <v>78</v>
      </c>
      <c r="L533" s="3" t="s">
        <v>94</v>
      </c>
      <c r="M533" s="3" t="s">
        <v>95</v>
      </c>
      <c r="N533" s="3" t="s">
        <v>96</v>
      </c>
      <c r="O533" s="3" t="s">
        <v>82</v>
      </c>
      <c r="P533" s="3" t="str">
        <f>"2170800285                    "</f>
        <v xml:space="preserve">2170800285                    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  <c r="AE533" s="3">
        <v>0</v>
      </c>
      <c r="AF533" s="3">
        <v>0</v>
      </c>
      <c r="AG533" s="3">
        <v>0</v>
      </c>
      <c r="AH533" s="3">
        <v>0</v>
      </c>
      <c r="AI533" s="3">
        <v>0</v>
      </c>
      <c r="AJ533" s="3">
        <v>0</v>
      </c>
      <c r="AK533" s="3">
        <v>15.46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1</v>
      </c>
      <c r="BI533" s="3">
        <v>1</v>
      </c>
      <c r="BJ533" s="3">
        <v>0.2</v>
      </c>
      <c r="BK533" s="3">
        <v>1</v>
      </c>
      <c r="BL533" s="3">
        <v>59</v>
      </c>
      <c r="BM533" s="3">
        <v>8.85</v>
      </c>
      <c r="BN533" s="3">
        <v>67.849999999999994</v>
      </c>
      <c r="BO533" s="3">
        <v>67.849999999999994</v>
      </c>
      <c r="BQ533" s="3" t="s">
        <v>89</v>
      </c>
      <c r="BR533" s="3" t="s">
        <v>84</v>
      </c>
      <c r="BS533" s="4">
        <v>44578</v>
      </c>
      <c r="BT533" s="5">
        <v>0.53402777777777777</v>
      </c>
      <c r="BU533" s="3" t="s">
        <v>821</v>
      </c>
      <c r="BV533" s="3" t="s">
        <v>87</v>
      </c>
      <c r="BW533" s="3" t="s">
        <v>453</v>
      </c>
      <c r="BX533" s="3" t="s">
        <v>279</v>
      </c>
      <c r="BY533" s="3">
        <v>1200</v>
      </c>
      <c r="BZ533" s="3" t="s">
        <v>165</v>
      </c>
      <c r="CC533" s="3" t="s">
        <v>95</v>
      </c>
      <c r="CD533" s="3">
        <v>3201</v>
      </c>
      <c r="CE533" s="3" t="s">
        <v>93</v>
      </c>
      <c r="CF533" s="4">
        <v>44581</v>
      </c>
      <c r="CI533" s="3">
        <v>1</v>
      </c>
      <c r="CJ533" s="3">
        <v>3</v>
      </c>
      <c r="CK533" s="3">
        <v>21</v>
      </c>
      <c r="CL533" s="3" t="s">
        <v>87</v>
      </c>
    </row>
    <row r="534" spans="1:90" x14ac:dyDescent="0.2">
      <c r="A534" s="3" t="s">
        <v>72</v>
      </c>
      <c r="B534" s="3" t="s">
        <v>73</v>
      </c>
      <c r="C534" s="3" t="s">
        <v>74</v>
      </c>
      <c r="E534" s="3" t="str">
        <f>"FES1162844831"</f>
        <v>FES1162844831</v>
      </c>
      <c r="F534" s="4">
        <v>44573</v>
      </c>
      <c r="G534" s="3">
        <v>202207</v>
      </c>
      <c r="H534" s="3" t="s">
        <v>75</v>
      </c>
      <c r="I534" s="3" t="s">
        <v>76</v>
      </c>
      <c r="J534" s="3" t="s">
        <v>77</v>
      </c>
      <c r="K534" s="3" t="s">
        <v>78</v>
      </c>
      <c r="L534" s="3" t="s">
        <v>101</v>
      </c>
      <c r="M534" s="3" t="s">
        <v>102</v>
      </c>
      <c r="N534" s="3" t="s">
        <v>170</v>
      </c>
      <c r="O534" s="3" t="s">
        <v>82</v>
      </c>
      <c r="P534" s="3" t="str">
        <f>"2170816392                    "</f>
        <v xml:space="preserve">2170816392                    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15.46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0</v>
      </c>
      <c r="BG534" s="3">
        <v>0</v>
      </c>
      <c r="BH534" s="3">
        <v>1</v>
      </c>
      <c r="BI534" s="3">
        <v>1</v>
      </c>
      <c r="BJ534" s="3">
        <v>0.2</v>
      </c>
      <c r="BK534" s="3">
        <v>1</v>
      </c>
      <c r="BL534" s="3">
        <v>59</v>
      </c>
      <c r="BM534" s="3">
        <v>8.85</v>
      </c>
      <c r="BN534" s="3">
        <v>67.849999999999994</v>
      </c>
      <c r="BO534" s="3">
        <v>67.849999999999994</v>
      </c>
      <c r="BQ534" s="3" t="s">
        <v>89</v>
      </c>
      <c r="BR534" s="3" t="s">
        <v>84</v>
      </c>
      <c r="BS534" s="4">
        <v>44574</v>
      </c>
      <c r="BT534" s="5">
        <v>0.51944444444444449</v>
      </c>
      <c r="BU534" s="3" t="s">
        <v>898</v>
      </c>
      <c r="BV534" s="3" t="s">
        <v>87</v>
      </c>
      <c r="BW534" s="3" t="s">
        <v>457</v>
      </c>
      <c r="BX534" s="3" t="s">
        <v>279</v>
      </c>
      <c r="BY534" s="3">
        <v>1200</v>
      </c>
      <c r="BZ534" s="3" t="s">
        <v>165</v>
      </c>
      <c r="CA534" s="3" t="s">
        <v>280</v>
      </c>
      <c r="CC534" s="3" t="s">
        <v>102</v>
      </c>
      <c r="CD534" s="3">
        <v>4001</v>
      </c>
      <c r="CE534" s="3" t="s">
        <v>93</v>
      </c>
      <c r="CF534" s="4">
        <v>44574</v>
      </c>
      <c r="CI534" s="3">
        <v>1</v>
      </c>
      <c r="CJ534" s="3">
        <v>1</v>
      </c>
      <c r="CK534" s="3">
        <v>21</v>
      </c>
      <c r="CL534" s="3" t="s">
        <v>87</v>
      </c>
    </row>
    <row r="535" spans="1:90" x14ac:dyDescent="0.2">
      <c r="A535" s="3" t="s">
        <v>72</v>
      </c>
      <c r="B535" s="3" t="s">
        <v>73</v>
      </c>
      <c r="C535" s="3" t="s">
        <v>74</v>
      </c>
      <c r="E535" s="3" t="str">
        <f>"FES1162844829"</f>
        <v>FES1162844829</v>
      </c>
      <c r="F535" s="4">
        <v>44573</v>
      </c>
      <c r="G535" s="3">
        <v>202207</v>
      </c>
      <c r="H535" s="3" t="s">
        <v>75</v>
      </c>
      <c r="I535" s="3" t="s">
        <v>76</v>
      </c>
      <c r="J535" s="3" t="s">
        <v>77</v>
      </c>
      <c r="K535" s="3" t="s">
        <v>78</v>
      </c>
      <c r="L535" s="3" t="s">
        <v>90</v>
      </c>
      <c r="M535" s="3" t="s">
        <v>91</v>
      </c>
      <c r="N535" s="3" t="s">
        <v>157</v>
      </c>
      <c r="O535" s="3" t="s">
        <v>82</v>
      </c>
      <c r="P535" s="3" t="str">
        <f>"21780816390                   "</f>
        <v xml:space="preserve">21780816390                   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15.46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3">
        <v>1</v>
      </c>
      <c r="BI535" s="3">
        <v>1</v>
      </c>
      <c r="BJ535" s="3">
        <v>0.2</v>
      </c>
      <c r="BK535" s="3">
        <v>1</v>
      </c>
      <c r="BL535" s="3">
        <v>59</v>
      </c>
      <c r="BM535" s="3">
        <v>8.85</v>
      </c>
      <c r="BN535" s="3">
        <v>67.849999999999994</v>
      </c>
      <c r="BO535" s="3">
        <v>67.849999999999994</v>
      </c>
      <c r="BQ535" s="3" t="s">
        <v>89</v>
      </c>
      <c r="BR535" s="3" t="s">
        <v>84</v>
      </c>
      <c r="BS535" s="4">
        <v>44574</v>
      </c>
      <c r="BT535" s="5">
        <v>0.41666666666666669</v>
      </c>
      <c r="BU535" s="3" t="s">
        <v>818</v>
      </c>
      <c r="BV535" s="3" t="s">
        <v>105</v>
      </c>
      <c r="BY535" s="3">
        <v>1200</v>
      </c>
      <c r="BZ535" s="3" t="s">
        <v>165</v>
      </c>
      <c r="CC535" s="3" t="s">
        <v>91</v>
      </c>
      <c r="CD535" s="3">
        <v>7441</v>
      </c>
      <c r="CE535" s="3" t="s">
        <v>93</v>
      </c>
      <c r="CF535" s="4">
        <v>44575</v>
      </c>
      <c r="CI535" s="3">
        <v>1</v>
      </c>
      <c r="CJ535" s="3">
        <v>1</v>
      </c>
      <c r="CK535" s="3">
        <v>21</v>
      </c>
      <c r="CL535" s="3" t="s">
        <v>87</v>
      </c>
    </row>
    <row r="536" spans="1:90" x14ac:dyDescent="0.2">
      <c r="A536" s="3" t="s">
        <v>72</v>
      </c>
      <c r="B536" s="3" t="s">
        <v>73</v>
      </c>
      <c r="C536" s="3" t="s">
        <v>74</v>
      </c>
      <c r="E536" s="3" t="str">
        <f>"FES1162844774"</f>
        <v>FES1162844774</v>
      </c>
      <c r="F536" s="4">
        <v>44573</v>
      </c>
      <c r="G536" s="3">
        <v>202207</v>
      </c>
      <c r="H536" s="3" t="s">
        <v>75</v>
      </c>
      <c r="I536" s="3" t="s">
        <v>76</v>
      </c>
      <c r="J536" s="3" t="s">
        <v>77</v>
      </c>
      <c r="K536" s="3" t="s">
        <v>78</v>
      </c>
      <c r="L536" s="3" t="s">
        <v>195</v>
      </c>
      <c r="M536" s="3" t="s">
        <v>196</v>
      </c>
      <c r="N536" s="3" t="s">
        <v>197</v>
      </c>
      <c r="O536" s="3" t="s">
        <v>82</v>
      </c>
      <c r="P536" s="3" t="str">
        <f>"2170816132                    "</f>
        <v xml:space="preserve">2170816132                    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15.46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1</v>
      </c>
      <c r="BI536" s="3">
        <v>1</v>
      </c>
      <c r="BJ536" s="3">
        <v>0.2</v>
      </c>
      <c r="BK536" s="3">
        <v>1</v>
      </c>
      <c r="BL536" s="3">
        <v>59</v>
      </c>
      <c r="BM536" s="3">
        <v>8.85</v>
      </c>
      <c r="BN536" s="3">
        <v>67.849999999999994</v>
      </c>
      <c r="BO536" s="3">
        <v>67.849999999999994</v>
      </c>
      <c r="BQ536" s="3" t="s">
        <v>89</v>
      </c>
      <c r="BR536" s="3" t="s">
        <v>84</v>
      </c>
      <c r="BS536" s="4">
        <v>44574</v>
      </c>
      <c r="BT536" s="5">
        <v>0.43124999999999997</v>
      </c>
      <c r="BU536" s="3" t="s">
        <v>570</v>
      </c>
      <c r="BV536" s="3" t="s">
        <v>105</v>
      </c>
      <c r="BY536" s="3">
        <v>1200</v>
      </c>
      <c r="BZ536" s="3" t="s">
        <v>165</v>
      </c>
      <c r="CA536" s="3" t="s">
        <v>571</v>
      </c>
      <c r="CC536" s="3" t="s">
        <v>196</v>
      </c>
      <c r="CD536" s="3">
        <v>4302</v>
      </c>
      <c r="CE536" s="3" t="s">
        <v>93</v>
      </c>
      <c r="CF536" s="4">
        <v>44574</v>
      </c>
      <c r="CI536" s="3">
        <v>1</v>
      </c>
      <c r="CJ536" s="3">
        <v>1</v>
      </c>
      <c r="CK536" s="3">
        <v>21</v>
      </c>
      <c r="CL536" s="3" t="s">
        <v>87</v>
      </c>
    </row>
    <row r="537" spans="1:90" x14ac:dyDescent="0.2">
      <c r="A537" s="3" t="s">
        <v>72</v>
      </c>
      <c r="B537" s="3" t="s">
        <v>73</v>
      </c>
      <c r="C537" s="3" t="s">
        <v>74</v>
      </c>
      <c r="E537" s="3" t="str">
        <f>"009942045051"</f>
        <v>009942045051</v>
      </c>
      <c r="F537" s="4">
        <v>44573</v>
      </c>
      <c r="G537" s="3">
        <v>202207</v>
      </c>
      <c r="H537" s="3" t="s">
        <v>75</v>
      </c>
      <c r="I537" s="3" t="s">
        <v>76</v>
      </c>
      <c r="J537" s="3" t="s">
        <v>77</v>
      </c>
      <c r="K537" s="3" t="s">
        <v>78</v>
      </c>
      <c r="L537" s="3" t="s">
        <v>464</v>
      </c>
      <c r="M537" s="3" t="s">
        <v>465</v>
      </c>
      <c r="N537" s="3" t="s">
        <v>815</v>
      </c>
      <c r="O537" s="3" t="s">
        <v>82</v>
      </c>
      <c r="P537" s="3" t="str">
        <f>"1162839856                    "</f>
        <v xml:space="preserve">1162839856                    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12.07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1</v>
      </c>
      <c r="BI537" s="3">
        <v>1</v>
      </c>
      <c r="BJ537" s="3">
        <v>0.2</v>
      </c>
      <c r="BK537" s="3">
        <v>1</v>
      </c>
      <c r="BL537" s="3">
        <v>46.08</v>
      </c>
      <c r="BM537" s="3">
        <v>6.91</v>
      </c>
      <c r="BN537" s="3">
        <v>52.99</v>
      </c>
      <c r="BO537" s="3">
        <v>52.99</v>
      </c>
      <c r="BP537" s="3" t="s">
        <v>899</v>
      </c>
      <c r="BR537" s="3" t="s">
        <v>84</v>
      </c>
      <c r="BS537" s="4">
        <v>44580</v>
      </c>
      <c r="BT537" s="5">
        <v>0.83333333333333337</v>
      </c>
      <c r="BU537" s="3" t="s">
        <v>900</v>
      </c>
      <c r="BV537" s="3" t="s">
        <v>87</v>
      </c>
      <c r="BW537" s="3" t="s">
        <v>639</v>
      </c>
      <c r="BX537" s="3" t="s">
        <v>901</v>
      </c>
      <c r="BY537" s="3">
        <v>1200</v>
      </c>
      <c r="BZ537" s="3" t="s">
        <v>165</v>
      </c>
      <c r="CA537" s="3" t="s">
        <v>816</v>
      </c>
      <c r="CC537" s="3" t="s">
        <v>465</v>
      </c>
      <c r="CD537" s="3">
        <v>1501</v>
      </c>
      <c r="CE537" s="3" t="s">
        <v>93</v>
      </c>
      <c r="CF537" s="4">
        <v>44587</v>
      </c>
      <c r="CI537" s="3">
        <v>1</v>
      </c>
      <c r="CJ537" s="3">
        <v>5</v>
      </c>
      <c r="CK537" s="3">
        <v>22</v>
      </c>
      <c r="CL537" s="3" t="s">
        <v>87</v>
      </c>
    </row>
    <row r="538" spans="1:90" x14ac:dyDescent="0.2">
      <c r="A538" s="3" t="s">
        <v>72</v>
      </c>
      <c r="B538" s="3" t="s">
        <v>73</v>
      </c>
      <c r="C538" s="3" t="s">
        <v>74</v>
      </c>
      <c r="E538" s="3" t="str">
        <f>"FES1162844693"</f>
        <v>FES1162844693</v>
      </c>
      <c r="F538" s="4">
        <v>44573</v>
      </c>
      <c r="G538" s="3">
        <v>202207</v>
      </c>
      <c r="H538" s="3" t="s">
        <v>75</v>
      </c>
      <c r="I538" s="3" t="s">
        <v>76</v>
      </c>
      <c r="J538" s="3" t="s">
        <v>77</v>
      </c>
      <c r="K538" s="3" t="s">
        <v>78</v>
      </c>
      <c r="L538" s="3" t="s">
        <v>115</v>
      </c>
      <c r="M538" s="3" t="s">
        <v>116</v>
      </c>
      <c r="N538" s="3" t="s">
        <v>902</v>
      </c>
      <c r="O538" s="3" t="s">
        <v>82</v>
      </c>
      <c r="P538" s="3" t="str">
        <f>"2170814482                    "</f>
        <v xml:space="preserve">2170814482                    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12.07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1</v>
      </c>
      <c r="BI538" s="3">
        <v>2</v>
      </c>
      <c r="BJ538" s="3">
        <v>0.9</v>
      </c>
      <c r="BK538" s="3">
        <v>2</v>
      </c>
      <c r="BL538" s="3">
        <v>46.08</v>
      </c>
      <c r="BM538" s="3">
        <v>6.91</v>
      </c>
      <c r="BN538" s="3">
        <v>52.99</v>
      </c>
      <c r="BO538" s="3">
        <v>52.99</v>
      </c>
      <c r="BQ538" s="3" t="s">
        <v>83</v>
      </c>
      <c r="BR538" s="3" t="s">
        <v>84</v>
      </c>
      <c r="BS538" s="4">
        <v>44574</v>
      </c>
      <c r="BT538" s="5">
        <v>0.30763888888888891</v>
      </c>
      <c r="BU538" s="3" t="s">
        <v>903</v>
      </c>
      <c r="BV538" s="3" t="s">
        <v>105</v>
      </c>
      <c r="BY538" s="3">
        <v>4440</v>
      </c>
      <c r="BZ538" s="3" t="s">
        <v>165</v>
      </c>
      <c r="CA538" s="3" t="s">
        <v>119</v>
      </c>
      <c r="CC538" s="3" t="s">
        <v>116</v>
      </c>
      <c r="CD538" s="3">
        <v>1559</v>
      </c>
      <c r="CE538" s="3" t="s">
        <v>86</v>
      </c>
      <c r="CF538" s="4">
        <v>44574</v>
      </c>
      <c r="CI538" s="3">
        <v>1</v>
      </c>
      <c r="CJ538" s="3">
        <v>1</v>
      </c>
      <c r="CK538" s="3">
        <v>22</v>
      </c>
      <c r="CL538" s="3" t="s">
        <v>87</v>
      </c>
    </row>
    <row r="539" spans="1:90" x14ac:dyDescent="0.2">
      <c r="A539" s="3" t="s">
        <v>72</v>
      </c>
      <c r="B539" s="3" t="s">
        <v>73</v>
      </c>
      <c r="C539" s="3" t="s">
        <v>74</v>
      </c>
      <c r="E539" s="3" t="str">
        <f>"FES1162844777"</f>
        <v>FES1162844777</v>
      </c>
      <c r="F539" s="4">
        <v>44573</v>
      </c>
      <c r="G539" s="3">
        <v>202207</v>
      </c>
      <c r="H539" s="3" t="s">
        <v>75</v>
      </c>
      <c r="I539" s="3" t="s">
        <v>76</v>
      </c>
      <c r="J539" s="3" t="s">
        <v>77</v>
      </c>
      <c r="K539" s="3" t="s">
        <v>78</v>
      </c>
      <c r="L539" s="3" t="s">
        <v>90</v>
      </c>
      <c r="M539" s="3" t="s">
        <v>91</v>
      </c>
      <c r="N539" s="3" t="s">
        <v>157</v>
      </c>
      <c r="O539" s="3" t="s">
        <v>82</v>
      </c>
      <c r="P539" s="3" t="str">
        <f>"2170816222                    "</f>
        <v xml:space="preserve">2170816222                    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15.46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1</v>
      </c>
      <c r="BI539" s="3">
        <v>1</v>
      </c>
      <c r="BJ539" s="3">
        <v>0.2</v>
      </c>
      <c r="BK539" s="3">
        <v>1</v>
      </c>
      <c r="BL539" s="3">
        <v>59</v>
      </c>
      <c r="BM539" s="3">
        <v>8.85</v>
      </c>
      <c r="BN539" s="3">
        <v>67.849999999999994</v>
      </c>
      <c r="BO539" s="3">
        <v>67.849999999999994</v>
      </c>
      <c r="BQ539" s="3" t="s">
        <v>89</v>
      </c>
      <c r="BR539" s="3" t="s">
        <v>84</v>
      </c>
      <c r="BS539" s="4">
        <v>44574</v>
      </c>
      <c r="BT539" s="5">
        <v>0.41666666666666669</v>
      </c>
      <c r="BU539" s="3" t="s">
        <v>818</v>
      </c>
      <c r="BV539" s="3" t="s">
        <v>105</v>
      </c>
      <c r="BY539" s="3">
        <v>1200</v>
      </c>
      <c r="BZ539" s="3" t="s">
        <v>165</v>
      </c>
      <c r="CC539" s="3" t="s">
        <v>91</v>
      </c>
      <c r="CD539" s="3">
        <v>7441</v>
      </c>
      <c r="CE539" s="3" t="s">
        <v>93</v>
      </c>
      <c r="CF539" s="4">
        <v>44575</v>
      </c>
      <c r="CI539" s="3">
        <v>1</v>
      </c>
      <c r="CJ539" s="3">
        <v>1</v>
      </c>
      <c r="CK539" s="3">
        <v>21</v>
      </c>
      <c r="CL539" s="3" t="s">
        <v>87</v>
      </c>
    </row>
    <row r="540" spans="1:90" x14ac:dyDescent="0.2">
      <c r="A540" s="3" t="s">
        <v>72</v>
      </c>
      <c r="B540" s="3" t="s">
        <v>73</v>
      </c>
      <c r="C540" s="3" t="s">
        <v>74</v>
      </c>
      <c r="E540" s="3" t="str">
        <f>"FES1162842018"</f>
        <v>FES1162842018</v>
      </c>
      <c r="F540" s="4">
        <v>44573</v>
      </c>
      <c r="G540" s="3">
        <v>202207</v>
      </c>
      <c r="H540" s="3" t="s">
        <v>75</v>
      </c>
      <c r="I540" s="3" t="s">
        <v>76</v>
      </c>
      <c r="J540" s="3" t="s">
        <v>77</v>
      </c>
      <c r="K540" s="3" t="s">
        <v>78</v>
      </c>
      <c r="L540" s="3" t="s">
        <v>97</v>
      </c>
      <c r="M540" s="3" t="s">
        <v>98</v>
      </c>
      <c r="N540" s="3" t="s">
        <v>317</v>
      </c>
      <c r="O540" s="3" t="s">
        <v>82</v>
      </c>
      <c r="P540" s="3" t="str">
        <f>"2170810068                    "</f>
        <v xml:space="preserve">2170810068                    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12.07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1</v>
      </c>
      <c r="BI540" s="3">
        <v>1</v>
      </c>
      <c r="BJ540" s="3">
        <v>0.2</v>
      </c>
      <c r="BK540" s="3">
        <v>1</v>
      </c>
      <c r="BL540" s="3">
        <v>46.08</v>
      </c>
      <c r="BM540" s="3">
        <v>6.91</v>
      </c>
      <c r="BN540" s="3">
        <v>52.99</v>
      </c>
      <c r="BO540" s="3">
        <v>52.99</v>
      </c>
      <c r="BQ540" s="3" t="s">
        <v>318</v>
      </c>
      <c r="BR540" s="3" t="s">
        <v>84</v>
      </c>
      <c r="BS540" s="4">
        <v>44574</v>
      </c>
      <c r="BT540" s="5">
        <v>0.35416666666666669</v>
      </c>
      <c r="BU540" s="3" t="s">
        <v>319</v>
      </c>
      <c r="BV540" s="3" t="s">
        <v>105</v>
      </c>
      <c r="BY540" s="3">
        <v>1200</v>
      </c>
      <c r="BZ540" s="3" t="s">
        <v>165</v>
      </c>
      <c r="CA540" s="3" t="s">
        <v>320</v>
      </c>
      <c r="CC540" s="3" t="s">
        <v>98</v>
      </c>
      <c r="CD540" s="3">
        <v>2042</v>
      </c>
      <c r="CE540" s="3" t="s">
        <v>93</v>
      </c>
      <c r="CF540" s="4">
        <v>44575</v>
      </c>
      <c r="CI540" s="3">
        <v>1</v>
      </c>
      <c r="CJ540" s="3">
        <v>1</v>
      </c>
      <c r="CK540" s="3">
        <v>22</v>
      </c>
      <c r="CL540" s="3" t="s">
        <v>87</v>
      </c>
    </row>
    <row r="541" spans="1:90" x14ac:dyDescent="0.2">
      <c r="A541" s="3" t="s">
        <v>72</v>
      </c>
      <c r="B541" s="3" t="s">
        <v>73</v>
      </c>
      <c r="C541" s="3" t="s">
        <v>74</v>
      </c>
      <c r="E541" s="3" t="str">
        <f>"FES1162844804"</f>
        <v>FES1162844804</v>
      </c>
      <c r="F541" s="4">
        <v>44573</v>
      </c>
      <c r="G541" s="3">
        <v>202207</v>
      </c>
      <c r="H541" s="3" t="s">
        <v>75</v>
      </c>
      <c r="I541" s="3" t="s">
        <v>76</v>
      </c>
      <c r="J541" s="3" t="s">
        <v>77</v>
      </c>
      <c r="K541" s="3" t="s">
        <v>78</v>
      </c>
      <c r="L541" s="3" t="s">
        <v>123</v>
      </c>
      <c r="M541" s="3" t="s">
        <v>124</v>
      </c>
      <c r="N541" s="3" t="s">
        <v>264</v>
      </c>
      <c r="O541" s="3" t="s">
        <v>82</v>
      </c>
      <c r="P541" s="3" t="str">
        <f>"2170816328                    "</f>
        <v xml:space="preserve">2170816328                    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12.07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1</v>
      </c>
      <c r="BI541" s="3">
        <v>1</v>
      </c>
      <c r="BJ541" s="3">
        <v>0.2</v>
      </c>
      <c r="BK541" s="3">
        <v>1</v>
      </c>
      <c r="BL541" s="3">
        <v>46.08</v>
      </c>
      <c r="BM541" s="3">
        <v>6.91</v>
      </c>
      <c r="BN541" s="3">
        <v>52.99</v>
      </c>
      <c r="BO541" s="3">
        <v>52.99</v>
      </c>
      <c r="BQ541" s="3" t="s">
        <v>89</v>
      </c>
      <c r="BR541" s="3" t="s">
        <v>84</v>
      </c>
      <c r="BS541" s="4">
        <v>44574</v>
      </c>
      <c r="BT541" s="5">
        <v>0.33333333333333331</v>
      </c>
      <c r="BU541" s="3" t="s">
        <v>865</v>
      </c>
      <c r="BV541" s="3" t="s">
        <v>105</v>
      </c>
      <c r="BY541" s="3">
        <v>1200</v>
      </c>
      <c r="BZ541" s="3" t="s">
        <v>165</v>
      </c>
      <c r="CA541" s="3" t="s">
        <v>266</v>
      </c>
      <c r="CC541" s="3" t="s">
        <v>124</v>
      </c>
      <c r="CD541" s="3">
        <v>1724</v>
      </c>
      <c r="CE541" s="3" t="s">
        <v>93</v>
      </c>
      <c r="CF541" s="4">
        <v>44575</v>
      </c>
      <c r="CI541" s="3">
        <v>1</v>
      </c>
      <c r="CJ541" s="3">
        <v>1</v>
      </c>
      <c r="CK541" s="3">
        <v>22</v>
      </c>
      <c r="CL541" s="3" t="s">
        <v>87</v>
      </c>
    </row>
    <row r="542" spans="1:90" x14ac:dyDescent="0.2">
      <c r="A542" s="3" t="s">
        <v>72</v>
      </c>
      <c r="B542" s="3" t="s">
        <v>73</v>
      </c>
      <c r="C542" s="3" t="s">
        <v>74</v>
      </c>
      <c r="E542" s="3" t="str">
        <f>"FES1162844666"</f>
        <v>FES1162844666</v>
      </c>
      <c r="F542" s="4">
        <v>44573</v>
      </c>
      <c r="G542" s="3">
        <v>202207</v>
      </c>
      <c r="H542" s="3" t="s">
        <v>75</v>
      </c>
      <c r="I542" s="3" t="s">
        <v>76</v>
      </c>
      <c r="J542" s="3" t="s">
        <v>77</v>
      </c>
      <c r="K542" s="3" t="s">
        <v>78</v>
      </c>
      <c r="L542" s="3" t="s">
        <v>171</v>
      </c>
      <c r="M542" s="3" t="s">
        <v>172</v>
      </c>
      <c r="N542" s="3" t="s">
        <v>235</v>
      </c>
      <c r="O542" s="3" t="s">
        <v>82</v>
      </c>
      <c r="P542" s="3" t="str">
        <f>"2170816243                    "</f>
        <v xml:space="preserve">2170816243                    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15.46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1</v>
      </c>
      <c r="BI542" s="3">
        <v>1</v>
      </c>
      <c r="BJ542" s="3">
        <v>0.2</v>
      </c>
      <c r="BK542" s="3">
        <v>1</v>
      </c>
      <c r="BL542" s="3">
        <v>59</v>
      </c>
      <c r="BM542" s="3">
        <v>8.85</v>
      </c>
      <c r="BN542" s="3">
        <v>67.849999999999994</v>
      </c>
      <c r="BO542" s="3">
        <v>67.849999999999994</v>
      </c>
      <c r="BQ542" s="3" t="s">
        <v>83</v>
      </c>
      <c r="BR542" s="3" t="s">
        <v>84</v>
      </c>
      <c r="BS542" s="4">
        <v>44574</v>
      </c>
      <c r="BT542" s="5">
        <v>0.41736111111111113</v>
      </c>
      <c r="BU542" s="3" t="s">
        <v>536</v>
      </c>
      <c r="BV542" s="3" t="s">
        <v>105</v>
      </c>
      <c r="BY542" s="3">
        <v>1200</v>
      </c>
      <c r="BZ542" s="3" t="s">
        <v>165</v>
      </c>
      <c r="CA542" s="3" t="s">
        <v>263</v>
      </c>
      <c r="CC542" s="3" t="s">
        <v>172</v>
      </c>
      <c r="CD542" s="3">
        <v>6001</v>
      </c>
      <c r="CE542" s="3" t="s">
        <v>93</v>
      </c>
      <c r="CF542" s="4">
        <v>44574</v>
      </c>
      <c r="CI542" s="3">
        <v>1</v>
      </c>
      <c r="CJ542" s="3">
        <v>1</v>
      </c>
      <c r="CK542" s="3">
        <v>21</v>
      </c>
      <c r="CL542" s="3" t="s">
        <v>87</v>
      </c>
    </row>
    <row r="543" spans="1:90" x14ac:dyDescent="0.2">
      <c r="A543" s="3" t="s">
        <v>72</v>
      </c>
      <c r="B543" s="3" t="s">
        <v>73</v>
      </c>
      <c r="C543" s="3" t="s">
        <v>74</v>
      </c>
      <c r="E543" s="3" t="str">
        <f>"FES1162844743"</f>
        <v>FES1162844743</v>
      </c>
      <c r="F543" s="4">
        <v>44573</v>
      </c>
      <c r="G543" s="3">
        <v>202207</v>
      </c>
      <c r="H543" s="3" t="s">
        <v>75</v>
      </c>
      <c r="I543" s="3" t="s">
        <v>76</v>
      </c>
      <c r="J543" s="3" t="s">
        <v>77</v>
      </c>
      <c r="K543" s="3" t="s">
        <v>78</v>
      </c>
      <c r="L543" s="3" t="s">
        <v>123</v>
      </c>
      <c r="M543" s="3" t="s">
        <v>124</v>
      </c>
      <c r="N543" s="3" t="s">
        <v>261</v>
      </c>
      <c r="O543" s="3" t="s">
        <v>82</v>
      </c>
      <c r="P543" s="3" t="str">
        <f>"2170816021                    "</f>
        <v xml:space="preserve">2170816021                    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12.07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1</v>
      </c>
      <c r="BI543" s="3">
        <v>1</v>
      </c>
      <c r="BJ543" s="3">
        <v>0.2</v>
      </c>
      <c r="BK543" s="3">
        <v>1</v>
      </c>
      <c r="BL543" s="3">
        <v>46.08</v>
      </c>
      <c r="BM543" s="3">
        <v>6.91</v>
      </c>
      <c r="BN543" s="3">
        <v>52.99</v>
      </c>
      <c r="BO543" s="3">
        <v>52.99</v>
      </c>
      <c r="BQ543" s="3" t="s">
        <v>83</v>
      </c>
      <c r="BR543" s="3" t="s">
        <v>84</v>
      </c>
      <c r="BS543" s="4">
        <v>44590</v>
      </c>
      <c r="BT543" s="5">
        <v>0.56874999999999998</v>
      </c>
      <c r="BU543" s="3" t="s">
        <v>634</v>
      </c>
      <c r="BV543" s="3" t="s">
        <v>87</v>
      </c>
      <c r="BW543" s="3" t="s">
        <v>757</v>
      </c>
      <c r="BX543" s="3" t="s">
        <v>758</v>
      </c>
      <c r="BY543" s="3">
        <v>1200</v>
      </c>
      <c r="BZ543" s="3" t="s">
        <v>165</v>
      </c>
      <c r="CA543" s="3" t="s">
        <v>635</v>
      </c>
      <c r="CC543" s="3" t="s">
        <v>124</v>
      </c>
      <c r="CD543" s="3">
        <v>1709</v>
      </c>
      <c r="CE543" s="3" t="s">
        <v>93</v>
      </c>
      <c r="CI543" s="3">
        <v>1</v>
      </c>
      <c r="CJ543" s="3">
        <v>12</v>
      </c>
      <c r="CK543" s="3">
        <v>22</v>
      </c>
      <c r="CL543" s="3" t="s">
        <v>87</v>
      </c>
    </row>
    <row r="544" spans="1:90" x14ac:dyDescent="0.2">
      <c r="A544" s="3" t="s">
        <v>72</v>
      </c>
      <c r="B544" s="3" t="s">
        <v>73</v>
      </c>
      <c r="C544" s="3" t="s">
        <v>74</v>
      </c>
      <c r="E544" s="3" t="str">
        <f>"FES1162844810"</f>
        <v>FES1162844810</v>
      </c>
      <c r="F544" s="4">
        <v>44573</v>
      </c>
      <c r="G544" s="3">
        <v>202207</v>
      </c>
      <c r="H544" s="3" t="s">
        <v>75</v>
      </c>
      <c r="I544" s="3" t="s">
        <v>76</v>
      </c>
      <c r="J544" s="3" t="s">
        <v>77</v>
      </c>
      <c r="K544" s="3" t="s">
        <v>78</v>
      </c>
      <c r="L544" s="3" t="s">
        <v>171</v>
      </c>
      <c r="M544" s="3" t="s">
        <v>172</v>
      </c>
      <c r="N544" s="3" t="s">
        <v>249</v>
      </c>
      <c r="O544" s="3" t="s">
        <v>82</v>
      </c>
      <c r="P544" s="3" t="str">
        <f>"2170816368                    "</f>
        <v xml:space="preserve">2170816368                    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15.46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1</v>
      </c>
      <c r="BI544" s="3">
        <v>1</v>
      </c>
      <c r="BJ544" s="3">
        <v>0.2</v>
      </c>
      <c r="BK544" s="3">
        <v>1</v>
      </c>
      <c r="BL544" s="3">
        <v>59</v>
      </c>
      <c r="BM544" s="3">
        <v>8.85</v>
      </c>
      <c r="BN544" s="3">
        <v>67.849999999999994</v>
      </c>
      <c r="BO544" s="3">
        <v>67.849999999999994</v>
      </c>
      <c r="BQ544" s="3" t="s">
        <v>89</v>
      </c>
      <c r="BR544" s="3" t="s">
        <v>84</v>
      </c>
      <c r="BS544" s="4">
        <v>44574</v>
      </c>
      <c r="BT544" s="5">
        <v>0.4375</v>
      </c>
      <c r="BU544" s="3" t="s">
        <v>904</v>
      </c>
      <c r="BV544" s="3" t="s">
        <v>105</v>
      </c>
      <c r="BY544" s="3">
        <v>1200</v>
      </c>
      <c r="BZ544" s="3" t="s">
        <v>165</v>
      </c>
      <c r="CA544" s="3" t="s">
        <v>328</v>
      </c>
      <c r="CC544" s="3" t="s">
        <v>172</v>
      </c>
      <c r="CD544" s="3">
        <v>6001</v>
      </c>
      <c r="CE544" s="3" t="s">
        <v>93</v>
      </c>
      <c r="CF544" s="4">
        <v>44575</v>
      </c>
      <c r="CI544" s="3">
        <v>1</v>
      </c>
      <c r="CJ544" s="3">
        <v>1</v>
      </c>
      <c r="CK544" s="3">
        <v>21</v>
      </c>
      <c r="CL544" s="3" t="s">
        <v>87</v>
      </c>
    </row>
    <row r="545" spans="1:90" x14ac:dyDescent="0.2">
      <c r="A545" s="3" t="s">
        <v>72</v>
      </c>
      <c r="B545" s="3" t="s">
        <v>73</v>
      </c>
      <c r="C545" s="3" t="s">
        <v>74</v>
      </c>
      <c r="E545" s="3" t="str">
        <f>"FES1162844802"</f>
        <v>FES1162844802</v>
      </c>
      <c r="F545" s="4">
        <v>44573</v>
      </c>
      <c r="G545" s="3">
        <v>202207</v>
      </c>
      <c r="H545" s="3" t="s">
        <v>75</v>
      </c>
      <c r="I545" s="3" t="s">
        <v>76</v>
      </c>
      <c r="J545" s="3" t="s">
        <v>77</v>
      </c>
      <c r="K545" s="3" t="s">
        <v>78</v>
      </c>
      <c r="L545" s="3" t="s">
        <v>75</v>
      </c>
      <c r="M545" s="3" t="s">
        <v>76</v>
      </c>
      <c r="N545" s="3" t="s">
        <v>147</v>
      </c>
      <c r="O545" s="3" t="s">
        <v>82</v>
      </c>
      <c r="P545" s="3" t="str">
        <f>"2170816257                    "</f>
        <v xml:space="preserve">2170816257                    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12.07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1</v>
      </c>
      <c r="BI545" s="3">
        <v>1</v>
      </c>
      <c r="BJ545" s="3">
        <v>0.2</v>
      </c>
      <c r="BK545" s="3">
        <v>1</v>
      </c>
      <c r="BL545" s="3">
        <v>46.08</v>
      </c>
      <c r="BM545" s="3">
        <v>6.91</v>
      </c>
      <c r="BN545" s="3">
        <v>52.99</v>
      </c>
      <c r="BO545" s="3">
        <v>52.99</v>
      </c>
      <c r="BQ545" s="3" t="s">
        <v>89</v>
      </c>
      <c r="BR545" s="3" t="s">
        <v>84</v>
      </c>
      <c r="BS545" s="4">
        <v>44574</v>
      </c>
      <c r="BT545" s="5">
        <v>0.39305555555555555</v>
      </c>
      <c r="BU545" s="3" t="s">
        <v>849</v>
      </c>
      <c r="BV545" s="3" t="s">
        <v>105</v>
      </c>
      <c r="BY545" s="3">
        <v>1200</v>
      </c>
      <c r="BZ545" s="3" t="s">
        <v>165</v>
      </c>
      <c r="CA545" s="3" t="s">
        <v>477</v>
      </c>
      <c r="CC545" s="3" t="s">
        <v>76</v>
      </c>
      <c r="CD545" s="3">
        <v>1645</v>
      </c>
      <c r="CE545" s="3" t="s">
        <v>93</v>
      </c>
      <c r="CF545" s="4">
        <v>44575</v>
      </c>
      <c r="CI545" s="3">
        <v>1</v>
      </c>
      <c r="CJ545" s="3">
        <v>1</v>
      </c>
      <c r="CK545" s="3">
        <v>22</v>
      </c>
      <c r="CL545" s="3" t="s">
        <v>87</v>
      </c>
    </row>
    <row r="546" spans="1:90" x14ac:dyDescent="0.2">
      <c r="A546" s="3" t="s">
        <v>72</v>
      </c>
      <c r="B546" s="3" t="s">
        <v>73</v>
      </c>
      <c r="C546" s="3" t="s">
        <v>74</v>
      </c>
      <c r="E546" s="3" t="str">
        <f>"FES1162844783"</f>
        <v>FES1162844783</v>
      </c>
      <c r="F546" s="4">
        <v>44573</v>
      </c>
      <c r="G546" s="3">
        <v>202207</v>
      </c>
      <c r="H546" s="3" t="s">
        <v>75</v>
      </c>
      <c r="I546" s="3" t="s">
        <v>76</v>
      </c>
      <c r="J546" s="3" t="s">
        <v>77</v>
      </c>
      <c r="K546" s="3" t="s">
        <v>78</v>
      </c>
      <c r="L546" s="3" t="s">
        <v>464</v>
      </c>
      <c r="M546" s="3" t="s">
        <v>465</v>
      </c>
      <c r="N546" s="3" t="s">
        <v>905</v>
      </c>
      <c r="O546" s="3" t="s">
        <v>82</v>
      </c>
      <c r="P546" s="3" t="str">
        <f>"2170816160                    "</f>
        <v xml:space="preserve">2170816160                    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12.07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0</v>
      </c>
      <c r="BG546" s="3">
        <v>0</v>
      </c>
      <c r="BH546" s="3">
        <v>1</v>
      </c>
      <c r="BI546" s="3">
        <v>3</v>
      </c>
      <c r="BJ546" s="3">
        <v>0.9</v>
      </c>
      <c r="BK546" s="3">
        <v>3</v>
      </c>
      <c r="BL546" s="3">
        <v>46.08</v>
      </c>
      <c r="BM546" s="3">
        <v>6.91</v>
      </c>
      <c r="BN546" s="3">
        <v>52.99</v>
      </c>
      <c r="BO546" s="3">
        <v>52.99</v>
      </c>
      <c r="BQ546" s="3" t="s">
        <v>83</v>
      </c>
      <c r="BR546" s="3" t="s">
        <v>84</v>
      </c>
      <c r="BS546" s="4">
        <v>44574</v>
      </c>
      <c r="BT546" s="5">
        <v>0.37013888888888885</v>
      </c>
      <c r="BU546" s="3" t="s">
        <v>906</v>
      </c>
      <c r="BV546" s="3" t="s">
        <v>105</v>
      </c>
      <c r="BY546" s="3">
        <v>4560</v>
      </c>
      <c r="BZ546" s="3" t="s">
        <v>165</v>
      </c>
      <c r="CA546" s="3" t="s">
        <v>907</v>
      </c>
      <c r="CC546" s="3" t="s">
        <v>465</v>
      </c>
      <c r="CD546" s="3">
        <v>1501</v>
      </c>
      <c r="CE546" s="3" t="s">
        <v>86</v>
      </c>
      <c r="CF546" s="4">
        <v>44574</v>
      </c>
      <c r="CI546" s="3">
        <v>1</v>
      </c>
      <c r="CJ546" s="3">
        <v>1</v>
      </c>
      <c r="CK546" s="3">
        <v>22</v>
      </c>
      <c r="CL546" s="3" t="s">
        <v>87</v>
      </c>
    </row>
    <row r="547" spans="1:90" x14ac:dyDescent="0.2">
      <c r="A547" s="3" t="s">
        <v>72</v>
      </c>
      <c r="B547" s="3" t="s">
        <v>73</v>
      </c>
      <c r="C547" s="3" t="s">
        <v>74</v>
      </c>
      <c r="E547" s="3" t="str">
        <f>"FES1162844613"</f>
        <v>FES1162844613</v>
      </c>
      <c r="F547" s="4">
        <v>44573</v>
      </c>
      <c r="G547" s="3">
        <v>202207</v>
      </c>
      <c r="H547" s="3" t="s">
        <v>75</v>
      </c>
      <c r="I547" s="3" t="s">
        <v>76</v>
      </c>
      <c r="J547" s="3" t="s">
        <v>77</v>
      </c>
      <c r="K547" s="3" t="s">
        <v>78</v>
      </c>
      <c r="L547" s="3" t="s">
        <v>171</v>
      </c>
      <c r="M547" s="3" t="s">
        <v>172</v>
      </c>
      <c r="N547" s="3" t="s">
        <v>200</v>
      </c>
      <c r="O547" s="3" t="s">
        <v>148</v>
      </c>
      <c r="P547" s="3" t="str">
        <f>"2170815950                    "</f>
        <v xml:space="preserve">2170815950                    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44.67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0</v>
      </c>
      <c r="BG547" s="3">
        <v>0</v>
      </c>
      <c r="BH547" s="3">
        <v>1</v>
      </c>
      <c r="BI547" s="3">
        <v>27</v>
      </c>
      <c r="BJ547" s="3">
        <v>18.3</v>
      </c>
      <c r="BK547" s="3">
        <v>27</v>
      </c>
      <c r="BL547" s="3">
        <v>175.76</v>
      </c>
      <c r="BM547" s="3">
        <v>26.36</v>
      </c>
      <c r="BN547" s="3">
        <v>202.12</v>
      </c>
      <c r="BO547" s="3">
        <v>202.12</v>
      </c>
      <c r="BQ547" s="3" t="s">
        <v>89</v>
      </c>
      <c r="BR547" s="3" t="s">
        <v>84</v>
      </c>
      <c r="BS547" s="4">
        <v>44575</v>
      </c>
      <c r="BT547" s="5">
        <v>0.36736111111111108</v>
      </c>
      <c r="BU547" s="3" t="s">
        <v>908</v>
      </c>
      <c r="BV547" s="3" t="s">
        <v>105</v>
      </c>
      <c r="BY547" s="3">
        <v>91264</v>
      </c>
      <c r="BZ547" s="3" t="s">
        <v>327</v>
      </c>
      <c r="CA547" s="3" t="s">
        <v>814</v>
      </c>
      <c r="CC547" s="3" t="s">
        <v>172</v>
      </c>
      <c r="CD547" s="3">
        <v>6001</v>
      </c>
      <c r="CE547" s="3" t="s">
        <v>86</v>
      </c>
      <c r="CF547" s="4">
        <v>44575</v>
      </c>
      <c r="CI547" s="3">
        <v>2</v>
      </c>
      <c r="CJ547" s="3">
        <v>2</v>
      </c>
      <c r="CK547" s="3">
        <v>41</v>
      </c>
      <c r="CL547" s="3" t="s">
        <v>87</v>
      </c>
    </row>
    <row r="548" spans="1:90" x14ac:dyDescent="0.2">
      <c r="A548" s="3" t="s">
        <v>72</v>
      </c>
      <c r="B548" s="3" t="s">
        <v>73</v>
      </c>
      <c r="C548" s="3" t="s">
        <v>74</v>
      </c>
      <c r="E548" s="3" t="str">
        <f>"FES1162844639"</f>
        <v>FES1162844639</v>
      </c>
      <c r="F548" s="4">
        <v>44573</v>
      </c>
      <c r="G548" s="3">
        <v>202207</v>
      </c>
      <c r="H548" s="3" t="s">
        <v>75</v>
      </c>
      <c r="I548" s="3" t="s">
        <v>76</v>
      </c>
      <c r="J548" s="3" t="s">
        <v>77</v>
      </c>
      <c r="K548" s="3" t="s">
        <v>78</v>
      </c>
      <c r="L548" s="3" t="s">
        <v>79</v>
      </c>
      <c r="M548" s="3" t="s">
        <v>80</v>
      </c>
      <c r="N548" s="3" t="s">
        <v>554</v>
      </c>
      <c r="O548" s="3" t="s">
        <v>82</v>
      </c>
      <c r="P548" s="3" t="str">
        <f>"2170815169                    "</f>
        <v xml:space="preserve">2170815169                    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15.46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3">
        <v>1</v>
      </c>
      <c r="BI548" s="3">
        <v>1</v>
      </c>
      <c r="BJ548" s="3">
        <v>0.2</v>
      </c>
      <c r="BK548" s="3">
        <v>1</v>
      </c>
      <c r="BL548" s="3">
        <v>59</v>
      </c>
      <c r="BM548" s="3">
        <v>8.85</v>
      </c>
      <c r="BN548" s="3">
        <v>67.849999999999994</v>
      </c>
      <c r="BO548" s="3">
        <v>67.849999999999994</v>
      </c>
      <c r="BQ548" s="3" t="s">
        <v>555</v>
      </c>
      <c r="BR548" s="3" t="s">
        <v>84</v>
      </c>
      <c r="BS548" s="4">
        <v>44575</v>
      </c>
      <c r="BT548" s="5">
        <v>0.4375</v>
      </c>
      <c r="BU548" s="3" t="s">
        <v>909</v>
      </c>
      <c r="BV548" s="3" t="s">
        <v>87</v>
      </c>
      <c r="BW548" s="3" t="s">
        <v>493</v>
      </c>
      <c r="BX548" s="3" t="s">
        <v>758</v>
      </c>
      <c r="BY548" s="3">
        <v>1200</v>
      </c>
      <c r="BZ548" s="3" t="s">
        <v>165</v>
      </c>
      <c r="CA548" s="3" t="s">
        <v>328</v>
      </c>
      <c r="CC548" s="3" t="s">
        <v>80</v>
      </c>
      <c r="CD548" s="3">
        <v>117</v>
      </c>
      <c r="CE548" s="3" t="s">
        <v>93</v>
      </c>
      <c r="CF548" s="4">
        <v>44575</v>
      </c>
      <c r="CI548" s="3">
        <v>1</v>
      </c>
      <c r="CJ548" s="3">
        <v>2</v>
      </c>
      <c r="CK548" s="3">
        <v>21</v>
      </c>
      <c r="CL548" s="3" t="s">
        <v>87</v>
      </c>
    </row>
    <row r="549" spans="1:90" x14ac:dyDescent="0.2">
      <c r="A549" s="3" t="s">
        <v>72</v>
      </c>
      <c r="B549" s="3" t="s">
        <v>73</v>
      </c>
      <c r="C549" s="3" t="s">
        <v>74</v>
      </c>
      <c r="E549" s="3" t="str">
        <f>"FES1162844818"</f>
        <v>FES1162844818</v>
      </c>
      <c r="F549" s="4">
        <v>44573</v>
      </c>
      <c r="G549" s="3">
        <v>202207</v>
      </c>
      <c r="H549" s="3" t="s">
        <v>75</v>
      </c>
      <c r="I549" s="3" t="s">
        <v>76</v>
      </c>
      <c r="J549" s="3" t="s">
        <v>77</v>
      </c>
      <c r="K549" s="3" t="s">
        <v>78</v>
      </c>
      <c r="L549" s="3" t="s">
        <v>94</v>
      </c>
      <c r="M549" s="3" t="s">
        <v>95</v>
      </c>
      <c r="N549" s="3" t="s">
        <v>451</v>
      </c>
      <c r="O549" s="3" t="s">
        <v>82</v>
      </c>
      <c r="P549" s="3" t="str">
        <f>"2170816377                    "</f>
        <v xml:space="preserve">2170816377                    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15.46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3">
        <v>1</v>
      </c>
      <c r="BI549" s="3">
        <v>1</v>
      </c>
      <c r="BJ549" s="3">
        <v>0.2</v>
      </c>
      <c r="BK549" s="3">
        <v>1</v>
      </c>
      <c r="BL549" s="3">
        <v>59</v>
      </c>
      <c r="BM549" s="3">
        <v>8.85</v>
      </c>
      <c r="BN549" s="3">
        <v>67.849999999999994</v>
      </c>
      <c r="BO549" s="3">
        <v>67.849999999999994</v>
      </c>
      <c r="BQ549" s="3" t="s">
        <v>83</v>
      </c>
      <c r="BR549" s="3" t="s">
        <v>84</v>
      </c>
      <c r="BS549" s="3" t="s">
        <v>85</v>
      </c>
      <c r="BY549" s="3">
        <v>1200</v>
      </c>
      <c r="BZ549" s="3" t="s">
        <v>165</v>
      </c>
      <c r="CC549" s="3" t="s">
        <v>95</v>
      </c>
      <c r="CD549" s="3">
        <v>3201</v>
      </c>
      <c r="CE549" s="3" t="s">
        <v>93</v>
      </c>
      <c r="CI549" s="3">
        <v>1</v>
      </c>
      <c r="CJ549" s="3" t="s">
        <v>85</v>
      </c>
      <c r="CK549" s="3">
        <v>21</v>
      </c>
      <c r="CL549" s="3" t="s">
        <v>87</v>
      </c>
    </row>
    <row r="550" spans="1:90" x14ac:dyDescent="0.2">
      <c r="A550" s="3" t="s">
        <v>72</v>
      </c>
      <c r="B550" s="3" t="s">
        <v>73</v>
      </c>
      <c r="C550" s="3" t="s">
        <v>74</v>
      </c>
      <c r="E550" s="3" t="str">
        <f>"FES1162844732"</f>
        <v>FES1162844732</v>
      </c>
      <c r="F550" s="4">
        <v>44573</v>
      </c>
      <c r="G550" s="3">
        <v>202207</v>
      </c>
      <c r="H550" s="3" t="s">
        <v>75</v>
      </c>
      <c r="I550" s="3" t="s">
        <v>76</v>
      </c>
      <c r="J550" s="3" t="s">
        <v>77</v>
      </c>
      <c r="K550" s="3" t="s">
        <v>78</v>
      </c>
      <c r="L550" s="3" t="s">
        <v>94</v>
      </c>
      <c r="M550" s="3" t="s">
        <v>95</v>
      </c>
      <c r="N550" s="3" t="s">
        <v>96</v>
      </c>
      <c r="O550" s="3" t="s">
        <v>82</v>
      </c>
      <c r="P550" s="3" t="str">
        <f>"2170799895                    "</f>
        <v xml:space="preserve">2170799895                    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115.88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1</v>
      </c>
      <c r="BI550" s="3">
        <v>15</v>
      </c>
      <c r="BJ550" s="3">
        <v>9.1</v>
      </c>
      <c r="BK550" s="3">
        <v>15</v>
      </c>
      <c r="BL550" s="3">
        <v>442.3</v>
      </c>
      <c r="BM550" s="3">
        <v>66.349999999999994</v>
      </c>
      <c r="BN550" s="3">
        <v>508.65</v>
      </c>
      <c r="BO550" s="3">
        <v>508.65</v>
      </c>
      <c r="BQ550" s="3" t="s">
        <v>89</v>
      </c>
      <c r="BR550" s="3" t="s">
        <v>84</v>
      </c>
      <c r="BS550" s="4">
        <v>44578</v>
      </c>
      <c r="BT550" s="5">
        <v>0.53402777777777777</v>
      </c>
      <c r="BU550" s="3" t="s">
        <v>821</v>
      </c>
      <c r="BV550" s="3" t="s">
        <v>87</v>
      </c>
      <c r="BW550" s="3" t="s">
        <v>453</v>
      </c>
      <c r="BX550" s="3" t="s">
        <v>279</v>
      </c>
      <c r="BY550" s="3">
        <v>45632</v>
      </c>
      <c r="BZ550" s="3" t="s">
        <v>165</v>
      </c>
      <c r="CC550" s="3" t="s">
        <v>95</v>
      </c>
      <c r="CD550" s="3">
        <v>3201</v>
      </c>
      <c r="CE550" s="3" t="s">
        <v>86</v>
      </c>
      <c r="CF550" s="4">
        <v>44581</v>
      </c>
      <c r="CI550" s="3">
        <v>1</v>
      </c>
      <c r="CJ550" s="3">
        <v>3</v>
      </c>
      <c r="CK550" s="3">
        <v>21</v>
      </c>
      <c r="CL550" s="3" t="s">
        <v>87</v>
      </c>
    </row>
    <row r="551" spans="1:90" x14ac:dyDescent="0.2">
      <c r="A551" s="3" t="s">
        <v>72</v>
      </c>
      <c r="B551" s="3" t="s">
        <v>73</v>
      </c>
      <c r="C551" s="3" t="s">
        <v>74</v>
      </c>
      <c r="E551" s="3" t="str">
        <f>"FES1162844658"</f>
        <v>FES1162844658</v>
      </c>
      <c r="F551" s="4">
        <v>44573</v>
      </c>
      <c r="G551" s="3">
        <v>202207</v>
      </c>
      <c r="H551" s="3" t="s">
        <v>75</v>
      </c>
      <c r="I551" s="3" t="s">
        <v>76</v>
      </c>
      <c r="J551" s="3" t="s">
        <v>77</v>
      </c>
      <c r="K551" s="3" t="s">
        <v>78</v>
      </c>
      <c r="L551" s="3" t="s">
        <v>171</v>
      </c>
      <c r="M551" s="3" t="s">
        <v>172</v>
      </c>
      <c r="N551" s="3" t="s">
        <v>910</v>
      </c>
      <c r="O551" s="3" t="s">
        <v>82</v>
      </c>
      <c r="P551" s="3" t="str">
        <f>"2170816237                    "</f>
        <v xml:space="preserve">2170816237                    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15.46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1</v>
      </c>
      <c r="BI551" s="3">
        <v>1</v>
      </c>
      <c r="BJ551" s="3">
        <v>0.2</v>
      </c>
      <c r="BK551" s="3">
        <v>1</v>
      </c>
      <c r="BL551" s="3">
        <v>59</v>
      </c>
      <c r="BM551" s="3">
        <v>8.85</v>
      </c>
      <c r="BN551" s="3">
        <v>67.849999999999994</v>
      </c>
      <c r="BO551" s="3">
        <v>67.849999999999994</v>
      </c>
      <c r="BQ551" s="3" t="s">
        <v>89</v>
      </c>
      <c r="BR551" s="3" t="s">
        <v>84</v>
      </c>
      <c r="BS551" s="4">
        <v>44574</v>
      </c>
      <c r="BT551" s="5">
        <v>0.42291666666666666</v>
      </c>
      <c r="BU551" s="3" t="s">
        <v>911</v>
      </c>
      <c r="BV551" s="3" t="s">
        <v>105</v>
      </c>
      <c r="BY551" s="3">
        <v>1200</v>
      </c>
      <c r="BZ551" s="3" t="s">
        <v>165</v>
      </c>
      <c r="CA551" s="3" t="s">
        <v>263</v>
      </c>
      <c r="CC551" s="3" t="s">
        <v>172</v>
      </c>
      <c r="CD551" s="3">
        <v>6001</v>
      </c>
      <c r="CE551" s="3" t="s">
        <v>93</v>
      </c>
      <c r="CF551" s="4">
        <v>44574</v>
      </c>
      <c r="CI551" s="3">
        <v>1</v>
      </c>
      <c r="CJ551" s="3">
        <v>1</v>
      </c>
      <c r="CK551" s="3">
        <v>21</v>
      </c>
      <c r="CL551" s="3" t="s">
        <v>87</v>
      </c>
    </row>
    <row r="552" spans="1:90" x14ac:dyDescent="0.2">
      <c r="A552" s="3" t="s">
        <v>72</v>
      </c>
      <c r="B552" s="3" t="s">
        <v>73</v>
      </c>
      <c r="C552" s="3" t="s">
        <v>74</v>
      </c>
      <c r="E552" s="3" t="str">
        <f>"FES1162844684"</f>
        <v>FES1162844684</v>
      </c>
      <c r="F552" s="4">
        <v>44573</v>
      </c>
      <c r="G552" s="3">
        <v>202207</v>
      </c>
      <c r="H552" s="3" t="s">
        <v>75</v>
      </c>
      <c r="I552" s="3" t="s">
        <v>76</v>
      </c>
      <c r="J552" s="3" t="s">
        <v>77</v>
      </c>
      <c r="K552" s="3" t="s">
        <v>78</v>
      </c>
      <c r="L552" s="3" t="s">
        <v>218</v>
      </c>
      <c r="M552" s="3" t="s">
        <v>219</v>
      </c>
      <c r="N552" s="3" t="s">
        <v>912</v>
      </c>
      <c r="O552" s="3" t="s">
        <v>82</v>
      </c>
      <c r="P552" s="3" t="str">
        <f>"2170816264                    "</f>
        <v xml:space="preserve">2170816264                    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15.46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1</v>
      </c>
      <c r="BI552" s="3">
        <v>1</v>
      </c>
      <c r="BJ552" s="3">
        <v>0.2</v>
      </c>
      <c r="BK552" s="3">
        <v>1</v>
      </c>
      <c r="BL552" s="3">
        <v>59</v>
      </c>
      <c r="BM552" s="3">
        <v>8.85</v>
      </c>
      <c r="BN552" s="3">
        <v>67.849999999999994</v>
      </c>
      <c r="BO552" s="3">
        <v>67.849999999999994</v>
      </c>
      <c r="BQ552" s="3" t="s">
        <v>913</v>
      </c>
      <c r="BR552" s="3" t="s">
        <v>84</v>
      </c>
      <c r="BS552" s="4">
        <v>44574</v>
      </c>
      <c r="BT552" s="5">
        <v>0.37986111111111115</v>
      </c>
      <c r="BU552" s="3" t="s">
        <v>914</v>
      </c>
      <c r="BV552" s="3" t="s">
        <v>105</v>
      </c>
      <c r="BY552" s="3">
        <v>1200</v>
      </c>
      <c r="BZ552" s="3" t="s">
        <v>165</v>
      </c>
      <c r="CA552" s="3" t="s">
        <v>362</v>
      </c>
      <c r="CC552" s="3" t="s">
        <v>219</v>
      </c>
      <c r="CD552" s="3">
        <v>157</v>
      </c>
      <c r="CE552" s="3" t="s">
        <v>93</v>
      </c>
      <c r="CF552" s="4">
        <v>44575</v>
      </c>
      <c r="CI552" s="3">
        <v>1</v>
      </c>
      <c r="CJ552" s="3">
        <v>1</v>
      </c>
      <c r="CK552" s="3">
        <v>21</v>
      </c>
      <c r="CL552" s="3" t="s">
        <v>87</v>
      </c>
    </row>
    <row r="553" spans="1:90" x14ac:dyDescent="0.2">
      <c r="A553" s="3" t="s">
        <v>72</v>
      </c>
      <c r="B553" s="3" t="s">
        <v>73</v>
      </c>
      <c r="C553" s="3" t="s">
        <v>74</v>
      </c>
      <c r="E553" s="3" t="str">
        <f>"FES1162844791"</f>
        <v>FES1162844791</v>
      </c>
      <c r="F553" s="4">
        <v>44573</v>
      </c>
      <c r="G553" s="3">
        <v>202207</v>
      </c>
      <c r="H553" s="3" t="s">
        <v>75</v>
      </c>
      <c r="I553" s="3" t="s">
        <v>76</v>
      </c>
      <c r="J553" s="3" t="s">
        <v>77</v>
      </c>
      <c r="K553" s="3" t="s">
        <v>78</v>
      </c>
      <c r="L553" s="3" t="s">
        <v>154</v>
      </c>
      <c r="M553" s="3" t="s">
        <v>155</v>
      </c>
      <c r="N553" s="3" t="s">
        <v>915</v>
      </c>
      <c r="O553" s="3" t="s">
        <v>82</v>
      </c>
      <c r="P553" s="3" t="str">
        <f>"2170816352                    "</f>
        <v xml:space="preserve">2170816352                    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12.07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1</v>
      </c>
      <c r="BI553" s="3">
        <v>1</v>
      </c>
      <c r="BJ553" s="3">
        <v>0.2</v>
      </c>
      <c r="BK553" s="3">
        <v>1</v>
      </c>
      <c r="BL553" s="3">
        <v>46.08</v>
      </c>
      <c r="BM553" s="3">
        <v>6.91</v>
      </c>
      <c r="BN553" s="3">
        <v>52.99</v>
      </c>
      <c r="BO553" s="3">
        <v>52.99</v>
      </c>
      <c r="BR553" s="3" t="s">
        <v>84</v>
      </c>
      <c r="BS553" s="4">
        <v>44574</v>
      </c>
      <c r="BT553" s="5">
        <v>0.3576388888888889</v>
      </c>
      <c r="BU553" s="3" t="s">
        <v>916</v>
      </c>
      <c r="BV553" s="3" t="s">
        <v>105</v>
      </c>
      <c r="BY553" s="3">
        <v>1200</v>
      </c>
      <c r="BZ553" s="3" t="s">
        <v>165</v>
      </c>
      <c r="CA553" s="3" t="s">
        <v>607</v>
      </c>
      <c r="CC553" s="3" t="s">
        <v>155</v>
      </c>
      <c r="CD553" s="3">
        <v>1682</v>
      </c>
      <c r="CE553" s="3" t="s">
        <v>93</v>
      </c>
      <c r="CF553" s="4">
        <v>44575</v>
      </c>
      <c r="CI553" s="3">
        <v>1</v>
      </c>
      <c r="CJ553" s="3">
        <v>1</v>
      </c>
      <c r="CK553" s="3">
        <v>22</v>
      </c>
      <c r="CL553" s="3" t="s">
        <v>87</v>
      </c>
    </row>
    <row r="554" spans="1:90" x14ac:dyDescent="0.2">
      <c r="A554" s="3" t="s">
        <v>72</v>
      </c>
      <c r="B554" s="3" t="s">
        <v>73</v>
      </c>
      <c r="C554" s="3" t="s">
        <v>74</v>
      </c>
      <c r="E554" s="3" t="str">
        <f>"FES1162844754"</f>
        <v>FES1162844754</v>
      </c>
      <c r="F554" s="4">
        <v>44573</v>
      </c>
      <c r="G554" s="3">
        <v>202207</v>
      </c>
      <c r="H554" s="3" t="s">
        <v>75</v>
      </c>
      <c r="I554" s="3" t="s">
        <v>76</v>
      </c>
      <c r="J554" s="3" t="s">
        <v>77</v>
      </c>
      <c r="K554" s="3" t="s">
        <v>78</v>
      </c>
      <c r="L554" s="3" t="s">
        <v>162</v>
      </c>
      <c r="M554" s="3" t="s">
        <v>163</v>
      </c>
      <c r="N554" s="3" t="s">
        <v>917</v>
      </c>
      <c r="O554" s="3" t="s">
        <v>82</v>
      </c>
      <c r="P554" s="3" t="str">
        <f>"2170813432                    "</f>
        <v xml:space="preserve">2170813432                    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12.07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3">
        <v>1</v>
      </c>
      <c r="BI554" s="3">
        <v>1</v>
      </c>
      <c r="BJ554" s="3">
        <v>2</v>
      </c>
      <c r="BK554" s="3">
        <v>2</v>
      </c>
      <c r="BL554" s="3">
        <v>46.08</v>
      </c>
      <c r="BM554" s="3">
        <v>6.91</v>
      </c>
      <c r="BN554" s="3">
        <v>52.99</v>
      </c>
      <c r="BO554" s="3">
        <v>52.99</v>
      </c>
      <c r="BQ554" s="3" t="s">
        <v>89</v>
      </c>
      <c r="BR554" s="3" t="s">
        <v>84</v>
      </c>
      <c r="BS554" s="4">
        <v>44574</v>
      </c>
      <c r="BT554" s="5">
        <v>0.42569444444444443</v>
      </c>
      <c r="BU554" s="3" t="s">
        <v>918</v>
      </c>
      <c r="BV554" s="3" t="s">
        <v>105</v>
      </c>
      <c r="BY554" s="3">
        <v>9900</v>
      </c>
      <c r="BZ554" s="3" t="s">
        <v>165</v>
      </c>
      <c r="CA554" s="3" t="s">
        <v>328</v>
      </c>
      <c r="CC554" s="3" t="s">
        <v>163</v>
      </c>
      <c r="CD554" s="3">
        <v>1401</v>
      </c>
      <c r="CE554" s="3" t="s">
        <v>86</v>
      </c>
      <c r="CF554" s="4">
        <v>44575</v>
      </c>
      <c r="CI554" s="3">
        <v>1</v>
      </c>
      <c r="CJ554" s="3">
        <v>1</v>
      </c>
      <c r="CK554" s="3">
        <v>22</v>
      </c>
      <c r="CL554" s="3" t="s">
        <v>87</v>
      </c>
    </row>
    <row r="555" spans="1:90" x14ac:dyDescent="0.2">
      <c r="A555" s="3" t="s">
        <v>72</v>
      </c>
      <c r="B555" s="3" t="s">
        <v>73</v>
      </c>
      <c r="C555" s="3" t="s">
        <v>74</v>
      </c>
      <c r="E555" s="3" t="str">
        <f>"FES1162844662"</f>
        <v>FES1162844662</v>
      </c>
      <c r="F555" s="4">
        <v>44573</v>
      </c>
      <c r="G555" s="3">
        <v>202207</v>
      </c>
      <c r="H555" s="3" t="s">
        <v>75</v>
      </c>
      <c r="I555" s="3" t="s">
        <v>76</v>
      </c>
      <c r="J555" s="3" t="s">
        <v>77</v>
      </c>
      <c r="K555" s="3" t="s">
        <v>78</v>
      </c>
      <c r="L555" s="3" t="s">
        <v>171</v>
      </c>
      <c r="M555" s="3" t="s">
        <v>172</v>
      </c>
      <c r="N555" s="3" t="s">
        <v>725</v>
      </c>
      <c r="O555" s="3" t="s">
        <v>82</v>
      </c>
      <c r="P555" s="3" t="str">
        <f>"2170816229                    "</f>
        <v xml:space="preserve">2170816229                    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15.46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1</v>
      </c>
      <c r="BI555" s="3">
        <v>1</v>
      </c>
      <c r="BJ555" s="3">
        <v>0.2</v>
      </c>
      <c r="BK555" s="3">
        <v>1</v>
      </c>
      <c r="BL555" s="3">
        <v>59</v>
      </c>
      <c r="BM555" s="3">
        <v>8.85</v>
      </c>
      <c r="BN555" s="3">
        <v>67.849999999999994</v>
      </c>
      <c r="BO555" s="3">
        <v>67.849999999999994</v>
      </c>
      <c r="BQ555" s="3" t="s">
        <v>83</v>
      </c>
      <c r="BR555" s="3" t="s">
        <v>84</v>
      </c>
      <c r="BS555" s="4">
        <v>44574</v>
      </c>
      <c r="BT555" s="5">
        <v>0.33958333333333335</v>
      </c>
      <c r="BU555" s="3" t="s">
        <v>726</v>
      </c>
      <c r="BV555" s="3" t="s">
        <v>105</v>
      </c>
      <c r="BY555" s="3">
        <v>1200</v>
      </c>
      <c r="BZ555" s="3" t="s">
        <v>165</v>
      </c>
      <c r="CA555" s="3" t="s">
        <v>408</v>
      </c>
      <c r="CC555" s="3" t="s">
        <v>172</v>
      </c>
      <c r="CD555" s="3">
        <v>6001</v>
      </c>
      <c r="CE555" s="3" t="s">
        <v>93</v>
      </c>
      <c r="CF555" s="4">
        <v>44575</v>
      </c>
      <c r="CI555" s="3">
        <v>1</v>
      </c>
      <c r="CJ555" s="3">
        <v>1</v>
      </c>
      <c r="CK555" s="3">
        <v>21</v>
      </c>
      <c r="CL555" s="3" t="s">
        <v>87</v>
      </c>
    </row>
    <row r="556" spans="1:90" x14ac:dyDescent="0.2">
      <c r="A556" s="3" t="s">
        <v>72</v>
      </c>
      <c r="B556" s="3" t="s">
        <v>73</v>
      </c>
      <c r="C556" s="3" t="s">
        <v>74</v>
      </c>
      <c r="E556" s="3" t="str">
        <f>"FES1162844647"</f>
        <v>FES1162844647</v>
      </c>
      <c r="F556" s="4">
        <v>44573</v>
      </c>
      <c r="G556" s="3">
        <v>202207</v>
      </c>
      <c r="H556" s="3" t="s">
        <v>75</v>
      </c>
      <c r="I556" s="3" t="s">
        <v>76</v>
      </c>
      <c r="J556" s="3" t="s">
        <v>77</v>
      </c>
      <c r="K556" s="3" t="s">
        <v>78</v>
      </c>
      <c r="L556" s="3" t="s">
        <v>171</v>
      </c>
      <c r="M556" s="3" t="s">
        <v>172</v>
      </c>
      <c r="N556" s="3" t="s">
        <v>329</v>
      </c>
      <c r="O556" s="3" t="s">
        <v>82</v>
      </c>
      <c r="P556" s="3" t="str">
        <f>"2170808676                    "</f>
        <v xml:space="preserve">2170808676                    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30.91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3">
        <v>1</v>
      </c>
      <c r="BI556" s="3">
        <v>4</v>
      </c>
      <c r="BJ556" s="3">
        <v>1.5</v>
      </c>
      <c r="BK556" s="3">
        <v>4</v>
      </c>
      <c r="BL556" s="3">
        <v>117.97</v>
      </c>
      <c r="BM556" s="3">
        <v>17.7</v>
      </c>
      <c r="BN556" s="3">
        <v>135.66999999999999</v>
      </c>
      <c r="BO556" s="3">
        <v>135.66999999999999</v>
      </c>
      <c r="BQ556" s="3" t="s">
        <v>83</v>
      </c>
      <c r="BR556" s="3" t="s">
        <v>84</v>
      </c>
      <c r="BS556" s="4">
        <v>44574</v>
      </c>
      <c r="BT556" s="5">
        <v>0.37152777777777773</v>
      </c>
      <c r="BU556" s="3" t="s">
        <v>854</v>
      </c>
      <c r="BV556" s="3" t="s">
        <v>105</v>
      </c>
      <c r="BY556" s="3">
        <v>7540</v>
      </c>
      <c r="BZ556" s="3" t="s">
        <v>165</v>
      </c>
      <c r="CA556" s="3" t="s">
        <v>331</v>
      </c>
      <c r="CC556" s="3" t="s">
        <v>172</v>
      </c>
      <c r="CD556" s="3">
        <v>6001</v>
      </c>
      <c r="CE556" s="3" t="s">
        <v>86</v>
      </c>
      <c r="CF556" s="4">
        <v>44575</v>
      </c>
      <c r="CI556" s="3">
        <v>1</v>
      </c>
      <c r="CJ556" s="3">
        <v>1</v>
      </c>
      <c r="CK556" s="3">
        <v>21</v>
      </c>
      <c r="CL556" s="3" t="s">
        <v>87</v>
      </c>
    </row>
    <row r="557" spans="1:90" x14ac:dyDescent="0.2">
      <c r="A557" s="3" t="s">
        <v>72</v>
      </c>
      <c r="B557" s="3" t="s">
        <v>73</v>
      </c>
      <c r="C557" s="3" t="s">
        <v>74</v>
      </c>
      <c r="E557" s="3" t="str">
        <f>"FES1162844731"</f>
        <v>FES1162844731</v>
      </c>
      <c r="F557" s="4">
        <v>44573</v>
      </c>
      <c r="G557" s="3">
        <v>202207</v>
      </c>
      <c r="H557" s="3" t="s">
        <v>75</v>
      </c>
      <c r="I557" s="3" t="s">
        <v>76</v>
      </c>
      <c r="J557" s="3" t="s">
        <v>77</v>
      </c>
      <c r="K557" s="3" t="s">
        <v>78</v>
      </c>
      <c r="L557" s="3" t="s">
        <v>94</v>
      </c>
      <c r="M557" s="3" t="s">
        <v>95</v>
      </c>
      <c r="N557" s="3" t="s">
        <v>96</v>
      </c>
      <c r="O557" s="3" t="s">
        <v>82</v>
      </c>
      <c r="P557" s="3" t="str">
        <f>"2170799888                    "</f>
        <v xml:space="preserve">2170799888                    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15.46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0</v>
      </c>
      <c r="BG557" s="3">
        <v>0</v>
      </c>
      <c r="BH557" s="3">
        <v>1</v>
      </c>
      <c r="BI557" s="3">
        <v>1</v>
      </c>
      <c r="BJ557" s="3">
        <v>0.2</v>
      </c>
      <c r="BK557" s="3">
        <v>1</v>
      </c>
      <c r="BL557" s="3">
        <v>59</v>
      </c>
      <c r="BM557" s="3">
        <v>8.85</v>
      </c>
      <c r="BN557" s="3">
        <v>67.849999999999994</v>
      </c>
      <c r="BO557" s="3">
        <v>67.849999999999994</v>
      </c>
      <c r="BQ557" s="3" t="s">
        <v>89</v>
      </c>
      <c r="BR557" s="3" t="s">
        <v>84</v>
      </c>
      <c r="BS557" s="4">
        <v>44578</v>
      </c>
      <c r="BT557" s="5">
        <v>0.53402777777777777</v>
      </c>
      <c r="BU557" s="3" t="s">
        <v>821</v>
      </c>
      <c r="BV557" s="3" t="s">
        <v>87</v>
      </c>
      <c r="BW557" s="3" t="s">
        <v>453</v>
      </c>
      <c r="BX557" s="3" t="s">
        <v>279</v>
      </c>
      <c r="BY557" s="3">
        <v>1200</v>
      </c>
      <c r="BZ557" s="3" t="s">
        <v>165</v>
      </c>
      <c r="CC557" s="3" t="s">
        <v>95</v>
      </c>
      <c r="CD557" s="3">
        <v>3201</v>
      </c>
      <c r="CE557" s="3" t="s">
        <v>93</v>
      </c>
      <c r="CF557" s="4">
        <v>44581</v>
      </c>
      <c r="CI557" s="3">
        <v>1</v>
      </c>
      <c r="CJ557" s="3">
        <v>3</v>
      </c>
      <c r="CK557" s="3">
        <v>21</v>
      </c>
      <c r="CL557" s="3" t="s">
        <v>87</v>
      </c>
    </row>
    <row r="558" spans="1:90" x14ac:dyDescent="0.2">
      <c r="A558" s="3" t="s">
        <v>72</v>
      </c>
      <c r="B558" s="3" t="s">
        <v>73</v>
      </c>
      <c r="C558" s="3" t="s">
        <v>74</v>
      </c>
      <c r="E558" s="3" t="str">
        <f>"FES1162844691"</f>
        <v>FES1162844691</v>
      </c>
      <c r="F558" s="4">
        <v>44573</v>
      </c>
      <c r="G558" s="3">
        <v>202207</v>
      </c>
      <c r="H558" s="3" t="s">
        <v>75</v>
      </c>
      <c r="I558" s="3" t="s">
        <v>76</v>
      </c>
      <c r="J558" s="3" t="s">
        <v>77</v>
      </c>
      <c r="K558" s="3" t="s">
        <v>78</v>
      </c>
      <c r="L558" s="3" t="s">
        <v>94</v>
      </c>
      <c r="M558" s="3" t="s">
        <v>95</v>
      </c>
      <c r="N558" s="3" t="s">
        <v>179</v>
      </c>
      <c r="O558" s="3" t="s">
        <v>82</v>
      </c>
      <c r="P558" s="3" t="str">
        <f>"2170816270                    "</f>
        <v xml:space="preserve">2170816270                    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15.46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3">
        <v>1</v>
      </c>
      <c r="BI558" s="3">
        <v>1</v>
      </c>
      <c r="BJ558" s="3">
        <v>0.2</v>
      </c>
      <c r="BK558" s="3">
        <v>1</v>
      </c>
      <c r="BL558" s="3">
        <v>59</v>
      </c>
      <c r="BM558" s="3">
        <v>8.85</v>
      </c>
      <c r="BN558" s="3">
        <v>67.849999999999994</v>
      </c>
      <c r="BO558" s="3">
        <v>67.849999999999994</v>
      </c>
      <c r="BQ558" s="3" t="s">
        <v>83</v>
      </c>
      <c r="BR558" s="3" t="s">
        <v>84</v>
      </c>
      <c r="BS558" s="4">
        <v>44574</v>
      </c>
      <c r="BT558" s="5">
        <v>0.72569444444444453</v>
      </c>
      <c r="BU558" s="3" t="s">
        <v>919</v>
      </c>
      <c r="BV558" s="3" t="s">
        <v>87</v>
      </c>
      <c r="BW558" s="3" t="s">
        <v>453</v>
      </c>
      <c r="BX558" s="3" t="s">
        <v>279</v>
      </c>
      <c r="BY558" s="3">
        <v>1200</v>
      </c>
      <c r="BZ558" s="3" t="s">
        <v>165</v>
      </c>
      <c r="CC558" s="3" t="s">
        <v>95</v>
      </c>
      <c r="CD558" s="3">
        <v>3201</v>
      </c>
      <c r="CE558" s="3" t="s">
        <v>93</v>
      </c>
      <c r="CF558" s="4">
        <v>44575</v>
      </c>
      <c r="CI558" s="3">
        <v>1</v>
      </c>
      <c r="CJ558" s="3">
        <v>1</v>
      </c>
      <c r="CK558" s="3">
        <v>21</v>
      </c>
      <c r="CL558" s="3" t="s">
        <v>87</v>
      </c>
    </row>
    <row r="559" spans="1:90" x14ac:dyDescent="0.2">
      <c r="A559" s="3" t="s">
        <v>72</v>
      </c>
      <c r="B559" s="3" t="s">
        <v>73</v>
      </c>
      <c r="C559" s="3" t="s">
        <v>74</v>
      </c>
      <c r="E559" s="3" t="str">
        <f>"FES1162844832"</f>
        <v>FES1162844832</v>
      </c>
      <c r="F559" s="4">
        <v>44573</v>
      </c>
      <c r="G559" s="3">
        <v>202207</v>
      </c>
      <c r="H559" s="3" t="s">
        <v>75</v>
      </c>
      <c r="I559" s="3" t="s">
        <v>76</v>
      </c>
      <c r="J559" s="3" t="s">
        <v>77</v>
      </c>
      <c r="K559" s="3" t="s">
        <v>78</v>
      </c>
      <c r="L559" s="3" t="s">
        <v>90</v>
      </c>
      <c r="M559" s="3" t="s">
        <v>91</v>
      </c>
      <c r="N559" s="3" t="s">
        <v>157</v>
      </c>
      <c r="O559" s="3" t="s">
        <v>82</v>
      </c>
      <c r="P559" s="3" t="str">
        <f>"2170816393                    "</f>
        <v xml:space="preserve">2170816393                    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15.46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1</v>
      </c>
      <c r="BI559" s="3">
        <v>1</v>
      </c>
      <c r="BJ559" s="3">
        <v>0.2</v>
      </c>
      <c r="BK559" s="3">
        <v>1</v>
      </c>
      <c r="BL559" s="3">
        <v>59</v>
      </c>
      <c r="BM559" s="3">
        <v>8.85</v>
      </c>
      <c r="BN559" s="3">
        <v>67.849999999999994</v>
      </c>
      <c r="BO559" s="3">
        <v>67.849999999999994</v>
      </c>
      <c r="BQ559" s="3" t="s">
        <v>89</v>
      </c>
      <c r="BR559" s="3" t="s">
        <v>84</v>
      </c>
      <c r="BS559" s="4">
        <v>44574</v>
      </c>
      <c r="BT559" s="5">
        <v>0.41666666666666669</v>
      </c>
      <c r="BU559" s="3" t="s">
        <v>818</v>
      </c>
      <c r="BV559" s="3" t="s">
        <v>105</v>
      </c>
      <c r="BY559" s="3">
        <v>1200</v>
      </c>
      <c r="BZ559" s="3" t="s">
        <v>165</v>
      </c>
      <c r="CC559" s="3" t="s">
        <v>91</v>
      </c>
      <c r="CD559" s="3">
        <v>7441</v>
      </c>
      <c r="CE559" s="3" t="s">
        <v>93</v>
      </c>
      <c r="CF559" s="4">
        <v>44575</v>
      </c>
      <c r="CI559" s="3">
        <v>1</v>
      </c>
      <c r="CJ559" s="3">
        <v>1</v>
      </c>
      <c r="CK559" s="3">
        <v>21</v>
      </c>
      <c r="CL559" s="3" t="s">
        <v>87</v>
      </c>
    </row>
    <row r="560" spans="1:90" x14ac:dyDescent="0.2">
      <c r="A560" s="3" t="s">
        <v>72</v>
      </c>
      <c r="B560" s="3" t="s">
        <v>73</v>
      </c>
      <c r="C560" s="3" t="s">
        <v>74</v>
      </c>
      <c r="E560" s="3" t="str">
        <f>"FES1162844652"</f>
        <v>FES1162844652</v>
      </c>
      <c r="F560" s="4">
        <v>44573</v>
      </c>
      <c r="G560" s="3">
        <v>202207</v>
      </c>
      <c r="H560" s="3" t="s">
        <v>75</v>
      </c>
      <c r="I560" s="3" t="s">
        <v>76</v>
      </c>
      <c r="J560" s="3" t="s">
        <v>77</v>
      </c>
      <c r="K560" s="3" t="s">
        <v>78</v>
      </c>
      <c r="L560" s="3" t="s">
        <v>94</v>
      </c>
      <c r="M560" s="3" t="s">
        <v>95</v>
      </c>
      <c r="N560" s="3" t="s">
        <v>179</v>
      </c>
      <c r="O560" s="3" t="s">
        <v>82</v>
      </c>
      <c r="P560" s="3" t="str">
        <f>"2170816230                    "</f>
        <v xml:space="preserve">2170816230                    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15.46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3">
        <v>1</v>
      </c>
      <c r="BI560" s="3">
        <v>1</v>
      </c>
      <c r="BJ560" s="3">
        <v>0.2</v>
      </c>
      <c r="BK560" s="3">
        <v>1</v>
      </c>
      <c r="BL560" s="3">
        <v>59</v>
      </c>
      <c r="BM560" s="3">
        <v>8.85</v>
      </c>
      <c r="BN560" s="3">
        <v>67.849999999999994</v>
      </c>
      <c r="BO560" s="3">
        <v>67.849999999999994</v>
      </c>
      <c r="BQ560" s="3" t="s">
        <v>83</v>
      </c>
      <c r="BR560" s="3" t="s">
        <v>84</v>
      </c>
      <c r="BS560" s="4">
        <v>44575</v>
      </c>
      <c r="BT560" s="5">
        <v>0.46875</v>
      </c>
      <c r="BU560" s="3" t="s">
        <v>659</v>
      </c>
      <c r="BV560" s="3" t="s">
        <v>87</v>
      </c>
      <c r="BW560" s="3" t="s">
        <v>453</v>
      </c>
      <c r="BX560" s="3" t="s">
        <v>279</v>
      </c>
      <c r="BY560" s="3">
        <v>1200</v>
      </c>
      <c r="BZ560" s="3" t="s">
        <v>165</v>
      </c>
      <c r="CC560" s="3" t="s">
        <v>95</v>
      </c>
      <c r="CD560" s="3">
        <v>3201</v>
      </c>
      <c r="CE560" s="3" t="s">
        <v>93</v>
      </c>
      <c r="CF560" s="4">
        <v>44581</v>
      </c>
      <c r="CI560" s="3">
        <v>1</v>
      </c>
      <c r="CJ560" s="3">
        <v>2</v>
      </c>
      <c r="CK560" s="3">
        <v>21</v>
      </c>
      <c r="CL560" s="3" t="s">
        <v>87</v>
      </c>
    </row>
    <row r="561" spans="1:90" x14ac:dyDescent="0.2">
      <c r="A561" s="3" t="s">
        <v>72</v>
      </c>
      <c r="B561" s="3" t="s">
        <v>73</v>
      </c>
      <c r="C561" s="3" t="s">
        <v>74</v>
      </c>
      <c r="E561" s="3" t="str">
        <f>"FES1162844827"</f>
        <v>FES1162844827</v>
      </c>
      <c r="F561" s="4">
        <v>44573</v>
      </c>
      <c r="G561" s="3">
        <v>202207</v>
      </c>
      <c r="H561" s="3" t="s">
        <v>75</v>
      </c>
      <c r="I561" s="3" t="s">
        <v>76</v>
      </c>
      <c r="J561" s="3" t="s">
        <v>77</v>
      </c>
      <c r="K561" s="3" t="s">
        <v>78</v>
      </c>
      <c r="L561" s="3" t="s">
        <v>90</v>
      </c>
      <c r="M561" s="3" t="s">
        <v>91</v>
      </c>
      <c r="N561" s="3" t="s">
        <v>157</v>
      </c>
      <c r="O561" s="3" t="s">
        <v>82</v>
      </c>
      <c r="P561" s="3" t="str">
        <f>"2170816389                    "</f>
        <v xml:space="preserve">2170816389                    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15.46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3">
        <v>1</v>
      </c>
      <c r="BI561" s="3">
        <v>1</v>
      </c>
      <c r="BJ561" s="3">
        <v>0.2</v>
      </c>
      <c r="BK561" s="3">
        <v>1</v>
      </c>
      <c r="BL561" s="3">
        <v>59</v>
      </c>
      <c r="BM561" s="3">
        <v>8.85</v>
      </c>
      <c r="BN561" s="3">
        <v>67.849999999999994</v>
      </c>
      <c r="BO561" s="3">
        <v>67.849999999999994</v>
      </c>
      <c r="BQ561" s="3" t="s">
        <v>89</v>
      </c>
      <c r="BR561" s="3" t="s">
        <v>84</v>
      </c>
      <c r="BS561" s="4">
        <v>44574</v>
      </c>
      <c r="BT561" s="5">
        <v>0.41666666666666669</v>
      </c>
      <c r="BU561" s="3" t="s">
        <v>818</v>
      </c>
      <c r="BV561" s="3" t="s">
        <v>105</v>
      </c>
      <c r="BY561" s="3">
        <v>1200</v>
      </c>
      <c r="BZ561" s="3" t="s">
        <v>165</v>
      </c>
      <c r="CC561" s="3" t="s">
        <v>91</v>
      </c>
      <c r="CD561" s="3">
        <v>7441</v>
      </c>
      <c r="CE561" s="3" t="s">
        <v>93</v>
      </c>
      <c r="CF561" s="4">
        <v>44575</v>
      </c>
      <c r="CI561" s="3">
        <v>1</v>
      </c>
      <c r="CJ561" s="3">
        <v>1</v>
      </c>
      <c r="CK561" s="3">
        <v>21</v>
      </c>
      <c r="CL561" s="3" t="s">
        <v>87</v>
      </c>
    </row>
    <row r="562" spans="1:90" x14ac:dyDescent="0.2">
      <c r="A562" s="3" t="s">
        <v>72</v>
      </c>
      <c r="B562" s="3" t="s">
        <v>73</v>
      </c>
      <c r="C562" s="3" t="s">
        <v>74</v>
      </c>
      <c r="E562" s="3" t="str">
        <f>"FES1162844635"</f>
        <v>FES1162844635</v>
      </c>
      <c r="F562" s="4">
        <v>44573</v>
      </c>
      <c r="G562" s="3">
        <v>202207</v>
      </c>
      <c r="H562" s="3" t="s">
        <v>75</v>
      </c>
      <c r="I562" s="3" t="s">
        <v>76</v>
      </c>
      <c r="J562" s="3" t="s">
        <v>77</v>
      </c>
      <c r="K562" s="3" t="s">
        <v>78</v>
      </c>
      <c r="L562" s="3" t="s">
        <v>920</v>
      </c>
      <c r="M562" s="3" t="s">
        <v>921</v>
      </c>
      <c r="N562" s="3" t="s">
        <v>922</v>
      </c>
      <c r="O562" s="3" t="s">
        <v>82</v>
      </c>
      <c r="P562" s="3" t="str">
        <f>"2170814150                    "</f>
        <v xml:space="preserve">2170814150                    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165.2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1</v>
      </c>
      <c r="BI562" s="3">
        <v>12</v>
      </c>
      <c r="BJ562" s="3">
        <v>9.1</v>
      </c>
      <c r="BK562" s="3">
        <v>12</v>
      </c>
      <c r="BL562" s="3">
        <v>630.55999999999995</v>
      </c>
      <c r="BM562" s="3">
        <v>94.58</v>
      </c>
      <c r="BN562" s="3">
        <v>725.14</v>
      </c>
      <c r="BO562" s="3">
        <v>725.14</v>
      </c>
      <c r="BQ562" s="3" t="s">
        <v>89</v>
      </c>
      <c r="BR562" s="3" t="s">
        <v>84</v>
      </c>
      <c r="BS562" s="4">
        <v>44574</v>
      </c>
      <c r="BT562" s="5">
        <v>0.37916666666666665</v>
      </c>
      <c r="BU562" s="3" t="s">
        <v>923</v>
      </c>
      <c r="BV562" s="3" t="s">
        <v>105</v>
      </c>
      <c r="BY562" s="3">
        <v>45632</v>
      </c>
      <c r="BZ562" s="3" t="s">
        <v>165</v>
      </c>
      <c r="CA562" s="3" t="s">
        <v>924</v>
      </c>
      <c r="CC562" s="3" t="s">
        <v>921</v>
      </c>
      <c r="CD562" s="3">
        <v>9700</v>
      </c>
      <c r="CE562" s="3" t="s">
        <v>86</v>
      </c>
      <c r="CF562" s="4">
        <v>44574</v>
      </c>
      <c r="CI562" s="3">
        <v>1</v>
      </c>
      <c r="CJ562" s="3">
        <v>1</v>
      </c>
      <c r="CK562" s="3">
        <v>23</v>
      </c>
      <c r="CL562" s="3" t="s">
        <v>87</v>
      </c>
    </row>
    <row r="563" spans="1:90" x14ac:dyDescent="0.2">
      <c r="A563" s="3" t="s">
        <v>72</v>
      </c>
      <c r="B563" s="3" t="s">
        <v>73</v>
      </c>
      <c r="C563" s="3" t="s">
        <v>74</v>
      </c>
      <c r="E563" s="3" t="str">
        <f>"FES1162844687"</f>
        <v>FES1162844687</v>
      </c>
      <c r="F563" s="4">
        <v>44573</v>
      </c>
      <c r="G563" s="3">
        <v>202207</v>
      </c>
      <c r="H563" s="3" t="s">
        <v>75</v>
      </c>
      <c r="I563" s="3" t="s">
        <v>76</v>
      </c>
      <c r="J563" s="3" t="s">
        <v>77</v>
      </c>
      <c r="K563" s="3" t="s">
        <v>78</v>
      </c>
      <c r="L563" s="3" t="s">
        <v>79</v>
      </c>
      <c r="M563" s="3" t="s">
        <v>80</v>
      </c>
      <c r="N563" s="3" t="s">
        <v>248</v>
      </c>
      <c r="O563" s="3" t="s">
        <v>82</v>
      </c>
      <c r="P563" s="3" t="str">
        <f>"2170816268                    "</f>
        <v xml:space="preserve">2170816268                    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15.46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1</v>
      </c>
      <c r="BI563" s="3">
        <v>1</v>
      </c>
      <c r="BJ563" s="3">
        <v>0.2</v>
      </c>
      <c r="BK563" s="3">
        <v>1</v>
      </c>
      <c r="BL563" s="3">
        <v>59</v>
      </c>
      <c r="BM563" s="3">
        <v>8.85</v>
      </c>
      <c r="BN563" s="3">
        <v>67.849999999999994</v>
      </c>
      <c r="BO563" s="3">
        <v>67.849999999999994</v>
      </c>
      <c r="BQ563" s="3" t="s">
        <v>83</v>
      </c>
      <c r="BR563" s="3" t="s">
        <v>84</v>
      </c>
      <c r="BS563" s="4">
        <v>44574</v>
      </c>
      <c r="BT563" s="5">
        <v>0.38263888888888892</v>
      </c>
      <c r="BU563" s="3" t="s">
        <v>925</v>
      </c>
      <c r="BV563" s="3" t="s">
        <v>105</v>
      </c>
      <c r="BY563" s="3">
        <v>1200</v>
      </c>
      <c r="BZ563" s="3" t="s">
        <v>165</v>
      </c>
      <c r="CA563" s="3" t="s">
        <v>362</v>
      </c>
      <c r="CC563" s="3" t="s">
        <v>80</v>
      </c>
      <c r="CD563" s="3">
        <v>1</v>
      </c>
      <c r="CE563" s="3" t="s">
        <v>93</v>
      </c>
      <c r="CF563" s="4">
        <v>44575</v>
      </c>
      <c r="CI563" s="3">
        <v>1</v>
      </c>
      <c r="CJ563" s="3">
        <v>1</v>
      </c>
      <c r="CK563" s="3">
        <v>21</v>
      </c>
      <c r="CL563" s="3" t="s">
        <v>87</v>
      </c>
    </row>
    <row r="564" spans="1:90" x14ac:dyDescent="0.2">
      <c r="A564" s="3" t="s">
        <v>72</v>
      </c>
      <c r="B564" s="3" t="s">
        <v>73</v>
      </c>
      <c r="C564" s="3" t="s">
        <v>74</v>
      </c>
      <c r="E564" s="3" t="str">
        <f>"FES1162844642"</f>
        <v>FES1162844642</v>
      </c>
      <c r="F564" s="4">
        <v>44573</v>
      </c>
      <c r="G564" s="3">
        <v>202207</v>
      </c>
      <c r="H564" s="3" t="s">
        <v>75</v>
      </c>
      <c r="I564" s="3" t="s">
        <v>76</v>
      </c>
      <c r="J564" s="3" t="s">
        <v>77</v>
      </c>
      <c r="K564" s="3" t="s">
        <v>78</v>
      </c>
      <c r="L564" s="3" t="s">
        <v>138</v>
      </c>
      <c r="M564" s="3" t="s">
        <v>139</v>
      </c>
      <c r="N564" s="3" t="s">
        <v>332</v>
      </c>
      <c r="O564" s="3" t="s">
        <v>82</v>
      </c>
      <c r="P564" s="3" t="str">
        <f>"2170816219                    "</f>
        <v xml:space="preserve">2170816219                    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15.46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0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1</v>
      </c>
      <c r="BI564" s="3">
        <v>1</v>
      </c>
      <c r="BJ564" s="3">
        <v>0.2</v>
      </c>
      <c r="BK564" s="3">
        <v>1</v>
      </c>
      <c r="BL564" s="3">
        <v>59</v>
      </c>
      <c r="BM564" s="3">
        <v>8.85</v>
      </c>
      <c r="BN564" s="3">
        <v>67.849999999999994</v>
      </c>
      <c r="BO564" s="3">
        <v>67.849999999999994</v>
      </c>
      <c r="BQ564" s="3" t="s">
        <v>89</v>
      </c>
      <c r="BR564" s="3" t="s">
        <v>84</v>
      </c>
      <c r="BS564" s="4">
        <v>44574</v>
      </c>
      <c r="BT564" s="5">
        <v>0.51111111111111118</v>
      </c>
      <c r="BU564" s="3" t="s">
        <v>926</v>
      </c>
      <c r="BV564" s="3" t="s">
        <v>87</v>
      </c>
      <c r="BW564" s="3" t="s">
        <v>457</v>
      </c>
      <c r="BX564" s="3" t="s">
        <v>279</v>
      </c>
      <c r="BY564" s="3">
        <v>1200</v>
      </c>
      <c r="BZ564" s="3" t="s">
        <v>165</v>
      </c>
      <c r="CA564" s="3" t="s">
        <v>334</v>
      </c>
      <c r="CC564" s="3" t="s">
        <v>139</v>
      </c>
      <c r="CD564" s="3">
        <v>3600</v>
      </c>
      <c r="CE564" s="3" t="s">
        <v>93</v>
      </c>
      <c r="CF564" s="4">
        <v>44574</v>
      </c>
      <c r="CI564" s="3">
        <v>1</v>
      </c>
      <c r="CJ564" s="3">
        <v>1</v>
      </c>
      <c r="CK564" s="3">
        <v>21</v>
      </c>
      <c r="CL564" s="3" t="s">
        <v>87</v>
      </c>
    </row>
    <row r="565" spans="1:90" x14ac:dyDescent="0.2">
      <c r="A565" s="3" t="s">
        <v>72</v>
      </c>
      <c r="B565" s="3" t="s">
        <v>73</v>
      </c>
      <c r="C565" s="3" t="s">
        <v>74</v>
      </c>
      <c r="E565" s="3" t="str">
        <f>"FES1162844690"</f>
        <v>FES1162844690</v>
      </c>
      <c r="F565" s="4">
        <v>44573</v>
      </c>
      <c r="G565" s="3">
        <v>202207</v>
      </c>
      <c r="H565" s="3" t="s">
        <v>75</v>
      </c>
      <c r="I565" s="3" t="s">
        <v>76</v>
      </c>
      <c r="J565" s="3" t="s">
        <v>77</v>
      </c>
      <c r="K565" s="3" t="s">
        <v>78</v>
      </c>
      <c r="L565" s="3" t="s">
        <v>281</v>
      </c>
      <c r="M565" s="3" t="s">
        <v>282</v>
      </c>
      <c r="N565" s="3" t="s">
        <v>927</v>
      </c>
      <c r="O565" s="3" t="s">
        <v>82</v>
      </c>
      <c r="P565" s="3" t="str">
        <f>"2170814057                    "</f>
        <v xml:space="preserve">2170814057                    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70.52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0</v>
      </c>
      <c r="AZ565" s="3">
        <v>0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0</v>
      </c>
      <c r="BG565" s="3">
        <v>0</v>
      </c>
      <c r="BH565" s="3">
        <v>1</v>
      </c>
      <c r="BI565" s="3">
        <v>5</v>
      </c>
      <c r="BJ565" s="3">
        <v>1.4</v>
      </c>
      <c r="BK565" s="3">
        <v>5</v>
      </c>
      <c r="BL565" s="3">
        <v>269.18</v>
      </c>
      <c r="BM565" s="3">
        <v>40.380000000000003</v>
      </c>
      <c r="BN565" s="3">
        <v>309.56</v>
      </c>
      <c r="BO565" s="3">
        <v>309.56</v>
      </c>
      <c r="BQ565" s="3" t="s">
        <v>83</v>
      </c>
      <c r="BR565" s="3" t="s">
        <v>84</v>
      </c>
      <c r="BS565" s="4">
        <v>44575</v>
      </c>
      <c r="BT565" s="5">
        <v>0.47916666666666669</v>
      </c>
      <c r="BU565" s="3" t="s">
        <v>284</v>
      </c>
      <c r="BV565" s="3" t="s">
        <v>105</v>
      </c>
      <c r="BY565" s="3">
        <v>7200</v>
      </c>
      <c r="BZ565" s="3" t="s">
        <v>165</v>
      </c>
      <c r="CC565" s="3" t="s">
        <v>282</v>
      </c>
      <c r="CD565" s="3">
        <v>3236</v>
      </c>
      <c r="CE565" s="3" t="s">
        <v>86</v>
      </c>
      <c r="CF565" s="4">
        <v>44581</v>
      </c>
      <c r="CI565" s="3">
        <v>5</v>
      </c>
      <c r="CJ565" s="3">
        <v>2</v>
      </c>
      <c r="CK565" s="3">
        <v>23</v>
      </c>
      <c r="CL565" s="3" t="s">
        <v>87</v>
      </c>
    </row>
    <row r="566" spans="1:90" x14ac:dyDescent="0.2">
      <c r="A566" s="3" t="s">
        <v>72</v>
      </c>
      <c r="B566" s="3" t="s">
        <v>73</v>
      </c>
      <c r="C566" s="3" t="s">
        <v>74</v>
      </c>
      <c r="E566" s="3" t="str">
        <f>"FES1162844631"</f>
        <v>FES1162844631</v>
      </c>
      <c r="F566" s="4">
        <v>44573</v>
      </c>
      <c r="G566" s="3">
        <v>202207</v>
      </c>
      <c r="H566" s="3" t="s">
        <v>75</v>
      </c>
      <c r="I566" s="3" t="s">
        <v>76</v>
      </c>
      <c r="J566" s="3" t="s">
        <v>77</v>
      </c>
      <c r="K566" s="3" t="s">
        <v>78</v>
      </c>
      <c r="L566" s="3" t="s">
        <v>171</v>
      </c>
      <c r="M566" s="3" t="s">
        <v>172</v>
      </c>
      <c r="N566" s="3" t="s">
        <v>200</v>
      </c>
      <c r="O566" s="3" t="s">
        <v>82</v>
      </c>
      <c r="P566" s="3" t="str">
        <f>"2170813506                    "</f>
        <v xml:space="preserve">2170813506                    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15.46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1</v>
      </c>
      <c r="BI566" s="3">
        <v>1</v>
      </c>
      <c r="BJ566" s="3">
        <v>0.2</v>
      </c>
      <c r="BK566" s="3">
        <v>1</v>
      </c>
      <c r="BL566" s="3">
        <v>59</v>
      </c>
      <c r="BM566" s="3">
        <v>8.85</v>
      </c>
      <c r="BN566" s="3">
        <v>67.849999999999994</v>
      </c>
      <c r="BO566" s="3">
        <v>67.849999999999994</v>
      </c>
      <c r="BQ566" s="3" t="s">
        <v>89</v>
      </c>
      <c r="BR566" s="3" t="s">
        <v>84</v>
      </c>
      <c r="BS566" s="4">
        <v>44574</v>
      </c>
      <c r="BT566" s="5">
        <v>0.41805555555555557</v>
      </c>
      <c r="BU566" s="3" t="s">
        <v>813</v>
      </c>
      <c r="BV566" s="3" t="s">
        <v>105</v>
      </c>
      <c r="BY566" s="3">
        <v>1200</v>
      </c>
      <c r="BZ566" s="3" t="s">
        <v>165</v>
      </c>
      <c r="CA566" s="3" t="s">
        <v>814</v>
      </c>
      <c r="CC566" s="3" t="s">
        <v>172</v>
      </c>
      <c r="CD566" s="3">
        <v>6001</v>
      </c>
      <c r="CE566" s="3" t="s">
        <v>93</v>
      </c>
      <c r="CF566" s="4">
        <v>44575</v>
      </c>
      <c r="CI566" s="3">
        <v>1</v>
      </c>
      <c r="CJ566" s="3">
        <v>1</v>
      </c>
      <c r="CK566" s="3">
        <v>21</v>
      </c>
      <c r="CL566" s="3" t="s">
        <v>87</v>
      </c>
    </row>
    <row r="567" spans="1:90" x14ac:dyDescent="0.2">
      <c r="A567" s="3" t="s">
        <v>72</v>
      </c>
      <c r="B567" s="3" t="s">
        <v>73</v>
      </c>
      <c r="C567" s="3" t="s">
        <v>74</v>
      </c>
      <c r="E567" s="3" t="str">
        <f>"FES1162844700"</f>
        <v>FES1162844700</v>
      </c>
      <c r="F567" s="4">
        <v>44573</v>
      </c>
      <c r="G567" s="3">
        <v>202207</v>
      </c>
      <c r="H567" s="3" t="s">
        <v>75</v>
      </c>
      <c r="I567" s="3" t="s">
        <v>76</v>
      </c>
      <c r="J567" s="3" t="s">
        <v>77</v>
      </c>
      <c r="K567" s="3" t="s">
        <v>78</v>
      </c>
      <c r="L567" s="3" t="s">
        <v>90</v>
      </c>
      <c r="M567" s="3" t="s">
        <v>91</v>
      </c>
      <c r="N567" s="3" t="s">
        <v>210</v>
      </c>
      <c r="O567" s="3" t="s">
        <v>82</v>
      </c>
      <c r="P567" s="3" t="str">
        <f>"2170816285                    "</f>
        <v xml:space="preserve">2170816285                    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15.46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1</v>
      </c>
      <c r="BI567" s="3">
        <v>1</v>
      </c>
      <c r="BJ567" s="3">
        <v>0.2</v>
      </c>
      <c r="BK567" s="3">
        <v>1</v>
      </c>
      <c r="BL567" s="3">
        <v>59</v>
      </c>
      <c r="BM567" s="3">
        <v>8.85</v>
      </c>
      <c r="BN567" s="3">
        <v>67.849999999999994</v>
      </c>
      <c r="BO567" s="3">
        <v>67.849999999999994</v>
      </c>
      <c r="BQ567" s="3" t="s">
        <v>89</v>
      </c>
      <c r="BR567" s="3" t="s">
        <v>84</v>
      </c>
      <c r="BS567" s="4">
        <v>44574</v>
      </c>
      <c r="BT567" s="5">
        <v>0.60763888888888895</v>
      </c>
      <c r="BU567" s="3" t="s">
        <v>928</v>
      </c>
      <c r="BV567" s="3" t="s">
        <v>87</v>
      </c>
      <c r="BW567" s="3" t="s">
        <v>929</v>
      </c>
      <c r="BX567" s="3" t="s">
        <v>758</v>
      </c>
      <c r="BY567" s="3">
        <v>1200</v>
      </c>
      <c r="BZ567" s="3" t="s">
        <v>165</v>
      </c>
      <c r="CA567" s="3" t="s">
        <v>930</v>
      </c>
      <c r="CC567" s="3" t="s">
        <v>91</v>
      </c>
      <c r="CD567" s="3">
        <v>7441</v>
      </c>
      <c r="CE567" s="3" t="s">
        <v>93</v>
      </c>
      <c r="CF567" s="4">
        <v>44575</v>
      </c>
      <c r="CI567" s="3">
        <v>1</v>
      </c>
      <c r="CJ567" s="3">
        <v>1</v>
      </c>
      <c r="CK567" s="3">
        <v>21</v>
      </c>
      <c r="CL567" s="3" t="s">
        <v>87</v>
      </c>
    </row>
    <row r="568" spans="1:90" x14ac:dyDescent="0.2">
      <c r="A568" s="3" t="s">
        <v>72</v>
      </c>
      <c r="B568" s="3" t="s">
        <v>73</v>
      </c>
      <c r="C568" s="3" t="s">
        <v>74</v>
      </c>
      <c r="E568" s="3" t="str">
        <f>"FES1162844705"</f>
        <v>FES1162844705</v>
      </c>
      <c r="F568" s="4">
        <v>44573</v>
      </c>
      <c r="G568" s="3">
        <v>202207</v>
      </c>
      <c r="H568" s="3" t="s">
        <v>75</v>
      </c>
      <c r="I568" s="3" t="s">
        <v>76</v>
      </c>
      <c r="J568" s="3" t="s">
        <v>77</v>
      </c>
      <c r="K568" s="3" t="s">
        <v>78</v>
      </c>
      <c r="L568" s="3" t="s">
        <v>167</v>
      </c>
      <c r="M568" s="3" t="s">
        <v>168</v>
      </c>
      <c r="N568" s="3" t="s">
        <v>931</v>
      </c>
      <c r="O568" s="3" t="s">
        <v>82</v>
      </c>
      <c r="P568" s="3" t="str">
        <f>"2170816292                    "</f>
        <v xml:space="preserve">2170816292                    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15.46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1</v>
      </c>
      <c r="BI568" s="3">
        <v>1</v>
      </c>
      <c r="BJ568" s="3">
        <v>2</v>
      </c>
      <c r="BK568" s="3">
        <v>2</v>
      </c>
      <c r="BL568" s="3">
        <v>59</v>
      </c>
      <c r="BM568" s="3">
        <v>8.85</v>
      </c>
      <c r="BN568" s="3">
        <v>67.849999999999994</v>
      </c>
      <c r="BO568" s="3">
        <v>67.849999999999994</v>
      </c>
      <c r="BQ568" s="3" t="s">
        <v>89</v>
      </c>
      <c r="BR568" s="3" t="s">
        <v>84</v>
      </c>
      <c r="BS568" s="4">
        <v>44574</v>
      </c>
      <c r="BT568" s="5">
        <v>0.5395833333333333</v>
      </c>
      <c r="BU568" s="3" t="s">
        <v>932</v>
      </c>
      <c r="BV568" s="3" t="s">
        <v>87</v>
      </c>
      <c r="BW568" s="3" t="s">
        <v>457</v>
      </c>
      <c r="BX568" s="3" t="s">
        <v>458</v>
      </c>
      <c r="BY568" s="3">
        <v>9900</v>
      </c>
      <c r="BZ568" s="3" t="s">
        <v>165</v>
      </c>
      <c r="CA568" s="3" t="s">
        <v>553</v>
      </c>
      <c r="CC568" s="3" t="s">
        <v>168</v>
      </c>
      <c r="CD568" s="3">
        <v>6229</v>
      </c>
      <c r="CE568" s="3" t="s">
        <v>86</v>
      </c>
      <c r="CF568" s="4">
        <v>44575</v>
      </c>
      <c r="CI568" s="3">
        <v>1</v>
      </c>
      <c r="CJ568" s="3">
        <v>1</v>
      </c>
      <c r="CK568" s="3">
        <v>21</v>
      </c>
      <c r="CL568" s="3" t="s">
        <v>87</v>
      </c>
    </row>
    <row r="569" spans="1:90" x14ac:dyDescent="0.2">
      <c r="A569" s="3" t="s">
        <v>72</v>
      </c>
      <c r="B569" s="3" t="s">
        <v>73</v>
      </c>
      <c r="C569" s="3" t="s">
        <v>74</v>
      </c>
      <c r="E569" s="3" t="str">
        <f>"FES1162844640"</f>
        <v>FES1162844640</v>
      </c>
      <c r="F569" s="4">
        <v>44573</v>
      </c>
      <c r="G569" s="3">
        <v>202207</v>
      </c>
      <c r="H569" s="3" t="s">
        <v>75</v>
      </c>
      <c r="I569" s="3" t="s">
        <v>76</v>
      </c>
      <c r="J569" s="3" t="s">
        <v>77</v>
      </c>
      <c r="K569" s="3" t="s">
        <v>78</v>
      </c>
      <c r="L569" s="3" t="s">
        <v>187</v>
      </c>
      <c r="M569" s="3" t="s">
        <v>188</v>
      </c>
      <c r="N569" s="3" t="s">
        <v>189</v>
      </c>
      <c r="O569" s="3" t="s">
        <v>82</v>
      </c>
      <c r="P569" s="3" t="str">
        <f>"2170815193                    "</f>
        <v xml:space="preserve">2170815193                    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29.95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1</v>
      </c>
      <c r="BI569" s="3">
        <v>1</v>
      </c>
      <c r="BJ569" s="3">
        <v>0.2</v>
      </c>
      <c r="BK569" s="3">
        <v>1</v>
      </c>
      <c r="BL569" s="3">
        <v>114.31</v>
      </c>
      <c r="BM569" s="3">
        <v>17.149999999999999</v>
      </c>
      <c r="BN569" s="3">
        <v>131.46</v>
      </c>
      <c r="BO569" s="3">
        <v>131.46</v>
      </c>
      <c r="BQ569" s="3" t="s">
        <v>83</v>
      </c>
      <c r="BR569" s="3" t="s">
        <v>84</v>
      </c>
      <c r="BS569" s="4">
        <v>44574</v>
      </c>
      <c r="BT569" s="5">
        <v>0.49236111111111108</v>
      </c>
      <c r="BU569" s="3" t="s">
        <v>267</v>
      </c>
      <c r="BV569" s="3" t="s">
        <v>105</v>
      </c>
      <c r="BY569" s="3">
        <v>1200</v>
      </c>
      <c r="BZ569" s="3" t="s">
        <v>165</v>
      </c>
      <c r="CA569" s="3" t="s">
        <v>268</v>
      </c>
      <c r="CC569" s="3" t="s">
        <v>188</v>
      </c>
      <c r="CD569" s="3">
        <v>7300</v>
      </c>
      <c r="CE569" s="3" t="s">
        <v>93</v>
      </c>
      <c r="CF569" s="4">
        <v>44575</v>
      </c>
      <c r="CI569" s="3">
        <v>1</v>
      </c>
      <c r="CJ569" s="3">
        <v>1</v>
      </c>
      <c r="CK569" s="3">
        <v>23</v>
      </c>
      <c r="CL569" s="3" t="s">
        <v>87</v>
      </c>
    </row>
    <row r="570" spans="1:90" x14ac:dyDescent="0.2">
      <c r="A570" s="3" t="s">
        <v>72</v>
      </c>
      <c r="B570" s="3" t="s">
        <v>73</v>
      </c>
      <c r="C570" s="3" t="s">
        <v>74</v>
      </c>
      <c r="E570" s="3" t="str">
        <f>"FES1162844790"</f>
        <v>FES1162844790</v>
      </c>
      <c r="F570" s="4">
        <v>44573</v>
      </c>
      <c r="G570" s="3">
        <v>202207</v>
      </c>
      <c r="H570" s="3" t="s">
        <v>75</v>
      </c>
      <c r="I570" s="3" t="s">
        <v>76</v>
      </c>
      <c r="J570" s="3" t="s">
        <v>77</v>
      </c>
      <c r="K570" s="3" t="s">
        <v>78</v>
      </c>
      <c r="L570" s="3" t="s">
        <v>90</v>
      </c>
      <c r="M570" s="3" t="s">
        <v>91</v>
      </c>
      <c r="N570" s="3" t="s">
        <v>541</v>
      </c>
      <c r="O570" s="3" t="s">
        <v>82</v>
      </c>
      <c r="P570" s="3" t="str">
        <f>"2170816351                    "</f>
        <v xml:space="preserve">2170816351                    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15.46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1</v>
      </c>
      <c r="BI570" s="3">
        <v>1</v>
      </c>
      <c r="BJ570" s="3">
        <v>0.2</v>
      </c>
      <c r="BK570" s="3">
        <v>1</v>
      </c>
      <c r="BL570" s="3">
        <v>59</v>
      </c>
      <c r="BM570" s="3">
        <v>8.85</v>
      </c>
      <c r="BN570" s="3">
        <v>67.849999999999994</v>
      </c>
      <c r="BO570" s="3">
        <v>67.849999999999994</v>
      </c>
      <c r="BQ570" s="3" t="s">
        <v>89</v>
      </c>
      <c r="BR570" s="3" t="s">
        <v>84</v>
      </c>
      <c r="BS570" s="4">
        <v>44574</v>
      </c>
      <c r="BT570" s="5">
        <v>0.41388888888888892</v>
      </c>
      <c r="BU570" s="3" t="s">
        <v>542</v>
      </c>
      <c r="BV570" s="3" t="s">
        <v>105</v>
      </c>
      <c r="BY570" s="3">
        <v>1200</v>
      </c>
      <c r="BZ570" s="3" t="s">
        <v>165</v>
      </c>
      <c r="CA570" s="3" t="s">
        <v>543</v>
      </c>
      <c r="CC570" s="3" t="s">
        <v>91</v>
      </c>
      <c r="CD570" s="3">
        <v>7561</v>
      </c>
      <c r="CE570" s="3" t="s">
        <v>93</v>
      </c>
      <c r="CF570" s="4">
        <v>44575</v>
      </c>
      <c r="CI570" s="3">
        <v>1</v>
      </c>
      <c r="CJ570" s="3">
        <v>1</v>
      </c>
      <c r="CK570" s="3">
        <v>21</v>
      </c>
      <c r="CL570" s="3" t="s">
        <v>87</v>
      </c>
    </row>
    <row r="571" spans="1:90" x14ac:dyDescent="0.2">
      <c r="A571" s="3" t="s">
        <v>72</v>
      </c>
      <c r="B571" s="3" t="s">
        <v>73</v>
      </c>
      <c r="C571" s="3" t="s">
        <v>74</v>
      </c>
      <c r="E571" s="3" t="str">
        <f>"FES1162844833"</f>
        <v>FES1162844833</v>
      </c>
      <c r="F571" s="4">
        <v>44573</v>
      </c>
      <c r="G571" s="3">
        <v>202207</v>
      </c>
      <c r="H571" s="3" t="s">
        <v>75</v>
      </c>
      <c r="I571" s="3" t="s">
        <v>76</v>
      </c>
      <c r="J571" s="3" t="s">
        <v>77</v>
      </c>
      <c r="K571" s="3" t="s">
        <v>78</v>
      </c>
      <c r="L571" s="3" t="s">
        <v>176</v>
      </c>
      <c r="M571" s="3" t="s">
        <v>177</v>
      </c>
      <c r="N571" s="3" t="s">
        <v>178</v>
      </c>
      <c r="O571" s="3" t="s">
        <v>82</v>
      </c>
      <c r="P571" s="3" t="str">
        <f>"2170816394                    "</f>
        <v xml:space="preserve">2170816394                    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15.46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1</v>
      </c>
      <c r="BI571" s="3">
        <v>1</v>
      </c>
      <c r="BJ571" s="3">
        <v>0.2</v>
      </c>
      <c r="BK571" s="3">
        <v>1</v>
      </c>
      <c r="BL571" s="3">
        <v>59</v>
      </c>
      <c r="BM571" s="3">
        <v>8.85</v>
      </c>
      <c r="BN571" s="3">
        <v>67.849999999999994</v>
      </c>
      <c r="BO571" s="3">
        <v>67.849999999999994</v>
      </c>
      <c r="BQ571" s="3" t="s">
        <v>83</v>
      </c>
      <c r="BR571" s="3" t="s">
        <v>84</v>
      </c>
      <c r="BS571" s="4">
        <v>44574</v>
      </c>
      <c r="BT571" s="5">
        <v>0.40416666666666662</v>
      </c>
      <c r="BU571" s="3" t="s">
        <v>933</v>
      </c>
      <c r="BV571" s="3" t="s">
        <v>105</v>
      </c>
      <c r="BY571" s="3">
        <v>1200</v>
      </c>
      <c r="BZ571" s="3" t="s">
        <v>165</v>
      </c>
      <c r="CA571" s="3" t="s">
        <v>528</v>
      </c>
      <c r="CC571" s="3" t="s">
        <v>177</v>
      </c>
      <c r="CD571" s="3">
        <v>4026</v>
      </c>
      <c r="CE571" s="3" t="s">
        <v>93</v>
      </c>
      <c r="CF571" s="4">
        <v>44574</v>
      </c>
      <c r="CI571" s="3">
        <v>1</v>
      </c>
      <c r="CJ571" s="3">
        <v>1</v>
      </c>
      <c r="CK571" s="3">
        <v>21</v>
      </c>
      <c r="CL571" s="3" t="s">
        <v>87</v>
      </c>
    </row>
    <row r="572" spans="1:90" x14ac:dyDescent="0.2">
      <c r="A572" s="3" t="s">
        <v>72</v>
      </c>
      <c r="B572" s="3" t="s">
        <v>73</v>
      </c>
      <c r="C572" s="3" t="s">
        <v>74</v>
      </c>
      <c r="E572" s="3" t="str">
        <f>"FES1162843397"</f>
        <v>FES1162843397</v>
      </c>
      <c r="F572" s="4">
        <v>44573</v>
      </c>
      <c r="G572" s="3">
        <v>202207</v>
      </c>
      <c r="H572" s="3" t="s">
        <v>75</v>
      </c>
      <c r="I572" s="3" t="s">
        <v>76</v>
      </c>
      <c r="J572" s="3" t="s">
        <v>77</v>
      </c>
      <c r="K572" s="3" t="s">
        <v>78</v>
      </c>
      <c r="L572" s="3" t="s">
        <v>171</v>
      </c>
      <c r="M572" s="3" t="s">
        <v>172</v>
      </c>
      <c r="N572" s="3" t="s">
        <v>624</v>
      </c>
      <c r="O572" s="3" t="s">
        <v>82</v>
      </c>
      <c r="P572" s="3" t="str">
        <f>"2170813714                    "</f>
        <v xml:space="preserve">2170813714                    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34.770000000000003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1</v>
      </c>
      <c r="BI572" s="3">
        <v>3</v>
      </c>
      <c r="BJ572" s="3">
        <v>4.0999999999999996</v>
      </c>
      <c r="BK572" s="3">
        <v>4.5</v>
      </c>
      <c r="BL572" s="3">
        <v>132.71</v>
      </c>
      <c r="BM572" s="3">
        <v>19.91</v>
      </c>
      <c r="BN572" s="3">
        <v>152.62</v>
      </c>
      <c r="BO572" s="3">
        <v>152.62</v>
      </c>
      <c r="BQ572" s="3" t="s">
        <v>89</v>
      </c>
      <c r="BR572" s="3" t="s">
        <v>84</v>
      </c>
      <c r="BS572" s="4">
        <v>44574</v>
      </c>
      <c r="BT572" s="5">
        <v>0.36249999999999999</v>
      </c>
      <c r="BU572" s="3" t="s">
        <v>625</v>
      </c>
      <c r="BV572" s="3" t="s">
        <v>105</v>
      </c>
      <c r="BY572" s="3">
        <v>20358</v>
      </c>
      <c r="BZ572" s="3" t="s">
        <v>165</v>
      </c>
      <c r="CA572" s="3" t="s">
        <v>331</v>
      </c>
      <c r="CC572" s="3" t="s">
        <v>172</v>
      </c>
      <c r="CD572" s="3">
        <v>6001</v>
      </c>
      <c r="CE572" s="3" t="s">
        <v>86</v>
      </c>
      <c r="CF572" s="4">
        <v>44575</v>
      </c>
      <c r="CI572" s="3">
        <v>1</v>
      </c>
      <c r="CJ572" s="3">
        <v>1</v>
      </c>
      <c r="CK572" s="3">
        <v>21</v>
      </c>
      <c r="CL572" s="3" t="s">
        <v>87</v>
      </c>
    </row>
    <row r="573" spans="1:90" x14ac:dyDescent="0.2">
      <c r="A573" s="3" t="s">
        <v>72</v>
      </c>
      <c r="B573" s="3" t="s">
        <v>73</v>
      </c>
      <c r="C573" s="3" t="s">
        <v>74</v>
      </c>
      <c r="E573" s="3" t="str">
        <f>"FES1162844750"</f>
        <v>FES1162844750</v>
      </c>
      <c r="F573" s="4">
        <v>44573</v>
      </c>
      <c r="G573" s="3">
        <v>202207</v>
      </c>
      <c r="H573" s="3" t="s">
        <v>75</v>
      </c>
      <c r="I573" s="3" t="s">
        <v>76</v>
      </c>
      <c r="J573" s="3" t="s">
        <v>77</v>
      </c>
      <c r="K573" s="3" t="s">
        <v>78</v>
      </c>
      <c r="L573" s="3" t="s">
        <v>335</v>
      </c>
      <c r="M573" s="3" t="s">
        <v>336</v>
      </c>
      <c r="N573" s="3" t="s">
        <v>337</v>
      </c>
      <c r="O573" s="3" t="s">
        <v>82</v>
      </c>
      <c r="P573" s="3" t="str">
        <f>"2170816341                    "</f>
        <v xml:space="preserve">2170816341                    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0</v>
      </c>
      <c r="AH573" s="3">
        <v>0</v>
      </c>
      <c r="AI573" s="3">
        <v>0</v>
      </c>
      <c r="AJ573" s="3">
        <v>0</v>
      </c>
      <c r="AK573" s="3">
        <v>34.770000000000003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1</v>
      </c>
      <c r="BI573" s="3">
        <v>1</v>
      </c>
      <c r="BJ573" s="3">
        <v>4.0999999999999996</v>
      </c>
      <c r="BK573" s="3">
        <v>4.5</v>
      </c>
      <c r="BL573" s="3">
        <v>132.71</v>
      </c>
      <c r="BM573" s="3">
        <v>19.91</v>
      </c>
      <c r="BN573" s="3">
        <v>152.62</v>
      </c>
      <c r="BO573" s="3">
        <v>152.62</v>
      </c>
      <c r="BQ573" s="3" t="s">
        <v>89</v>
      </c>
      <c r="BR573" s="3" t="s">
        <v>84</v>
      </c>
      <c r="BS573" s="4">
        <v>44574</v>
      </c>
      <c r="BT573" s="5">
        <v>0.48125000000000001</v>
      </c>
      <c r="BU573" s="3" t="s">
        <v>934</v>
      </c>
      <c r="BV573" s="3" t="s">
        <v>87</v>
      </c>
      <c r="BW573" s="3" t="s">
        <v>457</v>
      </c>
      <c r="BX573" s="3" t="s">
        <v>279</v>
      </c>
      <c r="BY573" s="3">
        <v>20358</v>
      </c>
      <c r="BZ573" s="3" t="s">
        <v>165</v>
      </c>
      <c r="CA573" s="3" t="s">
        <v>528</v>
      </c>
      <c r="CC573" s="3" t="s">
        <v>336</v>
      </c>
      <c r="CD573" s="3">
        <v>4133</v>
      </c>
      <c r="CE573" s="3" t="s">
        <v>86</v>
      </c>
      <c r="CF573" s="4">
        <v>44574</v>
      </c>
      <c r="CI573" s="3">
        <v>1</v>
      </c>
      <c r="CJ573" s="3">
        <v>1</v>
      </c>
      <c r="CK573" s="3">
        <v>21</v>
      </c>
      <c r="CL573" s="3" t="s">
        <v>87</v>
      </c>
    </row>
    <row r="574" spans="1:90" x14ac:dyDescent="0.2">
      <c r="A574" s="3" t="s">
        <v>72</v>
      </c>
      <c r="B574" s="3" t="s">
        <v>73</v>
      </c>
      <c r="C574" s="3" t="s">
        <v>74</v>
      </c>
      <c r="E574" s="3" t="str">
        <f>"FES1162844766"</f>
        <v>FES1162844766</v>
      </c>
      <c r="F574" s="4">
        <v>44573</v>
      </c>
      <c r="G574" s="3">
        <v>202207</v>
      </c>
      <c r="H574" s="3" t="s">
        <v>75</v>
      </c>
      <c r="I574" s="3" t="s">
        <v>76</v>
      </c>
      <c r="J574" s="3" t="s">
        <v>77</v>
      </c>
      <c r="K574" s="3" t="s">
        <v>78</v>
      </c>
      <c r="L574" s="3" t="s">
        <v>79</v>
      </c>
      <c r="M574" s="3" t="s">
        <v>80</v>
      </c>
      <c r="N574" s="3" t="s">
        <v>81</v>
      </c>
      <c r="O574" s="3" t="s">
        <v>82</v>
      </c>
      <c r="P574" s="3" t="str">
        <f>"2170815834                    "</f>
        <v xml:space="preserve">2170815834                    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15.46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1</v>
      </c>
      <c r="BI574" s="3">
        <v>1</v>
      </c>
      <c r="BJ574" s="3">
        <v>0.2</v>
      </c>
      <c r="BK574" s="3">
        <v>1</v>
      </c>
      <c r="BL574" s="3">
        <v>59</v>
      </c>
      <c r="BM574" s="3">
        <v>8.85</v>
      </c>
      <c r="BN574" s="3">
        <v>67.849999999999994</v>
      </c>
      <c r="BO574" s="3">
        <v>67.849999999999994</v>
      </c>
      <c r="BQ574" s="3" t="s">
        <v>83</v>
      </c>
      <c r="BR574" s="3" t="s">
        <v>84</v>
      </c>
      <c r="BS574" s="4">
        <v>44574</v>
      </c>
      <c r="BT574" s="5">
        <v>0.36805555555555558</v>
      </c>
      <c r="BU574" s="3" t="s">
        <v>893</v>
      </c>
      <c r="BV574" s="3" t="s">
        <v>105</v>
      </c>
      <c r="BY574" s="3">
        <v>1200</v>
      </c>
      <c r="BZ574" s="3" t="s">
        <v>165</v>
      </c>
      <c r="CA574" s="3" t="s">
        <v>366</v>
      </c>
      <c r="CC574" s="3" t="s">
        <v>80</v>
      </c>
      <c r="CD574" s="3">
        <v>200</v>
      </c>
      <c r="CE574" s="3" t="s">
        <v>93</v>
      </c>
      <c r="CF574" s="4">
        <v>44574</v>
      </c>
      <c r="CI574" s="3">
        <v>1</v>
      </c>
      <c r="CJ574" s="3">
        <v>1</v>
      </c>
      <c r="CK574" s="3">
        <v>21</v>
      </c>
      <c r="CL574" s="3" t="s">
        <v>87</v>
      </c>
    </row>
    <row r="575" spans="1:90" x14ac:dyDescent="0.2">
      <c r="A575" s="3" t="s">
        <v>72</v>
      </c>
      <c r="B575" s="3" t="s">
        <v>73</v>
      </c>
      <c r="C575" s="3" t="s">
        <v>74</v>
      </c>
      <c r="E575" s="3" t="str">
        <f>"FES1162844803"</f>
        <v>FES1162844803</v>
      </c>
      <c r="F575" s="4">
        <v>44573</v>
      </c>
      <c r="G575" s="3">
        <v>202207</v>
      </c>
      <c r="H575" s="3" t="s">
        <v>75</v>
      </c>
      <c r="I575" s="3" t="s">
        <v>76</v>
      </c>
      <c r="J575" s="3" t="s">
        <v>77</v>
      </c>
      <c r="K575" s="3" t="s">
        <v>78</v>
      </c>
      <c r="L575" s="3" t="s">
        <v>101</v>
      </c>
      <c r="M575" s="3" t="s">
        <v>102</v>
      </c>
      <c r="N575" s="3" t="s">
        <v>935</v>
      </c>
      <c r="O575" s="3" t="s">
        <v>82</v>
      </c>
      <c r="P575" s="3" t="str">
        <f>"2170816311                    "</f>
        <v xml:space="preserve">2170816311                    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15.46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0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1</v>
      </c>
      <c r="BI575" s="3">
        <v>1</v>
      </c>
      <c r="BJ575" s="3">
        <v>0.2</v>
      </c>
      <c r="BK575" s="3">
        <v>1</v>
      </c>
      <c r="BL575" s="3">
        <v>59</v>
      </c>
      <c r="BM575" s="3">
        <v>8.85</v>
      </c>
      <c r="BN575" s="3">
        <v>67.849999999999994</v>
      </c>
      <c r="BO575" s="3">
        <v>67.849999999999994</v>
      </c>
      <c r="BQ575" s="3" t="s">
        <v>89</v>
      </c>
      <c r="BR575" s="3" t="s">
        <v>84</v>
      </c>
      <c r="BS575" s="4">
        <v>44574</v>
      </c>
      <c r="BT575" s="5">
        <v>0.3979166666666667</v>
      </c>
      <c r="BU575" s="3" t="s">
        <v>936</v>
      </c>
      <c r="BV575" s="3" t="s">
        <v>105</v>
      </c>
      <c r="BY575" s="3">
        <v>1200</v>
      </c>
      <c r="BZ575" s="3" t="s">
        <v>165</v>
      </c>
      <c r="CA575" s="3" t="s">
        <v>615</v>
      </c>
      <c r="CC575" s="3" t="s">
        <v>102</v>
      </c>
      <c r="CD575" s="3">
        <v>4001</v>
      </c>
      <c r="CE575" s="3" t="s">
        <v>93</v>
      </c>
      <c r="CF575" s="4">
        <v>44574</v>
      </c>
      <c r="CI575" s="3">
        <v>1</v>
      </c>
      <c r="CJ575" s="3">
        <v>1</v>
      </c>
      <c r="CK575" s="3">
        <v>21</v>
      </c>
      <c r="CL575" s="3" t="s">
        <v>87</v>
      </c>
    </row>
    <row r="576" spans="1:90" x14ac:dyDescent="0.2">
      <c r="A576" s="3" t="s">
        <v>72</v>
      </c>
      <c r="B576" s="3" t="s">
        <v>73</v>
      </c>
      <c r="C576" s="3" t="s">
        <v>74</v>
      </c>
      <c r="E576" s="3" t="str">
        <f>"FES1162844799"</f>
        <v>FES1162844799</v>
      </c>
      <c r="F576" s="4">
        <v>44573</v>
      </c>
      <c r="G576" s="3">
        <v>202207</v>
      </c>
      <c r="H576" s="3" t="s">
        <v>75</v>
      </c>
      <c r="I576" s="3" t="s">
        <v>76</v>
      </c>
      <c r="J576" s="3" t="s">
        <v>77</v>
      </c>
      <c r="K576" s="3" t="s">
        <v>78</v>
      </c>
      <c r="L576" s="3" t="s">
        <v>731</v>
      </c>
      <c r="M576" s="3" t="s">
        <v>732</v>
      </c>
      <c r="N576" s="3" t="s">
        <v>733</v>
      </c>
      <c r="O576" s="3" t="s">
        <v>82</v>
      </c>
      <c r="P576" s="3" t="str">
        <f>"2170813817                    "</f>
        <v xml:space="preserve">2170813817                    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29.95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1</v>
      </c>
      <c r="BI576" s="3">
        <v>1</v>
      </c>
      <c r="BJ576" s="3">
        <v>1.1000000000000001</v>
      </c>
      <c r="BK576" s="3">
        <v>1.5</v>
      </c>
      <c r="BL576" s="3">
        <v>114.31</v>
      </c>
      <c r="BM576" s="3">
        <v>17.149999999999999</v>
      </c>
      <c r="BN576" s="3">
        <v>131.46</v>
      </c>
      <c r="BO576" s="3">
        <v>131.46</v>
      </c>
      <c r="BQ576" s="3" t="s">
        <v>89</v>
      </c>
      <c r="BR576" s="3" t="s">
        <v>84</v>
      </c>
      <c r="BS576" s="4">
        <v>44575</v>
      </c>
      <c r="BT576" s="5">
        <v>0.44097222222222227</v>
      </c>
      <c r="BU576" s="3" t="s">
        <v>937</v>
      </c>
      <c r="BV576" s="3" t="s">
        <v>87</v>
      </c>
      <c r="BW576" s="3" t="s">
        <v>453</v>
      </c>
      <c r="BX576" s="3" t="s">
        <v>279</v>
      </c>
      <c r="BY576" s="3">
        <v>5320</v>
      </c>
      <c r="BZ576" s="3" t="s">
        <v>165</v>
      </c>
      <c r="CC576" s="3" t="s">
        <v>732</v>
      </c>
      <c r="CD576" s="3">
        <v>3290</v>
      </c>
      <c r="CE576" s="3" t="s">
        <v>86</v>
      </c>
      <c r="CF576" s="4">
        <v>44581</v>
      </c>
      <c r="CI576" s="3">
        <v>1</v>
      </c>
      <c r="CJ576" s="3">
        <v>2</v>
      </c>
      <c r="CK576" s="3">
        <v>23</v>
      </c>
      <c r="CL576" s="3" t="s">
        <v>87</v>
      </c>
    </row>
    <row r="577" spans="1:90" x14ac:dyDescent="0.2">
      <c r="A577" s="3" t="s">
        <v>72</v>
      </c>
      <c r="B577" s="3" t="s">
        <v>73</v>
      </c>
      <c r="C577" s="3" t="s">
        <v>74</v>
      </c>
      <c r="E577" s="3" t="str">
        <f>"FES1162844753"</f>
        <v>FES1162844753</v>
      </c>
      <c r="F577" s="4">
        <v>44573</v>
      </c>
      <c r="G577" s="3">
        <v>202207</v>
      </c>
      <c r="H577" s="3" t="s">
        <v>75</v>
      </c>
      <c r="I577" s="3" t="s">
        <v>76</v>
      </c>
      <c r="J577" s="3" t="s">
        <v>77</v>
      </c>
      <c r="K577" s="3" t="s">
        <v>78</v>
      </c>
      <c r="L577" s="3" t="s">
        <v>138</v>
      </c>
      <c r="M577" s="3" t="s">
        <v>139</v>
      </c>
      <c r="N577" s="3" t="s">
        <v>938</v>
      </c>
      <c r="O577" s="3" t="s">
        <v>82</v>
      </c>
      <c r="P577" s="3" t="str">
        <f>"2170813275                    "</f>
        <v xml:space="preserve">2170813275                    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0</v>
      </c>
      <c r="AH577" s="3">
        <v>0</v>
      </c>
      <c r="AI577" s="3">
        <v>0</v>
      </c>
      <c r="AJ577" s="3">
        <v>0</v>
      </c>
      <c r="AK577" s="3">
        <v>15.46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0</v>
      </c>
      <c r="AZ577" s="3">
        <v>0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1</v>
      </c>
      <c r="BI577" s="3">
        <v>1</v>
      </c>
      <c r="BJ577" s="3">
        <v>2</v>
      </c>
      <c r="BK577" s="3">
        <v>2</v>
      </c>
      <c r="BL577" s="3">
        <v>59</v>
      </c>
      <c r="BM577" s="3">
        <v>8.85</v>
      </c>
      <c r="BN577" s="3">
        <v>67.849999999999994</v>
      </c>
      <c r="BO577" s="3">
        <v>67.849999999999994</v>
      </c>
      <c r="BQ577" s="3" t="s">
        <v>83</v>
      </c>
      <c r="BR577" s="3" t="s">
        <v>84</v>
      </c>
      <c r="BS577" s="4">
        <v>44574</v>
      </c>
      <c r="BT577" s="5">
        <v>0.57708333333333328</v>
      </c>
      <c r="BU577" s="3" t="s">
        <v>939</v>
      </c>
      <c r="BV577" s="3" t="s">
        <v>87</v>
      </c>
      <c r="BW577" s="3" t="s">
        <v>457</v>
      </c>
      <c r="BX577" s="3" t="s">
        <v>279</v>
      </c>
      <c r="BY577" s="3">
        <v>10192</v>
      </c>
      <c r="BZ577" s="3" t="s">
        <v>165</v>
      </c>
      <c r="CA577" s="3" t="s">
        <v>303</v>
      </c>
      <c r="CC577" s="3" t="s">
        <v>139</v>
      </c>
      <c r="CD577" s="3">
        <v>3610</v>
      </c>
      <c r="CE577" s="3" t="s">
        <v>86</v>
      </c>
      <c r="CF577" s="4">
        <v>44574</v>
      </c>
      <c r="CI577" s="3">
        <v>1</v>
      </c>
      <c r="CJ577" s="3">
        <v>1</v>
      </c>
      <c r="CK577" s="3">
        <v>21</v>
      </c>
      <c r="CL577" s="3" t="s">
        <v>87</v>
      </c>
    </row>
    <row r="578" spans="1:90" x14ac:dyDescent="0.2">
      <c r="A578" s="3" t="s">
        <v>72</v>
      </c>
      <c r="B578" s="3" t="s">
        <v>73</v>
      </c>
      <c r="C578" s="3" t="s">
        <v>74</v>
      </c>
      <c r="E578" s="3" t="str">
        <f>"FES1162844781"</f>
        <v>FES1162844781</v>
      </c>
      <c r="F578" s="4">
        <v>44573</v>
      </c>
      <c r="G578" s="3">
        <v>202207</v>
      </c>
      <c r="H578" s="3" t="s">
        <v>75</v>
      </c>
      <c r="I578" s="3" t="s">
        <v>76</v>
      </c>
      <c r="J578" s="3" t="s">
        <v>77</v>
      </c>
      <c r="K578" s="3" t="s">
        <v>78</v>
      </c>
      <c r="L578" s="3" t="s">
        <v>184</v>
      </c>
      <c r="M578" s="3" t="s">
        <v>185</v>
      </c>
      <c r="N578" s="3" t="s">
        <v>186</v>
      </c>
      <c r="O578" s="3" t="s">
        <v>82</v>
      </c>
      <c r="P578" s="3" t="str">
        <f>"2170816347                    "</f>
        <v xml:space="preserve">2170816347                    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15.46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1</v>
      </c>
      <c r="BI578" s="3">
        <v>1</v>
      </c>
      <c r="BJ578" s="3">
        <v>1.1000000000000001</v>
      </c>
      <c r="BK578" s="3">
        <v>1.5</v>
      </c>
      <c r="BL578" s="3">
        <v>59</v>
      </c>
      <c r="BM578" s="3">
        <v>8.85</v>
      </c>
      <c r="BN578" s="3">
        <v>67.849999999999994</v>
      </c>
      <c r="BO578" s="3">
        <v>67.849999999999994</v>
      </c>
      <c r="BQ578" s="3" t="s">
        <v>83</v>
      </c>
      <c r="BR578" s="3" t="s">
        <v>84</v>
      </c>
      <c r="BS578" s="4">
        <v>44574</v>
      </c>
      <c r="BT578" s="5">
        <v>0.47361111111111115</v>
      </c>
      <c r="BU578" s="3" t="s">
        <v>881</v>
      </c>
      <c r="BV578" s="3" t="s">
        <v>87</v>
      </c>
      <c r="BW578" s="3" t="s">
        <v>647</v>
      </c>
      <c r="BX578" s="3" t="s">
        <v>605</v>
      </c>
      <c r="BY578" s="3">
        <v>5320</v>
      </c>
      <c r="BZ578" s="3" t="s">
        <v>165</v>
      </c>
      <c r="CA578" s="3" t="s">
        <v>649</v>
      </c>
      <c r="CC578" s="3" t="s">
        <v>185</v>
      </c>
      <c r="CD578" s="3">
        <v>5201</v>
      </c>
      <c r="CE578" s="3" t="s">
        <v>86</v>
      </c>
      <c r="CF578" s="4">
        <v>44574</v>
      </c>
      <c r="CI578" s="3">
        <v>1</v>
      </c>
      <c r="CJ578" s="3">
        <v>1</v>
      </c>
      <c r="CK578" s="3">
        <v>21</v>
      </c>
      <c r="CL578" s="3" t="s">
        <v>87</v>
      </c>
    </row>
    <row r="579" spans="1:90" x14ac:dyDescent="0.2">
      <c r="A579" s="3" t="s">
        <v>72</v>
      </c>
      <c r="B579" s="3" t="s">
        <v>73</v>
      </c>
      <c r="C579" s="3" t="s">
        <v>74</v>
      </c>
      <c r="E579" s="3" t="str">
        <f>"FES1162844758"</f>
        <v>FES1162844758</v>
      </c>
      <c r="F579" s="4">
        <v>44573</v>
      </c>
      <c r="G579" s="3">
        <v>202207</v>
      </c>
      <c r="H579" s="3" t="s">
        <v>75</v>
      </c>
      <c r="I579" s="3" t="s">
        <v>76</v>
      </c>
      <c r="J579" s="3" t="s">
        <v>77</v>
      </c>
      <c r="K579" s="3" t="s">
        <v>78</v>
      </c>
      <c r="L579" s="3" t="s">
        <v>162</v>
      </c>
      <c r="M579" s="3" t="s">
        <v>163</v>
      </c>
      <c r="N579" s="3" t="s">
        <v>940</v>
      </c>
      <c r="O579" s="3" t="s">
        <v>82</v>
      </c>
      <c r="P579" s="3" t="str">
        <f>"2170814920                    "</f>
        <v xml:space="preserve">2170814920                    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12.07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1</v>
      </c>
      <c r="BI579" s="3">
        <v>1</v>
      </c>
      <c r="BJ579" s="3">
        <v>1.1000000000000001</v>
      </c>
      <c r="BK579" s="3">
        <v>1.5</v>
      </c>
      <c r="BL579" s="3">
        <v>46.08</v>
      </c>
      <c r="BM579" s="3">
        <v>6.91</v>
      </c>
      <c r="BN579" s="3">
        <v>52.99</v>
      </c>
      <c r="BO579" s="3">
        <v>52.99</v>
      </c>
      <c r="BQ579" s="3" t="s">
        <v>941</v>
      </c>
      <c r="BR579" s="3" t="s">
        <v>84</v>
      </c>
      <c r="BS579" s="4">
        <v>44574</v>
      </c>
      <c r="BT579" s="5">
        <v>0.29583333333333334</v>
      </c>
      <c r="BU579" s="3" t="s">
        <v>942</v>
      </c>
      <c r="BV579" s="3" t="s">
        <v>105</v>
      </c>
      <c r="BY579" s="3">
        <v>5320</v>
      </c>
      <c r="BZ579" s="3" t="s">
        <v>165</v>
      </c>
      <c r="CA579" s="3" t="s">
        <v>591</v>
      </c>
      <c r="CC579" s="3" t="s">
        <v>163</v>
      </c>
      <c r="CD579" s="3">
        <v>1428</v>
      </c>
      <c r="CE579" s="3" t="s">
        <v>86</v>
      </c>
      <c r="CF579" s="4">
        <v>44574</v>
      </c>
      <c r="CI579" s="3">
        <v>1</v>
      </c>
      <c r="CJ579" s="3">
        <v>1</v>
      </c>
      <c r="CK579" s="3">
        <v>22</v>
      </c>
      <c r="CL579" s="3" t="s">
        <v>87</v>
      </c>
    </row>
    <row r="580" spans="1:90" x14ac:dyDescent="0.2">
      <c r="A580" s="3" t="s">
        <v>72</v>
      </c>
      <c r="B580" s="3" t="s">
        <v>73</v>
      </c>
      <c r="C580" s="3" t="s">
        <v>74</v>
      </c>
      <c r="E580" s="3" t="str">
        <f>"FES1162844789"</f>
        <v>FES1162844789</v>
      </c>
      <c r="F580" s="4">
        <v>44573</v>
      </c>
      <c r="G580" s="3">
        <v>202207</v>
      </c>
      <c r="H580" s="3" t="s">
        <v>75</v>
      </c>
      <c r="I580" s="3" t="s">
        <v>76</v>
      </c>
      <c r="J580" s="3" t="s">
        <v>77</v>
      </c>
      <c r="K580" s="3" t="s">
        <v>78</v>
      </c>
      <c r="L580" s="3" t="s">
        <v>138</v>
      </c>
      <c r="M580" s="3" t="s">
        <v>139</v>
      </c>
      <c r="N580" s="3" t="s">
        <v>152</v>
      </c>
      <c r="O580" s="3" t="s">
        <v>82</v>
      </c>
      <c r="P580" s="3" t="str">
        <f>"2170816350                    "</f>
        <v xml:space="preserve">2170816350                    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15.46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1</v>
      </c>
      <c r="BI580" s="3">
        <v>1</v>
      </c>
      <c r="BJ580" s="3">
        <v>0.2</v>
      </c>
      <c r="BK580" s="3">
        <v>1</v>
      </c>
      <c r="BL580" s="3">
        <v>59</v>
      </c>
      <c r="BM580" s="3">
        <v>8.85</v>
      </c>
      <c r="BN580" s="3">
        <v>67.849999999999994</v>
      </c>
      <c r="BO580" s="3">
        <v>67.849999999999994</v>
      </c>
      <c r="BQ580" s="3" t="s">
        <v>83</v>
      </c>
      <c r="BR580" s="3" t="s">
        <v>84</v>
      </c>
      <c r="BS580" s="4">
        <v>44574</v>
      </c>
      <c r="BT580" s="5">
        <v>0.58402777777777781</v>
      </c>
      <c r="BU580" s="3" t="s">
        <v>302</v>
      </c>
      <c r="BV580" s="3" t="s">
        <v>87</v>
      </c>
      <c r="BW580" s="3" t="s">
        <v>457</v>
      </c>
      <c r="BX580" s="3" t="s">
        <v>279</v>
      </c>
      <c r="BY580" s="3">
        <v>1200</v>
      </c>
      <c r="BZ580" s="3" t="s">
        <v>165</v>
      </c>
      <c r="CA580" s="3" t="s">
        <v>303</v>
      </c>
      <c r="CC580" s="3" t="s">
        <v>139</v>
      </c>
      <c r="CD580" s="3">
        <v>3610</v>
      </c>
      <c r="CE580" s="3" t="s">
        <v>93</v>
      </c>
      <c r="CF580" s="4">
        <v>44574</v>
      </c>
      <c r="CI580" s="3">
        <v>1</v>
      </c>
      <c r="CJ580" s="3">
        <v>1</v>
      </c>
      <c r="CK580" s="3">
        <v>21</v>
      </c>
      <c r="CL580" s="3" t="s">
        <v>87</v>
      </c>
    </row>
    <row r="581" spans="1:90" x14ac:dyDescent="0.2">
      <c r="A581" s="3" t="s">
        <v>72</v>
      </c>
      <c r="B581" s="3" t="s">
        <v>73</v>
      </c>
      <c r="C581" s="3" t="s">
        <v>74</v>
      </c>
      <c r="E581" s="3" t="str">
        <f>"FES1162844765"</f>
        <v>FES1162844765</v>
      </c>
      <c r="F581" s="4">
        <v>44573</v>
      </c>
      <c r="G581" s="3">
        <v>202207</v>
      </c>
      <c r="H581" s="3" t="s">
        <v>75</v>
      </c>
      <c r="I581" s="3" t="s">
        <v>76</v>
      </c>
      <c r="J581" s="3" t="s">
        <v>77</v>
      </c>
      <c r="K581" s="3" t="s">
        <v>78</v>
      </c>
      <c r="L581" s="3" t="s">
        <v>731</v>
      </c>
      <c r="M581" s="3" t="s">
        <v>732</v>
      </c>
      <c r="N581" s="3" t="s">
        <v>733</v>
      </c>
      <c r="O581" s="3" t="s">
        <v>82</v>
      </c>
      <c r="P581" s="3" t="str">
        <f>"2170815803                    "</f>
        <v xml:space="preserve">2170815803                    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29.95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1</v>
      </c>
      <c r="BI581" s="3">
        <v>1</v>
      </c>
      <c r="BJ581" s="3">
        <v>0.2</v>
      </c>
      <c r="BK581" s="3">
        <v>1</v>
      </c>
      <c r="BL581" s="3">
        <v>114.31</v>
      </c>
      <c r="BM581" s="3">
        <v>17.149999999999999</v>
      </c>
      <c r="BN581" s="3">
        <v>131.46</v>
      </c>
      <c r="BO581" s="3">
        <v>131.46</v>
      </c>
      <c r="BQ581" s="3" t="s">
        <v>89</v>
      </c>
      <c r="BR581" s="3" t="s">
        <v>84</v>
      </c>
      <c r="BS581" s="4">
        <v>44575</v>
      </c>
      <c r="BT581" s="5">
        <v>0.44097222222222227</v>
      </c>
      <c r="BU581" s="3" t="s">
        <v>937</v>
      </c>
      <c r="BV581" s="3" t="s">
        <v>87</v>
      </c>
      <c r="BW581" s="3" t="s">
        <v>453</v>
      </c>
      <c r="BX581" s="3" t="s">
        <v>279</v>
      </c>
      <c r="BY581" s="3">
        <v>1200</v>
      </c>
      <c r="BZ581" s="3" t="s">
        <v>165</v>
      </c>
      <c r="CC581" s="3" t="s">
        <v>732</v>
      </c>
      <c r="CD581" s="3">
        <v>3290</v>
      </c>
      <c r="CE581" s="3" t="s">
        <v>93</v>
      </c>
      <c r="CF581" s="4">
        <v>44581</v>
      </c>
      <c r="CI581" s="3">
        <v>1</v>
      </c>
      <c r="CJ581" s="3">
        <v>2</v>
      </c>
      <c r="CK581" s="3">
        <v>23</v>
      </c>
      <c r="CL581" s="3" t="s">
        <v>87</v>
      </c>
    </row>
    <row r="582" spans="1:90" x14ac:dyDescent="0.2">
      <c r="A582" s="3" t="s">
        <v>72</v>
      </c>
      <c r="B582" s="3" t="s">
        <v>73</v>
      </c>
      <c r="C582" s="3" t="s">
        <v>74</v>
      </c>
      <c r="E582" s="3" t="str">
        <f>"FES1162844764"</f>
        <v>FES1162844764</v>
      </c>
      <c r="F582" s="4">
        <v>44573</v>
      </c>
      <c r="G582" s="3">
        <v>202207</v>
      </c>
      <c r="H582" s="3" t="s">
        <v>75</v>
      </c>
      <c r="I582" s="3" t="s">
        <v>76</v>
      </c>
      <c r="J582" s="3" t="s">
        <v>77</v>
      </c>
      <c r="K582" s="3" t="s">
        <v>78</v>
      </c>
      <c r="L582" s="3" t="s">
        <v>97</v>
      </c>
      <c r="M582" s="3" t="s">
        <v>98</v>
      </c>
      <c r="N582" s="3" t="s">
        <v>943</v>
      </c>
      <c r="O582" s="3" t="s">
        <v>82</v>
      </c>
      <c r="P582" s="3" t="str">
        <f>"2170815729                    "</f>
        <v xml:space="preserve">2170815729                    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12.07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1</v>
      </c>
      <c r="BI582" s="3">
        <v>1</v>
      </c>
      <c r="BJ582" s="3">
        <v>0.2</v>
      </c>
      <c r="BK582" s="3">
        <v>1</v>
      </c>
      <c r="BL582" s="3">
        <v>46.08</v>
      </c>
      <c r="BM582" s="3">
        <v>6.91</v>
      </c>
      <c r="BN582" s="3">
        <v>52.99</v>
      </c>
      <c r="BO582" s="3">
        <v>52.99</v>
      </c>
      <c r="BQ582" s="3" t="s">
        <v>89</v>
      </c>
      <c r="BR582" s="3" t="s">
        <v>84</v>
      </c>
      <c r="BS582" s="4">
        <v>44574</v>
      </c>
      <c r="BT582" s="5">
        <v>0.33124999999999999</v>
      </c>
      <c r="BU582" s="3" t="s">
        <v>944</v>
      </c>
      <c r="BV582" s="3" t="s">
        <v>105</v>
      </c>
      <c r="BY582" s="3">
        <v>1200</v>
      </c>
      <c r="BZ582" s="3" t="s">
        <v>165</v>
      </c>
      <c r="CA582" s="3" t="s">
        <v>297</v>
      </c>
      <c r="CC582" s="3" t="s">
        <v>98</v>
      </c>
      <c r="CD582" s="3">
        <v>2013</v>
      </c>
      <c r="CE582" s="3" t="s">
        <v>93</v>
      </c>
      <c r="CF582" s="4">
        <v>44575</v>
      </c>
      <c r="CI582" s="3">
        <v>1</v>
      </c>
      <c r="CJ582" s="3">
        <v>1</v>
      </c>
      <c r="CK582" s="3">
        <v>22</v>
      </c>
      <c r="CL582" s="3" t="s">
        <v>87</v>
      </c>
    </row>
    <row r="583" spans="1:90" x14ac:dyDescent="0.2">
      <c r="A583" s="3" t="s">
        <v>72</v>
      </c>
      <c r="B583" s="3" t="s">
        <v>73</v>
      </c>
      <c r="C583" s="3" t="s">
        <v>74</v>
      </c>
      <c r="E583" s="3" t="str">
        <f>"FES1162844792"</f>
        <v>FES1162844792</v>
      </c>
      <c r="F583" s="4">
        <v>44573</v>
      </c>
      <c r="G583" s="3">
        <v>202207</v>
      </c>
      <c r="H583" s="3" t="s">
        <v>75</v>
      </c>
      <c r="I583" s="3" t="s">
        <v>76</v>
      </c>
      <c r="J583" s="3" t="s">
        <v>77</v>
      </c>
      <c r="K583" s="3" t="s">
        <v>78</v>
      </c>
      <c r="L583" s="3" t="s">
        <v>90</v>
      </c>
      <c r="M583" s="3" t="s">
        <v>91</v>
      </c>
      <c r="N583" s="3" t="s">
        <v>945</v>
      </c>
      <c r="O583" s="3" t="s">
        <v>82</v>
      </c>
      <c r="P583" s="3" t="str">
        <f>"2170816355                    "</f>
        <v xml:space="preserve">2170816355                    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15.46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1</v>
      </c>
      <c r="BI583" s="3">
        <v>1</v>
      </c>
      <c r="BJ583" s="3">
        <v>0.2</v>
      </c>
      <c r="BK583" s="3">
        <v>1</v>
      </c>
      <c r="BL583" s="3">
        <v>59</v>
      </c>
      <c r="BM583" s="3">
        <v>8.85</v>
      </c>
      <c r="BN583" s="3">
        <v>67.849999999999994</v>
      </c>
      <c r="BO583" s="3">
        <v>67.849999999999994</v>
      </c>
      <c r="BQ583" s="3" t="s">
        <v>83</v>
      </c>
      <c r="BR583" s="3" t="s">
        <v>84</v>
      </c>
      <c r="BS583" s="4">
        <v>44574</v>
      </c>
      <c r="BT583" s="5">
        <v>0.43611111111111112</v>
      </c>
      <c r="BU583" s="3" t="s">
        <v>946</v>
      </c>
      <c r="BV583" s="3" t="s">
        <v>105</v>
      </c>
      <c r="BY583" s="3">
        <v>1200</v>
      </c>
      <c r="BZ583" s="3" t="s">
        <v>165</v>
      </c>
      <c r="CA583" s="3" t="s">
        <v>566</v>
      </c>
      <c r="CC583" s="3" t="s">
        <v>91</v>
      </c>
      <c r="CD583" s="3">
        <v>7460</v>
      </c>
      <c r="CE583" s="3" t="s">
        <v>93</v>
      </c>
      <c r="CF583" s="4">
        <v>44575</v>
      </c>
      <c r="CI583" s="3">
        <v>1</v>
      </c>
      <c r="CJ583" s="3">
        <v>1</v>
      </c>
      <c r="CK583" s="3">
        <v>21</v>
      </c>
      <c r="CL583" s="3" t="s">
        <v>87</v>
      </c>
    </row>
    <row r="584" spans="1:90" x14ac:dyDescent="0.2">
      <c r="A584" s="3" t="s">
        <v>72</v>
      </c>
      <c r="B584" s="3" t="s">
        <v>73</v>
      </c>
      <c r="C584" s="3" t="s">
        <v>74</v>
      </c>
      <c r="E584" s="3" t="str">
        <f>"FES1162844773"</f>
        <v>FES1162844773</v>
      </c>
      <c r="F584" s="4">
        <v>44573</v>
      </c>
      <c r="G584" s="3">
        <v>202207</v>
      </c>
      <c r="H584" s="3" t="s">
        <v>75</v>
      </c>
      <c r="I584" s="3" t="s">
        <v>76</v>
      </c>
      <c r="J584" s="3" t="s">
        <v>77</v>
      </c>
      <c r="K584" s="3" t="s">
        <v>78</v>
      </c>
      <c r="L584" s="3" t="s">
        <v>90</v>
      </c>
      <c r="M584" s="3" t="s">
        <v>91</v>
      </c>
      <c r="N584" s="3" t="s">
        <v>597</v>
      </c>
      <c r="O584" s="3" t="s">
        <v>82</v>
      </c>
      <c r="P584" s="3" t="str">
        <f>"2170816104                    "</f>
        <v xml:space="preserve">2170816104                    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15.46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1</v>
      </c>
      <c r="BI584" s="3">
        <v>1</v>
      </c>
      <c r="BJ584" s="3">
        <v>0.2</v>
      </c>
      <c r="BK584" s="3">
        <v>1</v>
      </c>
      <c r="BL584" s="3">
        <v>59</v>
      </c>
      <c r="BM584" s="3">
        <v>8.85</v>
      </c>
      <c r="BN584" s="3">
        <v>67.849999999999994</v>
      </c>
      <c r="BO584" s="3">
        <v>67.849999999999994</v>
      </c>
      <c r="BQ584" s="3" t="s">
        <v>83</v>
      </c>
      <c r="BR584" s="3" t="s">
        <v>84</v>
      </c>
      <c r="BS584" s="4">
        <v>44574</v>
      </c>
      <c r="BT584" s="5">
        <v>0.34027777777777773</v>
      </c>
      <c r="BU584" s="3" t="s">
        <v>947</v>
      </c>
      <c r="BV584" s="3" t="s">
        <v>105</v>
      </c>
      <c r="BY584" s="3">
        <v>1200</v>
      </c>
      <c r="BZ584" s="3" t="s">
        <v>165</v>
      </c>
      <c r="CA584" s="3" t="s">
        <v>603</v>
      </c>
      <c r="CC584" s="3" t="s">
        <v>91</v>
      </c>
      <c r="CD584" s="3">
        <v>8001</v>
      </c>
      <c r="CE584" s="3" t="s">
        <v>93</v>
      </c>
      <c r="CF584" s="4">
        <v>44575</v>
      </c>
      <c r="CI584" s="3">
        <v>1</v>
      </c>
      <c r="CJ584" s="3">
        <v>1</v>
      </c>
      <c r="CK584" s="3">
        <v>21</v>
      </c>
      <c r="CL584" s="3" t="s">
        <v>87</v>
      </c>
    </row>
    <row r="585" spans="1:90" x14ac:dyDescent="0.2">
      <c r="A585" s="3" t="s">
        <v>72</v>
      </c>
      <c r="B585" s="3" t="s">
        <v>73</v>
      </c>
      <c r="C585" s="3" t="s">
        <v>74</v>
      </c>
      <c r="E585" s="3" t="str">
        <f>"FES1162844768"</f>
        <v>FES1162844768</v>
      </c>
      <c r="F585" s="4">
        <v>44573</v>
      </c>
      <c r="G585" s="3">
        <v>202207</v>
      </c>
      <c r="H585" s="3" t="s">
        <v>75</v>
      </c>
      <c r="I585" s="3" t="s">
        <v>76</v>
      </c>
      <c r="J585" s="3" t="s">
        <v>77</v>
      </c>
      <c r="K585" s="3" t="s">
        <v>78</v>
      </c>
      <c r="L585" s="3" t="s">
        <v>94</v>
      </c>
      <c r="M585" s="3" t="s">
        <v>95</v>
      </c>
      <c r="N585" s="3" t="s">
        <v>179</v>
      </c>
      <c r="O585" s="3" t="s">
        <v>82</v>
      </c>
      <c r="P585" s="3" t="str">
        <f>"2170815894                    "</f>
        <v xml:space="preserve">2170815894                    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15.46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1</v>
      </c>
      <c r="BI585" s="3">
        <v>1</v>
      </c>
      <c r="BJ585" s="3">
        <v>0.2</v>
      </c>
      <c r="BK585" s="3">
        <v>1</v>
      </c>
      <c r="BL585" s="3">
        <v>59</v>
      </c>
      <c r="BM585" s="3">
        <v>8.85</v>
      </c>
      <c r="BN585" s="3">
        <v>67.849999999999994</v>
      </c>
      <c r="BO585" s="3">
        <v>67.849999999999994</v>
      </c>
      <c r="BQ585" s="3" t="s">
        <v>83</v>
      </c>
      <c r="BR585" s="3" t="s">
        <v>84</v>
      </c>
      <c r="BS585" s="4">
        <v>44575</v>
      </c>
      <c r="BT585" s="5">
        <v>0.46875</v>
      </c>
      <c r="BU585" s="3" t="s">
        <v>659</v>
      </c>
      <c r="BV585" s="3" t="s">
        <v>87</v>
      </c>
      <c r="BY585" s="3">
        <v>1200</v>
      </c>
      <c r="BZ585" s="3" t="s">
        <v>165</v>
      </c>
      <c r="CC585" s="3" t="s">
        <v>95</v>
      </c>
      <c r="CD585" s="3">
        <v>3201</v>
      </c>
      <c r="CE585" s="3" t="s">
        <v>93</v>
      </c>
      <c r="CF585" s="4">
        <v>44581</v>
      </c>
      <c r="CI585" s="3">
        <v>1</v>
      </c>
      <c r="CJ585" s="3">
        <v>2</v>
      </c>
      <c r="CK585" s="3">
        <v>21</v>
      </c>
      <c r="CL585" s="3" t="s">
        <v>87</v>
      </c>
    </row>
    <row r="586" spans="1:90" x14ac:dyDescent="0.2">
      <c r="A586" s="3" t="s">
        <v>72</v>
      </c>
      <c r="B586" s="3" t="s">
        <v>73</v>
      </c>
      <c r="C586" s="3" t="s">
        <v>74</v>
      </c>
      <c r="E586" s="3" t="str">
        <f>"FES1162844762"</f>
        <v>FES1162844762</v>
      </c>
      <c r="F586" s="4">
        <v>44573</v>
      </c>
      <c r="G586" s="3">
        <v>202207</v>
      </c>
      <c r="H586" s="3" t="s">
        <v>75</v>
      </c>
      <c r="I586" s="3" t="s">
        <v>76</v>
      </c>
      <c r="J586" s="3" t="s">
        <v>77</v>
      </c>
      <c r="K586" s="3" t="s">
        <v>78</v>
      </c>
      <c r="L586" s="3" t="s">
        <v>138</v>
      </c>
      <c r="M586" s="3" t="s">
        <v>139</v>
      </c>
      <c r="N586" s="3" t="s">
        <v>140</v>
      </c>
      <c r="O586" s="3" t="s">
        <v>82</v>
      </c>
      <c r="P586" s="3" t="str">
        <f>"2170815640                    "</f>
        <v xml:space="preserve">2170815640                    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15.46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1</v>
      </c>
      <c r="BI586" s="3">
        <v>1</v>
      </c>
      <c r="BJ586" s="3">
        <v>0.2</v>
      </c>
      <c r="BK586" s="3">
        <v>1</v>
      </c>
      <c r="BL586" s="3">
        <v>59</v>
      </c>
      <c r="BM586" s="3">
        <v>8.85</v>
      </c>
      <c r="BN586" s="3">
        <v>67.849999999999994</v>
      </c>
      <c r="BO586" s="3">
        <v>67.849999999999994</v>
      </c>
      <c r="BQ586" s="3" t="s">
        <v>126</v>
      </c>
      <c r="BR586" s="3" t="s">
        <v>84</v>
      </c>
      <c r="BS586" s="4">
        <v>44574</v>
      </c>
      <c r="BT586" s="5">
        <v>0.41736111111111113</v>
      </c>
      <c r="BU586" s="3" t="s">
        <v>819</v>
      </c>
      <c r="BV586" s="3" t="s">
        <v>105</v>
      </c>
      <c r="BY586" s="3">
        <v>1200</v>
      </c>
      <c r="BZ586" s="3" t="s">
        <v>165</v>
      </c>
      <c r="CA586" s="3" t="s">
        <v>334</v>
      </c>
      <c r="CC586" s="3" t="s">
        <v>139</v>
      </c>
      <c r="CD586" s="3">
        <v>3610</v>
      </c>
      <c r="CE586" s="3" t="s">
        <v>93</v>
      </c>
      <c r="CF586" s="4">
        <v>44574</v>
      </c>
      <c r="CI586" s="3">
        <v>1</v>
      </c>
      <c r="CJ586" s="3">
        <v>1</v>
      </c>
      <c r="CK586" s="3">
        <v>21</v>
      </c>
      <c r="CL586" s="3" t="s">
        <v>87</v>
      </c>
    </row>
    <row r="587" spans="1:90" x14ac:dyDescent="0.2">
      <c r="A587" s="3" t="s">
        <v>72</v>
      </c>
      <c r="B587" s="3" t="s">
        <v>73</v>
      </c>
      <c r="C587" s="3" t="s">
        <v>74</v>
      </c>
      <c r="E587" s="3" t="str">
        <f>"FES1162844770"</f>
        <v>FES1162844770</v>
      </c>
      <c r="F587" s="4">
        <v>44573</v>
      </c>
      <c r="G587" s="3">
        <v>202207</v>
      </c>
      <c r="H587" s="3" t="s">
        <v>75</v>
      </c>
      <c r="I587" s="3" t="s">
        <v>76</v>
      </c>
      <c r="J587" s="3" t="s">
        <v>77</v>
      </c>
      <c r="K587" s="3" t="s">
        <v>78</v>
      </c>
      <c r="L587" s="3" t="s">
        <v>948</v>
      </c>
      <c r="M587" s="3" t="s">
        <v>949</v>
      </c>
      <c r="N587" s="3" t="s">
        <v>950</v>
      </c>
      <c r="O587" s="3" t="s">
        <v>82</v>
      </c>
      <c r="P587" s="3" t="str">
        <f>"2170815966                    "</f>
        <v xml:space="preserve">2170815966                    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21.74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1</v>
      </c>
      <c r="BI587" s="3">
        <v>1</v>
      </c>
      <c r="BJ587" s="3">
        <v>0.2</v>
      </c>
      <c r="BK587" s="3">
        <v>1</v>
      </c>
      <c r="BL587" s="3">
        <v>82.98</v>
      </c>
      <c r="BM587" s="3">
        <v>12.45</v>
      </c>
      <c r="BN587" s="3">
        <v>95.43</v>
      </c>
      <c r="BO587" s="3">
        <v>95.43</v>
      </c>
      <c r="BQ587" s="3" t="s">
        <v>89</v>
      </c>
      <c r="BR587" s="3" t="s">
        <v>84</v>
      </c>
      <c r="BS587" s="4">
        <v>44574</v>
      </c>
      <c r="BT587" s="5">
        <v>0.51944444444444449</v>
      </c>
      <c r="BU587" s="3" t="s">
        <v>951</v>
      </c>
      <c r="BV587" s="3" t="s">
        <v>105</v>
      </c>
      <c r="BY587" s="3">
        <v>1200</v>
      </c>
      <c r="BZ587" s="3" t="s">
        <v>165</v>
      </c>
      <c r="CA587" s="3" t="s">
        <v>952</v>
      </c>
      <c r="CC587" s="3" t="s">
        <v>949</v>
      </c>
      <c r="CD587" s="3">
        <v>1759</v>
      </c>
      <c r="CE587" s="3" t="s">
        <v>93</v>
      </c>
      <c r="CF587" s="4">
        <v>44575</v>
      </c>
      <c r="CI587" s="3">
        <v>1</v>
      </c>
      <c r="CJ587" s="3">
        <v>1</v>
      </c>
      <c r="CK587" s="3">
        <v>24</v>
      </c>
      <c r="CL587" s="3" t="s">
        <v>87</v>
      </c>
    </row>
    <row r="588" spans="1:90" x14ac:dyDescent="0.2">
      <c r="A588" s="3" t="s">
        <v>72</v>
      </c>
      <c r="B588" s="3" t="s">
        <v>73</v>
      </c>
      <c r="C588" s="3" t="s">
        <v>74</v>
      </c>
      <c r="E588" s="3" t="str">
        <f>"FES1162844746"</f>
        <v>FES1162844746</v>
      </c>
      <c r="F588" s="4">
        <v>44573</v>
      </c>
      <c r="G588" s="3">
        <v>202207</v>
      </c>
      <c r="H588" s="3" t="s">
        <v>75</v>
      </c>
      <c r="I588" s="3" t="s">
        <v>76</v>
      </c>
      <c r="J588" s="3" t="s">
        <v>77</v>
      </c>
      <c r="K588" s="3" t="s">
        <v>78</v>
      </c>
      <c r="L588" s="3" t="s">
        <v>101</v>
      </c>
      <c r="M588" s="3" t="s">
        <v>102</v>
      </c>
      <c r="N588" s="3" t="s">
        <v>103</v>
      </c>
      <c r="O588" s="3" t="s">
        <v>82</v>
      </c>
      <c r="P588" s="3" t="str">
        <f>"2170816294                    "</f>
        <v xml:space="preserve">2170816294                    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15.46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1</v>
      </c>
      <c r="BI588" s="3">
        <v>1</v>
      </c>
      <c r="BJ588" s="3">
        <v>0.2</v>
      </c>
      <c r="BK588" s="3">
        <v>1</v>
      </c>
      <c r="BL588" s="3">
        <v>59</v>
      </c>
      <c r="BM588" s="3">
        <v>8.85</v>
      </c>
      <c r="BN588" s="3">
        <v>67.849999999999994</v>
      </c>
      <c r="BO588" s="3">
        <v>67.849999999999994</v>
      </c>
      <c r="BQ588" s="3" t="s">
        <v>83</v>
      </c>
      <c r="BR588" s="3" t="s">
        <v>84</v>
      </c>
      <c r="BS588" s="4">
        <v>44574</v>
      </c>
      <c r="BT588" s="5">
        <v>0.40902777777777777</v>
      </c>
      <c r="BU588" s="3" t="s">
        <v>463</v>
      </c>
      <c r="BV588" s="3" t="s">
        <v>105</v>
      </c>
      <c r="BY588" s="3">
        <v>1200</v>
      </c>
      <c r="BZ588" s="3" t="s">
        <v>165</v>
      </c>
      <c r="CA588" s="3" t="s">
        <v>334</v>
      </c>
      <c r="CC588" s="3" t="s">
        <v>102</v>
      </c>
      <c r="CD588" s="3">
        <v>4001</v>
      </c>
      <c r="CE588" s="3" t="s">
        <v>93</v>
      </c>
      <c r="CF588" s="4">
        <v>44574</v>
      </c>
      <c r="CI588" s="3">
        <v>1</v>
      </c>
      <c r="CJ588" s="3">
        <v>1</v>
      </c>
      <c r="CK588" s="3">
        <v>21</v>
      </c>
      <c r="CL588" s="3" t="s">
        <v>87</v>
      </c>
    </row>
    <row r="589" spans="1:90" x14ac:dyDescent="0.2">
      <c r="A589" s="3" t="s">
        <v>72</v>
      </c>
      <c r="B589" s="3" t="s">
        <v>73</v>
      </c>
      <c r="C589" s="3" t="s">
        <v>74</v>
      </c>
      <c r="E589" s="3" t="str">
        <f>"FES1162844772"</f>
        <v>FES1162844772</v>
      </c>
      <c r="F589" s="4">
        <v>44573</v>
      </c>
      <c r="G589" s="3">
        <v>202207</v>
      </c>
      <c r="H589" s="3" t="s">
        <v>75</v>
      </c>
      <c r="I589" s="3" t="s">
        <v>76</v>
      </c>
      <c r="J589" s="3" t="s">
        <v>77</v>
      </c>
      <c r="K589" s="3" t="s">
        <v>78</v>
      </c>
      <c r="L589" s="3" t="s">
        <v>489</v>
      </c>
      <c r="M589" s="3" t="s">
        <v>490</v>
      </c>
      <c r="N589" s="3" t="s">
        <v>491</v>
      </c>
      <c r="O589" s="3" t="s">
        <v>82</v>
      </c>
      <c r="P589" s="3" t="str">
        <f>"2170816102                    "</f>
        <v xml:space="preserve">2170816102                    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29.95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15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1</v>
      </c>
      <c r="BI589" s="3">
        <v>1</v>
      </c>
      <c r="BJ589" s="3">
        <v>0.2</v>
      </c>
      <c r="BK589" s="3">
        <v>1</v>
      </c>
      <c r="BL589" s="3">
        <v>129.31</v>
      </c>
      <c r="BM589" s="3">
        <v>19.399999999999999</v>
      </c>
      <c r="BN589" s="3">
        <v>148.71</v>
      </c>
      <c r="BO589" s="3">
        <v>148.71</v>
      </c>
      <c r="BQ589" s="3" t="s">
        <v>83</v>
      </c>
      <c r="BR589" s="3" t="s">
        <v>84</v>
      </c>
      <c r="BS589" s="4">
        <v>44582</v>
      </c>
      <c r="BT589" s="5">
        <v>0.38194444444444442</v>
      </c>
      <c r="BU589" s="3" t="s">
        <v>953</v>
      </c>
      <c r="BV589" s="3" t="s">
        <v>87</v>
      </c>
      <c r="BW589" s="3" t="s">
        <v>453</v>
      </c>
      <c r="BX589" s="3" t="s">
        <v>758</v>
      </c>
      <c r="BY589" s="3">
        <v>1200</v>
      </c>
      <c r="BZ589" s="3" t="s">
        <v>446</v>
      </c>
      <c r="CA589" s="3" t="s">
        <v>635</v>
      </c>
      <c r="CC589" s="3" t="s">
        <v>490</v>
      </c>
      <c r="CD589" s="3">
        <v>250</v>
      </c>
      <c r="CE589" s="3" t="s">
        <v>93</v>
      </c>
      <c r="CF589" s="4">
        <v>44582</v>
      </c>
      <c r="CI589" s="3">
        <v>1</v>
      </c>
      <c r="CJ589" s="3">
        <v>7</v>
      </c>
      <c r="CK589" s="3">
        <v>23</v>
      </c>
      <c r="CL589" s="3" t="s">
        <v>87</v>
      </c>
    </row>
    <row r="590" spans="1:90" x14ac:dyDescent="0.2">
      <c r="A590" s="3" t="s">
        <v>72</v>
      </c>
      <c r="B590" s="3" t="s">
        <v>73</v>
      </c>
      <c r="C590" s="3" t="s">
        <v>74</v>
      </c>
      <c r="E590" s="3" t="str">
        <f>"FES1162844843"</f>
        <v>FES1162844843</v>
      </c>
      <c r="F590" s="4">
        <v>44573</v>
      </c>
      <c r="G590" s="3">
        <v>202207</v>
      </c>
      <c r="H590" s="3" t="s">
        <v>75</v>
      </c>
      <c r="I590" s="3" t="s">
        <v>76</v>
      </c>
      <c r="J590" s="3" t="s">
        <v>77</v>
      </c>
      <c r="K590" s="3" t="s">
        <v>78</v>
      </c>
      <c r="L590" s="3" t="s">
        <v>110</v>
      </c>
      <c r="M590" s="3" t="s">
        <v>110</v>
      </c>
      <c r="N590" s="3" t="s">
        <v>954</v>
      </c>
      <c r="O590" s="3" t="s">
        <v>82</v>
      </c>
      <c r="P590" s="3" t="str">
        <f>"2170816409                    "</f>
        <v xml:space="preserve">2170816409                    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36.71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1</v>
      </c>
      <c r="BI590" s="3">
        <v>2</v>
      </c>
      <c r="BJ590" s="3">
        <v>2.5</v>
      </c>
      <c r="BK590" s="3">
        <v>2.5</v>
      </c>
      <c r="BL590" s="3">
        <v>140.12</v>
      </c>
      <c r="BM590" s="3">
        <v>21.02</v>
      </c>
      <c r="BN590" s="3">
        <v>161.13999999999999</v>
      </c>
      <c r="BO590" s="3">
        <v>161.13999999999999</v>
      </c>
      <c r="BQ590" s="3" t="s">
        <v>83</v>
      </c>
      <c r="BR590" s="3" t="s">
        <v>84</v>
      </c>
      <c r="BS590" s="4">
        <v>44574</v>
      </c>
      <c r="BT590" s="5">
        <v>0.51874999999999993</v>
      </c>
      <c r="BU590" s="3" t="s">
        <v>955</v>
      </c>
      <c r="BV590" s="3" t="s">
        <v>105</v>
      </c>
      <c r="BY590" s="3">
        <v>12288</v>
      </c>
      <c r="BZ590" s="3" t="s">
        <v>165</v>
      </c>
      <c r="CA590" s="3" t="s">
        <v>563</v>
      </c>
      <c r="CC590" s="3" t="s">
        <v>110</v>
      </c>
      <c r="CD590" s="3">
        <v>7646</v>
      </c>
      <c r="CE590" s="3" t="s">
        <v>86</v>
      </c>
      <c r="CF590" s="4">
        <v>44575</v>
      </c>
      <c r="CI590" s="3">
        <v>1</v>
      </c>
      <c r="CJ590" s="3">
        <v>1</v>
      </c>
      <c r="CK590" s="3">
        <v>23</v>
      </c>
      <c r="CL590" s="3" t="s">
        <v>87</v>
      </c>
    </row>
    <row r="591" spans="1:90" x14ac:dyDescent="0.2">
      <c r="A591" s="3" t="s">
        <v>72</v>
      </c>
      <c r="B591" s="3" t="s">
        <v>73</v>
      </c>
      <c r="C591" s="3" t="s">
        <v>74</v>
      </c>
      <c r="E591" s="3" t="str">
        <f>"FES1162844744"</f>
        <v>FES1162844744</v>
      </c>
      <c r="F591" s="4">
        <v>44573</v>
      </c>
      <c r="G591" s="3">
        <v>202207</v>
      </c>
      <c r="H591" s="3" t="s">
        <v>75</v>
      </c>
      <c r="I591" s="3" t="s">
        <v>76</v>
      </c>
      <c r="J591" s="3" t="s">
        <v>77</v>
      </c>
      <c r="K591" s="3" t="s">
        <v>78</v>
      </c>
      <c r="L591" s="3" t="s">
        <v>464</v>
      </c>
      <c r="M591" s="3" t="s">
        <v>465</v>
      </c>
      <c r="N591" s="3" t="s">
        <v>956</v>
      </c>
      <c r="O591" s="3" t="s">
        <v>82</v>
      </c>
      <c r="P591" s="3" t="str">
        <f>"2170816170                    "</f>
        <v xml:space="preserve">2170816170                    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12.07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1</v>
      </c>
      <c r="BI591" s="3">
        <v>1</v>
      </c>
      <c r="BJ591" s="3">
        <v>0.2</v>
      </c>
      <c r="BK591" s="3">
        <v>1</v>
      </c>
      <c r="BL591" s="3">
        <v>46.08</v>
      </c>
      <c r="BM591" s="3">
        <v>6.91</v>
      </c>
      <c r="BN591" s="3">
        <v>52.99</v>
      </c>
      <c r="BO591" s="3">
        <v>52.99</v>
      </c>
      <c r="BQ591" s="3" t="s">
        <v>957</v>
      </c>
      <c r="BR591" s="3" t="s">
        <v>84</v>
      </c>
      <c r="BS591" s="4">
        <v>44574</v>
      </c>
      <c r="BT591" s="5">
        <v>0.39097222222222222</v>
      </c>
      <c r="BU591" s="3" t="s">
        <v>958</v>
      </c>
      <c r="BV591" s="3" t="s">
        <v>105</v>
      </c>
      <c r="BY591" s="3">
        <v>1200</v>
      </c>
      <c r="BZ591" s="3" t="s">
        <v>165</v>
      </c>
      <c r="CA591" s="3" t="s">
        <v>907</v>
      </c>
      <c r="CC591" s="3" t="s">
        <v>465</v>
      </c>
      <c r="CD591" s="3">
        <v>1501</v>
      </c>
      <c r="CE591" s="3" t="s">
        <v>93</v>
      </c>
      <c r="CF591" s="4">
        <v>44574</v>
      </c>
      <c r="CI591" s="3">
        <v>1</v>
      </c>
      <c r="CJ591" s="3">
        <v>1</v>
      </c>
      <c r="CK591" s="3">
        <v>22</v>
      </c>
      <c r="CL591" s="3" t="s">
        <v>87</v>
      </c>
    </row>
    <row r="592" spans="1:90" x14ac:dyDescent="0.2">
      <c r="A592" s="3" t="s">
        <v>72</v>
      </c>
      <c r="B592" s="3" t="s">
        <v>73</v>
      </c>
      <c r="C592" s="3" t="s">
        <v>74</v>
      </c>
      <c r="E592" s="3" t="str">
        <f>"FES1162844848"</f>
        <v>FES1162844848</v>
      </c>
      <c r="F592" s="4">
        <v>44573</v>
      </c>
      <c r="G592" s="3">
        <v>202207</v>
      </c>
      <c r="H592" s="3" t="s">
        <v>75</v>
      </c>
      <c r="I592" s="3" t="s">
        <v>76</v>
      </c>
      <c r="J592" s="3" t="s">
        <v>77</v>
      </c>
      <c r="K592" s="3" t="s">
        <v>78</v>
      </c>
      <c r="L592" s="3" t="s">
        <v>90</v>
      </c>
      <c r="M592" s="3" t="s">
        <v>91</v>
      </c>
      <c r="N592" s="3" t="s">
        <v>584</v>
      </c>
      <c r="O592" s="3" t="s">
        <v>82</v>
      </c>
      <c r="P592" s="3" t="str">
        <f>"2170816417                    "</f>
        <v xml:space="preserve">2170816417                    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15.46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1</v>
      </c>
      <c r="BI592" s="3">
        <v>1</v>
      </c>
      <c r="BJ592" s="3">
        <v>0.2</v>
      </c>
      <c r="BK592" s="3">
        <v>1</v>
      </c>
      <c r="BL592" s="3">
        <v>59</v>
      </c>
      <c r="BM592" s="3">
        <v>8.85</v>
      </c>
      <c r="BN592" s="3">
        <v>67.849999999999994</v>
      </c>
      <c r="BO592" s="3">
        <v>67.849999999999994</v>
      </c>
      <c r="BQ592" s="3" t="s">
        <v>83</v>
      </c>
      <c r="BR592" s="3" t="s">
        <v>84</v>
      </c>
      <c r="BS592" s="4">
        <v>44574</v>
      </c>
      <c r="BT592" s="5">
        <v>0.33888888888888885</v>
      </c>
      <c r="BU592" s="3" t="s">
        <v>959</v>
      </c>
      <c r="BV592" s="3" t="s">
        <v>105</v>
      </c>
      <c r="BY592" s="3">
        <v>1200</v>
      </c>
      <c r="BZ592" s="3" t="s">
        <v>165</v>
      </c>
      <c r="CA592" s="3" t="s">
        <v>543</v>
      </c>
      <c r="CC592" s="3" t="s">
        <v>91</v>
      </c>
      <c r="CD592" s="3">
        <v>7530</v>
      </c>
      <c r="CE592" s="3" t="s">
        <v>93</v>
      </c>
      <c r="CF592" s="4">
        <v>44575</v>
      </c>
      <c r="CI592" s="3">
        <v>1</v>
      </c>
      <c r="CJ592" s="3">
        <v>1</v>
      </c>
      <c r="CK592" s="3">
        <v>21</v>
      </c>
      <c r="CL592" s="3" t="s">
        <v>87</v>
      </c>
    </row>
    <row r="593" spans="1:90" x14ac:dyDescent="0.2">
      <c r="A593" s="3" t="s">
        <v>72</v>
      </c>
      <c r="B593" s="3" t="s">
        <v>73</v>
      </c>
      <c r="C593" s="3" t="s">
        <v>74</v>
      </c>
      <c r="E593" s="3" t="str">
        <f>"FES1162844812"</f>
        <v>FES1162844812</v>
      </c>
      <c r="F593" s="4">
        <v>44573</v>
      </c>
      <c r="G593" s="3">
        <v>202207</v>
      </c>
      <c r="H593" s="3" t="s">
        <v>75</v>
      </c>
      <c r="I593" s="3" t="s">
        <v>76</v>
      </c>
      <c r="J593" s="3" t="s">
        <v>77</v>
      </c>
      <c r="K593" s="3" t="s">
        <v>78</v>
      </c>
      <c r="L593" s="3" t="s">
        <v>97</v>
      </c>
      <c r="M593" s="3" t="s">
        <v>98</v>
      </c>
      <c r="N593" s="3" t="s">
        <v>845</v>
      </c>
      <c r="O593" s="3" t="s">
        <v>82</v>
      </c>
      <c r="P593" s="3" t="str">
        <f>"2170816166                    "</f>
        <v xml:space="preserve">2170816166                    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12.07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1</v>
      </c>
      <c r="BI593" s="3">
        <v>2</v>
      </c>
      <c r="BJ593" s="3">
        <v>2.5</v>
      </c>
      <c r="BK593" s="3">
        <v>2.5</v>
      </c>
      <c r="BL593" s="3">
        <v>46.08</v>
      </c>
      <c r="BM593" s="3">
        <v>6.91</v>
      </c>
      <c r="BN593" s="3">
        <v>52.99</v>
      </c>
      <c r="BO593" s="3">
        <v>52.99</v>
      </c>
      <c r="BQ593" s="3" t="s">
        <v>83</v>
      </c>
      <c r="BR593" s="3" t="s">
        <v>84</v>
      </c>
      <c r="BS593" s="4">
        <v>44574</v>
      </c>
      <c r="BT593" s="5">
        <v>0.37152777777777773</v>
      </c>
      <c r="BU593" s="3" t="s">
        <v>846</v>
      </c>
      <c r="BV593" s="3" t="s">
        <v>105</v>
      </c>
      <c r="BY593" s="3">
        <v>12288</v>
      </c>
      <c r="BZ593" s="3" t="s">
        <v>165</v>
      </c>
      <c r="CA593" s="3" t="s">
        <v>847</v>
      </c>
      <c r="CC593" s="3" t="s">
        <v>98</v>
      </c>
      <c r="CD593" s="3">
        <v>2091</v>
      </c>
      <c r="CE593" s="3" t="s">
        <v>86</v>
      </c>
      <c r="CF593" s="4">
        <v>44574</v>
      </c>
      <c r="CI593" s="3">
        <v>1</v>
      </c>
      <c r="CJ593" s="3">
        <v>1</v>
      </c>
      <c r="CK593" s="3">
        <v>22</v>
      </c>
      <c r="CL593" s="3" t="s">
        <v>87</v>
      </c>
    </row>
    <row r="594" spans="1:90" x14ac:dyDescent="0.2">
      <c r="A594" s="3" t="s">
        <v>72</v>
      </c>
      <c r="B594" s="3" t="s">
        <v>73</v>
      </c>
      <c r="C594" s="3" t="s">
        <v>74</v>
      </c>
      <c r="E594" s="3" t="str">
        <f>"FES1162844820"</f>
        <v>FES1162844820</v>
      </c>
      <c r="F594" s="4">
        <v>44573</v>
      </c>
      <c r="G594" s="3">
        <v>202207</v>
      </c>
      <c r="H594" s="3" t="s">
        <v>75</v>
      </c>
      <c r="I594" s="3" t="s">
        <v>76</v>
      </c>
      <c r="J594" s="3" t="s">
        <v>77</v>
      </c>
      <c r="K594" s="3" t="s">
        <v>78</v>
      </c>
      <c r="L594" s="3" t="s">
        <v>171</v>
      </c>
      <c r="M594" s="3" t="s">
        <v>172</v>
      </c>
      <c r="N594" s="3" t="s">
        <v>454</v>
      </c>
      <c r="O594" s="3" t="s">
        <v>82</v>
      </c>
      <c r="P594" s="3" t="str">
        <f>"2170816380                    "</f>
        <v xml:space="preserve">2170816380                    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15.46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1</v>
      </c>
      <c r="BI594" s="3">
        <v>1</v>
      </c>
      <c r="BJ594" s="3">
        <v>0.2</v>
      </c>
      <c r="BK594" s="3">
        <v>1</v>
      </c>
      <c r="BL594" s="3">
        <v>59</v>
      </c>
      <c r="BM594" s="3">
        <v>8.85</v>
      </c>
      <c r="BN594" s="3">
        <v>67.849999999999994</v>
      </c>
      <c r="BO594" s="3">
        <v>67.849999999999994</v>
      </c>
      <c r="BQ594" s="3" t="s">
        <v>89</v>
      </c>
      <c r="BR594" s="3" t="s">
        <v>84</v>
      </c>
      <c r="BS594" s="4">
        <v>44574</v>
      </c>
      <c r="BT594" s="5">
        <v>0.43055555555555558</v>
      </c>
      <c r="BU594" s="3" t="s">
        <v>960</v>
      </c>
      <c r="BV594" s="3" t="s">
        <v>105</v>
      </c>
      <c r="BY594" s="3">
        <v>1200</v>
      </c>
      <c r="BZ594" s="3" t="s">
        <v>165</v>
      </c>
      <c r="CA594" s="3" t="s">
        <v>328</v>
      </c>
      <c r="CC594" s="3" t="s">
        <v>172</v>
      </c>
      <c r="CD594" s="3">
        <v>6001</v>
      </c>
      <c r="CE594" s="3" t="s">
        <v>93</v>
      </c>
      <c r="CF594" s="4">
        <v>44575</v>
      </c>
      <c r="CI594" s="3">
        <v>1</v>
      </c>
      <c r="CJ594" s="3">
        <v>1</v>
      </c>
      <c r="CK594" s="3">
        <v>21</v>
      </c>
      <c r="CL594" s="3" t="s">
        <v>87</v>
      </c>
    </row>
    <row r="595" spans="1:90" x14ac:dyDescent="0.2">
      <c r="A595" s="3" t="s">
        <v>72</v>
      </c>
      <c r="B595" s="3" t="s">
        <v>73</v>
      </c>
      <c r="C595" s="3" t="s">
        <v>74</v>
      </c>
      <c r="E595" s="3" t="str">
        <f>"FES1162844837"</f>
        <v>FES1162844837</v>
      </c>
      <c r="F595" s="4">
        <v>44573</v>
      </c>
      <c r="G595" s="3">
        <v>202207</v>
      </c>
      <c r="H595" s="3" t="s">
        <v>75</v>
      </c>
      <c r="I595" s="3" t="s">
        <v>76</v>
      </c>
      <c r="J595" s="3" t="s">
        <v>77</v>
      </c>
      <c r="K595" s="3" t="s">
        <v>78</v>
      </c>
      <c r="L595" s="3" t="s">
        <v>110</v>
      </c>
      <c r="M595" s="3" t="s">
        <v>110</v>
      </c>
      <c r="N595" s="3" t="s">
        <v>961</v>
      </c>
      <c r="O595" s="3" t="s">
        <v>82</v>
      </c>
      <c r="P595" s="3" t="str">
        <f>"2170816397                    "</f>
        <v xml:space="preserve">2170816397                    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29.95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1</v>
      </c>
      <c r="BI595" s="3">
        <v>1</v>
      </c>
      <c r="BJ595" s="3">
        <v>0.2</v>
      </c>
      <c r="BK595" s="3">
        <v>1</v>
      </c>
      <c r="BL595" s="3">
        <v>114.31</v>
      </c>
      <c r="BM595" s="3">
        <v>17.149999999999999</v>
      </c>
      <c r="BN595" s="3">
        <v>131.46</v>
      </c>
      <c r="BO595" s="3">
        <v>131.46</v>
      </c>
      <c r="BQ595" s="3" t="s">
        <v>83</v>
      </c>
      <c r="BR595" s="3" t="s">
        <v>84</v>
      </c>
      <c r="BS595" s="4">
        <v>44574</v>
      </c>
      <c r="BT595" s="5">
        <v>0.51666666666666672</v>
      </c>
      <c r="BU595" s="3" t="s">
        <v>962</v>
      </c>
      <c r="BV595" s="3" t="s">
        <v>105</v>
      </c>
      <c r="BY595" s="3">
        <v>1200</v>
      </c>
      <c r="BZ595" s="3" t="s">
        <v>165</v>
      </c>
      <c r="CA595" s="3" t="s">
        <v>563</v>
      </c>
      <c r="CC595" s="3" t="s">
        <v>110</v>
      </c>
      <c r="CD595" s="3">
        <v>7646</v>
      </c>
      <c r="CE595" s="3" t="s">
        <v>93</v>
      </c>
      <c r="CF595" s="4">
        <v>44575</v>
      </c>
      <c r="CI595" s="3">
        <v>1</v>
      </c>
      <c r="CJ595" s="3">
        <v>1</v>
      </c>
      <c r="CK595" s="3">
        <v>23</v>
      </c>
      <c r="CL595" s="3" t="s">
        <v>87</v>
      </c>
    </row>
    <row r="596" spans="1:90" x14ac:dyDescent="0.2">
      <c r="A596" s="3" t="s">
        <v>72</v>
      </c>
      <c r="B596" s="3" t="s">
        <v>73</v>
      </c>
      <c r="C596" s="3" t="s">
        <v>74</v>
      </c>
      <c r="E596" s="3" t="str">
        <f>"FES1162844747"</f>
        <v>FES1162844747</v>
      </c>
      <c r="F596" s="4">
        <v>44573</v>
      </c>
      <c r="G596" s="3">
        <v>202207</v>
      </c>
      <c r="H596" s="3" t="s">
        <v>75</v>
      </c>
      <c r="I596" s="3" t="s">
        <v>76</v>
      </c>
      <c r="J596" s="3" t="s">
        <v>77</v>
      </c>
      <c r="K596" s="3" t="s">
        <v>78</v>
      </c>
      <c r="L596" s="3" t="s">
        <v>138</v>
      </c>
      <c r="M596" s="3" t="s">
        <v>139</v>
      </c>
      <c r="N596" s="3" t="s">
        <v>558</v>
      </c>
      <c r="O596" s="3" t="s">
        <v>82</v>
      </c>
      <c r="P596" s="3" t="str">
        <f>"2170816332                    "</f>
        <v xml:space="preserve">2170816332                    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15.46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1</v>
      </c>
      <c r="BI596" s="3">
        <v>1</v>
      </c>
      <c r="BJ596" s="3">
        <v>0.2</v>
      </c>
      <c r="BK596" s="3">
        <v>1</v>
      </c>
      <c r="BL596" s="3">
        <v>59</v>
      </c>
      <c r="BM596" s="3">
        <v>8.85</v>
      </c>
      <c r="BN596" s="3">
        <v>67.849999999999994</v>
      </c>
      <c r="BO596" s="3">
        <v>67.849999999999994</v>
      </c>
      <c r="BR596" s="3" t="s">
        <v>84</v>
      </c>
      <c r="BS596" s="4">
        <v>44574</v>
      </c>
      <c r="BT596" s="5">
        <v>0.55902777777777779</v>
      </c>
      <c r="BU596" s="3" t="s">
        <v>559</v>
      </c>
      <c r="BV596" s="3" t="s">
        <v>87</v>
      </c>
      <c r="BW596" s="3" t="s">
        <v>457</v>
      </c>
      <c r="BX596" s="3" t="s">
        <v>279</v>
      </c>
      <c r="BY596" s="3">
        <v>1200</v>
      </c>
      <c r="BZ596" s="3" t="s">
        <v>165</v>
      </c>
      <c r="CA596" s="3" t="s">
        <v>303</v>
      </c>
      <c r="CC596" s="3" t="s">
        <v>139</v>
      </c>
      <c r="CD596" s="3">
        <v>3610</v>
      </c>
      <c r="CE596" s="3" t="s">
        <v>93</v>
      </c>
      <c r="CF596" s="4">
        <v>44574</v>
      </c>
      <c r="CI596" s="3">
        <v>1</v>
      </c>
      <c r="CJ596" s="3">
        <v>1</v>
      </c>
      <c r="CK596" s="3">
        <v>21</v>
      </c>
      <c r="CL596" s="3" t="s">
        <v>87</v>
      </c>
    </row>
    <row r="597" spans="1:90" x14ac:dyDescent="0.2">
      <c r="A597" s="3" t="s">
        <v>72</v>
      </c>
      <c r="B597" s="3" t="s">
        <v>73</v>
      </c>
      <c r="C597" s="3" t="s">
        <v>74</v>
      </c>
      <c r="E597" s="3" t="str">
        <f>"FES1162844759"</f>
        <v>FES1162844759</v>
      </c>
      <c r="F597" s="4">
        <v>44573</v>
      </c>
      <c r="G597" s="3">
        <v>202207</v>
      </c>
      <c r="H597" s="3" t="s">
        <v>75</v>
      </c>
      <c r="I597" s="3" t="s">
        <v>76</v>
      </c>
      <c r="J597" s="3" t="s">
        <v>77</v>
      </c>
      <c r="K597" s="3" t="s">
        <v>78</v>
      </c>
      <c r="L597" s="3" t="s">
        <v>154</v>
      </c>
      <c r="M597" s="3" t="s">
        <v>155</v>
      </c>
      <c r="N597" s="3" t="s">
        <v>963</v>
      </c>
      <c r="O597" s="3" t="s">
        <v>82</v>
      </c>
      <c r="P597" s="3" t="str">
        <f>"2170815377                    "</f>
        <v xml:space="preserve">2170815377                    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12.07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0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1</v>
      </c>
      <c r="BI597" s="3">
        <v>1</v>
      </c>
      <c r="BJ597" s="3">
        <v>0.2</v>
      </c>
      <c r="BK597" s="3">
        <v>1</v>
      </c>
      <c r="BL597" s="3">
        <v>46.08</v>
      </c>
      <c r="BM597" s="3">
        <v>6.91</v>
      </c>
      <c r="BN597" s="3">
        <v>52.99</v>
      </c>
      <c r="BO597" s="3">
        <v>52.99</v>
      </c>
      <c r="BQ597" s="3" t="s">
        <v>83</v>
      </c>
      <c r="BR597" s="3" t="s">
        <v>84</v>
      </c>
      <c r="BS597" s="4">
        <v>44574</v>
      </c>
      <c r="BT597" s="5">
        <v>0.39305555555555555</v>
      </c>
      <c r="BU597" s="3" t="s">
        <v>964</v>
      </c>
      <c r="BV597" s="3" t="s">
        <v>105</v>
      </c>
      <c r="BY597" s="3">
        <v>1200</v>
      </c>
      <c r="BZ597" s="3" t="s">
        <v>165</v>
      </c>
      <c r="CA597" s="3" t="s">
        <v>965</v>
      </c>
      <c r="CC597" s="3" t="s">
        <v>155</v>
      </c>
      <c r="CD597" s="3">
        <v>1682</v>
      </c>
      <c r="CE597" s="3" t="s">
        <v>93</v>
      </c>
      <c r="CF597" s="4">
        <v>44575</v>
      </c>
      <c r="CI597" s="3">
        <v>1</v>
      </c>
      <c r="CJ597" s="3">
        <v>1</v>
      </c>
      <c r="CK597" s="3">
        <v>22</v>
      </c>
      <c r="CL597" s="3" t="s">
        <v>87</v>
      </c>
    </row>
    <row r="598" spans="1:90" x14ac:dyDescent="0.2">
      <c r="A598" s="3" t="s">
        <v>72</v>
      </c>
      <c r="B598" s="3" t="s">
        <v>73</v>
      </c>
      <c r="C598" s="3" t="s">
        <v>74</v>
      </c>
      <c r="E598" s="3" t="str">
        <f>"009940287535"</f>
        <v>009940287535</v>
      </c>
      <c r="F598" s="4">
        <v>44573</v>
      </c>
      <c r="G598" s="3">
        <v>202207</v>
      </c>
      <c r="H598" s="3" t="s">
        <v>101</v>
      </c>
      <c r="I598" s="3" t="s">
        <v>102</v>
      </c>
      <c r="J598" s="3" t="s">
        <v>966</v>
      </c>
      <c r="K598" s="3" t="s">
        <v>78</v>
      </c>
      <c r="L598" s="3" t="s">
        <v>90</v>
      </c>
      <c r="M598" s="3" t="s">
        <v>91</v>
      </c>
      <c r="N598" s="3" t="s">
        <v>966</v>
      </c>
      <c r="O598" s="3" t="s">
        <v>148</v>
      </c>
      <c r="P598" s="3" t="str">
        <f>"                              "</f>
        <v xml:space="preserve">                              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29.89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1</v>
      </c>
      <c r="BI598" s="3">
        <v>8</v>
      </c>
      <c r="BJ598" s="3">
        <v>2.4</v>
      </c>
      <c r="BK598" s="3">
        <v>8</v>
      </c>
      <c r="BL598" s="3">
        <v>119.34</v>
      </c>
      <c r="BM598" s="3">
        <v>17.899999999999999</v>
      </c>
      <c r="BN598" s="3">
        <v>137.24</v>
      </c>
      <c r="BO598" s="3">
        <v>137.24</v>
      </c>
      <c r="BQ598" s="3" t="s">
        <v>967</v>
      </c>
      <c r="BR598" s="3" t="s">
        <v>968</v>
      </c>
      <c r="BS598" s="4">
        <v>44578</v>
      </c>
      <c r="BT598" s="5">
        <v>0.57013888888888886</v>
      </c>
      <c r="BU598" s="3" t="s">
        <v>967</v>
      </c>
      <c r="BV598" s="3" t="s">
        <v>105</v>
      </c>
      <c r="BY598" s="3">
        <v>12000</v>
      </c>
      <c r="BZ598" s="3" t="s">
        <v>327</v>
      </c>
      <c r="CA598" s="3" t="s">
        <v>969</v>
      </c>
      <c r="CC598" s="3" t="s">
        <v>91</v>
      </c>
      <c r="CD598" s="3">
        <v>8001</v>
      </c>
      <c r="CE598" s="3" t="s">
        <v>86</v>
      </c>
      <c r="CF598" s="4">
        <v>44579</v>
      </c>
      <c r="CI598" s="3">
        <v>3</v>
      </c>
      <c r="CJ598" s="3">
        <v>3</v>
      </c>
      <c r="CK598" s="3">
        <v>41</v>
      </c>
      <c r="CL598" s="3" t="s">
        <v>87</v>
      </c>
    </row>
    <row r="599" spans="1:90" x14ac:dyDescent="0.2">
      <c r="A599" s="3" t="s">
        <v>72</v>
      </c>
      <c r="B599" s="3" t="s">
        <v>73</v>
      </c>
      <c r="C599" s="3" t="s">
        <v>74</v>
      </c>
      <c r="E599" s="3" t="str">
        <f>"FES1162844817"</f>
        <v>FES1162844817</v>
      </c>
      <c r="F599" s="4">
        <v>44573</v>
      </c>
      <c r="G599" s="3">
        <v>202207</v>
      </c>
      <c r="H599" s="3" t="s">
        <v>75</v>
      </c>
      <c r="I599" s="3" t="s">
        <v>76</v>
      </c>
      <c r="J599" s="3" t="s">
        <v>77</v>
      </c>
      <c r="K599" s="3" t="s">
        <v>78</v>
      </c>
      <c r="L599" s="3" t="s">
        <v>158</v>
      </c>
      <c r="M599" s="3" t="s">
        <v>159</v>
      </c>
      <c r="N599" s="3" t="s">
        <v>970</v>
      </c>
      <c r="O599" s="3" t="s">
        <v>82</v>
      </c>
      <c r="P599" s="3" t="str">
        <f>"2170816375                    "</f>
        <v xml:space="preserve">2170816375                    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12.07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1</v>
      </c>
      <c r="BI599" s="3">
        <v>1</v>
      </c>
      <c r="BJ599" s="3">
        <v>0.2</v>
      </c>
      <c r="BK599" s="3">
        <v>1</v>
      </c>
      <c r="BL599" s="3">
        <v>46.08</v>
      </c>
      <c r="BM599" s="3">
        <v>6.91</v>
      </c>
      <c r="BN599" s="3">
        <v>52.99</v>
      </c>
      <c r="BO599" s="3">
        <v>52.99</v>
      </c>
      <c r="BR599" s="3" t="s">
        <v>84</v>
      </c>
      <c r="BS599" s="4">
        <v>44574</v>
      </c>
      <c r="BT599" s="5">
        <v>0.3347222222222222</v>
      </c>
      <c r="BU599" s="3" t="s">
        <v>971</v>
      </c>
      <c r="BV599" s="3" t="s">
        <v>105</v>
      </c>
      <c r="BY599" s="3">
        <v>1200</v>
      </c>
      <c r="BZ599" s="3" t="s">
        <v>165</v>
      </c>
      <c r="CA599" s="3" t="s">
        <v>825</v>
      </c>
      <c r="CC599" s="3" t="s">
        <v>159</v>
      </c>
      <c r="CD599" s="3">
        <v>1469</v>
      </c>
      <c r="CE599" s="3" t="s">
        <v>93</v>
      </c>
      <c r="CF599" s="4">
        <v>44574</v>
      </c>
      <c r="CI599" s="3">
        <v>1</v>
      </c>
      <c r="CJ599" s="3">
        <v>1</v>
      </c>
      <c r="CK599" s="3">
        <v>22</v>
      </c>
      <c r="CL599" s="3" t="s">
        <v>87</v>
      </c>
    </row>
    <row r="600" spans="1:90" x14ac:dyDescent="0.2">
      <c r="A600" s="3" t="s">
        <v>72</v>
      </c>
      <c r="B600" s="3" t="s">
        <v>73</v>
      </c>
      <c r="C600" s="3" t="s">
        <v>74</v>
      </c>
      <c r="E600" s="3" t="str">
        <f>"FES1162844805"</f>
        <v>FES1162844805</v>
      </c>
      <c r="F600" s="4">
        <v>44573</v>
      </c>
      <c r="G600" s="3">
        <v>202207</v>
      </c>
      <c r="H600" s="3" t="s">
        <v>75</v>
      </c>
      <c r="I600" s="3" t="s">
        <v>76</v>
      </c>
      <c r="J600" s="3" t="s">
        <v>77</v>
      </c>
      <c r="K600" s="3" t="s">
        <v>78</v>
      </c>
      <c r="L600" s="3" t="s">
        <v>167</v>
      </c>
      <c r="M600" s="3" t="s">
        <v>168</v>
      </c>
      <c r="N600" s="3" t="s">
        <v>337</v>
      </c>
      <c r="O600" s="3" t="s">
        <v>82</v>
      </c>
      <c r="P600" s="3" t="str">
        <f>"2170816346                    "</f>
        <v xml:space="preserve">2170816346                    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15.46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1</v>
      </c>
      <c r="BI600" s="3">
        <v>1</v>
      </c>
      <c r="BJ600" s="3">
        <v>0.2</v>
      </c>
      <c r="BK600" s="3">
        <v>1</v>
      </c>
      <c r="BL600" s="3">
        <v>59</v>
      </c>
      <c r="BM600" s="3">
        <v>8.85</v>
      </c>
      <c r="BN600" s="3">
        <v>67.849999999999994</v>
      </c>
      <c r="BO600" s="3">
        <v>67.849999999999994</v>
      </c>
      <c r="BQ600" s="3" t="s">
        <v>89</v>
      </c>
      <c r="BR600" s="3" t="s">
        <v>84</v>
      </c>
      <c r="BS600" s="4">
        <v>44574</v>
      </c>
      <c r="BT600" s="5">
        <v>0.55625000000000002</v>
      </c>
      <c r="BU600" s="3" t="s">
        <v>485</v>
      </c>
      <c r="BV600" s="3" t="s">
        <v>87</v>
      </c>
      <c r="BW600" s="3" t="s">
        <v>457</v>
      </c>
      <c r="BX600" s="3" t="s">
        <v>458</v>
      </c>
      <c r="BY600" s="3">
        <v>1200</v>
      </c>
      <c r="BZ600" s="3" t="s">
        <v>165</v>
      </c>
      <c r="CA600" s="3" t="s">
        <v>263</v>
      </c>
      <c r="CC600" s="3" t="s">
        <v>168</v>
      </c>
      <c r="CD600" s="3">
        <v>6220</v>
      </c>
      <c r="CE600" s="3" t="s">
        <v>93</v>
      </c>
      <c r="CF600" s="4">
        <v>44574</v>
      </c>
      <c r="CI600" s="3">
        <v>1</v>
      </c>
      <c r="CJ600" s="3">
        <v>1</v>
      </c>
      <c r="CK600" s="3">
        <v>21</v>
      </c>
      <c r="CL600" s="3" t="s">
        <v>87</v>
      </c>
    </row>
    <row r="601" spans="1:90" x14ac:dyDescent="0.2">
      <c r="A601" s="3" t="s">
        <v>72</v>
      </c>
      <c r="B601" s="3" t="s">
        <v>73</v>
      </c>
      <c r="C601" s="3" t="s">
        <v>74</v>
      </c>
      <c r="E601" s="3" t="str">
        <f>"FES1162844594"</f>
        <v>FES1162844594</v>
      </c>
      <c r="F601" s="4">
        <v>44572</v>
      </c>
      <c r="G601" s="3">
        <v>202207</v>
      </c>
      <c r="H601" s="3" t="s">
        <v>75</v>
      </c>
      <c r="I601" s="3" t="s">
        <v>76</v>
      </c>
      <c r="J601" s="3" t="s">
        <v>77</v>
      </c>
      <c r="K601" s="3" t="s">
        <v>78</v>
      </c>
      <c r="L601" s="3" t="s">
        <v>75</v>
      </c>
      <c r="M601" s="3" t="s">
        <v>76</v>
      </c>
      <c r="N601" s="3" t="s">
        <v>147</v>
      </c>
      <c r="O601" s="3" t="s">
        <v>82</v>
      </c>
      <c r="P601" s="3" t="str">
        <f>"2170815165                    "</f>
        <v xml:space="preserve">2170815165                    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12.07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1</v>
      </c>
      <c r="BI601" s="3">
        <v>3</v>
      </c>
      <c r="BJ601" s="3">
        <v>2</v>
      </c>
      <c r="BK601" s="3">
        <v>3</v>
      </c>
      <c r="BL601" s="3">
        <v>46.08</v>
      </c>
      <c r="BM601" s="3">
        <v>6.91</v>
      </c>
      <c r="BN601" s="3">
        <v>52.99</v>
      </c>
      <c r="BO601" s="3">
        <v>52.99</v>
      </c>
      <c r="BQ601" s="3" t="s">
        <v>89</v>
      </c>
      <c r="BR601" s="3" t="s">
        <v>84</v>
      </c>
      <c r="BS601" s="4">
        <v>44573</v>
      </c>
      <c r="BT601" s="5">
        <v>0.4201388888888889</v>
      </c>
      <c r="BU601" s="3" t="s">
        <v>476</v>
      </c>
      <c r="BV601" s="3" t="s">
        <v>105</v>
      </c>
      <c r="BY601" s="3">
        <v>9918</v>
      </c>
      <c r="BZ601" s="3" t="s">
        <v>165</v>
      </c>
      <c r="CA601" s="3" t="s">
        <v>477</v>
      </c>
      <c r="CC601" s="3" t="s">
        <v>76</v>
      </c>
      <c r="CD601" s="3">
        <v>1645</v>
      </c>
      <c r="CE601" s="3" t="s">
        <v>86</v>
      </c>
      <c r="CF601" s="4">
        <v>44574</v>
      </c>
      <c r="CI601" s="3">
        <v>1</v>
      </c>
      <c r="CJ601" s="3">
        <v>1</v>
      </c>
      <c r="CK601" s="3">
        <v>22</v>
      </c>
      <c r="CL601" s="3" t="s">
        <v>87</v>
      </c>
    </row>
    <row r="602" spans="1:90" x14ac:dyDescent="0.2">
      <c r="A602" s="3" t="s">
        <v>72</v>
      </c>
      <c r="B602" s="3" t="s">
        <v>73</v>
      </c>
      <c r="C602" s="3" t="s">
        <v>74</v>
      </c>
      <c r="E602" s="3" t="str">
        <f>"FES1162844429"</f>
        <v>FES1162844429</v>
      </c>
      <c r="F602" s="4">
        <v>44572</v>
      </c>
      <c r="G602" s="3">
        <v>202207</v>
      </c>
      <c r="H602" s="3" t="s">
        <v>75</v>
      </c>
      <c r="I602" s="3" t="s">
        <v>76</v>
      </c>
      <c r="J602" s="3" t="s">
        <v>77</v>
      </c>
      <c r="K602" s="3" t="s">
        <v>78</v>
      </c>
      <c r="L602" s="3" t="s">
        <v>427</v>
      </c>
      <c r="M602" s="3" t="s">
        <v>428</v>
      </c>
      <c r="N602" s="3" t="s">
        <v>447</v>
      </c>
      <c r="O602" s="3" t="s">
        <v>82</v>
      </c>
      <c r="P602" s="3" t="str">
        <f>"2170815883                    "</f>
        <v xml:space="preserve">2170815883                    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29.95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1</v>
      </c>
      <c r="BI602" s="3">
        <v>1</v>
      </c>
      <c r="BJ602" s="3">
        <v>0.9</v>
      </c>
      <c r="BK602" s="3">
        <v>1</v>
      </c>
      <c r="BL602" s="3">
        <v>114.31</v>
      </c>
      <c r="BM602" s="3">
        <v>17.149999999999999</v>
      </c>
      <c r="BN602" s="3">
        <v>131.46</v>
      </c>
      <c r="BO602" s="3">
        <v>131.46</v>
      </c>
      <c r="BQ602" s="3" t="s">
        <v>89</v>
      </c>
      <c r="BR602" s="3" t="s">
        <v>84</v>
      </c>
      <c r="BS602" s="4">
        <v>44573</v>
      </c>
      <c r="BT602" s="5">
        <v>0.56527777777777777</v>
      </c>
      <c r="BU602" s="3" t="s">
        <v>972</v>
      </c>
      <c r="BV602" s="3" t="s">
        <v>87</v>
      </c>
      <c r="BW602" s="3" t="s">
        <v>579</v>
      </c>
      <c r="BX602" s="3" t="s">
        <v>580</v>
      </c>
      <c r="BY602" s="3">
        <v>4680</v>
      </c>
      <c r="BZ602" s="3" t="s">
        <v>165</v>
      </c>
      <c r="CA602" s="3" t="s">
        <v>488</v>
      </c>
      <c r="CC602" s="3" t="s">
        <v>428</v>
      </c>
      <c r="CD602" s="3">
        <v>7130</v>
      </c>
      <c r="CE602" s="3" t="s">
        <v>86</v>
      </c>
      <c r="CF602" s="4">
        <v>44574</v>
      </c>
      <c r="CI602" s="3">
        <v>1</v>
      </c>
      <c r="CJ602" s="3">
        <v>1</v>
      </c>
      <c r="CK602" s="3">
        <v>23</v>
      </c>
      <c r="CL602" s="3" t="s">
        <v>87</v>
      </c>
    </row>
    <row r="603" spans="1:90" x14ac:dyDescent="0.2">
      <c r="A603" s="3" t="s">
        <v>72</v>
      </c>
      <c r="B603" s="3" t="s">
        <v>73</v>
      </c>
      <c r="C603" s="3" t="s">
        <v>74</v>
      </c>
      <c r="E603" s="3" t="str">
        <f>"FES1162844501"</f>
        <v>FES1162844501</v>
      </c>
      <c r="F603" s="4">
        <v>44572</v>
      </c>
      <c r="G603" s="3">
        <v>202207</v>
      </c>
      <c r="H603" s="3" t="s">
        <v>75</v>
      </c>
      <c r="I603" s="3" t="s">
        <v>76</v>
      </c>
      <c r="J603" s="3" t="s">
        <v>77</v>
      </c>
      <c r="K603" s="3" t="s">
        <v>78</v>
      </c>
      <c r="L603" s="3" t="s">
        <v>90</v>
      </c>
      <c r="M603" s="3" t="s">
        <v>91</v>
      </c>
      <c r="N603" s="3" t="s">
        <v>735</v>
      </c>
      <c r="O603" s="3" t="s">
        <v>82</v>
      </c>
      <c r="P603" s="3" t="str">
        <f>"2170813011                    "</f>
        <v xml:space="preserve">2170813011                    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15.46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1</v>
      </c>
      <c r="BI603" s="3">
        <v>1</v>
      </c>
      <c r="BJ603" s="3">
        <v>0.2</v>
      </c>
      <c r="BK603" s="3">
        <v>1</v>
      </c>
      <c r="BL603" s="3">
        <v>59</v>
      </c>
      <c r="BM603" s="3">
        <v>8.85</v>
      </c>
      <c r="BN603" s="3">
        <v>67.849999999999994</v>
      </c>
      <c r="BO603" s="3">
        <v>67.849999999999994</v>
      </c>
      <c r="BQ603" s="3" t="s">
        <v>273</v>
      </c>
      <c r="BR603" s="3" t="s">
        <v>84</v>
      </c>
      <c r="BS603" s="4">
        <v>44573</v>
      </c>
      <c r="BT603" s="5">
        <v>0.32847222222222222</v>
      </c>
      <c r="BU603" s="3" t="s">
        <v>736</v>
      </c>
      <c r="BV603" s="3" t="s">
        <v>105</v>
      </c>
      <c r="BY603" s="3">
        <v>1200</v>
      </c>
      <c r="BZ603" s="3" t="s">
        <v>165</v>
      </c>
      <c r="CA603" s="3" t="s">
        <v>566</v>
      </c>
      <c r="CC603" s="3" t="s">
        <v>91</v>
      </c>
      <c r="CD603" s="3">
        <v>7460</v>
      </c>
      <c r="CE603" s="3" t="s">
        <v>93</v>
      </c>
      <c r="CF603" s="4">
        <v>44574</v>
      </c>
      <c r="CI603" s="3">
        <v>1</v>
      </c>
      <c r="CJ603" s="3">
        <v>1</v>
      </c>
      <c r="CK603" s="3">
        <v>21</v>
      </c>
      <c r="CL603" s="3" t="s">
        <v>87</v>
      </c>
    </row>
    <row r="604" spans="1:90" x14ac:dyDescent="0.2">
      <c r="A604" s="3" t="s">
        <v>72</v>
      </c>
      <c r="B604" s="3" t="s">
        <v>73</v>
      </c>
      <c r="C604" s="3" t="s">
        <v>74</v>
      </c>
      <c r="E604" s="3" t="str">
        <f>"009942045020"</f>
        <v>009942045020</v>
      </c>
      <c r="F604" s="4">
        <v>44572</v>
      </c>
      <c r="G604" s="3">
        <v>202207</v>
      </c>
      <c r="H604" s="3" t="s">
        <v>75</v>
      </c>
      <c r="I604" s="3" t="s">
        <v>76</v>
      </c>
      <c r="J604" s="3" t="s">
        <v>77</v>
      </c>
      <c r="K604" s="3" t="s">
        <v>78</v>
      </c>
      <c r="L604" s="3" t="s">
        <v>171</v>
      </c>
      <c r="M604" s="3" t="s">
        <v>172</v>
      </c>
      <c r="N604" s="3" t="s">
        <v>973</v>
      </c>
      <c r="O604" s="3" t="s">
        <v>148</v>
      </c>
      <c r="P604" s="3" t="str">
        <f>"1162841422                    "</f>
        <v xml:space="preserve">1162841422                    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29.89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1</v>
      </c>
      <c r="BI604" s="3">
        <v>3</v>
      </c>
      <c r="BJ604" s="3">
        <v>1.7</v>
      </c>
      <c r="BK604" s="3">
        <v>3</v>
      </c>
      <c r="BL604" s="3">
        <v>119.34</v>
      </c>
      <c r="BM604" s="3">
        <v>17.899999999999999</v>
      </c>
      <c r="BN604" s="3">
        <v>137.24</v>
      </c>
      <c r="BO604" s="3">
        <v>137.24</v>
      </c>
      <c r="BQ604" s="3" t="s">
        <v>974</v>
      </c>
      <c r="BR604" s="3" t="s">
        <v>84</v>
      </c>
      <c r="BS604" s="4">
        <v>44574</v>
      </c>
      <c r="BT604" s="5">
        <v>0.55694444444444446</v>
      </c>
      <c r="BU604" s="3" t="s">
        <v>975</v>
      </c>
      <c r="BV604" s="3" t="s">
        <v>105</v>
      </c>
      <c r="BY604" s="3">
        <v>8640</v>
      </c>
      <c r="BZ604" s="3" t="s">
        <v>327</v>
      </c>
      <c r="CA604" s="3" t="s">
        <v>408</v>
      </c>
      <c r="CC604" s="3" t="s">
        <v>172</v>
      </c>
      <c r="CD604" s="3">
        <v>6045</v>
      </c>
      <c r="CE604" s="3" t="s">
        <v>86</v>
      </c>
      <c r="CF604" s="4">
        <v>44575</v>
      </c>
      <c r="CI604" s="3">
        <v>2</v>
      </c>
      <c r="CJ604" s="3">
        <v>2</v>
      </c>
      <c r="CK604" s="3">
        <v>41</v>
      </c>
      <c r="CL604" s="3" t="s">
        <v>87</v>
      </c>
    </row>
    <row r="605" spans="1:90" x14ac:dyDescent="0.2">
      <c r="A605" s="3" t="s">
        <v>72</v>
      </c>
      <c r="B605" s="3" t="s">
        <v>73</v>
      </c>
      <c r="C605" s="3" t="s">
        <v>74</v>
      </c>
      <c r="E605" s="3" t="str">
        <f>"FES1162844511"</f>
        <v>FES1162844511</v>
      </c>
      <c r="F605" s="4">
        <v>44572</v>
      </c>
      <c r="G605" s="3">
        <v>202207</v>
      </c>
      <c r="H605" s="3" t="s">
        <v>75</v>
      </c>
      <c r="I605" s="3" t="s">
        <v>76</v>
      </c>
      <c r="J605" s="3" t="s">
        <v>77</v>
      </c>
      <c r="K605" s="3" t="s">
        <v>78</v>
      </c>
      <c r="L605" s="3" t="s">
        <v>799</v>
      </c>
      <c r="M605" s="3" t="s">
        <v>800</v>
      </c>
      <c r="N605" s="3" t="s">
        <v>801</v>
      </c>
      <c r="O605" s="3" t="s">
        <v>82</v>
      </c>
      <c r="P605" s="3" t="str">
        <f>"2170816126                    "</f>
        <v xml:space="preserve">2170816126                    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21.74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1</v>
      </c>
      <c r="BI605" s="3">
        <v>1</v>
      </c>
      <c r="BJ605" s="3">
        <v>0.2</v>
      </c>
      <c r="BK605" s="3">
        <v>1</v>
      </c>
      <c r="BL605" s="3">
        <v>82.98</v>
      </c>
      <c r="BM605" s="3">
        <v>12.45</v>
      </c>
      <c r="BN605" s="3">
        <v>95.43</v>
      </c>
      <c r="BO605" s="3">
        <v>95.43</v>
      </c>
      <c r="BQ605" s="3" t="s">
        <v>89</v>
      </c>
      <c r="BR605" s="3" t="s">
        <v>84</v>
      </c>
      <c r="BS605" s="4">
        <v>44573</v>
      </c>
      <c r="BT605" s="5">
        <v>0.37847222222222227</v>
      </c>
      <c r="BU605" s="3" t="s">
        <v>802</v>
      </c>
      <c r="BV605" s="3" t="s">
        <v>105</v>
      </c>
      <c r="BY605" s="3">
        <v>1200</v>
      </c>
      <c r="BZ605" s="3" t="s">
        <v>165</v>
      </c>
      <c r="CA605" s="3" t="s">
        <v>803</v>
      </c>
      <c r="CC605" s="3" t="s">
        <v>800</v>
      </c>
      <c r="CD605" s="3">
        <v>2210</v>
      </c>
      <c r="CE605" s="3" t="s">
        <v>93</v>
      </c>
      <c r="CF605" s="4">
        <v>44574</v>
      </c>
      <c r="CI605" s="3">
        <v>1</v>
      </c>
      <c r="CJ605" s="3">
        <v>1</v>
      </c>
      <c r="CK605" s="3">
        <v>24</v>
      </c>
      <c r="CL605" s="3" t="s">
        <v>87</v>
      </c>
    </row>
    <row r="606" spans="1:90" x14ac:dyDescent="0.2">
      <c r="A606" s="3" t="s">
        <v>72</v>
      </c>
      <c r="B606" s="3" t="s">
        <v>73</v>
      </c>
      <c r="C606" s="3" t="s">
        <v>74</v>
      </c>
      <c r="E606" s="3" t="str">
        <f>"FES1162844588"</f>
        <v>FES1162844588</v>
      </c>
      <c r="F606" s="4">
        <v>44572</v>
      </c>
      <c r="G606" s="3">
        <v>202207</v>
      </c>
      <c r="H606" s="3" t="s">
        <v>75</v>
      </c>
      <c r="I606" s="3" t="s">
        <v>76</v>
      </c>
      <c r="J606" s="3" t="s">
        <v>77</v>
      </c>
      <c r="K606" s="3" t="s">
        <v>78</v>
      </c>
      <c r="L606" s="3" t="s">
        <v>75</v>
      </c>
      <c r="M606" s="3" t="s">
        <v>76</v>
      </c>
      <c r="N606" s="3" t="s">
        <v>976</v>
      </c>
      <c r="O606" s="3" t="s">
        <v>82</v>
      </c>
      <c r="P606" s="3" t="str">
        <f>"2170815116                    "</f>
        <v xml:space="preserve">2170815116                    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12.07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1</v>
      </c>
      <c r="BI606" s="3">
        <v>1</v>
      </c>
      <c r="BJ606" s="3">
        <v>0.2</v>
      </c>
      <c r="BK606" s="3">
        <v>1</v>
      </c>
      <c r="BL606" s="3">
        <v>46.08</v>
      </c>
      <c r="BM606" s="3">
        <v>6.91</v>
      </c>
      <c r="BN606" s="3">
        <v>52.99</v>
      </c>
      <c r="BO606" s="3">
        <v>52.99</v>
      </c>
      <c r="BQ606" s="3" t="s">
        <v>977</v>
      </c>
      <c r="BR606" s="3" t="s">
        <v>84</v>
      </c>
      <c r="BS606" s="4">
        <v>44573</v>
      </c>
      <c r="BT606" s="5">
        <v>0.42569444444444443</v>
      </c>
      <c r="BU606" s="3" t="s">
        <v>978</v>
      </c>
      <c r="BV606" s="3" t="s">
        <v>105</v>
      </c>
      <c r="BY606" s="3">
        <v>1200</v>
      </c>
      <c r="BZ606" s="3" t="s">
        <v>165</v>
      </c>
      <c r="CA606" s="3" t="s">
        <v>378</v>
      </c>
      <c r="CC606" s="3" t="s">
        <v>76</v>
      </c>
      <c r="CD606" s="3">
        <v>1609</v>
      </c>
      <c r="CE606" s="3" t="s">
        <v>93</v>
      </c>
      <c r="CF606" s="4">
        <v>44574</v>
      </c>
      <c r="CI606" s="3">
        <v>1</v>
      </c>
      <c r="CJ606" s="3">
        <v>1</v>
      </c>
      <c r="CK606" s="3">
        <v>22</v>
      </c>
      <c r="CL606" s="3" t="s">
        <v>87</v>
      </c>
    </row>
    <row r="607" spans="1:90" x14ac:dyDescent="0.2">
      <c r="A607" s="3" t="s">
        <v>72</v>
      </c>
      <c r="B607" s="3" t="s">
        <v>73</v>
      </c>
      <c r="C607" s="3" t="s">
        <v>74</v>
      </c>
      <c r="E607" s="3" t="str">
        <f>"FES1162844541"</f>
        <v>FES1162844541</v>
      </c>
      <c r="F607" s="4">
        <v>44572</v>
      </c>
      <c r="G607" s="3">
        <v>202207</v>
      </c>
      <c r="H607" s="3" t="s">
        <v>75</v>
      </c>
      <c r="I607" s="3" t="s">
        <v>76</v>
      </c>
      <c r="J607" s="3" t="s">
        <v>77</v>
      </c>
      <c r="K607" s="3" t="s">
        <v>78</v>
      </c>
      <c r="L607" s="3" t="s">
        <v>184</v>
      </c>
      <c r="M607" s="3" t="s">
        <v>185</v>
      </c>
      <c r="N607" s="3" t="s">
        <v>979</v>
      </c>
      <c r="O607" s="3" t="s">
        <v>82</v>
      </c>
      <c r="P607" s="3" t="str">
        <f>"2170816197                    "</f>
        <v xml:space="preserve">2170816197                    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15.46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1</v>
      </c>
      <c r="BI607" s="3">
        <v>1</v>
      </c>
      <c r="BJ607" s="3">
        <v>0.2</v>
      </c>
      <c r="BK607" s="3">
        <v>1</v>
      </c>
      <c r="BL607" s="3">
        <v>59</v>
      </c>
      <c r="BM607" s="3">
        <v>8.85</v>
      </c>
      <c r="BN607" s="3">
        <v>67.849999999999994</v>
      </c>
      <c r="BO607" s="3">
        <v>67.849999999999994</v>
      </c>
      <c r="BQ607" s="3" t="s">
        <v>83</v>
      </c>
      <c r="BR607" s="3" t="s">
        <v>84</v>
      </c>
      <c r="BS607" s="4">
        <v>44573</v>
      </c>
      <c r="BT607" s="5">
        <v>0.37986111111111115</v>
      </c>
      <c r="BU607" s="3" t="s">
        <v>980</v>
      </c>
      <c r="BV607" s="3" t="s">
        <v>105</v>
      </c>
      <c r="BY607" s="3">
        <v>1200</v>
      </c>
      <c r="BZ607" s="3" t="s">
        <v>165</v>
      </c>
      <c r="CA607" s="3" t="s">
        <v>357</v>
      </c>
      <c r="CC607" s="3" t="s">
        <v>185</v>
      </c>
      <c r="CD607" s="3">
        <v>5201</v>
      </c>
      <c r="CE607" s="3" t="s">
        <v>93</v>
      </c>
      <c r="CF607" s="4">
        <v>44573</v>
      </c>
      <c r="CI607" s="3">
        <v>1</v>
      </c>
      <c r="CJ607" s="3">
        <v>1</v>
      </c>
      <c r="CK607" s="3">
        <v>21</v>
      </c>
      <c r="CL607" s="3" t="s">
        <v>87</v>
      </c>
    </row>
    <row r="608" spans="1:90" x14ac:dyDescent="0.2">
      <c r="A608" s="3" t="s">
        <v>72</v>
      </c>
      <c r="B608" s="3" t="s">
        <v>73</v>
      </c>
      <c r="C608" s="3" t="s">
        <v>74</v>
      </c>
      <c r="E608" s="3" t="str">
        <f>"FES1162844513"</f>
        <v>FES1162844513</v>
      </c>
      <c r="F608" s="4">
        <v>44572</v>
      </c>
      <c r="G608" s="3">
        <v>202207</v>
      </c>
      <c r="H608" s="3" t="s">
        <v>75</v>
      </c>
      <c r="I608" s="3" t="s">
        <v>76</v>
      </c>
      <c r="J608" s="3" t="s">
        <v>77</v>
      </c>
      <c r="K608" s="3" t="s">
        <v>78</v>
      </c>
      <c r="L608" s="3" t="s">
        <v>167</v>
      </c>
      <c r="M608" s="3" t="s">
        <v>168</v>
      </c>
      <c r="N608" s="3" t="s">
        <v>337</v>
      </c>
      <c r="O608" s="3" t="s">
        <v>82</v>
      </c>
      <c r="P608" s="3" t="str">
        <f>"2170816155                    "</f>
        <v xml:space="preserve">2170816155                    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15.46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1</v>
      </c>
      <c r="BI608" s="3">
        <v>1</v>
      </c>
      <c r="BJ608" s="3">
        <v>1.5</v>
      </c>
      <c r="BK608" s="3">
        <v>1.5</v>
      </c>
      <c r="BL608" s="3">
        <v>59</v>
      </c>
      <c r="BM608" s="3">
        <v>8.85</v>
      </c>
      <c r="BN608" s="3">
        <v>67.849999999999994</v>
      </c>
      <c r="BO608" s="3">
        <v>67.849999999999994</v>
      </c>
      <c r="BQ608" s="3" t="s">
        <v>89</v>
      </c>
      <c r="BR608" s="3" t="s">
        <v>84</v>
      </c>
      <c r="BS608" s="4">
        <v>44573</v>
      </c>
      <c r="BT608" s="5">
        <v>0.42638888888888887</v>
      </c>
      <c r="BU608" s="3" t="s">
        <v>485</v>
      </c>
      <c r="BV608" s="3" t="s">
        <v>105</v>
      </c>
      <c r="BY608" s="3">
        <v>7540</v>
      </c>
      <c r="BZ608" s="3" t="s">
        <v>165</v>
      </c>
      <c r="CA608" s="3" t="s">
        <v>263</v>
      </c>
      <c r="CC608" s="3" t="s">
        <v>168</v>
      </c>
      <c r="CD608" s="3">
        <v>6220</v>
      </c>
      <c r="CE608" s="3" t="s">
        <v>86</v>
      </c>
      <c r="CF608" s="4">
        <v>44574</v>
      </c>
      <c r="CI608" s="3">
        <v>1</v>
      </c>
      <c r="CJ608" s="3">
        <v>1</v>
      </c>
      <c r="CK608" s="3">
        <v>21</v>
      </c>
      <c r="CL608" s="3" t="s">
        <v>87</v>
      </c>
    </row>
    <row r="609" spans="1:90" x14ac:dyDescent="0.2">
      <c r="A609" s="3" t="s">
        <v>72</v>
      </c>
      <c r="B609" s="3" t="s">
        <v>73</v>
      </c>
      <c r="C609" s="3" t="s">
        <v>74</v>
      </c>
      <c r="E609" s="3" t="str">
        <f>"FES1162844665"</f>
        <v>FES1162844665</v>
      </c>
      <c r="F609" s="4">
        <v>44572</v>
      </c>
      <c r="G609" s="3">
        <v>202207</v>
      </c>
      <c r="H609" s="3" t="s">
        <v>75</v>
      </c>
      <c r="I609" s="3" t="s">
        <v>76</v>
      </c>
      <c r="J609" s="3" t="s">
        <v>77</v>
      </c>
      <c r="K609" s="3" t="s">
        <v>78</v>
      </c>
      <c r="L609" s="3" t="s">
        <v>97</v>
      </c>
      <c r="M609" s="3" t="s">
        <v>98</v>
      </c>
      <c r="N609" s="3" t="s">
        <v>482</v>
      </c>
      <c r="O609" s="3" t="s">
        <v>82</v>
      </c>
      <c r="P609" s="3" t="str">
        <f>"2170816242                    "</f>
        <v xml:space="preserve">2170816242                    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12.07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1</v>
      </c>
      <c r="BI609" s="3">
        <v>1</v>
      </c>
      <c r="BJ609" s="3">
        <v>0.2</v>
      </c>
      <c r="BK609" s="3">
        <v>1</v>
      </c>
      <c r="BL609" s="3">
        <v>46.08</v>
      </c>
      <c r="BM609" s="3">
        <v>6.91</v>
      </c>
      <c r="BN609" s="3">
        <v>52.99</v>
      </c>
      <c r="BO609" s="3">
        <v>52.99</v>
      </c>
      <c r="BQ609" s="3" t="s">
        <v>89</v>
      </c>
      <c r="BR609" s="3" t="s">
        <v>84</v>
      </c>
      <c r="BS609" s="4">
        <v>44573</v>
      </c>
      <c r="BT609" s="5">
        <v>0.48749999999999999</v>
      </c>
      <c r="BU609" s="3" t="s">
        <v>483</v>
      </c>
      <c r="BV609" s="3" t="s">
        <v>87</v>
      </c>
      <c r="BW609" s="3" t="s">
        <v>353</v>
      </c>
      <c r="BX609" s="3" t="s">
        <v>377</v>
      </c>
      <c r="BY609" s="3">
        <v>1200</v>
      </c>
      <c r="BZ609" s="3" t="s">
        <v>165</v>
      </c>
      <c r="CC609" s="3" t="s">
        <v>98</v>
      </c>
      <c r="CD609" s="3">
        <v>2197</v>
      </c>
      <c r="CE609" s="3" t="s">
        <v>93</v>
      </c>
      <c r="CF609" s="4">
        <v>44573</v>
      </c>
      <c r="CI609" s="3">
        <v>1</v>
      </c>
      <c r="CJ609" s="3">
        <v>1</v>
      </c>
      <c r="CK609" s="3">
        <v>22</v>
      </c>
      <c r="CL609" s="3" t="s">
        <v>87</v>
      </c>
    </row>
    <row r="610" spans="1:90" x14ac:dyDescent="0.2">
      <c r="A610" s="3" t="s">
        <v>72</v>
      </c>
      <c r="B610" s="3" t="s">
        <v>73</v>
      </c>
      <c r="C610" s="3" t="s">
        <v>74</v>
      </c>
      <c r="E610" s="3" t="str">
        <f>"FES1162844506"</f>
        <v>FES1162844506</v>
      </c>
      <c r="F610" s="4">
        <v>44572</v>
      </c>
      <c r="G610" s="3">
        <v>202207</v>
      </c>
      <c r="H610" s="3" t="s">
        <v>75</v>
      </c>
      <c r="I610" s="3" t="s">
        <v>76</v>
      </c>
      <c r="J610" s="3" t="s">
        <v>77</v>
      </c>
      <c r="K610" s="3" t="s">
        <v>78</v>
      </c>
      <c r="L610" s="3" t="s">
        <v>171</v>
      </c>
      <c r="M610" s="3" t="s">
        <v>172</v>
      </c>
      <c r="N610" s="3" t="s">
        <v>329</v>
      </c>
      <c r="O610" s="3" t="s">
        <v>82</v>
      </c>
      <c r="P610" s="3" t="str">
        <f>"2170815391                    "</f>
        <v xml:space="preserve">2170815391                    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15.46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1</v>
      </c>
      <c r="BI610" s="3">
        <v>1</v>
      </c>
      <c r="BJ610" s="3">
        <v>0.2</v>
      </c>
      <c r="BK610" s="3">
        <v>1</v>
      </c>
      <c r="BL610" s="3">
        <v>59</v>
      </c>
      <c r="BM610" s="3">
        <v>8.85</v>
      </c>
      <c r="BN610" s="3">
        <v>67.849999999999994</v>
      </c>
      <c r="BO610" s="3">
        <v>67.849999999999994</v>
      </c>
      <c r="BQ610" s="3" t="s">
        <v>83</v>
      </c>
      <c r="BR610" s="3" t="s">
        <v>84</v>
      </c>
      <c r="BS610" s="4">
        <v>44573</v>
      </c>
      <c r="BT610" s="5">
        <v>0.37013888888888885</v>
      </c>
      <c r="BU610" s="3" t="s">
        <v>567</v>
      </c>
      <c r="BV610" s="3" t="s">
        <v>105</v>
      </c>
      <c r="BY610" s="3">
        <v>1200</v>
      </c>
      <c r="BZ610" s="3" t="s">
        <v>165</v>
      </c>
      <c r="CA610" s="3" t="s">
        <v>535</v>
      </c>
      <c r="CC610" s="3" t="s">
        <v>172</v>
      </c>
      <c r="CD610" s="3">
        <v>6001</v>
      </c>
      <c r="CE610" s="3" t="s">
        <v>93</v>
      </c>
      <c r="CF610" s="4">
        <v>44573</v>
      </c>
      <c r="CI610" s="3">
        <v>1</v>
      </c>
      <c r="CJ610" s="3">
        <v>1</v>
      </c>
      <c r="CK610" s="3">
        <v>21</v>
      </c>
      <c r="CL610" s="3" t="s">
        <v>87</v>
      </c>
    </row>
    <row r="611" spans="1:90" x14ac:dyDescent="0.2">
      <c r="A611" s="3" t="s">
        <v>72</v>
      </c>
      <c r="B611" s="3" t="s">
        <v>73</v>
      </c>
      <c r="C611" s="3" t="s">
        <v>74</v>
      </c>
      <c r="E611" s="3" t="str">
        <f>"FES1162844318"</f>
        <v>FES1162844318</v>
      </c>
      <c r="F611" s="4">
        <v>44572</v>
      </c>
      <c r="G611" s="3">
        <v>202207</v>
      </c>
      <c r="H611" s="3" t="s">
        <v>75</v>
      </c>
      <c r="I611" s="3" t="s">
        <v>76</v>
      </c>
      <c r="J611" s="3" t="s">
        <v>77</v>
      </c>
      <c r="K611" s="3" t="s">
        <v>78</v>
      </c>
      <c r="L611" s="3" t="s">
        <v>90</v>
      </c>
      <c r="M611" s="3" t="s">
        <v>91</v>
      </c>
      <c r="N611" s="3" t="s">
        <v>981</v>
      </c>
      <c r="O611" s="3" t="s">
        <v>82</v>
      </c>
      <c r="P611" s="3" t="str">
        <f>"2170814566                    "</f>
        <v xml:space="preserve">2170814566                    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27.04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1</v>
      </c>
      <c r="BI611" s="3">
        <v>2</v>
      </c>
      <c r="BJ611" s="3">
        <v>3.1</v>
      </c>
      <c r="BK611" s="3">
        <v>3.5</v>
      </c>
      <c r="BL611" s="3">
        <v>103.22</v>
      </c>
      <c r="BM611" s="3">
        <v>15.48</v>
      </c>
      <c r="BN611" s="3">
        <v>118.7</v>
      </c>
      <c r="BO611" s="3">
        <v>118.7</v>
      </c>
      <c r="BQ611" s="3" t="s">
        <v>83</v>
      </c>
      <c r="BR611" s="3" t="s">
        <v>84</v>
      </c>
      <c r="BS611" s="4">
        <v>44573</v>
      </c>
      <c r="BT611" s="5">
        <v>0.55902777777777779</v>
      </c>
      <c r="BU611" s="3" t="s">
        <v>982</v>
      </c>
      <c r="BV611" s="3" t="s">
        <v>87</v>
      </c>
      <c r="BW611" s="3" t="s">
        <v>353</v>
      </c>
      <c r="BX611" s="3" t="s">
        <v>602</v>
      </c>
      <c r="BY611" s="3">
        <v>15680</v>
      </c>
      <c r="BZ611" s="3" t="s">
        <v>165</v>
      </c>
      <c r="CA611" s="3" t="s">
        <v>623</v>
      </c>
      <c r="CC611" s="3" t="s">
        <v>91</v>
      </c>
      <c r="CD611" s="3">
        <v>7945</v>
      </c>
      <c r="CE611" s="3" t="s">
        <v>86</v>
      </c>
      <c r="CF611" s="4">
        <v>44574</v>
      </c>
      <c r="CI611" s="3">
        <v>1</v>
      </c>
      <c r="CJ611" s="3">
        <v>1</v>
      </c>
      <c r="CK611" s="3">
        <v>21</v>
      </c>
      <c r="CL611" s="3" t="s">
        <v>87</v>
      </c>
    </row>
    <row r="612" spans="1:90" x14ac:dyDescent="0.2">
      <c r="A612" s="3" t="s">
        <v>72</v>
      </c>
      <c r="B612" s="3" t="s">
        <v>73</v>
      </c>
      <c r="C612" s="3" t="s">
        <v>74</v>
      </c>
      <c r="E612" s="3" t="str">
        <f>"FES1162844583"</f>
        <v>FES1162844583</v>
      </c>
      <c r="F612" s="4">
        <v>44572</v>
      </c>
      <c r="G612" s="3">
        <v>202207</v>
      </c>
      <c r="H612" s="3" t="s">
        <v>75</v>
      </c>
      <c r="I612" s="3" t="s">
        <v>76</v>
      </c>
      <c r="J612" s="3" t="s">
        <v>77</v>
      </c>
      <c r="K612" s="3" t="s">
        <v>78</v>
      </c>
      <c r="L612" s="3" t="s">
        <v>162</v>
      </c>
      <c r="M612" s="3" t="s">
        <v>163</v>
      </c>
      <c r="N612" s="3" t="s">
        <v>983</v>
      </c>
      <c r="O612" s="3" t="s">
        <v>82</v>
      </c>
      <c r="P612" s="3" t="str">
        <f>"2170815064                    "</f>
        <v xml:space="preserve">2170815064                    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12.07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1</v>
      </c>
      <c r="BI612" s="3">
        <v>1</v>
      </c>
      <c r="BJ612" s="3">
        <v>0.2</v>
      </c>
      <c r="BK612" s="3">
        <v>1</v>
      </c>
      <c r="BL612" s="3">
        <v>46.08</v>
      </c>
      <c r="BM612" s="3">
        <v>6.91</v>
      </c>
      <c r="BN612" s="3">
        <v>52.99</v>
      </c>
      <c r="BO612" s="3">
        <v>52.99</v>
      </c>
      <c r="BQ612" s="3" t="s">
        <v>126</v>
      </c>
      <c r="BR612" s="3" t="s">
        <v>84</v>
      </c>
      <c r="BS612" s="4">
        <v>44573</v>
      </c>
      <c r="BT612" s="5">
        <v>0.40763888888888888</v>
      </c>
      <c r="BU612" s="3" t="s">
        <v>984</v>
      </c>
      <c r="BV612" s="3" t="s">
        <v>105</v>
      </c>
      <c r="BY612" s="3">
        <v>1200</v>
      </c>
      <c r="BZ612" s="3" t="s">
        <v>165</v>
      </c>
      <c r="CA612" s="3" t="s">
        <v>588</v>
      </c>
      <c r="CC612" s="3" t="s">
        <v>163</v>
      </c>
      <c r="CD612" s="3">
        <v>1401</v>
      </c>
      <c r="CE612" s="3" t="s">
        <v>93</v>
      </c>
      <c r="CF612" s="4">
        <v>44574</v>
      </c>
      <c r="CI612" s="3">
        <v>1</v>
      </c>
      <c r="CJ612" s="3">
        <v>1</v>
      </c>
      <c r="CK612" s="3">
        <v>22</v>
      </c>
      <c r="CL612" s="3" t="s">
        <v>87</v>
      </c>
    </row>
    <row r="613" spans="1:90" x14ac:dyDescent="0.2">
      <c r="A613" s="3" t="s">
        <v>72</v>
      </c>
      <c r="B613" s="3" t="s">
        <v>73</v>
      </c>
      <c r="C613" s="3" t="s">
        <v>74</v>
      </c>
      <c r="E613" s="3" t="str">
        <f>"FES1162844526"</f>
        <v>FES1162844526</v>
      </c>
      <c r="F613" s="4">
        <v>44572</v>
      </c>
      <c r="G613" s="3">
        <v>202207</v>
      </c>
      <c r="H613" s="3" t="s">
        <v>75</v>
      </c>
      <c r="I613" s="3" t="s">
        <v>76</v>
      </c>
      <c r="J613" s="3" t="s">
        <v>77</v>
      </c>
      <c r="K613" s="3" t="s">
        <v>78</v>
      </c>
      <c r="L613" s="3" t="s">
        <v>464</v>
      </c>
      <c r="M613" s="3" t="s">
        <v>465</v>
      </c>
      <c r="N613" s="3" t="s">
        <v>985</v>
      </c>
      <c r="O613" s="3" t="s">
        <v>82</v>
      </c>
      <c r="P613" s="3" t="str">
        <f>"2170816178                    "</f>
        <v xml:space="preserve">2170816178                    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12.07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3">
        <v>1</v>
      </c>
      <c r="BI613" s="3">
        <v>1</v>
      </c>
      <c r="BJ613" s="3">
        <v>0.2</v>
      </c>
      <c r="BK613" s="3">
        <v>1</v>
      </c>
      <c r="BL613" s="3">
        <v>46.08</v>
      </c>
      <c r="BM613" s="3">
        <v>6.91</v>
      </c>
      <c r="BN613" s="3">
        <v>52.99</v>
      </c>
      <c r="BO613" s="3">
        <v>52.99</v>
      </c>
      <c r="BQ613" s="3" t="s">
        <v>89</v>
      </c>
      <c r="BR613" s="3" t="s">
        <v>84</v>
      </c>
      <c r="BS613" s="4">
        <v>44580</v>
      </c>
      <c r="BT613" s="5">
        <v>0.84166666666666667</v>
      </c>
      <c r="BU613" s="3" t="s">
        <v>986</v>
      </c>
      <c r="BV613" s="3" t="s">
        <v>87</v>
      </c>
      <c r="BW613" s="3" t="s">
        <v>376</v>
      </c>
      <c r="BX613" s="3" t="s">
        <v>618</v>
      </c>
      <c r="BY613" s="3">
        <v>1200</v>
      </c>
      <c r="BZ613" s="3" t="s">
        <v>165</v>
      </c>
      <c r="CA613" s="3" t="s">
        <v>635</v>
      </c>
      <c r="CC613" s="3" t="s">
        <v>465</v>
      </c>
      <c r="CD613" s="3">
        <v>1501</v>
      </c>
      <c r="CE613" s="3" t="s">
        <v>93</v>
      </c>
      <c r="CF613" s="4">
        <v>44581</v>
      </c>
      <c r="CI613" s="3">
        <v>1</v>
      </c>
      <c r="CJ613" s="3">
        <v>6</v>
      </c>
      <c r="CK613" s="3">
        <v>22</v>
      </c>
      <c r="CL613" s="3" t="s">
        <v>87</v>
      </c>
    </row>
    <row r="614" spans="1:90" x14ac:dyDescent="0.2">
      <c r="A614" s="3" t="s">
        <v>72</v>
      </c>
      <c r="B614" s="3" t="s">
        <v>73</v>
      </c>
      <c r="C614" s="3" t="s">
        <v>74</v>
      </c>
      <c r="E614" s="3" t="str">
        <f>"FES1162844634"</f>
        <v>FES1162844634</v>
      </c>
      <c r="F614" s="4">
        <v>44572</v>
      </c>
      <c r="G614" s="3">
        <v>202207</v>
      </c>
      <c r="H614" s="3" t="s">
        <v>75</v>
      </c>
      <c r="I614" s="3" t="s">
        <v>76</v>
      </c>
      <c r="J614" s="3" t="s">
        <v>77</v>
      </c>
      <c r="K614" s="3" t="s">
        <v>78</v>
      </c>
      <c r="L614" s="3" t="s">
        <v>90</v>
      </c>
      <c r="M614" s="3" t="s">
        <v>91</v>
      </c>
      <c r="N614" s="3" t="s">
        <v>157</v>
      </c>
      <c r="O614" s="3" t="s">
        <v>82</v>
      </c>
      <c r="P614" s="3" t="str">
        <f>"2170814031                    "</f>
        <v xml:space="preserve">2170814031                    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15.46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1</v>
      </c>
      <c r="BI614" s="3">
        <v>1</v>
      </c>
      <c r="BJ614" s="3">
        <v>0.2</v>
      </c>
      <c r="BK614" s="3">
        <v>1</v>
      </c>
      <c r="BL614" s="3">
        <v>59</v>
      </c>
      <c r="BM614" s="3">
        <v>8.85</v>
      </c>
      <c r="BN614" s="3">
        <v>67.849999999999994</v>
      </c>
      <c r="BO614" s="3">
        <v>67.849999999999994</v>
      </c>
      <c r="BQ614" s="3" t="s">
        <v>89</v>
      </c>
      <c r="BR614" s="3" t="s">
        <v>84</v>
      </c>
      <c r="BS614" s="4">
        <v>44573</v>
      </c>
      <c r="BT614" s="5">
        <v>0.35694444444444445</v>
      </c>
      <c r="BU614" s="3" t="s">
        <v>691</v>
      </c>
      <c r="BV614" s="3" t="s">
        <v>105</v>
      </c>
      <c r="BY614" s="3">
        <v>1200</v>
      </c>
      <c r="BZ614" s="3" t="s">
        <v>165</v>
      </c>
      <c r="CA614" s="3" t="s">
        <v>692</v>
      </c>
      <c r="CC614" s="3" t="s">
        <v>91</v>
      </c>
      <c r="CD614" s="3">
        <v>7441</v>
      </c>
      <c r="CE614" s="3" t="s">
        <v>93</v>
      </c>
      <c r="CF614" s="4">
        <v>44574</v>
      </c>
      <c r="CI614" s="3">
        <v>1</v>
      </c>
      <c r="CJ614" s="3">
        <v>1</v>
      </c>
      <c r="CK614" s="3">
        <v>21</v>
      </c>
      <c r="CL614" s="3" t="s">
        <v>87</v>
      </c>
    </row>
    <row r="615" spans="1:90" x14ac:dyDescent="0.2">
      <c r="A615" s="3" t="s">
        <v>72</v>
      </c>
      <c r="B615" s="3" t="s">
        <v>73</v>
      </c>
      <c r="C615" s="3" t="s">
        <v>74</v>
      </c>
      <c r="E615" s="3" t="str">
        <f>"FES1162844277"</f>
        <v>FES1162844277</v>
      </c>
      <c r="F615" s="4">
        <v>44571</v>
      </c>
      <c r="G615" s="3">
        <v>202207</v>
      </c>
      <c r="H615" s="3" t="s">
        <v>75</v>
      </c>
      <c r="I615" s="3" t="s">
        <v>76</v>
      </c>
      <c r="J615" s="3" t="s">
        <v>77</v>
      </c>
      <c r="K615" s="3" t="s">
        <v>78</v>
      </c>
      <c r="L615" s="3" t="s">
        <v>90</v>
      </c>
      <c r="M615" s="3" t="s">
        <v>91</v>
      </c>
      <c r="N615" s="3" t="s">
        <v>516</v>
      </c>
      <c r="O615" s="3" t="s">
        <v>82</v>
      </c>
      <c r="P615" s="3" t="str">
        <f>"2170808134                    "</f>
        <v xml:space="preserve">2170808134                    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15.46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0</v>
      </c>
      <c r="BG615" s="3">
        <v>0</v>
      </c>
      <c r="BH615" s="3">
        <v>1</v>
      </c>
      <c r="BI615" s="3">
        <v>1</v>
      </c>
      <c r="BJ615" s="3">
        <v>0.2</v>
      </c>
      <c r="BK615" s="3">
        <v>1</v>
      </c>
      <c r="BL615" s="3">
        <v>59</v>
      </c>
      <c r="BM615" s="3">
        <v>8.85</v>
      </c>
      <c r="BN615" s="3">
        <v>67.849999999999994</v>
      </c>
      <c r="BO615" s="3">
        <v>67.849999999999994</v>
      </c>
      <c r="BR615" s="3" t="s">
        <v>84</v>
      </c>
      <c r="BS615" s="4">
        <v>44572</v>
      </c>
      <c r="BT615" s="5">
        <v>0.3354166666666667</v>
      </c>
      <c r="BU615" s="3" t="s">
        <v>987</v>
      </c>
      <c r="BV615" s="3" t="s">
        <v>105</v>
      </c>
      <c r="BY615" s="3">
        <v>1200</v>
      </c>
      <c r="BZ615" s="3" t="s">
        <v>165</v>
      </c>
      <c r="CA615" s="3" t="s">
        <v>603</v>
      </c>
      <c r="CC615" s="3" t="s">
        <v>91</v>
      </c>
      <c r="CD615" s="3">
        <v>7945</v>
      </c>
      <c r="CE615" s="3" t="s">
        <v>93</v>
      </c>
      <c r="CF615" s="4">
        <v>44573</v>
      </c>
      <c r="CI615" s="3">
        <v>1</v>
      </c>
      <c r="CJ615" s="3">
        <v>1</v>
      </c>
      <c r="CK615" s="3">
        <v>21</v>
      </c>
      <c r="CL615" s="3" t="s">
        <v>87</v>
      </c>
    </row>
    <row r="616" spans="1:90" x14ac:dyDescent="0.2">
      <c r="A616" s="3" t="s">
        <v>72</v>
      </c>
      <c r="B616" s="3" t="s">
        <v>73</v>
      </c>
      <c r="C616" s="3" t="s">
        <v>74</v>
      </c>
      <c r="E616" s="3" t="str">
        <f>"FES1162844364"</f>
        <v>FES1162844364</v>
      </c>
      <c r="F616" s="4">
        <v>44571</v>
      </c>
      <c r="G616" s="3">
        <v>202207</v>
      </c>
      <c r="H616" s="3" t="s">
        <v>75</v>
      </c>
      <c r="I616" s="3" t="s">
        <v>76</v>
      </c>
      <c r="J616" s="3" t="s">
        <v>77</v>
      </c>
      <c r="K616" s="3" t="s">
        <v>78</v>
      </c>
      <c r="L616" s="3" t="s">
        <v>110</v>
      </c>
      <c r="M616" s="3" t="s">
        <v>110</v>
      </c>
      <c r="N616" s="3" t="s">
        <v>146</v>
      </c>
      <c r="O616" s="3" t="s">
        <v>82</v>
      </c>
      <c r="P616" s="3" t="str">
        <f>"2170814871                    "</f>
        <v xml:space="preserve">2170814871                    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29.95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3">
        <v>1</v>
      </c>
      <c r="BI616" s="3">
        <v>1</v>
      </c>
      <c r="BJ616" s="3">
        <v>0.2</v>
      </c>
      <c r="BK616" s="3">
        <v>1</v>
      </c>
      <c r="BL616" s="3">
        <v>114.31</v>
      </c>
      <c r="BM616" s="3">
        <v>17.149999999999999</v>
      </c>
      <c r="BN616" s="3">
        <v>131.46</v>
      </c>
      <c r="BO616" s="3">
        <v>131.46</v>
      </c>
      <c r="BQ616" s="3" t="s">
        <v>89</v>
      </c>
      <c r="BR616" s="3" t="s">
        <v>84</v>
      </c>
      <c r="BS616" s="4">
        <v>44572</v>
      </c>
      <c r="BT616" s="5">
        <v>0.46180555555555558</v>
      </c>
      <c r="BU616" s="3" t="s">
        <v>403</v>
      </c>
      <c r="BV616" s="3" t="s">
        <v>105</v>
      </c>
      <c r="BY616" s="3">
        <v>1200</v>
      </c>
      <c r="BZ616" s="3" t="s">
        <v>165</v>
      </c>
      <c r="CA616" s="3" t="s">
        <v>360</v>
      </c>
      <c r="CC616" s="3" t="s">
        <v>110</v>
      </c>
      <c r="CD616" s="3">
        <v>7646</v>
      </c>
      <c r="CE616" s="3" t="s">
        <v>93</v>
      </c>
      <c r="CF616" s="4">
        <v>44573</v>
      </c>
      <c r="CI616" s="3">
        <v>1</v>
      </c>
      <c r="CJ616" s="3">
        <v>1</v>
      </c>
      <c r="CK616" s="3">
        <v>23</v>
      </c>
      <c r="CL616" s="3" t="s">
        <v>87</v>
      </c>
    </row>
    <row r="617" spans="1:90" x14ac:dyDescent="0.2">
      <c r="A617" s="3" t="s">
        <v>72</v>
      </c>
      <c r="B617" s="3" t="s">
        <v>73</v>
      </c>
      <c r="C617" s="3" t="s">
        <v>74</v>
      </c>
      <c r="E617" s="3" t="str">
        <f>"FES1162844379"</f>
        <v>FES1162844379</v>
      </c>
      <c r="F617" s="4">
        <v>44571</v>
      </c>
      <c r="G617" s="3">
        <v>202207</v>
      </c>
      <c r="H617" s="3" t="s">
        <v>75</v>
      </c>
      <c r="I617" s="3" t="s">
        <v>76</v>
      </c>
      <c r="J617" s="3" t="s">
        <v>77</v>
      </c>
      <c r="K617" s="3" t="s">
        <v>78</v>
      </c>
      <c r="L617" s="3" t="s">
        <v>94</v>
      </c>
      <c r="M617" s="3" t="s">
        <v>95</v>
      </c>
      <c r="N617" s="3" t="s">
        <v>179</v>
      </c>
      <c r="O617" s="3" t="s">
        <v>82</v>
      </c>
      <c r="P617" s="3" t="str">
        <f>"2170815041                    "</f>
        <v xml:space="preserve">2170815041                    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15.46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1</v>
      </c>
      <c r="BI617" s="3">
        <v>2</v>
      </c>
      <c r="BJ617" s="3">
        <v>1.1000000000000001</v>
      </c>
      <c r="BK617" s="3">
        <v>2</v>
      </c>
      <c r="BL617" s="3">
        <v>59</v>
      </c>
      <c r="BM617" s="3">
        <v>8.85</v>
      </c>
      <c r="BN617" s="3">
        <v>67.849999999999994</v>
      </c>
      <c r="BO617" s="3">
        <v>67.849999999999994</v>
      </c>
      <c r="BQ617" s="3" t="s">
        <v>83</v>
      </c>
      <c r="BR617" s="3" t="s">
        <v>84</v>
      </c>
      <c r="BS617" s="4">
        <v>44572</v>
      </c>
      <c r="BT617" s="5">
        <v>0.4826388888888889</v>
      </c>
      <c r="BU617" s="3" t="s">
        <v>988</v>
      </c>
      <c r="BV617" s="3" t="s">
        <v>87</v>
      </c>
      <c r="BW617" s="3" t="s">
        <v>453</v>
      </c>
      <c r="BX617" s="3" t="s">
        <v>279</v>
      </c>
      <c r="BY617" s="3">
        <v>5320</v>
      </c>
      <c r="BZ617" s="3" t="s">
        <v>165</v>
      </c>
      <c r="CA617" s="3" t="s">
        <v>328</v>
      </c>
      <c r="CC617" s="3" t="s">
        <v>95</v>
      </c>
      <c r="CD617" s="3">
        <v>3201</v>
      </c>
      <c r="CE617" s="3" t="s">
        <v>86</v>
      </c>
      <c r="CF617" s="4">
        <v>44574</v>
      </c>
      <c r="CI617" s="3">
        <v>1</v>
      </c>
      <c r="CJ617" s="3">
        <v>1</v>
      </c>
      <c r="CK617" s="3">
        <v>21</v>
      </c>
      <c r="CL617" s="3" t="s">
        <v>87</v>
      </c>
    </row>
    <row r="618" spans="1:90" x14ac:dyDescent="0.2">
      <c r="A618" s="3" t="s">
        <v>72</v>
      </c>
      <c r="B618" s="3" t="s">
        <v>73</v>
      </c>
      <c r="C618" s="3" t="s">
        <v>74</v>
      </c>
      <c r="E618" s="3" t="str">
        <f>"FES1162844373"</f>
        <v>FES1162844373</v>
      </c>
      <c r="F618" s="4">
        <v>44571</v>
      </c>
      <c r="G618" s="3">
        <v>202207</v>
      </c>
      <c r="H618" s="3" t="s">
        <v>75</v>
      </c>
      <c r="I618" s="3" t="s">
        <v>76</v>
      </c>
      <c r="J618" s="3" t="s">
        <v>77</v>
      </c>
      <c r="K618" s="3" t="s">
        <v>78</v>
      </c>
      <c r="L618" s="3" t="s">
        <v>79</v>
      </c>
      <c r="M618" s="3" t="s">
        <v>80</v>
      </c>
      <c r="N618" s="3" t="s">
        <v>390</v>
      </c>
      <c r="O618" s="3" t="s">
        <v>82</v>
      </c>
      <c r="P618" s="3" t="str">
        <f>"2170814971                    "</f>
        <v xml:space="preserve">2170814971                    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23.18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1</v>
      </c>
      <c r="BI618" s="3">
        <v>3</v>
      </c>
      <c r="BJ618" s="3">
        <v>2</v>
      </c>
      <c r="BK618" s="3">
        <v>3</v>
      </c>
      <c r="BL618" s="3">
        <v>88.48</v>
      </c>
      <c r="BM618" s="3">
        <v>13.27</v>
      </c>
      <c r="BN618" s="3">
        <v>101.75</v>
      </c>
      <c r="BO618" s="3">
        <v>101.75</v>
      </c>
      <c r="BR618" s="3" t="s">
        <v>84</v>
      </c>
      <c r="BS618" s="4">
        <v>44572</v>
      </c>
      <c r="BT618" s="5">
        <v>0.43055555555555558</v>
      </c>
      <c r="BU618" s="3" t="s">
        <v>391</v>
      </c>
      <c r="BV618" s="3" t="s">
        <v>105</v>
      </c>
      <c r="BY618" s="3">
        <v>9918</v>
      </c>
      <c r="BZ618" s="3" t="s">
        <v>165</v>
      </c>
      <c r="CA618" s="3" t="s">
        <v>366</v>
      </c>
      <c r="CC618" s="3" t="s">
        <v>80</v>
      </c>
      <c r="CD618" s="3">
        <v>200</v>
      </c>
      <c r="CE618" s="3" t="s">
        <v>86</v>
      </c>
      <c r="CF618" s="4">
        <v>44572</v>
      </c>
      <c r="CI618" s="3">
        <v>1</v>
      </c>
      <c r="CJ618" s="3">
        <v>1</v>
      </c>
      <c r="CK618" s="3">
        <v>21</v>
      </c>
      <c r="CL618" s="3" t="s">
        <v>87</v>
      </c>
    </row>
    <row r="619" spans="1:90" x14ac:dyDescent="0.2">
      <c r="A619" s="3" t="s">
        <v>72</v>
      </c>
      <c r="B619" s="3" t="s">
        <v>73</v>
      </c>
      <c r="C619" s="3" t="s">
        <v>74</v>
      </c>
      <c r="E619" s="3" t="str">
        <f>"FES1162844371"</f>
        <v>FES1162844371</v>
      </c>
      <c r="F619" s="4">
        <v>44571</v>
      </c>
      <c r="G619" s="3">
        <v>202207</v>
      </c>
      <c r="H619" s="3" t="s">
        <v>75</v>
      </c>
      <c r="I619" s="3" t="s">
        <v>76</v>
      </c>
      <c r="J619" s="3" t="s">
        <v>77</v>
      </c>
      <c r="K619" s="3" t="s">
        <v>78</v>
      </c>
      <c r="L619" s="3" t="s">
        <v>171</v>
      </c>
      <c r="M619" s="3" t="s">
        <v>172</v>
      </c>
      <c r="N619" s="3" t="s">
        <v>539</v>
      </c>
      <c r="O619" s="3" t="s">
        <v>82</v>
      </c>
      <c r="P619" s="3" t="str">
        <f>"2170814928                    "</f>
        <v xml:space="preserve">2170814928                    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15.46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1</v>
      </c>
      <c r="BI619" s="3">
        <v>1</v>
      </c>
      <c r="BJ619" s="3">
        <v>0.2</v>
      </c>
      <c r="BK619" s="3">
        <v>1</v>
      </c>
      <c r="BL619" s="3">
        <v>59</v>
      </c>
      <c r="BM619" s="3">
        <v>8.85</v>
      </c>
      <c r="BN619" s="3">
        <v>67.849999999999994</v>
      </c>
      <c r="BO619" s="3">
        <v>67.849999999999994</v>
      </c>
      <c r="BQ619" s="3" t="s">
        <v>83</v>
      </c>
      <c r="BR619" s="3" t="s">
        <v>84</v>
      </c>
      <c r="BS619" s="4">
        <v>44572</v>
      </c>
      <c r="BT619" s="5">
        <v>0.43611111111111112</v>
      </c>
      <c r="BU619" s="3" t="s">
        <v>540</v>
      </c>
      <c r="BV619" s="3" t="s">
        <v>105</v>
      </c>
      <c r="BY619" s="3">
        <v>1200</v>
      </c>
      <c r="BZ619" s="3" t="s">
        <v>165</v>
      </c>
      <c r="CA619" s="3" t="s">
        <v>263</v>
      </c>
      <c r="CC619" s="3" t="s">
        <v>172</v>
      </c>
      <c r="CD619" s="3">
        <v>6012</v>
      </c>
      <c r="CE619" s="3" t="s">
        <v>93</v>
      </c>
      <c r="CF619" s="4">
        <v>44572</v>
      </c>
      <c r="CI619" s="3">
        <v>1</v>
      </c>
      <c r="CJ619" s="3">
        <v>1</v>
      </c>
      <c r="CK619" s="3">
        <v>21</v>
      </c>
      <c r="CL619" s="3" t="s">
        <v>87</v>
      </c>
    </row>
    <row r="620" spans="1:90" x14ac:dyDescent="0.2">
      <c r="A620" s="3" t="s">
        <v>72</v>
      </c>
      <c r="B620" s="3" t="s">
        <v>73</v>
      </c>
      <c r="C620" s="3" t="s">
        <v>74</v>
      </c>
      <c r="E620" s="3" t="str">
        <f>"FES1162844347"</f>
        <v>FES1162844347</v>
      </c>
      <c r="F620" s="4">
        <v>44571</v>
      </c>
      <c r="G620" s="3">
        <v>202207</v>
      </c>
      <c r="H620" s="3" t="s">
        <v>75</v>
      </c>
      <c r="I620" s="3" t="s">
        <v>76</v>
      </c>
      <c r="J620" s="3" t="s">
        <v>77</v>
      </c>
      <c r="K620" s="3" t="s">
        <v>78</v>
      </c>
      <c r="L620" s="3" t="s">
        <v>138</v>
      </c>
      <c r="M620" s="3" t="s">
        <v>139</v>
      </c>
      <c r="N620" s="3" t="s">
        <v>152</v>
      </c>
      <c r="O620" s="3" t="s">
        <v>82</v>
      </c>
      <c r="P620" s="3" t="str">
        <f>"2170814750                    "</f>
        <v xml:space="preserve">2170814750                    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15.46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1</v>
      </c>
      <c r="BI620" s="3">
        <v>2</v>
      </c>
      <c r="BJ620" s="3">
        <v>1.5</v>
      </c>
      <c r="BK620" s="3">
        <v>2</v>
      </c>
      <c r="BL620" s="3">
        <v>59</v>
      </c>
      <c r="BM620" s="3">
        <v>8.85</v>
      </c>
      <c r="BN620" s="3">
        <v>67.849999999999994</v>
      </c>
      <c r="BO620" s="3">
        <v>67.849999999999994</v>
      </c>
      <c r="BQ620" s="3" t="s">
        <v>83</v>
      </c>
      <c r="BR620" s="3" t="s">
        <v>84</v>
      </c>
      <c r="BS620" s="4">
        <v>44572</v>
      </c>
      <c r="BT620" s="5">
        <v>0.39097222222222222</v>
      </c>
      <c r="BU620" s="3" t="s">
        <v>302</v>
      </c>
      <c r="BV620" s="3" t="s">
        <v>105</v>
      </c>
      <c r="BY620" s="3">
        <v>7540</v>
      </c>
      <c r="BZ620" s="3" t="s">
        <v>165</v>
      </c>
      <c r="CA620" s="3" t="s">
        <v>303</v>
      </c>
      <c r="CC620" s="3" t="s">
        <v>139</v>
      </c>
      <c r="CD620" s="3">
        <v>3610</v>
      </c>
      <c r="CE620" s="3" t="s">
        <v>86</v>
      </c>
      <c r="CF620" s="4">
        <v>44572</v>
      </c>
      <c r="CI620" s="3">
        <v>1</v>
      </c>
      <c r="CJ620" s="3">
        <v>1</v>
      </c>
      <c r="CK620" s="3">
        <v>21</v>
      </c>
      <c r="CL620" s="3" t="s">
        <v>87</v>
      </c>
    </row>
    <row r="621" spans="1:90" x14ac:dyDescent="0.2">
      <c r="A621" s="3" t="s">
        <v>72</v>
      </c>
      <c r="B621" s="3" t="s">
        <v>73</v>
      </c>
      <c r="C621" s="3" t="s">
        <v>74</v>
      </c>
      <c r="E621" s="3" t="str">
        <f>"FES1162844401"</f>
        <v>FES1162844401</v>
      </c>
      <c r="F621" s="4">
        <v>44571</v>
      </c>
      <c r="G621" s="3">
        <v>202207</v>
      </c>
      <c r="H621" s="3" t="s">
        <v>75</v>
      </c>
      <c r="I621" s="3" t="s">
        <v>76</v>
      </c>
      <c r="J621" s="3" t="s">
        <v>77</v>
      </c>
      <c r="K621" s="3" t="s">
        <v>78</v>
      </c>
      <c r="L621" s="3" t="s">
        <v>989</v>
      </c>
      <c r="M621" s="3" t="s">
        <v>990</v>
      </c>
      <c r="N621" s="3" t="s">
        <v>337</v>
      </c>
      <c r="O621" s="3" t="s">
        <v>82</v>
      </c>
      <c r="P621" s="3" t="str">
        <f>"2170815933                    "</f>
        <v xml:space="preserve">2170815933                    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15.46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1</v>
      </c>
      <c r="BI621" s="3">
        <v>1</v>
      </c>
      <c r="BJ621" s="3">
        <v>0.2</v>
      </c>
      <c r="BK621" s="3">
        <v>1</v>
      </c>
      <c r="BL621" s="3">
        <v>59</v>
      </c>
      <c r="BM621" s="3">
        <v>8.85</v>
      </c>
      <c r="BN621" s="3">
        <v>67.849999999999994</v>
      </c>
      <c r="BO621" s="3">
        <v>67.849999999999994</v>
      </c>
      <c r="BR621" s="3" t="s">
        <v>84</v>
      </c>
      <c r="BS621" s="4">
        <v>44572</v>
      </c>
      <c r="BT621" s="5">
        <v>0.35833333333333334</v>
      </c>
      <c r="BU621" s="3" t="s">
        <v>991</v>
      </c>
      <c r="BV621" s="3" t="s">
        <v>105</v>
      </c>
      <c r="BY621" s="3">
        <v>1200</v>
      </c>
      <c r="BZ621" s="3" t="s">
        <v>165</v>
      </c>
      <c r="CA621" s="3" t="s">
        <v>992</v>
      </c>
      <c r="CC621" s="3" t="s">
        <v>990</v>
      </c>
      <c r="CD621" s="3">
        <v>700</v>
      </c>
      <c r="CE621" s="3" t="s">
        <v>93</v>
      </c>
      <c r="CF621" s="4">
        <v>44572</v>
      </c>
      <c r="CI621" s="3">
        <v>1</v>
      </c>
      <c r="CJ621" s="3">
        <v>1</v>
      </c>
      <c r="CK621" s="3">
        <v>21</v>
      </c>
      <c r="CL621" s="3" t="s">
        <v>87</v>
      </c>
    </row>
    <row r="622" spans="1:90" x14ac:dyDescent="0.2">
      <c r="A622" s="3" t="s">
        <v>72</v>
      </c>
      <c r="B622" s="3" t="s">
        <v>73</v>
      </c>
      <c r="C622" s="3" t="s">
        <v>74</v>
      </c>
      <c r="E622" s="3" t="str">
        <f>"FES1162844241"</f>
        <v>FES1162844241</v>
      </c>
      <c r="F622" s="4">
        <v>44571</v>
      </c>
      <c r="G622" s="3">
        <v>202207</v>
      </c>
      <c r="H622" s="3" t="s">
        <v>75</v>
      </c>
      <c r="I622" s="3" t="s">
        <v>76</v>
      </c>
      <c r="J622" s="3" t="s">
        <v>77</v>
      </c>
      <c r="K622" s="3" t="s">
        <v>78</v>
      </c>
      <c r="L622" s="3" t="s">
        <v>993</v>
      </c>
      <c r="M622" s="3" t="s">
        <v>994</v>
      </c>
      <c r="N622" s="3" t="s">
        <v>995</v>
      </c>
      <c r="O622" s="3" t="s">
        <v>148</v>
      </c>
      <c r="P622" s="3" t="str">
        <f>"2170815987                    "</f>
        <v xml:space="preserve">2170815987                    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50.78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1</v>
      </c>
      <c r="BI622" s="3">
        <v>14</v>
      </c>
      <c r="BJ622" s="3">
        <v>18.3</v>
      </c>
      <c r="BK622" s="3">
        <v>19</v>
      </c>
      <c r="BL622" s="3">
        <v>199.06</v>
      </c>
      <c r="BM622" s="3">
        <v>29.86</v>
      </c>
      <c r="BN622" s="3">
        <v>228.92</v>
      </c>
      <c r="BO622" s="3">
        <v>228.92</v>
      </c>
      <c r="BR622" s="3" t="s">
        <v>84</v>
      </c>
      <c r="BS622" s="4">
        <v>44572</v>
      </c>
      <c r="BT622" s="5">
        <v>0.42291666666666666</v>
      </c>
      <c r="BU622" s="3" t="s">
        <v>996</v>
      </c>
      <c r="BV622" s="3" t="s">
        <v>105</v>
      </c>
      <c r="BY622" s="3">
        <v>91264</v>
      </c>
      <c r="BZ622" s="3" t="s">
        <v>327</v>
      </c>
      <c r="CA622" s="3" t="s">
        <v>997</v>
      </c>
      <c r="CC622" s="3" t="s">
        <v>994</v>
      </c>
      <c r="CD622" s="3">
        <v>850</v>
      </c>
      <c r="CE622" s="3" t="s">
        <v>86</v>
      </c>
      <c r="CF622" s="4">
        <v>44572</v>
      </c>
      <c r="CI622" s="3">
        <v>1</v>
      </c>
      <c r="CJ622" s="3">
        <v>1</v>
      </c>
      <c r="CK622" s="3">
        <v>43</v>
      </c>
      <c r="CL622" s="3" t="s">
        <v>87</v>
      </c>
    </row>
    <row r="623" spans="1:90" x14ac:dyDescent="0.2">
      <c r="A623" s="3" t="s">
        <v>72</v>
      </c>
      <c r="B623" s="3" t="s">
        <v>73</v>
      </c>
      <c r="C623" s="3" t="s">
        <v>74</v>
      </c>
      <c r="E623" s="3" t="str">
        <f>"FES1162844317"</f>
        <v>FES1162844317</v>
      </c>
      <c r="F623" s="4">
        <v>44571</v>
      </c>
      <c r="G623" s="3">
        <v>202207</v>
      </c>
      <c r="H623" s="3" t="s">
        <v>75</v>
      </c>
      <c r="I623" s="3" t="s">
        <v>76</v>
      </c>
      <c r="J623" s="3" t="s">
        <v>77</v>
      </c>
      <c r="K623" s="3" t="s">
        <v>78</v>
      </c>
      <c r="L623" s="3" t="s">
        <v>184</v>
      </c>
      <c r="M623" s="3" t="s">
        <v>185</v>
      </c>
      <c r="N623" s="3" t="s">
        <v>234</v>
      </c>
      <c r="O623" s="3" t="s">
        <v>82</v>
      </c>
      <c r="P623" s="3" t="str">
        <f>"2170814478                    "</f>
        <v xml:space="preserve">2170814478                    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15.46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1</v>
      </c>
      <c r="BI623" s="3">
        <v>1</v>
      </c>
      <c r="BJ623" s="3">
        <v>0.2</v>
      </c>
      <c r="BK623" s="3">
        <v>1</v>
      </c>
      <c r="BL623" s="3">
        <v>59</v>
      </c>
      <c r="BM623" s="3">
        <v>8.85</v>
      </c>
      <c r="BN623" s="3">
        <v>67.849999999999994</v>
      </c>
      <c r="BO623" s="3">
        <v>67.849999999999994</v>
      </c>
      <c r="BQ623" s="3" t="s">
        <v>89</v>
      </c>
      <c r="BR623" s="3" t="s">
        <v>84</v>
      </c>
      <c r="BS623" s="4">
        <v>44572</v>
      </c>
      <c r="BT623" s="5">
        <v>0.37847222222222227</v>
      </c>
      <c r="BU623" s="3" t="s">
        <v>998</v>
      </c>
      <c r="BV623" s="3" t="s">
        <v>105</v>
      </c>
      <c r="BY623" s="3">
        <v>1200</v>
      </c>
      <c r="BZ623" s="3" t="s">
        <v>165</v>
      </c>
      <c r="CA623" s="3" t="s">
        <v>612</v>
      </c>
      <c r="CC623" s="3" t="s">
        <v>185</v>
      </c>
      <c r="CD623" s="3">
        <v>5201</v>
      </c>
      <c r="CE623" s="3" t="s">
        <v>93</v>
      </c>
      <c r="CF623" s="4">
        <v>44572</v>
      </c>
      <c r="CI623" s="3">
        <v>1</v>
      </c>
      <c r="CJ623" s="3">
        <v>1</v>
      </c>
      <c r="CK623" s="3">
        <v>21</v>
      </c>
      <c r="CL623" s="3" t="s">
        <v>87</v>
      </c>
    </row>
    <row r="624" spans="1:90" x14ac:dyDescent="0.2">
      <c r="A624" s="3" t="s">
        <v>72</v>
      </c>
      <c r="B624" s="3" t="s">
        <v>73</v>
      </c>
      <c r="C624" s="3" t="s">
        <v>74</v>
      </c>
      <c r="E624" s="3" t="str">
        <f>"FES1162844294"</f>
        <v>FES1162844294</v>
      </c>
      <c r="F624" s="4">
        <v>44571</v>
      </c>
      <c r="G624" s="3">
        <v>202207</v>
      </c>
      <c r="H624" s="3" t="s">
        <v>75</v>
      </c>
      <c r="I624" s="3" t="s">
        <v>76</v>
      </c>
      <c r="J624" s="3" t="s">
        <v>77</v>
      </c>
      <c r="K624" s="3" t="s">
        <v>78</v>
      </c>
      <c r="L624" s="3" t="s">
        <v>101</v>
      </c>
      <c r="M624" s="3" t="s">
        <v>102</v>
      </c>
      <c r="N624" s="3" t="s">
        <v>272</v>
      </c>
      <c r="O624" s="3" t="s">
        <v>82</v>
      </c>
      <c r="P624" s="3" t="str">
        <f>"2170811675                    "</f>
        <v xml:space="preserve">2170811675                    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15.46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1</v>
      </c>
      <c r="BI624" s="3">
        <v>1</v>
      </c>
      <c r="BJ624" s="3">
        <v>2</v>
      </c>
      <c r="BK624" s="3">
        <v>2</v>
      </c>
      <c r="BL624" s="3">
        <v>59</v>
      </c>
      <c r="BM624" s="3">
        <v>8.85</v>
      </c>
      <c r="BN624" s="3">
        <v>67.849999999999994</v>
      </c>
      <c r="BO624" s="3">
        <v>67.849999999999994</v>
      </c>
      <c r="BQ624" s="3" t="s">
        <v>273</v>
      </c>
      <c r="BR624" s="3" t="s">
        <v>84</v>
      </c>
      <c r="BS624" s="4">
        <v>44572</v>
      </c>
      <c r="BT624" s="5">
        <v>0.3840277777777778</v>
      </c>
      <c r="BU624" s="3" t="s">
        <v>274</v>
      </c>
      <c r="BV624" s="3" t="s">
        <v>105</v>
      </c>
      <c r="BY624" s="3">
        <v>9918</v>
      </c>
      <c r="BZ624" s="3" t="s">
        <v>165</v>
      </c>
      <c r="CA624" s="3" t="s">
        <v>275</v>
      </c>
      <c r="CC624" s="3" t="s">
        <v>102</v>
      </c>
      <c r="CD624" s="3">
        <v>4000</v>
      </c>
      <c r="CE624" s="3" t="s">
        <v>86</v>
      </c>
      <c r="CF624" s="4">
        <v>44572</v>
      </c>
      <c r="CI624" s="3">
        <v>1</v>
      </c>
      <c r="CJ624" s="3">
        <v>1</v>
      </c>
      <c r="CK624" s="3">
        <v>21</v>
      </c>
      <c r="CL624" s="3" t="s">
        <v>87</v>
      </c>
    </row>
    <row r="625" spans="1:90" x14ac:dyDescent="0.2">
      <c r="A625" s="3" t="s">
        <v>72</v>
      </c>
      <c r="B625" s="3" t="s">
        <v>73</v>
      </c>
      <c r="C625" s="3" t="s">
        <v>74</v>
      </c>
      <c r="E625" s="3" t="str">
        <f>"FES1162844601"</f>
        <v>FES1162844601</v>
      </c>
      <c r="F625" s="4">
        <v>44572</v>
      </c>
      <c r="G625" s="3">
        <v>202207</v>
      </c>
      <c r="H625" s="3" t="s">
        <v>75</v>
      </c>
      <c r="I625" s="3" t="s">
        <v>76</v>
      </c>
      <c r="J625" s="3" t="s">
        <v>77</v>
      </c>
      <c r="K625" s="3" t="s">
        <v>78</v>
      </c>
      <c r="L625" s="3" t="s">
        <v>90</v>
      </c>
      <c r="M625" s="3" t="s">
        <v>91</v>
      </c>
      <c r="N625" s="3" t="s">
        <v>157</v>
      </c>
      <c r="O625" s="3" t="s">
        <v>82</v>
      </c>
      <c r="P625" s="3" t="str">
        <f>"2170815220                    "</f>
        <v xml:space="preserve">2170815220                    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30.91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0</v>
      </c>
      <c r="AZ625" s="3">
        <v>0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1</v>
      </c>
      <c r="BI625" s="3">
        <v>4</v>
      </c>
      <c r="BJ625" s="3">
        <v>2</v>
      </c>
      <c r="BK625" s="3">
        <v>4</v>
      </c>
      <c r="BL625" s="3">
        <v>117.97</v>
      </c>
      <c r="BM625" s="3">
        <v>17.7</v>
      </c>
      <c r="BN625" s="3">
        <v>135.66999999999999</v>
      </c>
      <c r="BO625" s="3">
        <v>135.66999999999999</v>
      </c>
      <c r="BQ625" s="3" t="s">
        <v>89</v>
      </c>
      <c r="BR625" s="3" t="s">
        <v>84</v>
      </c>
      <c r="BS625" s="4">
        <v>44573</v>
      </c>
      <c r="BT625" s="5">
        <v>0.35694444444444445</v>
      </c>
      <c r="BU625" s="3" t="s">
        <v>693</v>
      </c>
      <c r="BV625" s="3" t="s">
        <v>105</v>
      </c>
      <c r="BY625" s="3">
        <v>9918</v>
      </c>
      <c r="BZ625" s="3" t="s">
        <v>165</v>
      </c>
      <c r="CA625" s="3" t="s">
        <v>289</v>
      </c>
      <c r="CC625" s="3" t="s">
        <v>91</v>
      </c>
      <c r="CD625" s="3">
        <v>7441</v>
      </c>
      <c r="CE625" s="3" t="s">
        <v>86</v>
      </c>
      <c r="CF625" s="4">
        <v>44579</v>
      </c>
      <c r="CI625" s="3">
        <v>1</v>
      </c>
      <c r="CJ625" s="3">
        <v>1</v>
      </c>
      <c r="CK625" s="3">
        <v>21</v>
      </c>
      <c r="CL625" s="3" t="s">
        <v>87</v>
      </c>
    </row>
    <row r="626" spans="1:90" x14ac:dyDescent="0.2">
      <c r="A626" s="3" t="s">
        <v>72</v>
      </c>
      <c r="B626" s="3" t="s">
        <v>73</v>
      </c>
      <c r="C626" s="3" t="s">
        <v>74</v>
      </c>
      <c r="E626" s="3" t="str">
        <f>"FES1162845040"</f>
        <v>FES1162845040</v>
      </c>
      <c r="F626" s="4">
        <v>44574</v>
      </c>
      <c r="G626" s="3">
        <v>202207</v>
      </c>
      <c r="H626" s="3" t="s">
        <v>75</v>
      </c>
      <c r="I626" s="3" t="s">
        <v>76</v>
      </c>
      <c r="J626" s="3" t="s">
        <v>77</v>
      </c>
      <c r="K626" s="3" t="s">
        <v>78</v>
      </c>
      <c r="L626" s="3" t="s">
        <v>171</v>
      </c>
      <c r="M626" s="3" t="s">
        <v>172</v>
      </c>
      <c r="N626" s="3" t="s">
        <v>200</v>
      </c>
      <c r="O626" s="3" t="s">
        <v>82</v>
      </c>
      <c r="P626" s="3" t="str">
        <f>"2170816594                    "</f>
        <v xml:space="preserve">2170816594                    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15.46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1</v>
      </c>
      <c r="BI626" s="3">
        <v>1</v>
      </c>
      <c r="BJ626" s="3">
        <v>0.2</v>
      </c>
      <c r="BK626" s="3">
        <v>1</v>
      </c>
      <c r="BL626" s="3">
        <v>59</v>
      </c>
      <c r="BM626" s="3">
        <v>8.85</v>
      </c>
      <c r="BN626" s="3">
        <v>67.849999999999994</v>
      </c>
      <c r="BO626" s="3">
        <v>67.849999999999994</v>
      </c>
      <c r="BQ626" s="3" t="s">
        <v>89</v>
      </c>
      <c r="BR626" s="3" t="s">
        <v>84</v>
      </c>
      <c r="BS626" s="4">
        <v>44575</v>
      </c>
      <c r="BT626" s="5">
        <v>0.3666666666666667</v>
      </c>
      <c r="BU626" s="3" t="s">
        <v>908</v>
      </c>
      <c r="BV626" s="3" t="s">
        <v>105</v>
      </c>
      <c r="BY626" s="3">
        <v>1200</v>
      </c>
      <c r="BZ626" s="3" t="s">
        <v>165</v>
      </c>
      <c r="CA626" s="3" t="s">
        <v>814</v>
      </c>
      <c r="CC626" s="3" t="s">
        <v>172</v>
      </c>
      <c r="CD626" s="3">
        <v>6001</v>
      </c>
      <c r="CE626" s="3" t="s">
        <v>93</v>
      </c>
      <c r="CF626" s="4">
        <v>44575</v>
      </c>
      <c r="CI626" s="3">
        <v>1</v>
      </c>
      <c r="CJ626" s="3">
        <v>1</v>
      </c>
      <c r="CK626" s="3">
        <v>21</v>
      </c>
      <c r="CL626" s="3" t="s">
        <v>87</v>
      </c>
    </row>
    <row r="627" spans="1:90" x14ac:dyDescent="0.2">
      <c r="A627" s="3" t="s">
        <v>72</v>
      </c>
      <c r="B627" s="3" t="s">
        <v>73</v>
      </c>
      <c r="C627" s="3" t="s">
        <v>74</v>
      </c>
      <c r="E627" s="3" t="str">
        <f>"FES1162844858"</f>
        <v>FES1162844858</v>
      </c>
      <c r="F627" s="4">
        <v>44574</v>
      </c>
      <c r="G627" s="3">
        <v>202207</v>
      </c>
      <c r="H627" s="3" t="s">
        <v>75</v>
      </c>
      <c r="I627" s="3" t="s">
        <v>76</v>
      </c>
      <c r="J627" s="3" t="s">
        <v>77</v>
      </c>
      <c r="K627" s="3" t="s">
        <v>78</v>
      </c>
      <c r="L627" s="3" t="s">
        <v>195</v>
      </c>
      <c r="M627" s="3" t="s">
        <v>196</v>
      </c>
      <c r="N627" s="3" t="s">
        <v>999</v>
      </c>
      <c r="O627" s="3" t="s">
        <v>82</v>
      </c>
      <c r="P627" s="3" t="str">
        <f>"2170816411                    "</f>
        <v xml:space="preserve">2170816411                    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15.46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1</v>
      </c>
      <c r="BI627" s="3">
        <v>2</v>
      </c>
      <c r="BJ627" s="3">
        <v>2</v>
      </c>
      <c r="BK627" s="3">
        <v>2</v>
      </c>
      <c r="BL627" s="3">
        <v>59</v>
      </c>
      <c r="BM627" s="3">
        <v>8.85</v>
      </c>
      <c r="BN627" s="3">
        <v>67.849999999999994</v>
      </c>
      <c r="BO627" s="3">
        <v>67.849999999999994</v>
      </c>
      <c r="BQ627" s="3" t="s">
        <v>1000</v>
      </c>
      <c r="BR627" s="3" t="s">
        <v>84</v>
      </c>
      <c r="BS627" s="4">
        <v>44575</v>
      </c>
      <c r="BT627" s="5">
        <v>0.37152777777777773</v>
      </c>
      <c r="BU627" s="3" t="s">
        <v>1001</v>
      </c>
      <c r="BV627" s="3" t="s">
        <v>105</v>
      </c>
      <c r="BY627" s="3">
        <v>9900</v>
      </c>
      <c r="BZ627" s="3" t="s">
        <v>165</v>
      </c>
      <c r="CA627" s="3" t="s">
        <v>571</v>
      </c>
      <c r="CC627" s="3" t="s">
        <v>196</v>
      </c>
      <c r="CD627" s="3">
        <v>4300</v>
      </c>
      <c r="CE627" s="3" t="s">
        <v>86</v>
      </c>
      <c r="CF627" s="4">
        <v>44578</v>
      </c>
      <c r="CI627" s="3">
        <v>1</v>
      </c>
      <c r="CJ627" s="3">
        <v>1</v>
      </c>
      <c r="CK627" s="3">
        <v>21</v>
      </c>
      <c r="CL627" s="3" t="s">
        <v>87</v>
      </c>
    </row>
    <row r="628" spans="1:90" x14ac:dyDescent="0.2">
      <c r="A628" s="3" t="s">
        <v>72</v>
      </c>
      <c r="B628" s="3" t="s">
        <v>73</v>
      </c>
      <c r="C628" s="3" t="s">
        <v>74</v>
      </c>
      <c r="E628" s="3" t="str">
        <f>"FES1162844974"</f>
        <v>FES1162844974</v>
      </c>
      <c r="F628" s="4">
        <v>44574</v>
      </c>
      <c r="G628" s="3">
        <v>202207</v>
      </c>
      <c r="H628" s="3" t="s">
        <v>75</v>
      </c>
      <c r="I628" s="3" t="s">
        <v>76</v>
      </c>
      <c r="J628" s="3" t="s">
        <v>77</v>
      </c>
      <c r="K628" s="3" t="s">
        <v>78</v>
      </c>
      <c r="L628" s="3" t="s">
        <v>94</v>
      </c>
      <c r="M628" s="3" t="s">
        <v>95</v>
      </c>
      <c r="N628" s="3" t="s">
        <v>96</v>
      </c>
      <c r="O628" s="3" t="s">
        <v>82</v>
      </c>
      <c r="P628" s="3" t="str">
        <f>"2170816526                    "</f>
        <v xml:space="preserve">2170816526                    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15.46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1</v>
      </c>
      <c r="BI628" s="3">
        <v>2</v>
      </c>
      <c r="BJ628" s="3">
        <v>1.5</v>
      </c>
      <c r="BK628" s="3">
        <v>2</v>
      </c>
      <c r="BL628" s="3">
        <v>59</v>
      </c>
      <c r="BM628" s="3">
        <v>8.85</v>
      </c>
      <c r="BN628" s="3">
        <v>67.849999999999994</v>
      </c>
      <c r="BO628" s="3">
        <v>67.849999999999994</v>
      </c>
      <c r="BQ628" s="3" t="s">
        <v>89</v>
      </c>
      <c r="BR628" s="3" t="s">
        <v>84</v>
      </c>
      <c r="BS628" s="4">
        <v>44578</v>
      </c>
      <c r="BT628" s="5">
        <v>0.53402777777777777</v>
      </c>
      <c r="BU628" s="3" t="s">
        <v>821</v>
      </c>
      <c r="BV628" s="3" t="s">
        <v>87</v>
      </c>
      <c r="BW628" s="3" t="s">
        <v>453</v>
      </c>
      <c r="BX628" s="3" t="s">
        <v>279</v>
      </c>
      <c r="BY628" s="3">
        <v>7540</v>
      </c>
      <c r="BZ628" s="3" t="s">
        <v>165</v>
      </c>
      <c r="CC628" s="3" t="s">
        <v>95</v>
      </c>
      <c r="CD628" s="3">
        <v>3201</v>
      </c>
      <c r="CE628" s="3" t="s">
        <v>86</v>
      </c>
      <c r="CF628" s="4">
        <v>44581</v>
      </c>
      <c r="CI628" s="3">
        <v>1</v>
      </c>
      <c r="CJ628" s="3">
        <v>2</v>
      </c>
      <c r="CK628" s="3">
        <v>21</v>
      </c>
      <c r="CL628" s="3" t="s">
        <v>87</v>
      </c>
    </row>
    <row r="629" spans="1:90" x14ac:dyDescent="0.2">
      <c r="A629" s="3" t="s">
        <v>72</v>
      </c>
      <c r="B629" s="3" t="s">
        <v>73</v>
      </c>
      <c r="C629" s="3" t="s">
        <v>74</v>
      </c>
      <c r="E629" s="3" t="str">
        <f>"FES1162844971"</f>
        <v>FES1162844971</v>
      </c>
      <c r="F629" s="4">
        <v>44574</v>
      </c>
      <c r="G629" s="3">
        <v>202207</v>
      </c>
      <c r="H629" s="3" t="s">
        <v>75</v>
      </c>
      <c r="I629" s="3" t="s">
        <v>76</v>
      </c>
      <c r="J629" s="3" t="s">
        <v>77</v>
      </c>
      <c r="K629" s="3" t="s">
        <v>78</v>
      </c>
      <c r="L629" s="3" t="s">
        <v>75</v>
      </c>
      <c r="M629" s="3" t="s">
        <v>76</v>
      </c>
      <c r="N629" s="3" t="s">
        <v>1002</v>
      </c>
      <c r="O629" s="3" t="s">
        <v>82</v>
      </c>
      <c r="P629" s="3" t="str">
        <f>"2170816527                    "</f>
        <v xml:space="preserve">2170816527                    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12.07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1</v>
      </c>
      <c r="BI629" s="3">
        <v>1</v>
      </c>
      <c r="BJ629" s="3">
        <v>0.2</v>
      </c>
      <c r="BK629" s="3">
        <v>1</v>
      </c>
      <c r="BL629" s="3">
        <v>46.08</v>
      </c>
      <c r="BM629" s="3">
        <v>6.91</v>
      </c>
      <c r="BN629" s="3">
        <v>52.99</v>
      </c>
      <c r="BO629" s="3">
        <v>52.99</v>
      </c>
      <c r="BR629" s="3" t="s">
        <v>84</v>
      </c>
      <c r="BS629" s="4">
        <v>44575</v>
      </c>
      <c r="BT629" s="5">
        <v>0.38680555555555557</v>
      </c>
      <c r="BU629" s="3" t="s">
        <v>1003</v>
      </c>
      <c r="BV629" s="3" t="s">
        <v>105</v>
      </c>
      <c r="BY629" s="3">
        <v>1200</v>
      </c>
      <c r="BZ629" s="3" t="s">
        <v>165</v>
      </c>
      <c r="CA629" s="3" t="s">
        <v>378</v>
      </c>
      <c r="CC629" s="3" t="s">
        <v>76</v>
      </c>
      <c r="CD629" s="3">
        <v>1600</v>
      </c>
      <c r="CE629" s="3" t="s">
        <v>93</v>
      </c>
      <c r="CF629" s="4">
        <v>44576</v>
      </c>
      <c r="CI629" s="3">
        <v>1</v>
      </c>
      <c r="CJ629" s="3">
        <v>1</v>
      </c>
      <c r="CK629" s="3">
        <v>22</v>
      </c>
      <c r="CL629" s="3" t="s">
        <v>87</v>
      </c>
    </row>
    <row r="630" spans="1:90" x14ac:dyDescent="0.2">
      <c r="A630" s="3" t="s">
        <v>72</v>
      </c>
      <c r="B630" s="3" t="s">
        <v>73</v>
      </c>
      <c r="C630" s="3" t="s">
        <v>74</v>
      </c>
      <c r="E630" s="3" t="str">
        <f>"FES1162844853"</f>
        <v>FES1162844853</v>
      </c>
      <c r="F630" s="4">
        <v>44574</v>
      </c>
      <c r="G630" s="3">
        <v>202207</v>
      </c>
      <c r="H630" s="3" t="s">
        <v>75</v>
      </c>
      <c r="I630" s="3" t="s">
        <v>76</v>
      </c>
      <c r="J630" s="3" t="s">
        <v>77</v>
      </c>
      <c r="K630" s="3" t="s">
        <v>78</v>
      </c>
      <c r="L630" s="3" t="s">
        <v>195</v>
      </c>
      <c r="M630" s="3" t="s">
        <v>196</v>
      </c>
      <c r="N630" s="3" t="s">
        <v>1004</v>
      </c>
      <c r="O630" s="3" t="s">
        <v>82</v>
      </c>
      <c r="P630" s="3" t="str">
        <f>"2170816424                    "</f>
        <v xml:space="preserve">2170816424                    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15.46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1</v>
      </c>
      <c r="BI630" s="3">
        <v>1</v>
      </c>
      <c r="BJ630" s="3">
        <v>0.2</v>
      </c>
      <c r="BK630" s="3">
        <v>1</v>
      </c>
      <c r="BL630" s="3">
        <v>59</v>
      </c>
      <c r="BM630" s="3">
        <v>8.85</v>
      </c>
      <c r="BN630" s="3">
        <v>67.849999999999994</v>
      </c>
      <c r="BO630" s="3">
        <v>67.849999999999994</v>
      </c>
      <c r="BR630" s="3" t="s">
        <v>84</v>
      </c>
      <c r="BS630" s="4">
        <v>44579</v>
      </c>
      <c r="BT630" s="5">
        <v>0.48472222222222222</v>
      </c>
      <c r="BU630" s="3" t="s">
        <v>1005</v>
      </c>
      <c r="BV630" s="3" t="s">
        <v>87</v>
      </c>
      <c r="BW630" s="3" t="s">
        <v>278</v>
      </c>
      <c r="BX630" s="3" t="s">
        <v>279</v>
      </c>
      <c r="BY630" s="3">
        <v>1200</v>
      </c>
      <c r="BZ630" s="3" t="s">
        <v>165</v>
      </c>
      <c r="CA630" s="3" t="s">
        <v>1006</v>
      </c>
      <c r="CC630" s="3" t="s">
        <v>196</v>
      </c>
      <c r="CD630" s="3">
        <v>4156</v>
      </c>
      <c r="CE630" s="3" t="s">
        <v>93</v>
      </c>
      <c r="CF630" s="4">
        <v>44580</v>
      </c>
      <c r="CI630" s="3">
        <v>1</v>
      </c>
      <c r="CJ630" s="3">
        <v>3</v>
      </c>
      <c r="CK630" s="3">
        <v>21</v>
      </c>
      <c r="CL630" s="3" t="s">
        <v>87</v>
      </c>
    </row>
    <row r="631" spans="1:90" x14ac:dyDescent="0.2">
      <c r="A631" s="3" t="s">
        <v>72</v>
      </c>
      <c r="B631" s="3" t="s">
        <v>73</v>
      </c>
      <c r="C631" s="3" t="s">
        <v>74</v>
      </c>
      <c r="E631" s="3" t="str">
        <f>"FES1162844875"</f>
        <v>FES1162844875</v>
      </c>
      <c r="F631" s="4">
        <v>44574</v>
      </c>
      <c r="G631" s="3">
        <v>202207</v>
      </c>
      <c r="H631" s="3" t="s">
        <v>75</v>
      </c>
      <c r="I631" s="3" t="s">
        <v>76</v>
      </c>
      <c r="J631" s="3" t="s">
        <v>77</v>
      </c>
      <c r="K631" s="3" t="s">
        <v>78</v>
      </c>
      <c r="L631" s="3" t="s">
        <v>218</v>
      </c>
      <c r="M631" s="3" t="s">
        <v>219</v>
      </c>
      <c r="N631" s="3" t="s">
        <v>766</v>
      </c>
      <c r="O631" s="3" t="s">
        <v>82</v>
      </c>
      <c r="P631" s="3" t="str">
        <f>"2170816437                    "</f>
        <v xml:space="preserve">2170816437                    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15.46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0</v>
      </c>
      <c r="BG631" s="3">
        <v>0</v>
      </c>
      <c r="BH631" s="3">
        <v>1</v>
      </c>
      <c r="BI631" s="3">
        <v>1</v>
      </c>
      <c r="BJ631" s="3">
        <v>0.2</v>
      </c>
      <c r="BK631" s="3">
        <v>1</v>
      </c>
      <c r="BL631" s="3">
        <v>59</v>
      </c>
      <c r="BM631" s="3">
        <v>8.85</v>
      </c>
      <c r="BN631" s="3">
        <v>67.849999999999994</v>
      </c>
      <c r="BO631" s="3">
        <v>67.849999999999994</v>
      </c>
      <c r="BQ631" s="3" t="s">
        <v>89</v>
      </c>
      <c r="BR631" s="3" t="s">
        <v>84</v>
      </c>
      <c r="BS631" s="4">
        <v>44575</v>
      </c>
      <c r="BT631" s="5">
        <v>0.37083333333333335</v>
      </c>
      <c r="BU631" s="3" t="s">
        <v>1007</v>
      </c>
      <c r="BV631" s="3" t="s">
        <v>105</v>
      </c>
      <c r="BY631" s="3">
        <v>1200</v>
      </c>
      <c r="BZ631" s="3" t="s">
        <v>165</v>
      </c>
      <c r="CA631" s="3" t="s">
        <v>362</v>
      </c>
      <c r="CC631" s="3" t="s">
        <v>219</v>
      </c>
      <c r="CD631" s="3">
        <v>157</v>
      </c>
      <c r="CE631" s="3" t="s">
        <v>93</v>
      </c>
      <c r="CF631" s="4">
        <v>44575</v>
      </c>
      <c r="CI631" s="3">
        <v>1</v>
      </c>
      <c r="CJ631" s="3">
        <v>1</v>
      </c>
      <c r="CK631" s="3">
        <v>21</v>
      </c>
      <c r="CL631" s="3" t="s">
        <v>87</v>
      </c>
    </row>
    <row r="632" spans="1:90" x14ac:dyDescent="0.2">
      <c r="A632" s="3" t="s">
        <v>72</v>
      </c>
      <c r="B632" s="3" t="s">
        <v>73</v>
      </c>
      <c r="C632" s="3" t="s">
        <v>74</v>
      </c>
      <c r="E632" s="3" t="str">
        <f>"FES1162845005"</f>
        <v>FES1162845005</v>
      </c>
      <c r="F632" s="4">
        <v>44574</v>
      </c>
      <c r="G632" s="3">
        <v>202207</v>
      </c>
      <c r="H632" s="3" t="s">
        <v>75</v>
      </c>
      <c r="I632" s="3" t="s">
        <v>76</v>
      </c>
      <c r="J632" s="3" t="s">
        <v>77</v>
      </c>
      <c r="K632" s="3" t="s">
        <v>78</v>
      </c>
      <c r="L632" s="3" t="s">
        <v>79</v>
      </c>
      <c r="M632" s="3" t="s">
        <v>80</v>
      </c>
      <c r="N632" s="3" t="s">
        <v>248</v>
      </c>
      <c r="O632" s="3" t="s">
        <v>148</v>
      </c>
      <c r="P632" s="3" t="str">
        <f>"2170816566                    "</f>
        <v xml:space="preserve">2170816566                    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32.35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2</v>
      </c>
      <c r="BI632" s="3">
        <v>17</v>
      </c>
      <c r="BJ632" s="3">
        <v>16.600000000000001</v>
      </c>
      <c r="BK632" s="3">
        <v>17</v>
      </c>
      <c r="BL632" s="3">
        <v>128.74</v>
      </c>
      <c r="BM632" s="3">
        <v>19.309999999999999</v>
      </c>
      <c r="BN632" s="3">
        <v>148.05000000000001</v>
      </c>
      <c r="BO632" s="3">
        <v>148.05000000000001</v>
      </c>
      <c r="BQ632" s="3" t="s">
        <v>83</v>
      </c>
      <c r="BR632" s="3" t="s">
        <v>84</v>
      </c>
      <c r="BS632" s="4">
        <v>44575</v>
      </c>
      <c r="BT632" s="5">
        <v>0.39999999999999997</v>
      </c>
      <c r="BU632" s="3" t="s">
        <v>1008</v>
      </c>
      <c r="BV632" s="3" t="s">
        <v>105</v>
      </c>
      <c r="BY632" s="3">
        <v>82875</v>
      </c>
      <c r="BZ632" s="3" t="s">
        <v>327</v>
      </c>
      <c r="CC632" s="3" t="s">
        <v>80</v>
      </c>
      <c r="CD632" s="3">
        <v>1</v>
      </c>
      <c r="CE632" s="3" t="s">
        <v>1009</v>
      </c>
      <c r="CF632" s="4">
        <v>44575</v>
      </c>
      <c r="CI632" s="3">
        <v>1</v>
      </c>
      <c r="CJ632" s="3">
        <v>1</v>
      </c>
      <c r="CK632" s="3">
        <v>41</v>
      </c>
      <c r="CL632" s="3" t="s">
        <v>87</v>
      </c>
    </row>
    <row r="633" spans="1:90" x14ac:dyDescent="0.2">
      <c r="A633" s="3" t="s">
        <v>72</v>
      </c>
      <c r="B633" s="3" t="s">
        <v>73</v>
      </c>
      <c r="C633" s="3" t="s">
        <v>74</v>
      </c>
      <c r="E633" s="3" t="str">
        <f>"FES1162845072"</f>
        <v>FES1162845072</v>
      </c>
      <c r="F633" s="4">
        <v>44574</v>
      </c>
      <c r="G633" s="3">
        <v>202207</v>
      </c>
      <c r="H633" s="3" t="s">
        <v>75</v>
      </c>
      <c r="I633" s="3" t="s">
        <v>76</v>
      </c>
      <c r="J633" s="3" t="s">
        <v>77</v>
      </c>
      <c r="K633" s="3" t="s">
        <v>78</v>
      </c>
      <c r="L633" s="3" t="s">
        <v>101</v>
      </c>
      <c r="M633" s="3" t="s">
        <v>102</v>
      </c>
      <c r="N633" s="3" t="s">
        <v>272</v>
      </c>
      <c r="O633" s="3" t="s">
        <v>82</v>
      </c>
      <c r="P633" s="3" t="str">
        <f>"2170816646                    "</f>
        <v xml:space="preserve">2170816646                    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15.46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0</v>
      </c>
      <c r="BG633" s="3">
        <v>0</v>
      </c>
      <c r="BH633" s="3">
        <v>1</v>
      </c>
      <c r="BI633" s="3">
        <v>1</v>
      </c>
      <c r="BJ633" s="3">
        <v>0.2</v>
      </c>
      <c r="BK633" s="3">
        <v>1</v>
      </c>
      <c r="BL633" s="3">
        <v>59</v>
      </c>
      <c r="BM633" s="3">
        <v>8.85</v>
      </c>
      <c r="BN633" s="3">
        <v>67.849999999999994</v>
      </c>
      <c r="BO633" s="3">
        <v>67.849999999999994</v>
      </c>
      <c r="BQ633" s="3" t="s">
        <v>273</v>
      </c>
      <c r="BR633" s="3" t="s">
        <v>84</v>
      </c>
      <c r="BS633" s="4">
        <v>44575</v>
      </c>
      <c r="BT633" s="5">
        <v>0.38194444444444442</v>
      </c>
      <c r="BU633" s="3" t="s">
        <v>274</v>
      </c>
      <c r="BV633" s="3" t="s">
        <v>105</v>
      </c>
      <c r="BY633" s="3">
        <v>1200</v>
      </c>
      <c r="BZ633" s="3" t="s">
        <v>165</v>
      </c>
      <c r="CA633" s="3" t="s">
        <v>275</v>
      </c>
      <c r="CC633" s="3" t="s">
        <v>102</v>
      </c>
      <c r="CD633" s="3">
        <v>4000</v>
      </c>
      <c r="CE633" s="3" t="s">
        <v>93</v>
      </c>
      <c r="CF633" s="4">
        <v>44578</v>
      </c>
      <c r="CI633" s="3">
        <v>1</v>
      </c>
      <c r="CJ633" s="3">
        <v>1</v>
      </c>
      <c r="CK633" s="3">
        <v>21</v>
      </c>
      <c r="CL633" s="3" t="s">
        <v>87</v>
      </c>
    </row>
    <row r="634" spans="1:90" x14ac:dyDescent="0.2">
      <c r="A634" s="3" t="s">
        <v>72</v>
      </c>
      <c r="B634" s="3" t="s">
        <v>73</v>
      </c>
      <c r="C634" s="3" t="s">
        <v>74</v>
      </c>
      <c r="E634" s="3" t="str">
        <f>"FES1162845074"</f>
        <v>FES1162845074</v>
      </c>
      <c r="F634" s="4">
        <v>44574</v>
      </c>
      <c r="G634" s="3">
        <v>202207</v>
      </c>
      <c r="H634" s="3" t="s">
        <v>75</v>
      </c>
      <c r="I634" s="3" t="s">
        <v>76</v>
      </c>
      <c r="J634" s="3" t="s">
        <v>77</v>
      </c>
      <c r="K634" s="3" t="s">
        <v>78</v>
      </c>
      <c r="L634" s="3" t="s">
        <v>110</v>
      </c>
      <c r="M634" s="3" t="s">
        <v>110</v>
      </c>
      <c r="N634" s="3" t="s">
        <v>146</v>
      </c>
      <c r="O634" s="3" t="s">
        <v>82</v>
      </c>
      <c r="P634" s="3" t="str">
        <f>"2170816567                    "</f>
        <v xml:space="preserve">2170816567                    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29.95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1</v>
      </c>
      <c r="BI634" s="3">
        <v>1</v>
      </c>
      <c r="BJ634" s="3">
        <v>0.2</v>
      </c>
      <c r="BK634" s="3">
        <v>1</v>
      </c>
      <c r="BL634" s="3">
        <v>114.31</v>
      </c>
      <c r="BM634" s="3">
        <v>17.149999999999999</v>
      </c>
      <c r="BN634" s="3">
        <v>131.46</v>
      </c>
      <c r="BO634" s="3">
        <v>131.46</v>
      </c>
      <c r="BQ634" s="3" t="s">
        <v>89</v>
      </c>
      <c r="BR634" s="3" t="s">
        <v>84</v>
      </c>
      <c r="BS634" s="4">
        <v>44575</v>
      </c>
      <c r="BT634" s="5">
        <v>0.52569444444444446</v>
      </c>
      <c r="BU634" s="3" t="s">
        <v>1010</v>
      </c>
      <c r="BV634" s="3" t="s">
        <v>105</v>
      </c>
      <c r="BY634" s="3">
        <v>1200</v>
      </c>
      <c r="BZ634" s="3" t="s">
        <v>165</v>
      </c>
      <c r="CA634" s="3" t="s">
        <v>1011</v>
      </c>
      <c r="CC634" s="3" t="s">
        <v>110</v>
      </c>
      <c r="CD634" s="3">
        <v>7646</v>
      </c>
      <c r="CE634" s="3" t="s">
        <v>93</v>
      </c>
      <c r="CF634" s="4">
        <v>44578</v>
      </c>
      <c r="CI634" s="3">
        <v>1</v>
      </c>
      <c r="CJ634" s="3">
        <v>1</v>
      </c>
      <c r="CK634" s="3">
        <v>23</v>
      </c>
      <c r="CL634" s="3" t="s">
        <v>87</v>
      </c>
    </row>
    <row r="635" spans="1:90" x14ac:dyDescent="0.2">
      <c r="A635" s="3" t="s">
        <v>72</v>
      </c>
      <c r="B635" s="3" t="s">
        <v>73</v>
      </c>
      <c r="C635" s="3" t="s">
        <v>74</v>
      </c>
      <c r="E635" s="3" t="str">
        <f>"FES1162844926"</f>
        <v>FES1162844926</v>
      </c>
      <c r="F635" s="4">
        <v>44574</v>
      </c>
      <c r="G635" s="3">
        <v>202207</v>
      </c>
      <c r="H635" s="3" t="s">
        <v>75</v>
      </c>
      <c r="I635" s="3" t="s">
        <v>76</v>
      </c>
      <c r="J635" s="3" t="s">
        <v>77</v>
      </c>
      <c r="K635" s="3" t="s">
        <v>78</v>
      </c>
      <c r="L635" s="3" t="s">
        <v>184</v>
      </c>
      <c r="M635" s="3" t="s">
        <v>185</v>
      </c>
      <c r="N635" s="3" t="s">
        <v>503</v>
      </c>
      <c r="O635" s="3" t="s">
        <v>82</v>
      </c>
      <c r="P635" s="3" t="str">
        <f>"2170816490                    "</f>
        <v xml:space="preserve">2170816490                    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73.39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1</v>
      </c>
      <c r="BI635" s="3">
        <v>9</v>
      </c>
      <c r="BJ635" s="3">
        <v>9.1</v>
      </c>
      <c r="BK635" s="3">
        <v>9.5</v>
      </c>
      <c r="BL635" s="3">
        <v>280.13</v>
      </c>
      <c r="BM635" s="3">
        <v>42.02</v>
      </c>
      <c r="BN635" s="3">
        <v>322.14999999999998</v>
      </c>
      <c r="BO635" s="3">
        <v>322.14999999999998</v>
      </c>
      <c r="BQ635" s="3" t="s">
        <v>89</v>
      </c>
      <c r="BR635" s="3" t="s">
        <v>84</v>
      </c>
      <c r="BS635" s="4">
        <v>44575</v>
      </c>
      <c r="BT635" s="5">
        <v>0.48194444444444445</v>
      </c>
      <c r="BU635" s="3" t="s">
        <v>1012</v>
      </c>
      <c r="BV635" s="3" t="s">
        <v>87</v>
      </c>
      <c r="BW635" s="3" t="s">
        <v>353</v>
      </c>
      <c r="BX635" s="3" t="s">
        <v>648</v>
      </c>
      <c r="BY635" s="3">
        <v>45632</v>
      </c>
      <c r="BZ635" s="3" t="s">
        <v>165</v>
      </c>
      <c r="CA635" s="3" t="s">
        <v>1013</v>
      </c>
      <c r="CC635" s="3" t="s">
        <v>185</v>
      </c>
      <c r="CD635" s="3">
        <v>5201</v>
      </c>
      <c r="CE635" s="3" t="s">
        <v>86</v>
      </c>
      <c r="CF635" s="4">
        <v>44575</v>
      </c>
      <c r="CI635" s="3">
        <v>1</v>
      </c>
      <c r="CJ635" s="3">
        <v>1</v>
      </c>
      <c r="CK635" s="3">
        <v>21</v>
      </c>
      <c r="CL635" s="3" t="s">
        <v>87</v>
      </c>
    </row>
    <row r="636" spans="1:90" x14ac:dyDescent="0.2">
      <c r="A636" s="3" t="s">
        <v>72</v>
      </c>
      <c r="B636" s="3" t="s">
        <v>73</v>
      </c>
      <c r="C636" s="3" t="s">
        <v>74</v>
      </c>
      <c r="E636" s="3" t="str">
        <f>"FES1162844893"</f>
        <v>FES1162844893</v>
      </c>
      <c r="F636" s="4">
        <v>44574</v>
      </c>
      <c r="G636" s="3">
        <v>202207</v>
      </c>
      <c r="H636" s="3" t="s">
        <v>75</v>
      </c>
      <c r="I636" s="3" t="s">
        <v>76</v>
      </c>
      <c r="J636" s="3" t="s">
        <v>77</v>
      </c>
      <c r="K636" s="3" t="s">
        <v>78</v>
      </c>
      <c r="L636" s="3" t="s">
        <v>250</v>
      </c>
      <c r="M636" s="3" t="s">
        <v>251</v>
      </c>
      <c r="N636" s="3" t="s">
        <v>252</v>
      </c>
      <c r="O636" s="3" t="s">
        <v>82</v>
      </c>
      <c r="P636" s="3" t="str">
        <f>"2170816464                    "</f>
        <v xml:space="preserve">2170816464                    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29.95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1</v>
      </c>
      <c r="BI636" s="3">
        <v>1</v>
      </c>
      <c r="BJ636" s="3">
        <v>0.2</v>
      </c>
      <c r="BK636" s="3">
        <v>1</v>
      </c>
      <c r="BL636" s="3">
        <v>114.31</v>
      </c>
      <c r="BM636" s="3">
        <v>17.149999999999999</v>
      </c>
      <c r="BN636" s="3">
        <v>131.46</v>
      </c>
      <c r="BO636" s="3">
        <v>131.46</v>
      </c>
      <c r="BQ636" s="3" t="s">
        <v>253</v>
      </c>
      <c r="BR636" s="3" t="s">
        <v>84</v>
      </c>
      <c r="BS636" s="4">
        <v>44575</v>
      </c>
      <c r="BT636" s="5">
        <v>0.50486111111111109</v>
      </c>
      <c r="BU636" s="3" t="s">
        <v>367</v>
      </c>
      <c r="BV636" s="3" t="s">
        <v>105</v>
      </c>
      <c r="BY636" s="3">
        <v>1200</v>
      </c>
      <c r="BZ636" s="3" t="s">
        <v>165</v>
      </c>
      <c r="CA636" s="3" t="s">
        <v>368</v>
      </c>
      <c r="CC636" s="3" t="s">
        <v>251</v>
      </c>
      <c r="CD636" s="3">
        <v>6300</v>
      </c>
      <c r="CE636" s="3" t="s">
        <v>93</v>
      </c>
      <c r="CF636" s="4">
        <v>44575</v>
      </c>
      <c r="CI636" s="3">
        <v>2</v>
      </c>
      <c r="CJ636" s="3">
        <v>1</v>
      </c>
      <c r="CK636" s="3">
        <v>23</v>
      </c>
      <c r="CL636" s="3" t="s">
        <v>87</v>
      </c>
    </row>
    <row r="637" spans="1:90" x14ac:dyDescent="0.2">
      <c r="A637" s="3" t="s">
        <v>72</v>
      </c>
      <c r="B637" s="3" t="s">
        <v>73</v>
      </c>
      <c r="C637" s="3" t="s">
        <v>74</v>
      </c>
      <c r="E637" s="3" t="str">
        <f>"FES1162844983"</f>
        <v>FES1162844983</v>
      </c>
      <c r="F637" s="4">
        <v>44574</v>
      </c>
      <c r="G637" s="3">
        <v>202207</v>
      </c>
      <c r="H637" s="3" t="s">
        <v>75</v>
      </c>
      <c r="I637" s="3" t="s">
        <v>76</v>
      </c>
      <c r="J637" s="3" t="s">
        <v>77</v>
      </c>
      <c r="K637" s="3" t="s">
        <v>78</v>
      </c>
      <c r="L637" s="3" t="s">
        <v>176</v>
      </c>
      <c r="M637" s="3" t="s">
        <v>177</v>
      </c>
      <c r="N637" s="3" t="s">
        <v>178</v>
      </c>
      <c r="O637" s="3" t="s">
        <v>82</v>
      </c>
      <c r="P637" s="3" t="str">
        <f>"2170816538                    "</f>
        <v xml:space="preserve">2170816538                    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15.46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1</v>
      </c>
      <c r="BI637" s="3">
        <v>1</v>
      </c>
      <c r="BJ637" s="3">
        <v>0.2</v>
      </c>
      <c r="BK637" s="3">
        <v>1</v>
      </c>
      <c r="BL637" s="3">
        <v>59</v>
      </c>
      <c r="BM637" s="3">
        <v>8.85</v>
      </c>
      <c r="BN637" s="3">
        <v>67.849999999999994</v>
      </c>
      <c r="BO637" s="3">
        <v>67.849999999999994</v>
      </c>
      <c r="BQ637" s="3" t="s">
        <v>83</v>
      </c>
      <c r="BR637" s="3" t="s">
        <v>84</v>
      </c>
      <c r="BS637" s="4">
        <v>44575</v>
      </c>
      <c r="BT637" s="5">
        <v>0.4368055555555555</v>
      </c>
      <c r="BU637" s="3" t="s">
        <v>822</v>
      </c>
      <c r="BV637" s="3" t="s">
        <v>105</v>
      </c>
      <c r="BY637" s="3">
        <v>1200</v>
      </c>
      <c r="BZ637" s="3" t="s">
        <v>165</v>
      </c>
      <c r="CA637" s="3" t="s">
        <v>615</v>
      </c>
      <c r="CC637" s="3" t="s">
        <v>177</v>
      </c>
      <c r="CD637" s="3">
        <v>4026</v>
      </c>
      <c r="CE637" s="3" t="s">
        <v>93</v>
      </c>
      <c r="CF637" s="4">
        <v>44578</v>
      </c>
      <c r="CI637" s="3">
        <v>1</v>
      </c>
      <c r="CJ637" s="3">
        <v>1</v>
      </c>
      <c r="CK637" s="3">
        <v>21</v>
      </c>
      <c r="CL637" s="3" t="s">
        <v>87</v>
      </c>
    </row>
    <row r="638" spans="1:90" x14ac:dyDescent="0.2">
      <c r="A638" s="3" t="s">
        <v>72</v>
      </c>
      <c r="B638" s="3" t="s">
        <v>73</v>
      </c>
      <c r="C638" s="3" t="s">
        <v>74</v>
      </c>
      <c r="E638" s="3" t="str">
        <f>"FES1162843362"</f>
        <v>FES1162843362</v>
      </c>
      <c r="F638" s="4">
        <v>44574</v>
      </c>
      <c r="G638" s="3">
        <v>202207</v>
      </c>
      <c r="H638" s="3" t="s">
        <v>75</v>
      </c>
      <c r="I638" s="3" t="s">
        <v>76</v>
      </c>
      <c r="J638" s="3" t="s">
        <v>77</v>
      </c>
      <c r="K638" s="3" t="s">
        <v>78</v>
      </c>
      <c r="L638" s="3" t="s">
        <v>90</v>
      </c>
      <c r="M638" s="3" t="s">
        <v>91</v>
      </c>
      <c r="N638" s="3" t="s">
        <v>132</v>
      </c>
      <c r="O638" s="3" t="s">
        <v>82</v>
      </c>
      <c r="P638" s="3" t="str">
        <f>"2170815576                    "</f>
        <v xml:space="preserve">2170815576                    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15.46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1</v>
      </c>
      <c r="BI638" s="3">
        <v>1</v>
      </c>
      <c r="BJ638" s="3">
        <v>0.2</v>
      </c>
      <c r="BK638" s="3">
        <v>1</v>
      </c>
      <c r="BL638" s="3">
        <v>59</v>
      </c>
      <c r="BM638" s="3">
        <v>8.85</v>
      </c>
      <c r="BN638" s="3">
        <v>67.849999999999994</v>
      </c>
      <c r="BO638" s="3">
        <v>67.849999999999994</v>
      </c>
      <c r="BQ638" s="3" t="s">
        <v>83</v>
      </c>
      <c r="BR638" s="3" t="s">
        <v>84</v>
      </c>
      <c r="BS638" s="4">
        <v>44578</v>
      </c>
      <c r="BT638" s="5">
        <v>0.4236111111111111</v>
      </c>
      <c r="BU638" s="3" t="s">
        <v>595</v>
      </c>
      <c r="BV638" s="3" t="s">
        <v>87</v>
      </c>
      <c r="BW638" s="3" t="s">
        <v>353</v>
      </c>
      <c r="BX638" s="3" t="s">
        <v>602</v>
      </c>
      <c r="BY638" s="3">
        <v>1200</v>
      </c>
      <c r="BZ638" s="3" t="s">
        <v>165</v>
      </c>
      <c r="CA638" s="3" t="s">
        <v>596</v>
      </c>
      <c r="CC638" s="3" t="s">
        <v>91</v>
      </c>
      <c r="CD638" s="3">
        <v>7530</v>
      </c>
      <c r="CE638" s="3" t="s">
        <v>93</v>
      </c>
      <c r="CF638" s="4">
        <v>44579</v>
      </c>
      <c r="CI638" s="3">
        <v>1</v>
      </c>
      <c r="CJ638" s="3">
        <v>2</v>
      </c>
      <c r="CK638" s="3">
        <v>21</v>
      </c>
      <c r="CL638" s="3" t="s">
        <v>87</v>
      </c>
    </row>
    <row r="639" spans="1:90" x14ac:dyDescent="0.2">
      <c r="A639" s="3" t="s">
        <v>72</v>
      </c>
      <c r="B639" s="3" t="s">
        <v>73</v>
      </c>
      <c r="C639" s="3" t="s">
        <v>74</v>
      </c>
      <c r="E639" s="3" t="str">
        <f>"FES1162844823"</f>
        <v>FES1162844823</v>
      </c>
      <c r="F639" s="4">
        <v>44574</v>
      </c>
      <c r="G639" s="3">
        <v>202207</v>
      </c>
      <c r="H639" s="3" t="s">
        <v>75</v>
      </c>
      <c r="I639" s="3" t="s">
        <v>76</v>
      </c>
      <c r="J639" s="3" t="s">
        <v>77</v>
      </c>
      <c r="K639" s="3" t="s">
        <v>78</v>
      </c>
      <c r="L639" s="3" t="s">
        <v>133</v>
      </c>
      <c r="M639" s="3" t="s">
        <v>134</v>
      </c>
      <c r="N639" s="3" t="s">
        <v>135</v>
      </c>
      <c r="O639" s="3" t="s">
        <v>82</v>
      </c>
      <c r="P639" s="3" t="str">
        <f>"2170816384                    "</f>
        <v xml:space="preserve">2170816384                    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21.74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3">
        <v>1</v>
      </c>
      <c r="BI639" s="3">
        <v>1</v>
      </c>
      <c r="BJ639" s="3">
        <v>0.2</v>
      </c>
      <c r="BK639" s="3">
        <v>1</v>
      </c>
      <c r="BL639" s="3">
        <v>82.98</v>
      </c>
      <c r="BM639" s="3">
        <v>12.45</v>
      </c>
      <c r="BN639" s="3">
        <v>95.43</v>
      </c>
      <c r="BO639" s="3">
        <v>95.43</v>
      </c>
      <c r="BQ639" s="3" t="s">
        <v>83</v>
      </c>
      <c r="BR639" s="3" t="s">
        <v>84</v>
      </c>
      <c r="BS639" s="4">
        <v>44575</v>
      </c>
      <c r="BT639" s="5">
        <v>0.40625</v>
      </c>
      <c r="BU639" s="3" t="s">
        <v>1014</v>
      </c>
      <c r="BV639" s="3" t="s">
        <v>105</v>
      </c>
      <c r="BY639" s="3">
        <v>1200</v>
      </c>
      <c r="BZ639" s="3" t="s">
        <v>165</v>
      </c>
      <c r="CA639" s="3" t="s">
        <v>1015</v>
      </c>
      <c r="CC639" s="3" t="s">
        <v>134</v>
      </c>
      <c r="CD639" s="3">
        <v>1911</v>
      </c>
      <c r="CE639" s="3" t="s">
        <v>93</v>
      </c>
      <c r="CF639" s="4">
        <v>44576</v>
      </c>
      <c r="CI639" s="3">
        <v>1</v>
      </c>
      <c r="CJ639" s="3">
        <v>1</v>
      </c>
      <c r="CK639" s="3">
        <v>24</v>
      </c>
      <c r="CL639" s="3" t="s">
        <v>87</v>
      </c>
    </row>
    <row r="640" spans="1:90" x14ac:dyDescent="0.2">
      <c r="A640" s="3" t="s">
        <v>72</v>
      </c>
      <c r="B640" s="3" t="s">
        <v>73</v>
      </c>
      <c r="C640" s="3" t="s">
        <v>74</v>
      </c>
      <c r="E640" s="3" t="str">
        <f>"FES1162845009"</f>
        <v>FES1162845009</v>
      </c>
      <c r="F640" s="4">
        <v>44574</v>
      </c>
      <c r="G640" s="3">
        <v>202207</v>
      </c>
      <c r="H640" s="3" t="s">
        <v>75</v>
      </c>
      <c r="I640" s="3" t="s">
        <v>76</v>
      </c>
      <c r="J640" s="3" t="s">
        <v>77</v>
      </c>
      <c r="K640" s="3" t="s">
        <v>78</v>
      </c>
      <c r="L640" s="3" t="s">
        <v>75</v>
      </c>
      <c r="M640" s="3" t="s">
        <v>76</v>
      </c>
      <c r="N640" s="3" t="s">
        <v>688</v>
      </c>
      <c r="O640" s="3" t="s">
        <v>82</v>
      </c>
      <c r="P640" s="3" t="str">
        <f>"2170816573                    "</f>
        <v xml:space="preserve">2170816573                    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12.07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1</v>
      </c>
      <c r="BI640" s="3">
        <v>1</v>
      </c>
      <c r="BJ640" s="3">
        <v>0.2</v>
      </c>
      <c r="BK640" s="3">
        <v>1</v>
      </c>
      <c r="BL640" s="3">
        <v>46.08</v>
      </c>
      <c r="BM640" s="3">
        <v>6.91</v>
      </c>
      <c r="BN640" s="3">
        <v>52.99</v>
      </c>
      <c r="BO640" s="3">
        <v>52.99</v>
      </c>
      <c r="BQ640" s="3" t="s">
        <v>83</v>
      </c>
      <c r="BR640" s="3" t="s">
        <v>84</v>
      </c>
      <c r="BS640" s="4">
        <v>44575</v>
      </c>
      <c r="BT640" s="5">
        <v>0.31041666666666667</v>
      </c>
      <c r="BU640" s="3" t="s">
        <v>1016</v>
      </c>
      <c r="BV640" s="3" t="s">
        <v>105</v>
      </c>
      <c r="BY640" s="3">
        <v>1200</v>
      </c>
      <c r="BZ640" s="3" t="s">
        <v>165</v>
      </c>
      <c r="CA640" s="3" t="s">
        <v>227</v>
      </c>
      <c r="CC640" s="3" t="s">
        <v>76</v>
      </c>
      <c r="CD640" s="3">
        <v>1620</v>
      </c>
      <c r="CE640" s="3" t="s">
        <v>93</v>
      </c>
      <c r="CF640" s="4">
        <v>44575</v>
      </c>
      <c r="CI640" s="3">
        <v>1</v>
      </c>
      <c r="CJ640" s="3">
        <v>1</v>
      </c>
      <c r="CK640" s="3">
        <v>22</v>
      </c>
      <c r="CL640" s="3" t="s">
        <v>87</v>
      </c>
    </row>
    <row r="641" spans="1:90" x14ac:dyDescent="0.2">
      <c r="A641" s="3" t="s">
        <v>72</v>
      </c>
      <c r="B641" s="3" t="s">
        <v>73</v>
      </c>
      <c r="C641" s="3" t="s">
        <v>74</v>
      </c>
      <c r="E641" s="3" t="str">
        <f>"009942045022"</f>
        <v>009942045022</v>
      </c>
      <c r="F641" s="4">
        <v>44574</v>
      </c>
      <c r="G641" s="3">
        <v>202207</v>
      </c>
      <c r="H641" s="3" t="s">
        <v>75</v>
      </c>
      <c r="I641" s="3" t="s">
        <v>76</v>
      </c>
      <c r="J641" s="3" t="s">
        <v>77</v>
      </c>
      <c r="K641" s="3" t="s">
        <v>78</v>
      </c>
      <c r="L641" s="3" t="s">
        <v>138</v>
      </c>
      <c r="M641" s="3" t="s">
        <v>139</v>
      </c>
      <c r="N641" s="3" t="s">
        <v>448</v>
      </c>
      <c r="O641" s="3" t="s">
        <v>82</v>
      </c>
      <c r="P641" s="3" t="str">
        <f>"1162840966                    "</f>
        <v xml:space="preserve">1162840966                    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15.46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1</v>
      </c>
      <c r="BI641" s="3">
        <v>1</v>
      </c>
      <c r="BJ641" s="3">
        <v>1.1000000000000001</v>
      </c>
      <c r="BK641" s="3">
        <v>1.5</v>
      </c>
      <c r="BL641" s="3">
        <v>59</v>
      </c>
      <c r="BM641" s="3">
        <v>8.85</v>
      </c>
      <c r="BN641" s="3">
        <v>67.849999999999994</v>
      </c>
      <c r="BO641" s="3">
        <v>67.849999999999994</v>
      </c>
      <c r="BQ641" s="3" t="s">
        <v>89</v>
      </c>
      <c r="BR641" s="3" t="s">
        <v>84</v>
      </c>
      <c r="BS641" s="4">
        <v>44575</v>
      </c>
      <c r="BT641" s="5">
        <v>0.41666666666666669</v>
      </c>
      <c r="BU641" s="3" t="s">
        <v>1017</v>
      </c>
      <c r="BV641" s="3" t="s">
        <v>105</v>
      </c>
      <c r="BY641" s="3">
        <v>5320</v>
      </c>
      <c r="BZ641" s="3" t="s">
        <v>165</v>
      </c>
      <c r="CC641" s="3" t="s">
        <v>139</v>
      </c>
      <c r="CD641" s="3">
        <v>3610</v>
      </c>
      <c r="CE641" s="3" t="s">
        <v>86</v>
      </c>
      <c r="CF641" s="4">
        <v>44575</v>
      </c>
      <c r="CI641" s="3">
        <v>1</v>
      </c>
      <c r="CJ641" s="3">
        <v>1</v>
      </c>
      <c r="CK641" s="3">
        <v>21</v>
      </c>
      <c r="CL641" s="3" t="s">
        <v>87</v>
      </c>
    </row>
    <row r="642" spans="1:90" x14ac:dyDescent="0.2">
      <c r="A642" s="3" t="s">
        <v>72</v>
      </c>
      <c r="B642" s="3" t="s">
        <v>73</v>
      </c>
      <c r="C642" s="3" t="s">
        <v>74</v>
      </c>
      <c r="E642" s="3" t="str">
        <f>"FES1162845039"</f>
        <v>FES1162845039</v>
      </c>
      <c r="F642" s="4">
        <v>44574</v>
      </c>
      <c r="G642" s="3">
        <v>202207</v>
      </c>
      <c r="H642" s="3" t="s">
        <v>75</v>
      </c>
      <c r="I642" s="3" t="s">
        <v>76</v>
      </c>
      <c r="J642" s="3" t="s">
        <v>77</v>
      </c>
      <c r="K642" s="3" t="s">
        <v>78</v>
      </c>
      <c r="L642" s="3" t="s">
        <v>115</v>
      </c>
      <c r="M642" s="3" t="s">
        <v>116</v>
      </c>
      <c r="N642" s="3" t="s">
        <v>1018</v>
      </c>
      <c r="O642" s="3" t="s">
        <v>148</v>
      </c>
      <c r="P642" s="3" t="str">
        <f>"2170815414                    "</f>
        <v xml:space="preserve">2170815414                    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23.06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1</v>
      </c>
      <c r="BI642" s="3">
        <v>1</v>
      </c>
      <c r="BJ642" s="3">
        <v>7.2</v>
      </c>
      <c r="BK642" s="3">
        <v>8</v>
      </c>
      <c r="BL642" s="3">
        <v>93.28</v>
      </c>
      <c r="BM642" s="3">
        <v>13.99</v>
      </c>
      <c r="BN642" s="3">
        <v>107.27</v>
      </c>
      <c r="BO642" s="3">
        <v>107.27</v>
      </c>
      <c r="BQ642" s="3" t="s">
        <v>83</v>
      </c>
      <c r="BR642" s="3" t="s">
        <v>84</v>
      </c>
      <c r="BS642" s="4">
        <v>44575</v>
      </c>
      <c r="BT642" s="5">
        <v>0.35902777777777778</v>
      </c>
      <c r="BU642" s="3" t="s">
        <v>1019</v>
      </c>
      <c r="BV642" s="3" t="s">
        <v>105</v>
      </c>
      <c r="BY642" s="3">
        <v>36000</v>
      </c>
      <c r="BZ642" s="3" t="s">
        <v>327</v>
      </c>
      <c r="CA642" s="3" t="s">
        <v>1020</v>
      </c>
      <c r="CC642" s="3" t="s">
        <v>116</v>
      </c>
      <c r="CD642" s="3">
        <v>1559</v>
      </c>
      <c r="CE642" s="3" t="s">
        <v>86</v>
      </c>
      <c r="CF642" s="4">
        <v>44575</v>
      </c>
      <c r="CI642" s="3">
        <v>1</v>
      </c>
      <c r="CJ642" s="3">
        <v>1</v>
      </c>
      <c r="CK642" s="3">
        <v>42</v>
      </c>
      <c r="CL642" s="3" t="s">
        <v>87</v>
      </c>
    </row>
    <row r="643" spans="1:90" x14ac:dyDescent="0.2">
      <c r="A643" s="3" t="s">
        <v>72</v>
      </c>
      <c r="B643" s="3" t="s">
        <v>73</v>
      </c>
      <c r="C643" s="3" t="s">
        <v>74</v>
      </c>
      <c r="E643" s="3" t="str">
        <f>"FES1162844980"</f>
        <v>FES1162844980</v>
      </c>
      <c r="F643" s="4">
        <v>44574</v>
      </c>
      <c r="G643" s="3">
        <v>202207</v>
      </c>
      <c r="H643" s="3" t="s">
        <v>75</v>
      </c>
      <c r="I643" s="3" t="s">
        <v>76</v>
      </c>
      <c r="J643" s="3" t="s">
        <v>77</v>
      </c>
      <c r="K643" s="3" t="s">
        <v>78</v>
      </c>
      <c r="L643" s="3" t="s">
        <v>90</v>
      </c>
      <c r="M643" s="3" t="s">
        <v>91</v>
      </c>
      <c r="N643" s="3" t="s">
        <v>859</v>
      </c>
      <c r="O643" s="3" t="s">
        <v>82</v>
      </c>
      <c r="P643" s="3" t="str">
        <f>"2170816535                    "</f>
        <v xml:space="preserve">2170816535                    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23.18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1</v>
      </c>
      <c r="BI643" s="3">
        <v>2</v>
      </c>
      <c r="BJ643" s="3">
        <v>2.6</v>
      </c>
      <c r="BK643" s="3">
        <v>3</v>
      </c>
      <c r="BL643" s="3">
        <v>88.48</v>
      </c>
      <c r="BM643" s="3">
        <v>13.27</v>
      </c>
      <c r="BN643" s="3">
        <v>101.75</v>
      </c>
      <c r="BO643" s="3">
        <v>101.75</v>
      </c>
      <c r="BQ643" s="3" t="s">
        <v>83</v>
      </c>
      <c r="BR643" s="3" t="s">
        <v>84</v>
      </c>
      <c r="BS643" s="4">
        <v>44575</v>
      </c>
      <c r="BT643" s="5">
        <v>0.50555555555555554</v>
      </c>
      <c r="BU643" s="3" t="s">
        <v>1021</v>
      </c>
      <c r="BV643" s="3" t="s">
        <v>87</v>
      </c>
      <c r="BW643" s="3" t="s">
        <v>353</v>
      </c>
      <c r="BX643" s="3" t="s">
        <v>602</v>
      </c>
      <c r="BY643" s="3">
        <v>13068</v>
      </c>
      <c r="BZ643" s="3" t="s">
        <v>165</v>
      </c>
      <c r="CA643" s="3" t="s">
        <v>829</v>
      </c>
      <c r="CC643" s="3" t="s">
        <v>91</v>
      </c>
      <c r="CD643" s="3">
        <v>7500</v>
      </c>
      <c r="CE643" s="3" t="s">
        <v>86</v>
      </c>
      <c r="CF643" s="4">
        <v>44578</v>
      </c>
      <c r="CI643" s="3">
        <v>1</v>
      </c>
      <c r="CJ643" s="3">
        <v>1</v>
      </c>
      <c r="CK643" s="3">
        <v>21</v>
      </c>
      <c r="CL643" s="3" t="s">
        <v>87</v>
      </c>
    </row>
    <row r="644" spans="1:90" x14ac:dyDescent="0.2">
      <c r="A644" s="3" t="s">
        <v>72</v>
      </c>
      <c r="B644" s="3" t="s">
        <v>73</v>
      </c>
      <c r="C644" s="3" t="s">
        <v>74</v>
      </c>
      <c r="E644" s="3" t="str">
        <f>"FES1162844993"</f>
        <v>FES1162844993</v>
      </c>
      <c r="F644" s="4">
        <v>44574</v>
      </c>
      <c r="G644" s="3">
        <v>202207</v>
      </c>
      <c r="H644" s="3" t="s">
        <v>75</v>
      </c>
      <c r="I644" s="3" t="s">
        <v>76</v>
      </c>
      <c r="J644" s="3" t="s">
        <v>77</v>
      </c>
      <c r="K644" s="3" t="s">
        <v>78</v>
      </c>
      <c r="L644" s="3" t="s">
        <v>218</v>
      </c>
      <c r="M644" s="3" t="s">
        <v>219</v>
      </c>
      <c r="N644" s="3" t="s">
        <v>1022</v>
      </c>
      <c r="O644" s="3" t="s">
        <v>82</v>
      </c>
      <c r="P644" s="3" t="str">
        <f>"2170816100                    "</f>
        <v xml:space="preserve">2170816100                    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15.46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1</v>
      </c>
      <c r="BI644" s="3">
        <v>2</v>
      </c>
      <c r="BJ644" s="3">
        <v>1.5</v>
      </c>
      <c r="BK644" s="3">
        <v>2</v>
      </c>
      <c r="BL644" s="3">
        <v>59</v>
      </c>
      <c r="BM644" s="3">
        <v>8.85</v>
      </c>
      <c r="BN644" s="3">
        <v>67.849999999999994</v>
      </c>
      <c r="BO644" s="3">
        <v>67.849999999999994</v>
      </c>
      <c r="BR644" s="3" t="s">
        <v>84</v>
      </c>
      <c r="BS644" s="4">
        <v>44575</v>
      </c>
      <c r="BT644" s="5">
        <v>0.38750000000000001</v>
      </c>
      <c r="BU644" s="3" t="s">
        <v>1023</v>
      </c>
      <c r="BV644" s="3" t="s">
        <v>105</v>
      </c>
      <c r="BY644" s="3">
        <v>7540</v>
      </c>
      <c r="BZ644" s="3" t="s">
        <v>165</v>
      </c>
      <c r="CA644" s="3" t="s">
        <v>362</v>
      </c>
      <c r="CC644" s="3" t="s">
        <v>219</v>
      </c>
      <c r="CD644" s="3">
        <v>157</v>
      </c>
      <c r="CE644" s="3" t="s">
        <v>86</v>
      </c>
      <c r="CF644" s="4">
        <v>44575</v>
      </c>
      <c r="CI644" s="3">
        <v>1</v>
      </c>
      <c r="CJ644" s="3">
        <v>1</v>
      </c>
      <c r="CK644" s="3">
        <v>21</v>
      </c>
      <c r="CL644" s="3" t="s">
        <v>87</v>
      </c>
    </row>
    <row r="645" spans="1:90" x14ac:dyDescent="0.2">
      <c r="A645" s="3" t="s">
        <v>72</v>
      </c>
      <c r="B645" s="3" t="s">
        <v>73</v>
      </c>
      <c r="C645" s="3" t="s">
        <v>74</v>
      </c>
      <c r="E645" s="3" t="str">
        <f>"FES1162845022"</f>
        <v>FES1162845022</v>
      </c>
      <c r="F645" s="4">
        <v>44574</v>
      </c>
      <c r="G645" s="3">
        <v>202207</v>
      </c>
      <c r="H645" s="3" t="s">
        <v>75</v>
      </c>
      <c r="I645" s="3" t="s">
        <v>76</v>
      </c>
      <c r="J645" s="3" t="s">
        <v>77</v>
      </c>
      <c r="K645" s="3" t="s">
        <v>78</v>
      </c>
      <c r="L645" s="3" t="s">
        <v>101</v>
      </c>
      <c r="M645" s="3" t="s">
        <v>102</v>
      </c>
      <c r="N645" s="3" t="s">
        <v>272</v>
      </c>
      <c r="O645" s="3" t="s">
        <v>82</v>
      </c>
      <c r="P645" s="3" t="str">
        <f>"2170816588                    "</f>
        <v xml:space="preserve">2170816588                    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15.46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1</v>
      </c>
      <c r="BI645" s="3">
        <v>1</v>
      </c>
      <c r="BJ645" s="3">
        <v>0.2</v>
      </c>
      <c r="BK645" s="3">
        <v>1</v>
      </c>
      <c r="BL645" s="3">
        <v>59</v>
      </c>
      <c r="BM645" s="3">
        <v>8.85</v>
      </c>
      <c r="BN645" s="3">
        <v>67.849999999999994</v>
      </c>
      <c r="BO645" s="3">
        <v>67.849999999999994</v>
      </c>
      <c r="BQ645" s="3" t="s">
        <v>273</v>
      </c>
      <c r="BR645" s="3" t="s">
        <v>84</v>
      </c>
      <c r="BS645" s="4">
        <v>44578</v>
      </c>
      <c r="BT645" s="5">
        <v>0.3888888888888889</v>
      </c>
      <c r="BU645" s="3" t="s">
        <v>274</v>
      </c>
      <c r="BV645" s="3" t="s">
        <v>87</v>
      </c>
      <c r="BW645" s="3" t="s">
        <v>278</v>
      </c>
      <c r="BX645" s="3" t="s">
        <v>279</v>
      </c>
      <c r="BY645" s="3">
        <v>1200</v>
      </c>
      <c r="BZ645" s="3" t="s">
        <v>165</v>
      </c>
      <c r="CA645" s="3" t="s">
        <v>275</v>
      </c>
      <c r="CC645" s="3" t="s">
        <v>102</v>
      </c>
      <c r="CD645" s="3">
        <v>4000</v>
      </c>
      <c r="CE645" s="3" t="s">
        <v>93</v>
      </c>
      <c r="CF645" s="4">
        <v>44579</v>
      </c>
      <c r="CI645" s="3">
        <v>1</v>
      </c>
      <c r="CJ645" s="3">
        <v>2</v>
      </c>
      <c r="CK645" s="3">
        <v>21</v>
      </c>
      <c r="CL645" s="3" t="s">
        <v>87</v>
      </c>
    </row>
    <row r="646" spans="1:90" x14ac:dyDescent="0.2">
      <c r="A646" s="3" t="s">
        <v>72</v>
      </c>
      <c r="B646" s="3" t="s">
        <v>73</v>
      </c>
      <c r="C646" s="3" t="s">
        <v>74</v>
      </c>
      <c r="E646" s="3" t="str">
        <f>"FES1162844981"</f>
        <v>FES1162844981</v>
      </c>
      <c r="F646" s="4">
        <v>44574</v>
      </c>
      <c r="G646" s="3">
        <v>202207</v>
      </c>
      <c r="H646" s="3" t="s">
        <v>75</v>
      </c>
      <c r="I646" s="3" t="s">
        <v>76</v>
      </c>
      <c r="J646" s="3" t="s">
        <v>77</v>
      </c>
      <c r="K646" s="3" t="s">
        <v>78</v>
      </c>
      <c r="L646" s="3" t="s">
        <v>75</v>
      </c>
      <c r="M646" s="3" t="s">
        <v>76</v>
      </c>
      <c r="N646" s="3" t="s">
        <v>147</v>
      </c>
      <c r="O646" s="3" t="s">
        <v>82</v>
      </c>
      <c r="P646" s="3" t="str">
        <f>"2170816519                    "</f>
        <v xml:space="preserve">2170816519                    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12.07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1</v>
      </c>
      <c r="BI646" s="3">
        <v>1</v>
      </c>
      <c r="BJ646" s="3">
        <v>0.2</v>
      </c>
      <c r="BK646" s="3">
        <v>1</v>
      </c>
      <c r="BL646" s="3">
        <v>46.08</v>
      </c>
      <c r="BM646" s="3">
        <v>6.91</v>
      </c>
      <c r="BN646" s="3">
        <v>52.99</v>
      </c>
      <c r="BO646" s="3">
        <v>52.99</v>
      </c>
      <c r="BQ646" s="3" t="s">
        <v>89</v>
      </c>
      <c r="BR646" s="3" t="s">
        <v>84</v>
      </c>
      <c r="BS646" s="4">
        <v>44575</v>
      </c>
      <c r="BT646" s="5">
        <v>0.40763888888888888</v>
      </c>
      <c r="BU646" s="3" t="s">
        <v>476</v>
      </c>
      <c r="BV646" s="3" t="s">
        <v>105</v>
      </c>
      <c r="BY646" s="3">
        <v>1200</v>
      </c>
      <c r="BZ646" s="3" t="s">
        <v>165</v>
      </c>
      <c r="CA646" s="3" t="s">
        <v>477</v>
      </c>
      <c r="CC646" s="3" t="s">
        <v>76</v>
      </c>
      <c r="CD646" s="3">
        <v>1645</v>
      </c>
      <c r="CE646" s="3" t="s">
        <v>93</v>
      </c>
      <c r="CF646" s="4">
        <v>44576</v>
      </c>
      <c r="CI646" s="3">
        <v>1</v>
      </c>
      <c r="CJ646" s="3">
        <v>1</v>
      </c>
      <c r="CK646" s="3">
        <v>22</v>
      </c>
      <c r="CL646" s="3" t="s">
        <v>87</v>
      </c>
    </row>
    <row r="647" spans="1:90" x14ac:dyDescent="0.2">
      <c r="A647" s="3" t="s">
        <v>72</v>
      </c>
      <c r="B647" s="3" t="s">
        <v>73</v>
      </c>
      <c r="C647" s="3" t="s">
        <v>74</v>
      </c>
      <c r="E647" s="3" t="str">
        <f>"FES1162844842"</f>
        <v>FES1162844842</v>
      </c>
      <c r="F647" s="4">
        <v>44574</v>
      </c>
      <c r="G647" s="3">
        <v>202207</v>
      </c>
      <c r="H647" s="3" t="s">
        <v>75</v>
      </c>
      <c r="I647" s="3" t="s">
        <v>76</v>
      </c>
      <c r="J647" s="3" t="s">
        <v>77</v>
      </c>
      <c r="K647" s="3" t="s">
        <v>78</v>
      </c>
      <c r="L647" s="3" t="s">
        <v>101</v>
      </c>
      <c r="M647" s="3" t="s">
        <v>102</v>
      </c>
      <c r="N647" s="3" t="s">
        <v>272</v>
      </c>
      <c r="O647" s="3" t="s">
        <v>82</v>
      </c>
      <c r="P647" s="3" t="str">
        <f>"2170816407                    "</f>
        <v xml:space="preserve">2170816407                    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15.46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1</v>
      </c>
      <c r="BI647" s="3">
        <v>1</v>
      </c>
      <c r="BJ647" s="3">
        <v>0.2</v>
      </c>
      <c r="BK647" s="3">
        <v>1</v>
      </c>
      <c r="BL647" s="3">
        <v>59</v>
      </c>
      <c r="BM647" s="3">
        <v>8.85</v>
      </c>
      <c r="BN647" s="3">
        <v>67.849999999999994</v>
      </c>
      <c r="BO647" s="3">
        <v>67.849999999999994</v>
      </c>
      <c r="BQ647" s="3" t="s">
        <v>273</v>
      </c>
      <c r="BR647" s="3" t="s">
        <v>84</v>
      </c>
      <c r="BS647" s="4">
        <v>44575</v>
      </c>
      <c r="BT647" s="5">
        <v>0.38194444444444442</v>
      </c>
      <c r="BU647" s="3" t="s">
        <v>274</v>
      </c>
      <c r="BV647" s="3" t="s">
        <v>105</v>
      </c>
      <c r="BY647" s="3">
        <v>1200</v>
      </c>
      <c r="BZ647" s="3" t="s">
        <v>165</v>
      </c>
      <c r="CA647" s="3" t="s">
        <v>275</v>
      </c>
      <c r="CC647" s="3" t="s">
        <v>102</v>
      </c>
      <c r="CD647" s="3">
        <v>4000</v>
      </c>
      <c r="CE647" s="3" t="s">
        <v>93</v>
      </c>
      <c r="CF647" s="4">
        <v>44578</v>
      </c>
      <c r="CI647" s="3">
        <v>1</v>
      </c>
      <c r="CJ647" s="3">
        <v>1</v>
      </c>
      <c r="CK647" s="3">
        <v>21</v>
      </c>
      <c r="CL647" s="3" t="s">
        <v>87</v>
      </c>
    </row>
    <row r="648" spans="1:90" x14ac:dyDescent="0.2">
      <c r="A648" s="3" t="s">
        <v>72</v>
      </c>
      <c r="B648" s="3" t="s">
        <v>73</v>
      </c>
      <c r="C648" s="3" t="s">
        <v>74</v>
      </c>
      <c r="E648" s="3" t="str">
        <f>"FES1162844939"</f>
        <v>FES1162844939</v>
      </c>
      <c r="F648" s="4">
        <v>44574</v>
      </c>
      <c r="G648" s="3">
        <v>202207</v>
      </c>
      <c r="H648" s="3" t="s">
        <v>75</v>
      </c>
      <c r="I648" s="3" t="s">
        <v>76</v>
      </c>
      <c r="J648" s="3" t="s">
        <v>77</v>
      </c>
      <c r="K648" s="3" t="s">
        <v>78</v>
      </c>
      <c r="L648" s="3" t="s">
        <v>184</v>
      </c>
      <c r="M648" s="3" t="s">
        <v>185</v>
      </c>
      <c r="N648" s="3" t="s">
        <v>186</v>
      </c>
      <c r="O648" s="3" t="s">
        <v>82</v>
      </c>
      <c r="P648" s="3" t="str">
        <f>"2170816506                    "</f>
        <v xml:space="preserve">2170816506                    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15.46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1</v>
      </c>
      <c r="BI648" s="3">
        <v>1</v>
      </c>
      <c r="BJ648" s="3">
        <v>0.2</v>
      </c>
      <c r="BK648" s="3">
        <v>1</v>
      </c>
      <c r="BL648" s="3">
        <v>59</v>
      </c>
      <c r="BM648" s="3">
        <v>8.85</v>
      </c>
      <c r="BN648" s="3">
        <v>67.849999999999994</v>
      </c>
      <c r="BO648" s="3">
        <v>67.849999999999994</v>
      </c>
      <c r="BQ648" s="3" t="s">
        <v>83</v>
      </c>
      <c r="BR648" s="3" t="s">
        <v>84</v>
      </c>
      <c r="BS648" s="4">
        <v>44575</v>
      </c>
      <c r="BT648" s="5">
        <v>0.48541666666666666</v>
      </c>
      <c r="BU648" s="3" t="s">
        <v>1024</v>
      </c>
      <c r="BV648" s="3" t="s">
        <v>87</v>
      </c>
      <c r="BW648" s="3" t="s">
        <v>353</v>
      </c>
      <c r="BX648" s="3" t="s">
        <v>648</v>
      </c>
      <c r="BY648" s="3">
        <v>1200</v>
      </c>
      <c r="BZ648" s="3" t="s">
        <v>165</v>
      </c>
      <c r="CA648" s="3" t="s">
        <v>1013</v>
      </c>
      <c r="CC648" s="3" t="s">
        <v>185</v>
      </c>
      <c r="CD648" s="3">
        <v>5201</v>
      </c>
      <c r="CE648" s="3" t="s">
        <v>93</v>
      </c>
      <c r="CF648" s="4">
        <v>44575</v>
      </c>
      <c r="CI648" s="3">
        <v>1</v>
      </c>
      <c r="CJ648" s="3">
        <v>1</v>
      </c>
      <c r="CK648" s="3">
        <v>21</v>
      </c>
      <c r="CL648" s="3" t="s">
        <v>87</v>
      </c>
    </row>
    <row r="649" spans="1:90" x14ac:dyDescent="0.2">
      <c r="A649" s="3" t="s">
        <v>72</v>
      </c>
      <c r="B649" s="3" t="s">
        <v>73</v>
      </c>
      <c r="C649" s="3" t="s">
        <v>74</v>
      </c>
      <c r="E649" s="3" t="str">
        <f>"FES1162845057"</f>
        <v>FES1162845057</v>
      </c>
      <c r="F649" s="4">
        <v>44574</v>
      </c>
      <c r="G649" s="3">
        <v>202207</v>
      </c>
      <c r="H649" s="3" t="s">
        <v>75</v>
      </c>
      <c r="I649" s="3" t="s">
        <v>76</v>
      </c>
      <c r="J649" s="3" t="s">
        <v>77</v>
      </c>
      <c r="K649" s="3" t="s">
        <v>78</v>
      </c>
      <c r="L649" s="3" t="s">
        <v>90</v>
      </c>
      <c r="M649" s="3" t="s">
        <v>91</v>
      </c>
      <c r="N649" s="3" t="s">
        <v>157</v>
      </c>
      <c r="O649" s="3" t="s">
        <v>82</v>
      </c>
      <c r="P649" s="3" t="str">
        <f>"2170816629                    "</f>
        <v xml:space="preserve">2170816629                    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23.18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1</v>
      </c>
      <c r="BI649" s="3">
        <v>3</v>
      </c>
      <c r="BJ649" s="3">
        <v>1.8</v>
      </c>
      <c r="BK649" s="3">
        <v>3</v>
      </c>
      <c r="BL649" s="3">
        <v>88.48</v>
      </c>
      <c r="BM649" s="3">
        <v>13.27</v>
      </c>
      <c r="BN649" s="3">
        <v>101.75</v>
      </c>
      <c r="BO649" s="3">
        <v>101.75</v>
      </c>
      <c r="BQ649" s="3" t="s">
        <v>89</v>
      </c>
      <c r="BR649" s="3" t="s">
        <v>84</v>
      </c>
      <c r="BS649" s="4">
        <v>44575</v>
      </c>
      <c r="BT649" s="5">
        <v>0.39374999999999999</v>
      </c>
      <c r="BU649" s="3" t="s">
        <v>691</v>
      </c>
      <c r="BV649" s="3" t="s">
        <v>105</v>
      </c>
      <c r="BY649" s="3">
        <v>8775</v>
      </c>
      <c r="BZ649" s="3" t="s">
        <v>165</v>
      </c>
      <c r="CA649" s="3" t="s">
        <v>713</v>
      </c>
      <c r="CC649" s="3" t="s">
        <v>91</v>
      </c>
      <c r="CD649" s="3">
        <v>7441</v>
      </c>
      <c r="CE649" s="3" t="s">
        <v>86</v>
      </c>
      <c r="CF649" s="4">
        <v>44578</v>
      </c>
      <c r="CI649" s="3">
        <v>1</v>
      </c>
      <c r="CJ649" s="3">
        <v>1</v>
      </c>
      <c r="CK649" s="3">
        <v>21</v>
      </c>
      <c r="CL649" s="3" t="s">
        <v>87</v>
      </c>
    </row>
    <row r="650" spans="1:90" x14ac:dyDescent="0.2">
      <c r="A650" s="3" t="s">
        <v>72</v>
      </c>
      <c r="B650" s="3" t="s">
        <v>73</v>
      </c>
      <c r="C650" s="3" t="s">
        <v>74</v>
      </c>
      <c r="E650" s="3" t="str">
        <f>"FES1162844969"</f>
        <v>FES1162844969</v>
      </c>
      <c r="F650" s="4">
        <v>44574</v>
      </c>
      <c r="G650" s="3">
        <v>202207</v>
      </c>
      <c r="H650" s="3" t="s">
        <v>75</v>
      </c>
      <c r="I650" s="3" t="s">
        <v>76</v>
      </c>
      <c r="J650" s="3" t="s">
        <v>77</v>
      </c>
      <c r="K650" s="3" t="s">
        <v>78</v>
      </c>
      <c r="L650" s="3" t="s">
        <v>101</v>
      </c>
      <c r="M650" s="3" t="s">
        <v>102</v>
      </c>
      <c r="N650" s="3" t="s">
        <v>272</v>
      </c>
      <c r="O650" s="3" t="s">
        <v>82</v>
      </c>
      <c r="P650" s="3" t="str">
        <f>"2170816525                    "</f>
        <v xml:space="preserve">2170816525                    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15.46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1</v>
      </c>
      <c r="BI650" s="3">
        <v>1</v>
      </c>
      <c r="BJ650" s="3">
        <v>0.2</v>
      </c>
      <c r="BK650" s="3">
        <v>1</v>
      </c>
      <c r="BL650" s="3">
        <v>59</v>
      </c>
      <c r="BM650" s="3">
        <v>8.85</v>
      </c>
      <c r="BN650" s="3">
        <v>67.849999999999994</v>
      </c>
      <c r="BO650" s="3">
        <v>67.849999999999994</v>
      </c>
      <c r="BQ650" s="3" t="s">
        <v>273</v>
      </c>
      <c r="BR650" s="3" t="s">
        <v>84</v>
      </c>
      <c r="BS650" s="4">
        <v>44575</v>
      </c>
      <c r="BT650" s="5">
        <v>0.38194444444444442</v>
      </c>
      <c r="BU650" s="3" t="s">
        <v>274</v>
      </c>
      <c r="BV650" s="3" t="s">
        <v>105</v>
      </c>
      <c r="BY650" s="3">
        <v>1200</v>
      </c>
      <c r="BZ650" s="3" t="s">
        <v>165</v>
      </c>
      <c r="CA650" s="3" t="s">
        <v>275</v>
      </c>
      <c r="CC650" s="3" t="s">
        <v>102</v>
      </c>
      <c r="CD650" s="3">
        <v>4000</v>
      </c>
      <c r="CE650" s="3" t="s">
        <v>93</v>
      </c>
      <c r="CF650" s="4">
        <v>44578</v>
      </c>
      <c r="CI650" s="3">
        <v>1</v>
      </c>
      <c r="CJ650" s="3">
        <v>1</v>
      </c>
      <c r="CK650" s="3">
        <v>21</v>
      </c>
      <c r="CL650" s="3" t="s">
        <v>87</v>
      </c>
    </row>
    <row r="651" spans="1:90" x14ac:dyDescent="0.2">
      <c r="A651" s="3" t="s">
        <v>72</v>
      </c>
      <c r="B651" s="3" t="s">
        <v>73</v>
      </c>
      <c r="C651" s="3" t="s">
        <v>74</v>
      </c>
      <c r="E651" s="3" t="str">
        <f>"FES1162844891"</f>
        <v>FES1162844891</v>
      </c>
      <c r="F651" s="4">
        <v>44574</v>
      </c>
      <c r="G651" s="3">
        <v>202207</v>
      </c>
      <c r="H651" s="3" t="s">
        <v>75</v>
      </c>
      <c r="I651" s="3" t="s">
        <v>76</v>
      </c>
      <c r="J651" s="3" t="s">
        <v>77</v>
      </c>
      <c r="K651" s="3" t="s">
        <v>78</v>
      </c>
      <c r="L651" s="3" t="s">
        <v>187</v>
      </c>
      <c r="M651" s="3" t="s">
        <v>188</v>
      </c>
      <c r="N651" s="3" t="s">
        <v>189</v>
      </c>
      <c r="O651" s="3" t="s">
        <v>82</v>
      </c>
      <c r="P651" s="3" t="str">
        <f>"2170816462                    "</f>
        <v xml:space="preserve">2170816462                    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84.05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1</v>
      </c>
      <c r="BI651" s="3">
        <v>6</v>
      </c>
      <c r="BJ651" s="3">
        <v>4.0999999999999996</v>
      </c>
      <c r="BK651" s="3">
        <v>6</v>
      </c>
      <c r="BL651" s="3">
        <v>320.81</v>
      </c>
      <c r="BM651" s="3">
        <v>48.12</v>
      </c>
      <c r="BN651" s="3">
        <v>368.93</v>
      </c>
      <c r="BO651" s="3">
        <v>368.93</v>
      </c>
      <c r="BQ651" s="3" t="s">
        <v>83</v>
      </c>
      <c r="BR651" s="3" t="s">
        <v>84</v>
      </c>
      <c r="BS651" s="4">
        <v>44575</v>
      </c>
      <c r="BT651" s="5">
        <v>0.55277777777777781</v>
      </c>
      <c r="BU651" s="3" t="s">
        <v>854</v>
      </c>
      <c r="BV651" s="3" t="s">
        <v>87</v>
      </c>
      <c r="BW651" s="3" t="s">
        <v>353</v>
      </c>
      <c r="BX651" s="3" t="s">
        <v>602</v>
      </c>
      <c r="BY651" s="3">
        <v>20358</v>
      </c>
      <c r="BZ651" s="3" t="s">
        <v>165</v>
      </c>
      <c r="CA651" s="3" t="s">
        <v>268</v>
      </c>
      <c r="CC651" s="3" t="s">
        <v>188</v>
      </c>
      <c r="CD651" s="3">
        <v>7300</v>
      </c>
      <c r="CE651" s="3" t="s">
        <v>86</v>
      </c>
      <c r="CF651" s="4">
        <v>44578</v>
      </c>
      <c r="CI651" s="3">
        <v>1</v>
      </c>
      <c r="CJ651" s="3">
        <v>1</v>
      </c>
      <c r="CK651" s="3">
        <v>23</v>
      </c>
      <c r="CL651" s="3" t="s">
        <v>87</v>
      </c>
    </row>
    <row r="652" spans="1:90" x14ac:dyDescent="0.2">
      <c r="A652" s="3" t="s">
        <v>72</v>
      </c>
      <c r="B652" s="3" t="s">
        <v>73</v>
      </c>
      <c r="C652" s="3" t="s">
        <v>74</v>
      </c>
      <c r="E652" s="3" t="str">
        <f>"FES1162844930"</f>
        <v>FES1162844930</v>
      </c>
      <c r="F652" s="4">
        <v>44574</v>
      </c>
      <c r="G652" s="3">
        <v>202207</v>
      </c>
      <c r="H652" s="3" t="s">
        <v>75</v>
      </c>
      <c r="I652" s="3" t="s">
        <v>76</v>
      </c>
      <c r="J652" s="3" t="s">
        <v>77</v>
      </c>
      <c r="K652" s="3" t="s">
        <v>78</v>
      </c>
      <c r="L652" s="3" t="s">
        <v>90</v>
      </c>
      <c r="M652" s="3" t="s">
        <v>91</v>
      </c>
      <c r="N652" s="3" t="s">
        <v>1025</v>
      </c>
      <c r="O652" s="3" t="s">
        <v>82</v>
      </c>
      <c r="P652" s="3" t="str">
        <f>"2170816498                    "</f>
        <v xml:space="preserve">2170816498                    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15.46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1</v>
      </c>
      <c r="BI652" s="3">
        <v>1</v>
      </c>
      <c r="BJ652" s="3">
        <v>0.2</v>
      </c>
      <c r="BK652" s="3">
        <v>1</v>
      </c>
      <c r="BL652" s="3">
        <v>59</v>
      </c>
      <c r="BM652" s="3">
        <v>8.85</v>
      </c>
      <c r="BN652" s="3">
        <v>67.849999999999994</v>
      </c>
      <c r="BO652" s="3">
        <v>67.849999999999994</v>
      </c>
      <c r="BQ652" s="3" t="s">
        <v>83</v>
      </c>
      <c r="BR652" s="3" t="s">
        <v>84</v>
      </c>
      <c r="BS652" s="4">
        <v>44575</v>
      </c>
      <c r="BT652" s="5">
        <v>0.56041666666666667</v>
      </c>
      <c r="BU652" s="3" t="s">
        <v>1026</v>
      </c>
      <c r="BV652" s="3" t="s">
        <v>87</v>
      </c>
      <c r="BW652" s="3" t="s">
        <v>353</v>
      </c>
      <c r="BX652" s="3" t="s">
        <v>354</v>
      </c>
      <c r="BY652" s="3">
        <v>1200</v>
      </c>
      <c r="BZ652" s="3" t="s">
        <v>165</v>
      </c>
      <c r="CA652" s="3" t="s">
        <v>641</v>
      </c>
      <c r="CC652" s="3" t="s">
        <v>91</v>
      </c>
      <c r="CD652" s="3">
        <v>7580</v>
      </c>
      <c r="CE652" s="3" t="s">
        <v>93</v>
      </c>
      <c r="CF652" s="4">
        <v>44578</v>
      </c>
      <c r="CI652" s="3">
        <v>1</v>
      </c>
      <c r="CJ652" s="3">
        <v>1</v>
      </c>
      <c r="CK652" s="3">
        <v>21</v>
      </c>
      <c r="CL652" s="3" t="s">
        <v>87</v>
      </c>
    </row>
    <row r="653" spans="1:90" x14ac:dyDescent="0.2">
      <c r="A653" s="3" t="s">
        <v>72</v>
      </c>
      <c r="B653" s="3" t="s">
        <v>73</v>
      </c>
      <c r="C653" s="3" t="s">
        <v>74</v>
      </c>
      <c r="E653" s="3" t="str">
        <f>"FES1162844963"</f>
        <v>FES1162844963</v>
      </c>
      <c r="F653" s="4">
        <v>44574</v>
      </c>
      <c r="G653" s="3">
        <v>202207</v>
      </c>
      <c r="H653" s="3" t="s">
        <v>75</v>
      </c>
      <c r="I653" s="3" t="s">
        <v>76</v>
      </c>
      <c r="J653" s="3" t="s">
        <v>77</v>
      </c>
      <c r="K653" s="3" t="s">
        <v>78</v>
      </c>
      <c r="L653" s="3" t="s">
        <v>94</v>
      </c>
      <c r="M653" s="3" t="s">
        <v>95</v>
      </c>
      <c r="N653" s="3" t="s">
        <v>613</v>
      </c>
      <c r="O653" s="3" t="s">
        <v>82</v>
      </c>
      <c r="P653" s="3" t="str">
        <f>"2170815651                    "</f>
        <v xml:space="preserve">2170815651                    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15.46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1</v>
      </c>
      <c r="BI653" s="3">
        <v>1</v>
      </c>
      <c r="BJ653" s="3">
        <v>0.2</v>
      </c>
      <c r="BK653" s="3">
        <v>1</v>
      </c>
      <c r="BL653" s="3">
        <v>59</v>
      </c>
      <c r="BM653" s="3">
        <v>8.85</v>
      </c>
      <c r="BN653" s="3">
        <v>67.849999999999994</v>
      </c>
      <c r="BO653" s="3">
        <v>67.849999999999994</v>
      </c>
      <c r="BQ653" s="3" t="s">
        <v>89</v>
      </c>
      <c r="BR653" s="3" t="s">
        <v>84</v>
      </c>
      <c r="BS653" s="4">
        <v>44575</v>
      </c>
      <c r="BT653" s="5">
        <v>0.46666666666666662</v>
      </c>
      <c r="BU653" s="3" t="s">
        <v>682</v>
      </c>
      <c r="BV653" s="3" t="s">
        <v>105</v>
      </c>
      <c r="BY653" s="3">
        <v>1200</v>
      </c>
      <c r="BZ653" s="3" t="s">
        <v>165</v>
      </c>
      <c r="CC653" s="3" t="s">
        <v>95</v>
      </c>
      <c r="CD653" s="3">
        <v>3212</v>
      </c>
      <c r="CE653" s="3" t="s">
        <v>93</v>
      </c>
      <c r="CF653" s="4">
        <v>44581</v>
      </c>
      <c r="CI653" s="3">
        <v>1</v>
      </c>
      <c r="CJ653" s="3">
        <v>1</v>
      </c>
      <c r="CK653" s="3">
        <v>21</v>
      </c>
      <c r="CL653" s="3" t="s">
        <v>87</v>
      </c>
    </row>
    <row r="654" spans="1:90" x14ac:dyDescent="0.2">
      <c r="A654" s="3" t="s">
        <v>72</v>
      </c>
      <c r="B654" s="3" t="s">
        <v>73</v>
      </c>
      <c r="C654" s="3" t="s">
        <v>74</v>
      </c>
      <c r="E654" s="3" t="str">
        <f>"FES1162844918"</f>
        <v>FES1162844918</v>
      </c>
      <c r="F654" s="4">
        <v>44574</v>
      </c>
      <c r="G654" s="3">
        <v>202207</v>
      </c>
      <c r="H654" s="3" t="s">
        <v>75</v>
      </c>
      <c r="I654" s="3" t="s">
        <v>76</v>
      </c>
      <c r="J654" s="3" t="s">
        <v>77</v>
      </c>
      <c r="K654" s="3" t="s">
        <v>78</v>
      </c>
      <c r="L654" s="3" t="s">
        <v>75</v>
      </c>
      <c r="M654" s="3" t="s">
        <v>76</v>
      </c>
      <c r="N654" s="3" t="s">
        <v>224</v>
      </c>
      <c r="O654" s="3" t="s">
        <v>82</v>
      </c>
      <c r="P654" s="3" t="str">
        <f>"2170816481                    "</f>
        <v xml:space="preserve">2170816481                    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12.07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1</v>
      </c>
      <c r="BI654" s="3">
        <v>1</v>
      </c>
      <c r="BJ654" s="3">
        <v>0.2</v>
      </c>
      <c r="BK654" s="3">
        <v>1</v>
      </c>
      <c r="BL654" s="3">
        <v>46.08</v>
      </c>
      <c r="BM654" s="3">
        <v>6.91</v>
      </c>
      <c r="BN654" s="3">
        <v>52.99</v>
      </c>
      <c r="BO654" s="3">
        <v>52.99</v>
      </c>
      <c r="BQ654" s="3" t="s">
        <v>83</v>
      </c>
      <c r="BR654" s="3" t="s">
        <v>84</v>
      </c>
      <c r="BS654" s="4">
        <v>44575</v>
      </c>
      <c r="BT654" s="5">
        <v>0.36249999999999999</v>
      </c>
      <c r="BU654" s="3" t="s">
        <v>1027</v>
      </c>
      <c r="BV654" s="3" t="s">
        <v>105</v>
      </c>
      <c r="BY654" s="3">
        <v>1200</v>
      </c>
      <c r="BZ654" s="3" t="s">
        <v>165</v>
      </c>
      <c r="CA654" s="3" t="s">
        <v>227</v>
      </c>
      <c r="CC654" s="3" t="s">
        <v>76</v>
      </c>
      <c r="CD654" s="3">
        <v>1600</v>
      </c>
      <c r="CE654" s="3" t="s">
        <v>93</v>
      </c>
      <c r="CF654" s="4">
        <v>44575</v>
      </c>
      <c r="CI654" s="3">
        <v>1</v>
      </c>
      <c r="CJ654" s="3">
        <v>1</v>
      </c>
      <c r="CK654" s="3">
        <v>22</v>
      </c>
      <c r="CL654" s="3" t="s">
        <v>87</v>
      </c>
    </row>
    <row r="655" spans="1:90" x14ac:dyDescent="0.2">
      <c r="A655" s="3" t="s">
        <v>72</v>
      </c>
      <c r="B655" s="3" t="s">
        <v>73</v>
      </c>
      <c r="C655" s="3" t="s">
        <v>74</v>
      </c>
      <c r="E655" s="3" t="str">
        <f>"FES1162844864"</f>
        <v>FES1162844864</v>
      </c>
      <c r="F655" s="4">
        <v>44574</v>
      </c>
      <c r="G655" s="3">
        <v>202207</v>
      </c>
      <c r="H655" s="3" t="s">
        <v>75</v>
      </c>
      <c r="I655" s="3" t="s">
        <v>76</v>
      </c>
      <c r="J655" s="3" t="s">
        <v>77</v>
      </c>
      <c r="K655" s="3" t="s">
        <v>78</v>
      </c>
      <c r="L655" s="3" t="s">
        <v>167</v>
      </c>
      <c r="M655" s="3" t="s">
        <v>168</v>
      </c>
      <c r="N655" s="3" t="s">
        <v>194</v>
      </c>
      <c r="O655" s="3" t="s">
        <v>82</v>
      </c>
      <c r="P655" s="3" t="str">
        <f>"2170816431                    "</f>
        <v xml:space="preserve">2170816431                    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15.46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0</v>
      </c>
      <c r="BG655" s="3">
        <v>0</v>
      </c>
      <c r="BH655" s="3">
        <v>1</v>
      </c>
      <c r="BI655" s="3">
        <v>1</v>
      </c>
      <c r="BJ655" s="3">
        <v>0.2</v>
      </c>
      <c r="BK655" s="3">
        <v>1</v>
      </c>
      <c r="BL655" s="3">
        <v>59</v>
      </c>
      <c r="BM655" s="3">
        <v>8.85</v>
      </c>
      <c r="BN655" s="3">
        <v>67.849999999999994</v>
      </c>
      <c r="BO655" s="3">
        <v>67.849999999999994</v>
      </c>
      <c r="BQ655" s="3" t="s">
        <v>89</v>
      </c>
      <c r="BR655" s="3" t="s">
        <v>84</v>
      </c>
      <c r="BS655" s="4">
        <v>44575</v>
      </c>
      <c r="BT655" s="5">
        <v>0.33402777777777781</v>
      </c>
      <c r="BU655" s="3" t="s">
        <v>1028</v>
      </c>
      <c r="BV655" s="3" t="s">
        <v>105</v>
      </c>
      <c r="BY655" s="3">
        <v>1200</v>
      </c>
      <c r="BZ655" s="3" t="s">
        <v>165</v>
      </c>
      <c r="CA655" s="3" t="s">
        <v>553</v>
      </c>
      <c r="CC655" s="3" t="s">
        <v>168</v>
      </c>
      <c r="CD655" s="3">
        <v>6229</v>
      </c>
      <c r="CE655" s="3" t="s">
        <v>93</v>
      </c>
      <c r="CF655" s="4">
        <v>44575</v>
      </c>
      <c r="CI655" s="3">
        <v>1</v>
      </c>
      <c r="CJ655" s="3">
        <v>1</v>
      </c>
      <c r="CK655" s="3">
        <v>21</v>
      </c>
      <c r="CL655" s="3" t="s">
        <v>87</v>
      </c>
    </row>
    <row r="656" spans="1:90" x14ac:dyDescent="0.2">
      <c r="A656" s="3" t="s">
        <v>72</v>
      </c>
      <c r="B656" s="3" t="s">
        <v>73</v>
      </c>
      <c r="C656" s="3" t="s">
        <v>74</v>
      </c>
      <c r="E656" s="3" t="str">
        <f>"FES1162845012"</f>
        <v>FES1162845012</v>
      </c>
      <c r="F656" s="4">
        <v>44574</v>
      </c>
      <c r="G656" s="3">
        <v>202207</v>
      </c>
      <c r="H656" s="3" t="s">
        <v>75</v>
      </c>
      <c r="I656" s="3" t="s">
        <v>76</v>
      </c>
      <c r="J656" s="3" t="s">
        <v>77</v>
      </c>
      <c r="K656" s="3" t="s">
        <v>78</v>
      </c>
      <c r="L656" s="3" t="s">
        <v>228</v>
      </c>
      <c r="M656" s="3" t="s">
        <v>229</v>
      </c>
      <c r="N656" s="3" t="s">
        <v>230</v>
      </c>
      <c r="O656" s="3" t="s">
        <v>82</v>
      </c>
      <c r="P656" s="3" t="str">
        <f>"2170816578                    "</f>
        <v xml:space="preserve">2170816578                    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29.95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1</v>
      </c>
      <c r="BI656" s="3">
        <v>1</v>
      </c>
      <c r="BJ656" s="3">
        <v>0.2</v>
      </c>
      <c r="BK656" s="3">
        <v>1</v>
      </c>
      <c r="BL656" s="3">
        <v>114.31</v>
      </c>
      <c r="BM656" s="3">
        <v>17.149999999999999</v>
      </c>
      <c r="BN656" s="3">
        <v>131.46</v>
      </c>
      <c r="BO656" s="3">
        <v>131.46</v>
      </c>
      <c r="BQ656" s="3" t="s">
        <v>231</v>
      </c>
      <c r="BR656" s="3" t="s">
        <v>84</v>
      </c>
      <c r="BS656" s="4">
        <v>44575</v>
      </c>
      <c r="BT656" s="5">
        <v>0.56666666666666665</v>
      </c>
      <c r="BU656" s="3" t="s">
        <v>1029</v>
      </c>
      <c r="BV656" s="3" t="s">
        <v>105</v>
      </c>
      <c r="BY656" s="3">
        <v>1200</v>
      </c>
      <c r="BZ656" s="3" t="s">
        <v>165</v>
      </c>
      <c r="CA656" s="3" t="s">
        <v>1030</v>
      </c>
      <c r="CC656" s="3" t="s">
        <v>229</v>
      </c>
      <c r="CD656" s="3">
        <v>4252</v>
      </c>
      <c r="CE656" s="3" t="s">
        <v>93</v>
      </c>
      <c r="CF656" s="4">
        <v>44578</v>
      </c>
      <c r="CI656" s="3">
        <v>2</v>
      </c>
      <c r="CJ656" s="3">
        <v>1</v>
      </c>
      <c r="CK656" s="3">
        <v>23</v>
      </c>
      <c r="CL656" s="3" t="s">
        <v>87</v>
      </c>
    </row>
    <row r="657" spans="1:90" x14ac:dyDescent="0.2">
      <c r="A657" s="3" t="s">
        <v>72</v>
      </c>
      <c r="B657" s="3" t="s">
        <v>73</v>
      </c>
      <c r="C657" s="3" t="s">
        <v>74</v>
      </c>
      <c r="E657" s="3" t="str">
        <f>"FES1162845060"</f>
        <v>FES1162845060</v>
      </c>
      <c r="F657" s="4">
        <v>44574</v>
      </c>
      <c r="G657" s="3">
        <v>202207</v>
      </c>
      <c r="H657" s="3" t="s">
        <v>75</v>
      </c>
      <c r="I657" s="3" t="s">
        <v>76</v>
      </c>
      <c r="J657" s="3" t="s">
        <v>77</v>
      </c>
      <c r="K657" s="3" t="s">
        <v>78</v>
      </c>
      <c r="L657" s="3" t="s">
        <v>335</v>
      </c>
      <c r="M657" s="3" t="s">
        <v>336</v>
      </c>
      <c r="N657" s="3" t="s">
        <v>337</v>
      </c>
      <c r="O657" s="3" t="s">
        <v>82</v>
      </c>
      <c r="P657" s="3" t="str">
        <f>"2170816632                    "</f>
        <v xml:space="preserve">2170816632                    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15.46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1</v>
      </c>
      <c r="BI657" s="3">
        <v>1</v>
      </c>
      <c r="BJ657" s="3">
        <v>0.2</v>
      </c>
      <c r="BK657" s="3">
        <v>1</v>
      </c>
      <c r="BL657" s="3">
        <v>59</v>
      </c>
      <c r="BM657" s="3">
        <v>8.85</v>
      </c>
      <c r="BN657" s="3">
        <v>67.849999999999994</v>
      </c>
      <c r="BO657" s="3">
        <v>67.849999999999994</v>
      </c>
      <c r="BQ657" s="3" t="s">
        <v>89</v>
      </c>
      <c r="BR657" s="3" t="s">
        <v>84</v>
      </c>
      <c r="BS657" s="4">
        <v>44575</v>
      </c>
      <c r="BT657" s="5">
        <v>0.4069444444444445</v>
      </c>
      <c r="BU657" s="3" t="s">
        <v>1031</v>
      </c>
      <c r="BV657" s="3" t="s">
        <v>105</v>
      </c>
      <c r="BY657" s="3">
        <v>1200</v>
      </c>
      <c r="BZ657" s="3" t="s">
        <v>165</v>
      </c>
      <c r="CA657" s="3" t="s">
        <v>528</v>
      </c>
      <c r="CC657" s="3" t="s">
        <v>336</v>
      </c>
      <c r="CD657" s="3">
        <v>4133</v>
      </c>
      <c r="CE657" s="3" t="s">
        <v>93</v>
      </c>
      <c r="CF657" s="4">
        <v>44578</v>
      </c>
      <c r="CI657" s="3">
        <v>1</v>
      </c>
      <c r="CJ657" s="3">
        <v>1</v>
      </c>
      <c r="CK657" s="3">
        <v>21</v>
      </c>
      <c r="CL657" s="3" t="s">
        <v>87</v>
      </c>
    </row>
    <row r="658" spans="1:90" x14ac:dyDescent="0.2">
      <c r="A658" s="3" t="s">
        <v>72</v>
      </c>
      <c r="B658" s="3" t="s">
        <v>73</v>
      </c>
      <c r="C658" s="3" t="s">
        <v>74</v>
      </c>
      <c r="E658" s="3" t="str">
        <f>"FES1162845042"</f>
        <v>FES1162845042</v>
      </c>
      <c r="F658" s="4">
        <v>44574</v>
      </c>
      <c r="G658" s="3">
        <v>202207</v>
      </c>
      <c r="H658" s="3" t="s">
        <v>75</v>
      </c>
      <c r="I658" s="3" t="s">
        <v>76</v>
      </c>
      <c r="J658" s="3" t="s">
        <v>77</v>
      </c>
      <c r="K658" s="3" t="s">
        <v>78</v>
      </c>
      <c r="L658" s="3" t="s">
        <v>101</v>
      </c>
      <c r="M658" s="3" t="s">
        <v>102</v>
      </c>
      <c r="N658" s="3" t="s">
        <v>1032</v>
      </c>
      <c r="O658" s="3" t="s">
        <v>82</v>
      </c>
      <c r="P658" s="3" t="str">
        <f>"2170816596                    "</f>
        <v xml:space="preserve">2170816596                    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34.770000000000003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1</v>
      </c>
      <c r="BI658" s="3">
        <v>2</v>
      </c>
      <c r="BJ658" s="3">
        <v>4.0999999999999996</v>
      </c>
      <c r="BK658" s="3">
        <v>4.5</v>
      </c>
      <c r="BL658" s="3">
        <v>132.71</v>
      </c>
      <c r="BM658" s="3">
        <v>19.91</v>
      </c>
      <c r="BN658" s="3">
        <v>152.62</v>
      </c>
      <c r="BO658" s="3">
        <v>152.62</v>
      </c>
      <c r="BQ658" s="3" t="s">
        <v>83</v>
      </c>
      <c r="BR658" s="3" t="s">
        <v>84</v>
      </c>
      <c r="BS658" s="4">
        <v>44575</v>
      </c>
      <c r="BT658" s="5">
        <v>0.5180555555555556</v>
      </c>
      <c r="BU658" s="3" t="s">
        <v>1033</v>
      </c>
      <c r="BV658" s="3" t="s">
        <v>105</v>
      </c>
      <c r="BY658" s="3">
        <v>20358</v>
      </c>
      <c r="BZ658" s="3" t="s">
        <v>165</v>
      </c>
      <c r="CA658" s="3" t="s">
        <v>571</v>
      </c>
      <c r="CC658" s="3" t="s">
        <v>102</v>
      </c>
      <c r="CD658" s="3">
        <v>4068</v>
      </c>
      <c r="CE658" s="3" t="s">
        <v>86</v>
      </c>
      <c r="CF658" s="4">
        <v>44578</v>
      </c>
      <c r="CI658" s="3">
        <v>1</v>
      </c>
      <c r="CJ658" s="3">
        <v>1</v>
      </c>
      <c r="CK658" s="3">
        <v>21</v>
      </c>
      <c r="CL658" s="3" t="s">
        <v>87</v>
      </c>
    </row>
    <row r="659" spans="1:90" x14ac:dyDescent="0.2">
      <c r="A659" s="3" t="s">
        <v>72</v>
      </c>
      <c r="B659" s="3" t="s">
        <v>73</v>
      </c>
      <c r="C659" s="3" t="s">
        <v>74</v>
      </c>
      <c r="E659" s="3" t="str">
        <f>"FES1162844940"</f>
        <v>FES1162844940</v>
      </c>
      <c r="F659" s="4">
        <v>44574</v>
      </c>
      <c r="G659" s="3">
        <v>202207</v>
      </c>
      <c r="H659" s="3" t="s">
        <v>75</v>
      </c>
      <c r="I659" s="3" t="s">
        <v>76</v>
      </c>
      <c r="J659" s="3" t="s">
        <v>77</v>
      </c>
      <c r="K659" s="3" t="s">
        <v>78</v>
      </c>
      <c r="L659" s="3" t="s">
        <v>101</v>
      </c>
      <c r="M659" s="3" t="s">
        <v>102</v>
      </c>
      <c r="N659" s="3" t="s">
        <v>526</v>
      </c>
      <c r="O659" s="3" t="s">
        <v>82</v>
      </c>
      <c r="P659" s="3" t="str">
        <f>"2170816507                    "</f>
        <v xml:space="preserve">2170816507                    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46.36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1</v>
      </c>
      <c r="BI659" s="3">
        <v>6</v>
      </c>
      <c r="BJ659" s="3">
        <v>4.0999999999999996</v>
      </c>
      <c r="BK659" s="3">
        <v>6</v>
      </c>
      <c r="BL659" s="3">
        <v>176.94</v>
      </c>
      <c r="BM659" s="3">
        <v>26.54</v>
      </c>
      <c r="BN659" s="3">
        <v>203.48</v>
      </c>
      <c r="BO659" s="3">
        <v>203.48</v>
      </c>
      <c r="BQ659" s="3" t="s">
        <v>89</v>
      </c>
      <c r="BR659" s="3" t="s">
        <v>84</v>
      </c>
      <c r="BS659" s="4">
        <v>44575</v>
      </c>
      <c r="BT659" s="5">
        <v>0.4381944444444445</v>
      </c>
      <c r="BU659" s="3" t="s">
        <v>527</v>
      </c>
      <c r="BV659" s="3" t="s">
        <v>87</v>
      </c>
      <c r="BW659" s="3" t="s">
        <v>278</v>
      </c>
      <c r="BX659" s="3" t="s">
        <v>279</v>
      </c>
      <c r="BY659" s="3">
        <v>20358</v>
      </c>
      <c r="BZ659" s="3" t="s">
        <v>165</v>
      </c>
      <c r="CA659" s="3" t="s">
        <v>528</v>
      </c>
      <c r="CC659" s="3" t="s">
        <v>102</v>
      </c>
      <c r="CD659" s="3">
        <v>4001</v>
      </c>
      <c r="CE659" s="3" t="s">
        <v>86</v>
      </c>
      <c r="CF659" s="4">
        <v>44578</v>
      </c>
      <c r="CI659" s="3">
        <v>1</v>
      </c>
      <c r="CJ659" s="3">
        <v>1</v>
      </c>
      <c r="CK659" s="3">
        <v>21</v>
      </c>
      <c r="CL659" s="3" t="s">
        <v>87</v>
      </c>
    </row>
    <row r="660" spans="1:90" x14ac:dyDescent="0.2">
      <c r="A660" s="3" t="s">
        <v>72</v>
      </c>
      <c r="B660" s="3" t="s">
        <v>73</v>
      </c>
      <c r="C660" s="3" t="s">
        <v>74</v>
      </c>
      <c r="E660" s="3" t="str">
        <f>"FES1162844988"</f>
        <v>FES1162844988</v>
      </c>
      <c r="F660" s="4">
        <v>44574</v>
      </c>
      <c r="G660" s="3">
        <v>202207</v>
      </c>
      <c r="H660" s="3" t="s">
        <v>75</v>
      </c>
      <c r="I660" s="3" t="s">
        <v>76</v>
      </c>
      <c r="J660" s="3" t="s">
        <v>77</v>
      </c>
      <c r="K660" s="3" t="s">
        <v>78</v>
      </c>
      <c r="L660" s="3" t="s">
        <v>184</v>
      </c>
      <c r="M660" s="3" t="s">
        <v>185</v>
      </c>
      <c r="N660" s="3" t="s">
        <v>186</v>
      </c>
      <c r="O660" s="3" t="s">
        <v>82</v>
      </c>
      <c r="P660" s="3" t="str">
        <f>"2170816545                    "</f>
        <v xml:space="preserve">2170816545                    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15.46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1</v>
      </c>
      <c r="BI660" s="3">
        <v>1</v>
      </c>
      <c r="BJ660" s="3">
        <v>0.2</v>
      </c>
      <c r="BK660" s="3">
        <v>1</v>
      </c>
      <c r="BL660" s="3">
        <v>59</v>
      </c>
      <c r="BM660" s="3">
        <v>8.85</v>
      </c>
      <c r="BN660" s="3">
        <v>67.849999999999994</v>
      </c>
      <c r="BO660" s="3">
        <v>67.849999999999994</v>
      </c>
      <c r="BQ660" s="3" t="s">
        <v>83</v>
      </c>
      <c r="BR660" s="3" t="s">
        <v>84</v>
      </c>
      <c r="BS660" s="4">
        <v>44575</v>
      </c>
      <c r="BT660" s="5">
        <v>0.4861111111111111</v>
      </c>
      <c r="BU660" s="3" t="s">
        <v>1024</v>
      </c>
      <c r="BV660" s="3" t="s">
        <v>87</v>
      </c>
      <c r="BW660" s="3" t="s">
        <v>353</v>
      </c>
      <c r="BX660" s="3" t="s">
        <v>648</v>
      </c>
      <c r="BY660" s="3">
        <v>1200</v>
      </c>
      <c r="BZ660" s="3" t="s">
        <v>165</v>
      </c>
      <c r="CA660" s="3" t="s">
        <v>1013</v>
      </c>
      <c r="CC660" s="3" t="s">
        <v>185</v>
      </c>
      <c r="CD660" s="3">
        <v>5201</v>
      </c>
      <c r="CE660" s="3" t="s">
        <v>93</v>
      </c>
      <c r="CF660" s="4">
        <v>44575</v>
      </c>
      <c r="CI660" s="3">
        <v>1</v>
      </c>
      <c r="CJ660" s="3">
        <v>1</v>
      </c>
      <c r="CK660" s="3">
        <v>21</v>
      </c>
      <c r="CL660" s="3" t="s">
        <v>87</v>
      </c>
    </row>
    <row r="661" spans="1:90" x14ac:dyDescent="0.2">
      <c r="A661" s="3" t="s">
        <v>72</v>
      </c>
      <c r="B661" s="3" t="s">
        <v>73</v>
      </c>
      <c r="C661" s="3" t="s">
        <v>74</v>
      </c>
      <c r="E661" s="3" t="str">
        <f>"FES1162844962"</f>
        <v>FES1162844962</v>
      </c>
      <c r="F661" s="4">
        <v>44574</v>
      </c>
      <c r="G661" s="3">
        <v>202207</v>
      </c>
      <c r="H661" s="3" t="s">
        <v>75</v>
      </c>
      <c r="I661" s="3" t="s">
        <v>76</v>
      </c>
      <c r="J661" s="3" t="s">
        <v>77</v>
      </c>
      <c r="K661" s="3" t="s">
        <v>78</v>
      </c>
      <c r="L661" s="3" t="s">
        <v>138</v>
      </c>
      <c r="M661" s="3" t="s">
        <v>139</v>
      </c>
      <c r="N661" s="3" t="s">
        <v>140</v>
      </c>
      <c r="O661" s="3" t="s">
        <v>82</v>
      </c>
      <c r="P661" s="3" t="str">
        <f>"2170815640                    "</f>
        <v xml:space="preserve">2170815640                    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15.46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1</v>
      </c>
      <c r="BI661" s="3">
        <v>1</v>
      </c>
      <c r="BJ661" s="3">
        <v>0.2</v>
      </c>
      <c r="BK661" s="3">
        <v>1</v>
      </c>
      <c r="BL661" s="3">
        <v>59</v>
      </c>
      <c r="BM661" s="3">
        <v>8.85</v>
      </c>
      <c r="BN661" s="3">
        <v>67.849999999999994</v>
      </c>
      <c r="BO661" s="3">
        <v>67.849999999999994</v>
      </c>
      <c r="BQ661" s="3" t="s">
        <v>126</v>
      </c>
      <c r="BR661" s="3" t="s">
        <v>84</v>
      </c>
      <c r="BS661" s="4">
        <v>44575</v>
      </c>
      <c r="BT661" s="5">
        <v>0.35694444444444445</v>
      </c>
      <c r="BU661" s="3" t="s">
        <v>819</v>
      </c>
      <c r="BV661" s="3" t="s">
        <v>105</v>
      </c>
      <c r="BY661" s="3">
        <v>1200</v>
      </c>
      <c r="BZ661" s="3" t="s">
        <v>165</v>
      </c>
      <c r="CA661" s="3" t="s">
        <v>334</v>
      </c>
      <c r="CC661" s="3" t="s">
        <v>139</v>
      </c>
      <c r="CD661" s="3">
        <v>3610</v>
      </c>
      <c r="CE661" s="3" t="s">
        <v>93</v>
      </c>
      <c r="CF661" s="4">
        <v>44578</v>
      </c>
      <c r="CI661" s="3">
        <v>1</v>
      </c>
      <c r="CJ661" s="3">
        <v>1</v>
      </c>
      <c r="CK661" s="3">
        <v>21</v>
      </c>
      <c r="CL661" s="3" t="s">
        <v>87</v>
      </c>
    </row>
    <row r="662" spans="1:90" x14ac:dyDescent="0.2">
      <c r="A662" s="3" t="s">
        <v>72</v>
      </c>
      <c r="B662" s="3" t="s">
        <v>73</v>
      </c>
      <c r="C662" s="3" t="s">
        <v>74</v>
      </c>
      <c r="E662" s="3" t="str">
        <f>"FES1162845096"</f>
        <v>FES1162845096</v>
      </c>
      <c r="F662" s="4">
        <v>44574</v>
      </c>
      <c r="G662" s="3">
        <v>202207</v>
      </c>
      <c r="H662" s="3" t="s">
        <v>75</v>
      </c>
      <c r="I662" s="3" t="s">
        <v>76</v>
      </c>
      <c r="J662" s="3" t="s">
        <v>77</v>
      </c>
      <c r="K662" s="3" t="s">
        <v>78</v>
      </c>
      <c r="L662" s="3" t="s">
        <v>90</v>
      </c>
      <c r="M662" s="3" t="s">
        <v>91</v>
      </c>
      <c r="N662" s="3" t="s">
        <v>541</v>
      </c>
      <c r="O662" s="3" t="s">
        <v>82</v>
      </c>
      <c r="P662" s="3" t="str">
        <f>"2170816668                    "</f>
        <v xml:space="preserve">2170816668                    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34.770000000000003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1</v>
      </c>
      <c r="BI662" s="3">
        <v>1</v>
      </c>
      <c r="BJ662" s="3">
        <v>4.0999999999999996</v>
      </c>
      <c r="BK662" s="3">
        <v>4.5</v>
      </c>
      <c r="BL662" s="3">
        <v>132.71</v>
      </c>
      <c r="BM662" s="3">
        <v>19.91</v>
      </c>
      <c r="BN662" s="3">
        <v>152.62</v>
      </c>
      <c r="BO662" s="3">
        <v>152.62</v>
      </c>
      <c r="BQ662" s="3" t="s">
        <v>89</v>
      </c>
      <c r="BR662" s="3" t="s">
        <v>84</v>
      </c>
      <c r="BS662" s="4">
        <v>44575</v>
      </c>
      <c r="BT662" s="5">
        <v>0.4368055555555555</v>
      </c>
      <c r="BU662" s="3" t="s">
        <v>542</v>
      </c>
      <c r="BV662" s="3" t="s">
        <v>105</v>
      </c>
      <c r="BY662" s="3">
        <v>20358</v>
      </c>
      <c r="BZ662" s="3" t="s">
        <v>165</v>
      </c>
      <c r="CA662" s="3" t="s">
        <v>543</v>
      </c>
      <c r="CC662" s="3" t="s">
        <v>91</v>
      </c>
      <c r="CD662" s="3">
        <v>7561</v>
      </c>
      <c r="CE662" s="3" t="s">
        <v>86</v>
      </c>
      <c r="CF662" s="4">
        <v>44578</v>
      </c>
      <c r="CI662" s="3">
        <v>1</v>
      </c>
      <c r="CJ662" s="3">
        <v>1</v>
      </c>
      <c r="CK662" s="3">
        <v>21</v>
      </c>
      <c r="CL662" s="3" t="s">
        <v>87</v>
      </c>
    </row>
    <row r="663" spans="1:90" x14ac:dyDescent="0.2">
      <c r="A663" s="3" t="s">
        <v>72</v>
      </c>
      <c r="B663" s="3" t="s">
        <v>73</v>
      </c>
      <c r="C663" s="3" t="s">
        <v>74</v>
      </c>
      <c r="E663" s="3" t="str">
        <f>"FES1162844862"</f>
        <v>FES1162844862</v>
      </c>
      <c r="F663" s="4">
        <v>44574</v>
      </c>
      <c r="G663" s="3">
        <v>202207</v>
      </c>
      <c r="H663" s="3" t="s">
        <v>75</v>
      </c>
      <c r="I663" s="3" t="s">
        <v>76</v>
      </c>
      <c r="J663" s="3" t="s">
        <v>77</v>
      </c>
      <c r="K663" s="3" t="s">
        <v>78</v>
      </c>
      <c r="L663" s="3" t="s">
        <v>138</v>
      </c>
      <c r="M663" s="3" t="s">
        <v>139</v>
      </c>
      <c r="N663" s="3" t="s">
        <v>214</v>
      </c>
      <c r="O663" s="3" t="s">
        <v>82</v>
      </c>
      <c r="P663" s="3" t="str">
        <f>"2170816428                    "</f>
        <v xml:space="preserve">2170816428                    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15.46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1</v>
      </c>
      <c r="BI663" s="3">
        <v>1</v>
      </c>
      <c r="BJ663" s="3">
        <v>0.2</v>
      </c>
      <c r="BK663" s="3">
        <v>1</v>
      </c>
      <c r="BL663" s="3">
        <v>59</v>
      </c>
      <c r="BM663" s="3">
        <v>8.85</v>
      </c>
      <c r="BN663" s="3">
        <v>67.849999999999994</v>
      </c>
      <c r="BO663" s="3">
        <v>67.849999999999994</v>
      </c>
      <c r="BQ663" s="3" t="s">
        <v>126</v>
      </c>
      <c r="BR663" s="3" t="s">
        <v>84</v>
      </c>
      <c r="BS663" s="4">
        <v>44575</v>
      </c>
      <c r="BT663" s="5">
        <v>0.43124999999999997</v>
      </c>
      <c r="BU663" s="3" t="s">
        <v>770</v>
      </c>
      <c r="BV663" s="3" t="s">
        <v>105</v>
      </c>
      <c r="BY663" s="3">
        <v>1200</v>
      </c>
      <c r="BZ663" s="3" t="s">
        <v>165</v>
      </c>
      <c r="CA663" s="3" t="s">
        <v>303</v>
      </c>
      <c r="CC663" s="3" t="s">
        <v>139</v>
      </c>
      <c r="CD663" s="3">
        <v>3610</v>
      </c>
      <c r="CE663" s="3" t="s">
        <v>93</v>
      </c>
      <c r="CF663" s="4">
        <v>44578</v>
      </c>
      <c r="CI663" s="3">
        <v>1</v>
      </c>
      <c r="CJ663" s="3">
        <v>1</v>
      </c>
      <c r="CK663" s="3">
        <v>21</v>
      </c>
      <c r="CL663" s="3" t="s">
        <v>87</v>
      </c>
    </row>
    <row r="664" spans="1:90" x14ac:dyDescent="0.2">
      <c r="A664" s="3" t="s">
        <v>72</v>
      </c>
      <c r="B664" s="3" t="s">
        <v>73</v>
      </c>
      <c r="C664" s="3" t="s">
        <v>74</v>
      </c>
      <c r="E664" s="3" t="str">
        <f>"FES1162844912"</f>
        <v>FES1162844912</v>
      </c>
      <c r="F664" s="4">
        <v>44574</v>
      </c>
      <c r="G664" s="3">
        <v>202207</v>
      </c>
      <c r="H664" s="3" t="s">
        <v>75</v>
      </c>
      <c r="I664" s="3" t="s">
        <v>76</v>
      </c>
      <c r="J664" s="3" t="s">
        <v>77</v>
      </c>
      <c r="K664" s="3" t="s">
        <v>78</v>
      </c>
      <c r="L664" s="3" t="s">
        <v>101</v>
      </c>
      <c r="M664" s="3" t="s">
        <v>102</v>
      </c>
      <c r="N664" s="3" t="s">
        <v>272</v>
      </c>
      <c r="O664" s="3" t="s">
        <v>82</v>
      </c>
      <c r="P664" s="3" t="str">
        <f>"2170816475                    "</f>
        <v xml:space="preserve">2170816475                    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15.46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1</v>
      </c>
      <c r="BI664" s="3">
        <v>1</v>
      </c>
      <c r="BJ664" s="3">
        <v>0.2</v>
      </c>
      <c r="BK664" s="3">
        <v>1</v>
      </c>
      <c r="BL664" s="3">
        <v>59</v>
      </c>
      <c r="BM664" s="3">
        <v>8.85</v>
      </c>
      <c r="BN664" s="3">
        <v>67.849999999999994</v>
      </c>
      <c r="BO664" s="3">
        <v>67.849999999999994</v>
      </c>
      <c r="BQ664" s="3" t="s">
        <v>273</v>
      </c>
      <c r="BR664" s="3" t="s">
        <v>84</v>
      </c>
      <c r="BS664" s="4">
        <v>44575</v>
      </c>
      <c r="BT664" s="5">
        <v>0.38194444444444442</v>
      </c>
      <c r="BU664" s="3" t="s">
        <v>274</v>
      </c>
      <c r="BV664" s="3" t="s">
        <v>105</v>
      </c>
      <c r="BY664" s="3">
        <v>1200</v>
      </c>
      <c r="BZ664" s="3" t="s">
        <v>165</v>
      </c>
      <c r="CA664" s="3" t="s">
        <v>275</v>
      </c>
      <c r="CC664" s="3" t="s">
        <v>102</v>
      </c>
      <c r="CD664" s="3">
        <v>4000</v>
      </c>
      <c r="CE664" s="3" t="s">
        <v>93</v>
      </c>
      <c r="CF664" s="4">
        <v>44578</v>
      </c>
      <c r="CI664" s="3">
        <v>1</v>
      </c>
      <c r="CJ664" s="3">
        <v>1</v>
      </c>
      <c r="CK664" s="3">
        <v>21</v>
      </c>
      <c r="CL664" s="3" t="s">
        <v>87</v>
      </c>
    </row>
    <row r="665" spans="1:90" x14ac:dyDescent="0.2">
      <c r="A665" s="3" t="s">
        <v>72</v>
      </c>
      <c r="B665" s="3" t="s">
        <v>73</v>
      </c>
      <c r="C665" s="3" t="s">
        <v>74</v>
      </c>
      <c r="E665" s="3" t="str">
        <f>"FES1162845059"</f>
        <v>FES1162845059</v>
      </c>
      <c r="F665" s="4">
        <v>44574</v>
      </c>
      <c r="G665" s="3">
        <v>202207</v>
      </c>
      <c r="H665" s="3" t="s">
        <v>75</v>
      </c>
      <c r="I665" s="3" t="s">
        <v>76</v>
      </c>
      <c r="J665" s="3" t="s">
        <v>77</v>
      </c>
      <c r="K665" s="3" t="s">
        <v>78</v>
      </c>
      <c r="L665" s="3" t="s">
        <v>101</v>
      </c>
      <c r="M665" s="3" t="s">
        <v>102</v>
      </c>
      <c r="N665" s="3" t="s">
        <v>1034</v>
      </c>
      <c r="O665" s="3" t="s">
        <v>82</v>
      </c>
      <c r="P665" s="3" t="str">
        <f>"2170816627                    "</f>
        <v xml:space="preserve">2170816627                    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15.46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1</v>
      </c>
      <c r="BI665" s="3">
        <v>1</v>
      </c>
      <c r="BJ665" s="3">
        <v>0.2</v>
      </c>
      <c r="BK665" s="3">
        <v>1</v>
      </c>
      <c r="BL665" s="3">
        <v>59</v>
      </c>
      <c r="BM665" s="3">
        <v>8.85</v>
      </c>
      <c r="BN665" s="3">
        <v>67.849999999999994</v>
      </c>
      <c r="BO665" s="3">
        <v>67.849999999999994</v>
      </c>
      <c r="BQ665" s="3" t="s">
        <v>83</v>
      </c>
      <c r="BR665" s="3" t="s">
        <v>84</v>
      </c>
      <c r="BS665" s="4">
        <v>44575</v>
      </c>
      <c r="BT665" s="5">
        <v>0.37291666666666662</v>
      </c>
      <c r="BU665" s="3" t="s">
        <v>1035</v>
      </c>
      <c r="BV665" s="3" t="s">
        <v>105</v>
      </c>
      <c r="BY665" s="3">
        <v>1200</v>
      </c>
      <c r="BZ665" s="3" t="s">
        <v>165</v>
      </c>
      <c r="CA665" s="3" t="s">
        <v>303</v>
      </c>
      <c r="CC665" s="3" t="s">
        <v>102</v>
      </c>
      <c r="CD665" s="3">
        <v>4052</v>
      </c>
      <c r="CE665" s="3" t="s">
        <v>93</v>
      </c>
      <c r="CF665" s="4">
        <v>44578</v>
      </c>
      <c r="CI665" s="3">
        <v>1</v>
      </c>
      <c r="CJ665" s="3">
        <v>1</v>
      </c>
      <c r="CK665" s="3">
        <v>21</v>
      </c>
      <c r="CL665" s="3" t="s">
        <v>87</v>
      </c>
    </row>
    <row r="666" spans="1:90" x14ac:dyDescent="0.2">
      <c r="A666" s="3" t="s">
        <v>72</v>
      </c>
      <c r="B666" s="3" t="s">
        <v>73</v>
      </c>
      <c r="C666" s="3" t="s">
        <v>74</v>
      </c>
      <c r="E666" s="3" t="str">
        <f>"FES1162845027"</f>
        <v>FES1162845027</v>
      </c>
      <c r="F666" s="4">
        <v>44574</v>
      </c>
      <c r="G666" s="3">
        <v>202207</v>
      </c>
      <c r="H666" s="3" t="s">
        <v>75</v>
      </c>
      <c r="I666" s="3" t="s">
        <v>76</v>
      </c>
      <c r="J666" s="3" t="s">
        <v>77</v>
      </c>
      <c r="K666" s="3" t="s">
        <v>78</v>
      </c>
      <c r="L666" s="3" t="s">
        <v>184</v>
      </c>
      <c r="M666" s="3" t="s">
        <v>185</v>
      </c>
      <c r="N666" s="3" t="s">
        <v>234</v>
      </c>
      <c r="O666" s="3" t="s">
        <v>82</v>
      </c>
      <c r="P666" s="3" t="str">
        <f>"2170807274                    "</f>
        <v xml:space="preserve">2170807274                    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34.770000000000003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1</v>
      </c>
      <c r="BI666" s="3">
        <v>3</v>
      </c>
      <c r="BJ666" s="3">
        <v>4.0999999999999996</v>
      </c>
      <c r="BK666" s="3">
        <v>4.5</v>
      </c>
      <c r="BL666" s="3">
        <v>132.71</v>
      </c>
      <c r="BM666" s="3">
        <v>19.91</v>
      </c>
      <c r="BN666" s="3">
        <v>152.62</v>
      </c>
      <c r="BO666" s="3">
        <v>152.62</v>
      </c>
      <c r="BQ666" s="3" t="s">
        <v>89</v>
      </c>
      <c r="BR666" s="3" t="s">
        <v>84</v>
      </c>
      <c r="BS666" s="4">
        <v>44575</v>
      </c>
      <c r="BT666" s="5">
        <v>0.41944444444444445</v>
      </c>
      <c r="BU666" s="3" t="s">
        <v>998</v>
      </c>
      <c r="BV666" s="3" t="s">
        <v>105</v>
      </c>
      <c r="BY666" s="3">
        <v>20358</v>
      </c>
      <c r="BZ666" s="3" t="s">
        <v>165</v>
      </c>
      <c r="CA666" s="3" t="s">
        <v>612</v>
      </c>
      <c r="CC666" s="3" t="s">
        <v>185</v>
      </c>
      <c r="CD666" s="3">
        <v>5201</v>
      </c>
      <c r="CE666" s="3" t="s">
        <v>86</v>
      </c>
      <c r="CF666" s="4">
        <v>44575</v>
      </c>
      <c r="CI666" s="3">
        <v>1</v>
      </c>
      <c r="CJ666" s="3">
        <v>1</v>
      </c>
      <c r="CK666" s="3">
        <v>21</v>
      </c>
      <c r="CL666" s="3" t="s">
        <v>87</v>
      </c>
    </row>
    <row r="667" spans="1:90" x14ac:dyDescent="0.2">
      <c r="A667" s="3" t="s">
        <v>72</v>
      </c>
      <c r="B667" s="3" t="s">
        <v>73</v>
      </c>
      <c r="C667" s="3" t="s">
        <v>74</v>
      </c>
      <c r="E667" s="3" t="str">
        <f>"FES1162844970"</f>
        <v>FES1162844970</v>
      </c>
      <c r="F667" s="4">
        <v>44574</v>
      </c>
      <c r="G667" s="3">
        <v>202207</v>
      </c>
      <c r="H667" s="3" t="s">
        <v>75</v>
      </c>
      <c r="I667" s="3" t="s">
        <v>76</v>
      </c>
      <c r="J667" s="3" t="s">
        <v>77</v>
      </c>
      <c r="K667" s="3" t="s">
        <v>78</v>
      </c>
      <c r="L667" s="3" t="s">
        <v>79</v>
      </c>
      <c r="M667" s="3" t="s">
        <v>80</v>
      </c>
      <c r="N667" s="3" t="s">
        <v>1036</v>
      </c>
      <c r="O667" s="3" t="s">
        <v>82</v>
      </c>
      <c r="P667" s="3" t="str">
        <f>"2170798222                    "</f>
        <v xml:space="preserve">2170798222                    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38.630000000000003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0</v>
      </c>
      <c r="BG667" s="3">
        <v>0</v>
      </c>
      <c r="BH667" s="3">
        <v>1</v>
      </c>
      <c r="BI667" s="3">
        <v>5</v>
      </c>
      <c r="BJ667" s="3">
        <v>4.0999999999999996</v>
      </c>
      <c r="BK667" s="3">
        <v>5</v>
      </c>
      <c r="BL667" s="3">
        <v>147.44999999999999</v>
      </c>
      <c r="BM667" s="3">
        <v>22.12</v>
      </c>
      <c r="BN667" s="3">
        <v>169.57</v>
      </c>
      <c r="BO667" s="3">
        <v>169.57</v>
      </c>
      <c r="BQ667" s="3" t="s">
        <v>89</v>
      </c>
      <c r="BR667" s="3" t="s">
        <v>84</v>
      </c>
      <c r="BS667" s="4">
        <v>44578</v>
      </c>
      <c r="BT667" s="5">
        <v>0.41666666666666669</v>
      </c>
      <c r="BU667" s="3" t="s">
        <v>513</v>
      </c>
      <c r="BV667" s="3" t="s">
        <v>87</v>
      </c>
      <c r="BW667" s="3" t="s">
        <v>353</v>
      </c>
      <c r="BX667" s="3" t="s">
        <v>758</v>
      </c>
      <c r="BY667" s="3">
        <v>20358</v>
      </c>
      <c r="BZ667" s="3" t="s">
        <v>165</v>
      </c>
      <c r="CA667" s="3" t="s">
        <v>287</v>
      </c>
      <c r="CC667" s="3" t="s">
        <v>80</v>
      </c>
      <c r="CD667" s="3">
        <v>186</v>
      </c>
      <c r="CE667" s="3" t="s">
        <v>86</v>
      </c>
      <c r="CF667" s="4">
        <v>44578</v>
      </c>
      <c r="CI667" s="3">
        <v>1</v>
      </c>
      <c r="CJ667" s="3">
        <v>2</v>
      </c>
      <c r="CK667" s="3">
        <v>21</v>
      </c>
      <c r="CL667" s="3" t="s">
        <v>87</v>
      </c>
    </row>
    <row r="668" spans="1:90" x14ac:dyDescent="0.2">
      <c r="A668" s="3" t="s">
        <v>72</v>
      </c>
      <c r="B668" s="3" t="s">
        <v>73</v>
      </c>
      <c r="C668" s="3" t="s">
        <v>74</v>
      </c>
      <c r="E668" s="3" t="str">
        <f>"FES1162844844"</f>
        <v>FES1162844844</v>
      </c>
      <c r="F668" s="4">
        <v>44574</v>
      </c>
      <c r="G668" s="3">
        <v>202207</v>
      </c>
      <c r="H668" s="3" t="s">
        <v>75</v>
      </c>
      <c r="I668" s="3" t="s">
        <v>76</v>
      </c>
      <c r="J668" s="3" t="s">
        <v>77</v>
      </c>
      <c r="K668" s="3" t="s">
        <v>78</v>
      </c>
      <c r="L668" s="3" t="s">
        <v>75</v>
      </c>
      <c r="M668" s="3" t="s">
        <v>76</v>
      </c>
      <c r="N668" s="3" t="s">
        <v>166</v>
      </c>
      <c r="O668" s="3" t="s">
        <v>82</v>
      </c>
      <c r="P668" s="3" t="str">
        <f>"2170816410                    "</f>
        <v xml:space="preserve">2170816410                    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12.07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1</v>
      </c>
      <c r="BI668" s="3">
        <v>1</v>
      </c>
      <c r="BJ668" s="3">
        <v>1.9</v>
      </c>
      <c r="BK668" s="3">
        <v>2</v>
      </c>
      <c r="BL668" s="3">
        <v>46.08</v>
      </c>
      <c r="BM668" s="3">
        <v>6.91</v>
      </c>
      <c r="BN668" s="3">
        <v>52.99</v>
      </c>
      <c r="BO668" s="3">
        <v>52.99</v>
      </c>
      <c r="BQ668" s="3" t="s">
        <v>89</v>
      </c>
      <c r="BR668" s="3" t="s">
        <v>84</v>
      </c>
      <c r="BS668" s="4">
        <v>44575</v>
      </c>
      <c r="BT668" s="5">
        <v>0.34722222222222227</v>
      </c>
      <c r="BU668" s="3" t="s">
        <v>780</v>
      </c>
      <c r="BV668" s="3" t="s">
        <v>105</v>
      </c>
      <c r="BY668" s="3">
        <v>9408</v>
      </c>
      <c r="BZ668" s="3" t="s">
        <v>165</v>
      </c>
      <c r="CA668" s="3" t="s">
        <v>607</v>
      </c>
      <c r="CC668" s="3" t="s">
        <v>76</v>
      </c>
      <c r="CD668" s="3">
        <v>1665</v>
      </c>
      <c r="CE668" s="3" t="s">
        <v>86</v>
      </c>
      <c r="CF668" s="4">
        <v>44576</v>
      </c>
      <c r="CI668" s="3">
        <v>1</v>
      </c>
      <c r="CJ668" s="3">
        <v>1</v>
      </c>
      <c r="CK668" s="3">
        <v>22</v>
      </c>
      <c r="CL668" s="3" t="s">
        <v>87</v>
      </c>
    </row>
    <row r="669" spans="1:90" x14ac:dyDescent="0.2">
      <c r="A669" s="3" t="s">
        <v>72</v>
      </c>
      <c r="B669" s="3" t="s">
        <v>73</v>
      </c>
      <c r="C669" s="3" t="s">
        <v>74</v>
      </c>
      <c r="E669" s="3" t="str">
        <f>"FES1162844966"</f>
        <v>FES1162844966</v>
      </c>
      <c r="F669" s="4">
        <v>44574</v>
      </c>
      <c r="G669" s="3">
        <v>202207</v>
      </c>
      <c r="H669" s="3" t="s">
        <v>75</v>
      </c>
      <c r="I669" s="3" t="s">
        <v>76</v>
      </c>
      <c r="J669" s="3" t="s">
        <v>77</v>
      </c>
      <c r="K669" s="3" t="s">
        <v>78</v>
      </c>
      <c r="L669" s="3" t="s">
        <v>101</v>
      </c>
      <c r="M669" s="3" t="s">
        <v>102</v>
      </c>
      <c r="N669" s="3" t="s">
        <v>103</v>
      </c>
      <c r="O669" s="3" t="s">
        <v>82</v>
      </c>
      <c r="P669" s="3" t="str">
        <f>"2170816385                    "</f>
        <v xml:space="preserve">2170816385                    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15.46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1</v>
      </c>
      <c r="BI669" s="3">
        <v>2</v>
      </c>
      <c r="BJ669" s="3">
        <v>2</v>
      </c>
      <c r="BK669" s="3">
        <v>2</v>
      </c>
      <c r="BL669" s="3">
        <v>59</v>
      </c>
      <c r="BM669" s="3">
        <v>8.85</v>
      </c>
      <c r="BN669" s="3">
        <v>67.849999999999994</v>
      </c>
      <c r="BO669" s="3">
        <v>67.849999999999994</v>
      </c>
      <c r="BQ669" s="3" t="s">
        <v>83</v>
      </c>
      <c r="BR669" s="3" t="s">
        <v>84</v>
      </c>
      <c r="BS669" s="4">
        <v>44575</v>
      </c>
      <c r="BT669" s="5">
        <v>0.34166666666666662</v>
      </c>
      <c r="BU669" s="3" t="s">
        <v>463</v>
      </c>
      <c r="BV669" s="3" t="s">
        <v>105</v>
      </c>
      <c r="BY669" s="3">
        <v>9900</v>
      </c>
      <c r="BZ669" s="3" t="s">
        <v>165</v>
      </c>
      <c r="CA669" s="3" t="s">
        <v>334</v>
      </c>
      <c r="CC669" s="3" t="s">
        <v>102</v>
      </c>
      <c r="CD669" s="3">
        <v>4001</v>
      </c>
      <c r="CE669" s="3" t="s">
        <v>86</v>
      </c>
      <c r="CF669" s="4">
        <v>44578</v>
      </c>
      <c r="CI669" s="3">
        <v>1</v>
      </c>
      <c r="CJ669" s="3">
        <v>1</v>
      </c>
      <c r="CK669" s="3">
        <v>21</v>
      </c>
      <c r="CL669" s="3" t="s">
        <v>87</v>
      </c>
    </row>
    <row r="670" spans="1:90" x14ac:dyDescent="0.2">
      <c r="A670" s="3" t="s">
        <v>72</v>
      </c>
      <c r="B670" s="3" t="s">
        <v>73</v>
      </c>
      <c r="C670" s="3" t="s">
        <v>74</v>
      </c>
      <c r="E670" s="3" t="str">
        <f>"FES1162844901"</f>
        <v>FES1162844901</v>
      </c>
      <c r="F670" s="4">
        <v>44574</v>
      </c>
      <c r="G670" s="3">
        <v>202207</v>
      </c>
      <c r="H670" s="3" t="s">
        <v>75</v>
      </c>
      <c r="I670" s="3" t="s">
        <v>76</v>
      </c>
      <c r="J670" s="3" t="s">
        <v>77</v>
      </c>
      <c r="K670" s="3" t="s">
        <v>78</v>
      </c>
      <c r="L670" s="3" t="s">
        <v>138</v>
      </c>
      <c r="M670" s="3" t="s">
        <v>139</v>
      </c>
      <c r="N670" s="3" t="s">
        <v>1037</v>
      </c>
      <c r="O670" s="3" t="s">
        <v>82</v>
      </c>
      <c r="P670" s="3" t="str">
        <f>"2170816266                    "</f>
        <v xml:space="preserve">2170816266                    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15.46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1</v>
      </c>
      <c r="BI670" s="3">
        <v>1</v>
      </c>
      <c r="BJ670" s="3">
        <v>1.1000000000000001</v>
      </c>
      <c r="BK670" s="3">
        <v>1.5</v>
      </c>
      <c r="BL670" s="3">
        <v>59</v>
      </c>
      <c r="BM670" s="3">
        <v>8.85</v>
      </c>
      <c r="BN670" s="3">
        <v>67.849999999999994</v>
      </c>
      <c r="BO670" s="3">
        <v>67.849999999999994</v>
      </c>
      <c r="BP670" s="3" t="s">
        <v>1038</v>
      </c>
      <c r="BR670" s="3" t="s">
        <v>84</v>
      </c>
      <c r="BS670" s="4">
        <v>44588</v>
      </c>
      <c r="BT670" s="5">
        <v>0.3743055555555555</v>
      </c>
      <c r="BU670" s="3" t="s">
        <v>1039</v>
      </c>
      <c r="BV670" s="3" t="s">
        <v>87</v>
      </c>
      <c r="BW670" s="3" t="s">
        <v>757</v>
      </c>
      <c r="BX670" s="3" t="s">
        <v>758</v>
      </c>
      <c r="BY670" s="3">
        <v>5320</v>
      </c>
      <c r="BZ670" s="3" t="s">
        <v>165</v>
      </c>
      <c r="CA670" s="3" t="s">
        <v>1040</v>
      </c>
      <c r="CC670" s="3" t="s">
        <v>139</v>
      </c>
      <c r="CD670" s="3">
        <v>3610</v>
      </c>
      <c r="CE670" s="3" t="s">
        <v>86</v>
      </c>
      <c r="CF670" s="4">
        <v>44589</v>
      </c>
      <c r="CI670" s="3">
        <v>1</v>
      </c>
      <c r="CJ670" s="3">
        <v>10</v>
      </c>
      <c r="CK670" s="3">
        <v>21</v>
      </c>
      <c r="CL670" s="3" t="s">
        <v>87</v>
      </c>
    </row>
    <row r="671" spans="1:90" x14ac:dyDescent="0.2">
      <c r="A671" s="3" t="s">
        <v>72</v>
      </c>
      <c r="B671" s="3" t="s">
        <v>73</v>
      </c>
      <c r="C671" s="3" t="s">
        <v>74</v>
      </c>
      <c r="E671" s="3" t="str">
        <f>"FES1162844861"</f>
        <v>FES1162844861</v>
      </c>
      <c r="F671" s="4">
        <v>44574</v>
      </c>
      <c r="G671" s="3">
        <v>202207</v>
      </c>
      <c r="H671" s="3" t="s">
        <v>75</v>
      </c>
      <c r="I671" s="3" t="s">
        <v>76</v>
      </c>
      <c r="J671" s="3" t="s">
        <v>77</v>
      </c>
      <c r="K671" s="3" t="s">
        <v>78</v>
      </c>
      <c r="L671" s="3" t="s">
        <v>142</v>
      </c>
      <c r="M671" s="3" t="s">
        <v>143</v>
      </c>
      <c r="N671" s="3" t="s">
        <v>1041</v>
      </c>
      <c r="O671" s="3" t="s">
        <v>82</v>
      </c>
      <c r="P671" s="3" t="str">
        <f>"2170816422                    "</f>
        <v xml:space="preserve">2170816422                    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12.07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1</v>
      </c>
      <c r="BI671" s="3">
        <v>1</v>
      </c>
      <c r="BJ671" s="3">
        <v>0.2</v>
      </c>
      <c r="BK671" s="3">
        <v>1</v>
      </c>
      <c r="BL671" s="3">
        <v>46.08</v>
      </c>
      <c r="BM671" s="3">
        <v>6.91</v>
      </c>
      <c r="BN671" s="3">
        <v>52.99</v>
      </c>
      <c r="BO671" s="3">
        <v>52.99</v>
      </c>
      <c r="BQ671" s="3" t="s">
        <v>1042</v>
      </c>
      <c r="BR671" s="3" t="s">
        <v>84</v>
      </c>
      <c r="BS671" s="4">
        <v>44575</v>
      </c>
      <c r="BT671" s="5">
        <v>0.3611111111111111</v>
      </c>
      <c r="BU671" s="3" t="s">
        <v>1043</v>
      </c>
      <c r="BV671" s="3" t="s">
        <v>105</v>
      </c>
      <c r="BY671" s="3">
        <v>1200</v>
      </c>
      <c r="BZ671" s="3" t="s">
        <v>165</v>
      </c>
      <c r="CA671" s="3" t="s">
        <v>471</v>
      </c>
      <c r="CC671" s="3" t="s">
        <v>143</v>
      </c>
      <c r="CD671" s="3">
        <v>1451</v>
      </c>
      <c r="CE671" s="3" t="s">
        <v>93</v>
      </c>
      <c r="CF671" s="4">
        <v>44575</v>
      </c>
      <c r="CI671" s="3">
        <v>1</v>
      </c>
      <c r="CJ671" s="3">
        <v>1</v>
      </c>
      <c r="CK671" s="3">
        <v>22</v>
      </c>
      <c r="CL671" s="3" t="s">
        <v>87</v>
      </c>
    </row>
    <row r="672" spans="1:90" x14ac:dyDescent="0.2">
      <c r="A672" s="3" t="s">
        <v>72</v>
      </c>
      <c r="B672" s="3" t="s">
        <v>73</v>
      </c>
      <c r="C672" s="3" t="s">
        <v>74</v>
      </c>
      <c r="E672" s="3" t="str">
        <f>"FES1162845007"</f>
        <v>FES1162845007</v>
      </c>
      <c r="F672" s="4">
        <v>44574</v>
      </c>
      <c r="G672" s="3">
        <v>202207</v>
      </c>
      <c r="H672" s="3" t="s">
        <v>75</v>
      </c>
      <c r="I672" s="3" t="s">
        <v>76</v>
      </c>
      <c r="J672" s="3" t="s">
        <v>77</v>
      </c>
      <c r="K672" s="3" t="s">
        <v>78</v>
      </c>
      <c r="L672" s="3" t="s">
        <v>90</v>
      </c>
      <c r="M672" s="3" t="s">
        <v>91</v>
      </c>
      <c r="N672" s="3" t="s">
        <v>157</v>
      </c>
      <c r="O672" s="3" t="s">
        <v>82</v>
      </c>
      <c r="P672" s="3" t="str">
        <f>"2170816570                    "</f>
        <v xml:space="preserve">2170816570                    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15.46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0</v>
      </c>
      <c r="BG672" s="3">
        <v>0</v>
      </c>
      <c r="BH672" s="3">
        <v>1</v>
      </c>
      <c r="BI672" s="3">
        <v>1</v>
      </c>
      <c r="BJ672" s="3">
        <v>0.2</v>
      </c>
      <c r="BK672" s="3">
        <v>1</v>
      </c>
      <c r="BL672" s="3">
        <v>59</v>
      </c>
      <c r="BM672" s="3">
        <v>8.85</v>
      </c>
      <c r="BN672" s="3">
        <v>67.849999999999994</v>
      </c>
      <c r="BO672" s="3">
        <v>67.849999999999994</v>
      </c>
      <c r="BQ672" s="3" t="s">
        <v>89</v>
      </c>
      <c r="BR672" s="3" t="s">
        <v>84</v>
      </c>
      <c r="BS672" s="4">
        <v>44575</v>
      </c>
      <c r="BT672" s="5">
        <v>0.39374999999999999</v>
      </c>
      <c r="BU672" s="3" t="s">
        <v>691</v>
      </c>
      <c r="BV672" s="3" t="s">
        <v>105</v>
      </c>
      <c r="BY672" s="3">
        <v>1200</v>
      </c>
      <c r="BZ672" s="3" t="s">
        <v>165</v>
      </c>
      <c r="CA672" s="3" t="s">
        <v>713</v>
      </c>
      <c r="CC672" s="3" t="s">
        <v>91</v>
      </c>
      <c r="CD672" s="3">
        <v>7441</v>
      </c>
      <c r="CE672" s="3" t="s">
        <v>93</v>
      </c>
      <c r="CF672" s="4">
        <v>44578</v>
      </c>
      <c r="CI672" s="3">
        <v>1</v>
      </c>
      <c r="CJ672" s="3">
        <v>1</v>
      </c>
      <c r="CK672" s="3">
        <v>21</v>
      </c>
      <c r="CL672" s="3" t="s">
        <v>87</v>
      </c>
    </row>
    <row r="673" spans="1:90" x14ac:dyDescent="0.2">
      <c r="A673" s="3" t="s">
        <v>72</v>
      </c>
      <c r="B673" s="3" t="s">
        <v>73</v>
      </c>
      <c r="C673" s="3" t="s">
        <v>74</v>
      </c>
      <c r="E673" s="3" t="str">
        <f>"FES1162845047"</f>
        <v>FES1162845047</v>
      </c>
      <c r="F673" s="4">
        <v>44574</v>
      </c>
      <c r="G673" s="3">
        <v>202207</v>
      </c>
      <c r="H673" s="3" t="s">
        <v>75</v>
      </c>
      <c r="I673" s="3" t="s">
        <v>76</v>
      </c>
      <c r="J673" s="3" t="s">
        <v>77</v>
      </c>
      <c r="K673" s="3" t="s">
        <v>78</v>
      </c>
      <c r="L673" s="3" t="s">
        <v>101</v>
      </c>
      <c r="M673" s="3" t="s">
        <v>102</v>
      </c>
      <c r="N673" s="3" t="s">
        <v>935</v>
      </c>
      <c r="O673" s="3" t="s">
        <v>82</v>
      </c>
      <c r="P673" s="3" t="str">
        <f>"2170816608                    "</f>
        <v xml:space="preserve">2170816608                    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15.46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1</v>
      </c>
      <c r="BI673" s="3">
        <v>1</v>
      </c>
      <c r="BJ673" s="3">
        <v>0.2</v>
      </c>
      <c r="BK673" s="3">
        <v>1</v>
      </c>
      <c r="BL673" s="3">
        <v>59</v>
      </c>
      <c r="BM673" s="3">
        <v>8.85</v>
      </c>
      <c r="BN673" s="3">
        <v>67.849999999999994</v>
      </c>
      <c r="BO673" s="3">
        <v>67.849999999999994</v>
      </c>
      <c r="BQ673" s="3" t="s">
        <v>89</v>
      </c>
      <c r="BR673" s="3" t="s">
        <v>84</v>
      </c>
      <c r="BS673" s="4">
        <v>44575</v>
      </c>
      <c r="BT673" s="5">
        <v>0.36319444444444443</v>
      </c>
      <c r="BU673" s="3" t="s">
        <v>936</v>
      </c>
      <c r="BV673" s="3" t="s">
        <v>105</v>
      </c>
      <c r="BY673" s="3">
        <v>1200</v>
      </c>
      <c r="BZ673" s="3" t="s">
        <v>165</v>
      </c>
      <c r="CA673" s="3" t="s">
        <v>615</v>
      </c>
      <c r="CC673" s="3" t="s">
        <v>102</v>
      </c>
      <c r="CD673" s="3">
        <v>4001</v>
      </c>
      <c r="CE673" s="3" t="s">
        <v>93</v>
      </c>
      <c r="CF673" s="4">
        <v>44578</v>
      </c>
      <c r="CI673" s="3">
        <v>1</v>
      </c>
      <c r="CJ673" s="3">
        <v>1</v>
      </c>
      <c r="CK673" s="3">
        <v>21</v>
      </c>
      <c r="CL673" s="3" t="s">
        <v>87</v>
      </c>
    </row>
    <row r="674" spans="1:90" x14ac:dyDescent="0.2">
      <c r="A674" s="3" t="s">
        <v>72</v>
      </c>
      <c r="B674" s="3" t="s">
        <v>73</v>
      </c>
      <c r="C674" s="3" t="s">
        <v>74</v>
      </c>
      <c r="E674" s="3" t="str">
        <f>"FES1162845041"</f>
        <v>FES1162845041</v>
      </c>
      <c r="F674" s="4">
        <v>44574</v>
      </c>
      <c r="G674" s="3">
        <v>202207</v>
      </c>
      <c r="H674" s="3" t="s">
        <v>75</v>
      </c>
      <c r="I674" s="3" t="s">
        <v>76</v>
      </c>
      <c r="J674" s="3" t="s">
        <v>77</v>
      </c>
      <c r="K674" s="3" t="s">
        <v>78</v>
      </c>
      <c r="L674" s="3" t="s">
        <v>171</v>
      </c>
      <c r="M674" s="3" t="s">
        <v>172</v>
      </c>
      <c r="N674" s="3" t="s">
        <v>235</v>
      </c>
      <c r="O674" s="3" t="s">
        <v>82</v>
      </c>
      <c r="P674" s="3" t="str">
        <f>"2170816595                    "</f>
        <v xml:space="preserve">2170816595                    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15.46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1</v>
      </c>
      <c r="BI674" s="3">
        <v>1</v>
      </c>
      <c r="BJ674" s="3">
        <v>0.2</v>
      </c>
      <c r="BK674" s="3">
        <v>1</v>
      </c>
      <c r="BL674" s="3">
        <v>59</v>
      </c>
      <c r="BM674" s="3">
        <v>8.85</v>
      </c>
      <c r="BN674" s="3">
        <v>67.849999999999994</v>
      </c>
      <c r="BO674" s="3">
        <v>67.849999999999994</v>
      </c>
      <c r="BQ674" s="3" t="s">
        <v>83</v>
      </c>
      <c r="BR674" s="3" t="s">
        <v>84</v>
      </c>
      <c r="BS674" s="4">
        <v>44575</v>
      </c>
      <c r="BT674" s="5">
        <v>0.4069444444444445</v>
      </c>
      <c r="BU674" s="3" t="s">
        <v>1044</v>
      </c>
      <c r="BV674" s="3" t="s">
        <v>105</v>
      </c>
      <c r="BY674" s="3">
        <v>1200</v>
      </c>
      <c r="BZ674" s="3" t="s">
        <v>165</v>
      </c>
      <c r="CA674" s="3" t="s">
        <v>263</v>
      </c>
      <c r="CC674" s="3" t="s">
        <v>172</v>
      </c>
      <c r="CD674" s="3">
        <v>6001</v>
      </c>
      <c r="CE674" s="3" t="s">
        <v>93</v>
      </c>
      <c r="CF674" s="4">
        <v>44575</v>
      </c>
      <c r="CI674" s="3">
        <v>1</v>
      </c>
      <c r="CJ674" s="3">
        <v>1</v>
      </c>
      <c r="CK674" s="3">
        <v>21</v>
      </c>
      <c r="CL674" s="3" t="s">
        <v>87</v>
      </c>
    </row>
    <row r="675" spans="1:90" x14ac:dyDescent="0.2">
      <c r="A675" s="3" t="s">
        <v>72</v>
      </c>
      <c r="B675" s="3" t="s">
        <v>73</v>
      </c>
      <c r="C675" s="3" t="s">
        <v>74</v>
      </c>
      <c r="E675" s="3" t="str">
        <f>"FES1162845010"</f>
        <v>FES1162845010</v>
      </c>
      <c r="F675" s="4">
        <v>44574</v>
      </c>
      <c r="G675" s="3">
        <v>202207</v>
      </c>
      <c r="H675" s="3" t="s">
        <v>75</v>
      </c>
      <c r="I675" s="3" t="s">
        <v>76</v>
      </c>
      <c r="J675" s="3" t="s">
        <v>77</v>
      </c>
      <c r="K675" s="3" t="s">
        <v>78</v>
      </c>
      <c r="L675" s="3" t="s">
        <v>90</v>
      </c>
      <c r="M675" s="3" t="s">
        <v>91</v>
      </c>
      <c r="N675" s="3" t="s">
        <v>157</v>
      </c>
      <c r="O675" s="3" t="s">
        <v>148</v>
      </c>
      <c r="P675" s="3" t="str">
        <f>"2170816576                    "</f>
        <v xml:space="preserve">2170816576                    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29.89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1</v>
      </c>
      <c r="BI675" s="3">
        <v>5</v>
      </c>
      <c r="BJ675" s="3">
        <v>1.3</v>
      </c>
      <c r="BK675" s="3">
        <v>5</v>
      </c>
      <c r="BL675" s="3">
        <v>119.34</v>
      </c>
      <c r="BM675" s="3">
        <v>17.899999999999999</v>
      </c>
      <c r="BN675" s="3">
        <v>137.24</v>
      </c>
      <c r="BO675" s="3">
        <v>137.24</v>
      </c>
      <c r="BQ675" s="3" t="s">
        <v>89</v>
      </c>
      <c r="BR675" s="3" t="s">
        <v>84</v>
      </c>
      <c r="BS675" s="4">
        <v>44578</v>
      </c>
      <c r="BT675" s="5">
        <v>0.67013888888888884</v>
      </c>
      <c r="BU675" s="3" t="s">
        <v>1045</v>
      </c>
      <c r="BV675" s="3" t="s">
        <v>105</v>
      </c>
      <c r="BY675" s="3">
        <v>6555</v>
      </c>
      <c r="BZ675" s="3" t="s">
        <v>327</v>
      </c>
      <c r="CA675" s="3" t="s">
        <v>1046</v>
      </c>
      <c r="CC675" s="3" t="s">
        <v>91</v>
      </c>
      <c r="CD675" s="3">
        <v>7441</v>
      </c>
      <c r="CE675" s="3" t="s">
        <v>86</v>
      </c>
      <c r="CF675" s="4">
        <v>44579</v>
      </c>
      <c r="CI675" s="3">
        <v>2</v>
      </c>
      <c r="CJ675" s="3">
        <v>2</v>
      </c>
      <c r="CK675" s="3">
        <v>41</v>
      </c>
      <c r="CL675" s="3" t="s">
        <v>87</v>
      </c>
    </row>
    <row r="676" spans="1:90" x14ac:dyDescent="0.2">
      <c r="A676" s="3" t="s">
        <v>72</v>
      </c>
      <c r="B676" s="3" t="s">
        <v>73</v>
      </c>
      <c r="C676" s="3" t="s">
        <v>74</v>
      </c>
      <c r="E676" s="3" t="str">
        <f>"FES1162844894"</f>
        <v>FES1162844894</v>
      </c>
      <c r="F676" s="4">
        <v>44574</v>
      </c>
      <c r="G676" s="3">
        <v>202207</v>
      </c>
      <c r="H676" s="3" t="s">
        <v>75</v>
      </c>
      <c r="I676" s="3" t="s">
        <v>76</v>
      </c>
      <c r="J676" s="3" t="s">
        <v>77</v>
      </c>
      <c r="K676" s="3" t="s">
        <v>78</v>
      </c>
      <c r="L676" s="3" t="s">
        <v>187</v>
      </c>
      <c r="M676" s="3" t="s">
        <v>188</v>
      </c>
      <c r="N676" s="3" t="s">
        <v>189</v>
      </c>
      <c r="O676" s="3" t="s">
        <v>82</v>
      </c>
      <c r="P676" s="3" t="str">
        <f>"2170816465                    "</f>
        <v xml:space="preserve">2170816465                    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29.95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3">
        <v>1</v>
      </c>
      <c r="BI676" s="3">
        <v>2</v>
      </c>
      <c r="BJ676" s="3">
        <v>0.6</v>
      </c>
      <c r="BK676" s="3">
        <v>2</v>
      </c>
      <c r="BL676" s="3">
        <v>114.31</v>
      </c>
      <c r="BM676" s="3">
        <v>17.149999999999999</v>
      </c>
      <c r="BN676" s="3">
        <v>131.46</v>
      </c>
      <c r="BO676" s="3">
        <v>131.46</v>
      </c>
      <c r="BQ676" s="3" t="s">
        <v>83</v>
      </c>
      <c r="BR676" s="3" t="s">
        <v>84</v>
      </c>
      <c r="BS676" s="4">
        <v>44575</v>
      </c>
      <c r="BT676" s="5">
        <v>0.55277777777777781</v>
      </c>
      <c r="BU676" s="3" t="s">
        <v>267</v>
      </c>
      <c r="BV676" s="3" t="s">
        <v>87</v>
      </c>
      <c r="BW676" s="3" t="s">
        <v>353</v>
      </c>
      <c r="BX676" s="3" t="s">
        <v>602</v>
      </c>
      <c r="BY676" s="3">
        <v>2976</v>
      </c>
      <c r="BZ676" s="3" t="s">
        <v>165</v>
      </c>
      <c r="CA676" s="3" t="s">
        <v>268</v>
      </c>
      <c r="CC676" s="3" t="s">
        <v>188</v>
      </c>
      <c r="CD676" s="3">
        <v>7300</v>
      </c>
      <c r="CE676" s="3" t="s">
        <v>86</v>
      </c>
      <c r="CF676" s="4">
        <v>44578</v>
      </c>
      <c r="CI676" s="3">
        <v>1</v>
      </c>
      <c r="CJ676" s="3">
        <v>1</v>
      </c>
      <c r="CK676" s="3">
        <v>23</v>
      </c>
      <c r="CL676" s="3" t="s">
        <v>87</v>
      </c>
    </row>
    <row r="677" spans="1:90" x14ac:dyDescent="0.2">
      <c r="A677" s="3" t="s">
        <v>72</v>
      </c>
      <c r="B677" s="3" t="s">
        <v>73</v>
      </c>
      <c r="C677" s="3" t="s">
        <v>74</v>
      </c>
      <c r="E677" s="3" t="str">
        <f>"FES1162844985"</f>
        <v>FES1162844985</v>
      </c>
      <c r="F677" s="4">
        <v>44574</v>
      </c>
      <c r="G677" s="3">
        <v>202207</v>
      </c>
      <c r="H677" s="3" t="s">
        <v>75</v>
      </c>
      <c r="I677" s="3" t="s">
        <v>76</v>
      </c>
      <c r="J677" s="3" t="s">
        <v>77</v>
      </c>
      <c r="K677" s="3" t="s">
        <v>78</v>
      </c>
      <c r="L677" s="3" t="s">
        <v>97</v>
      </c>
      <c r="M677" s="3" t="s">
        <v>98</v>
      </c>
      <c r="N677" s="3" t="s">
        <v>295</v>
      </c>
      <c r="O677" s="3" t="s">
        <v>82</v>
      </c>
      <c r="P677" s="3" t="str">
        <f>"2170816540                    "</f>
        <v xml:space="preserve">2170816540                    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12.07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1</v>
      </c>
      <c r="BI677" s="3">
        <v>2</v>
      </c>
      <c r="BJ677" s="3">
        <v>1.1000000000000001</v>
      </c>
      <c r="BK677" s="3">
        <v>2</v>
      </c>
      <c r="BL677" s="3">
        <v>46.08</v>
      </c>
      <c r="BM677" s="3">
        <v>6.91</v>
      </c>
      <c r="BN677" s="3">
        <v>52.99</v>
      </c>
      <c r="BO677" s="3">
        <v>52.99</v>
      </c>
      <c r="BR677" s="3" t="s">
        <v>84</v>
      </c>
      <c r="BS677" s="4">
        <v>44575</v>
      </c>
      <c r="BT677" s="5">
        <v>0.29583333333333334</v>
      </c>
      <c r="BU677" s="3" t="s">
        <v>1047</v>
      </c>
      <c r="BV677" s="3" t="s">
        <v>105</v>
      </c>
      <c r="BY677" s="3">
        <v>5320</v>
      </c>
      <c r="BZ677" s="3" t="s">
        <v>165</v>
      </c>
      <c r="CA677" s="3" t="s">
        <v>297</v>
      </c>
      <c r="CC677" s="3" t="s">
        <v>98</v>
      </c>
      <c r="CD677" s="3">
        <v>2013</v>
      </c>
      <c r="CE677" s="3" t="s">
        <v>86</v>
      </c>
      <c r="CF677" s="4">
        <v>44576</v>
      </c>
      <c r="CI677" s="3">
        <v>1</v>
      </c>
      <c r="CJ677" s="3">
        <v>1</v>
      </c>
      <c r="CK677" s="3">
        <v>22</v>
      </c>
      <c r="CL677" s="3" t="s">
        <v>87</v>
      </c>
    </row>
    <row r="678" spans="1:90" x14ac:dyDescent="0.2">
      <c r="A678" s="3" t="s">
        <v>72</v>
      </c>
      <c r="B678" s="3" t="s">
        <v>73</v>
      </c>
      <c r="C678" s="3" t="s">
        <v>74</v>
      </c>
      <c r="E678" s="3" t="str">
        <f>"FES1162843823"</f>
        <v>FES1162843823</v>
      </c>
      <c r="F678" s="4">
        <v>44574</v>
      </c>
      <c r="G678" s="3">
        <v>202207</v>
      </c>
      <c r="H678" s="3" t="s">
        <v>75</v>
      </c>
      <c r="I678" s="3" t="s">
        <v>76</v>
      </c>
      <c r="J678" s="3" t="s">
        <v>77</v>
      </c>
      <c r="K678" s="3" t="s">
        <v>78</v>
      </c>
      <c r="L678" s="3" t="s">
        <v>162</v>
      </c>
      <c r="M678" s="3" t="s">
        <v>163</v>
      </c>
      <c r="N678" s="3" t="s">
        <v>1048</v>
      </c>
      <c r="O678" s="3" t="s">
        <v>82</v>
      </c>
      <c r="P678" s="3" t="str">
        <f>"2170815744                    "</f>
        <v xml:space="preserve">2170815744                    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12.07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1</v>
      </c>
      <c r="BI678" s="3">
        <v>1</v>
      </c>
      <c r="BJ678" s="3">
        <v>0.2</v>
      </c>
      <c r="BK678" s="3">
        <v>1</v>
      </c>
      <c r="BL678" s="3">
        <v>46.08</v>
      </c>
      <c r="BM678" s="3">
        <v>6.91</v>
      </c>
      <c r="BN678" s="3">
        <v>52.99</v>
      </c>
      <c r="BO678" s="3">
        <v>52.99</v>
      </c>
      <c r="BQ678" s="3" t="s">
        <v>1049</v>
      </c>
      <c r="BR678" s="3" t="s">
        <v>84</v>
      </c>
      <c r="BS678" s="4">
        <v>44575</v>
      </c>
      <c r="BT678" s="5">
        <v>0.44027777777777777</v>
      </c>
      <c r="BU678" s="3" t="s">
        <v>1050</v>
      </c>
      <c r="BV678" s="3" t="s">
        <v>87</v>
      </c>
      <c r="BW678" s="3" t="s">
        <v>353</v>
      </c>
      <c r="BX678" s="3" t="s">
        <v>618</v>
      </c>
      <c r="BY678" s="3">
        <v>1200</v>
      </c>
      <c r="BZ678" s="3" t="s">
        <v>165</v>
      </c>
      <c r="CA678" s="3" t="s">
        <v>1051</v>
      </c>
      <c r="CC678" s="3" t="s">
        <v>163</v>
      </c>
      <c r="CD678" s="3">
        <v>1406</v>
      </c>
      <c r="CE678" s="3" t="s">
        <v>93</v>
      </c>
      <c r="CF678" s="4">
        <v>44578</v>
      </c>
      <c r="CI678" s="3">
        <v>1</v>
      </c>
      <c r="CJ678" s="3">
        <v>1</v>
      </c>
      <c r="CK678" s="3">
        <v>22</v>
      </c>
      <c r="CL678" s="3" t="s">
        <v>87</v>
      </c>
    </row>
    <row r="679" spans="1:90" x14ac:dyDescent="0.2">
      <c r="A679" s="3" t="s">
        <v>72</v>
      </c>
      <c r="B679" s="3" t="s">
        <v>73</v>
      </c>
      <c r="C679" s="3" t="s">
        <v>74</v>
      </c>
      <c r="E679" s="3" t="str">
        <f>"FES1162844866"</f>
        <v>FES1162844866</v>
      </c>
      <c r="F679" s="4">
        <v>44574</v>
      </c>
      <c r="G679" s="3">
        <v>202207</v>
      </c>
      <c r="H679" s="3" t="s">
        <v>75</v>
      </c>
      <c r="I679" s="3" t="s">
        <v>76</v>
      </c>
      <c r="J679" s="3" t="s">
        <v>77</v>
      </c>
      <c r="K679" s="3" t="s">
        <v>78</v>
      </c>
      <c r="L679" s="3" t="s">
        <v>94</v>
      </c>
      <c r="M679" s="3" t="s">
        <v>95</v>
      </c>
      <c r="N679" s="3" t="s">
        <v>1052</v>
      </c>
      <c r="O679" s="3" t="s">
        <v>82</v>
      </c>
      <c r="P679" s="3" t="str">
        <f>"2170816433                    "</f>
        <v xml:space="preserve">2170816433                    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30.91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1</v>
      </c>
      <c r="BI679" s="3">
        <v>4</v>
      </c>
      <c r="BJ679" s="3">
        <v>1.4</v>
      </c>
      <c r="BK679" s="3">
        <v>4</v>
      </c>
      <c r="BL679" s="3">
        <v>117.97</v>
      </c>
      <c r="BM679" s="3">
        <v>17.7</v>
      </c>
      <c r="BN679" s="3">
        <v>135.66999999999999</v>
      </c>
      <c r="BO679" s="3">
        <v>135.66999999999999</v>
      </c>
      <c r="BQ679" s="3" t="s">
        <v>83</v>
      </c>
      <c r="BR679" s="3" t="s">
        <v>84</v>
      </c>
      <c r="BS679" s="4">
        <v>44575</v>
      </c>
      <c r="BT679" s="5">
        <v>0.96944444444444444</v>
      </c>
      <c r="BU679" s="3" t="s">
        <v>1053</v>
      </c>
      <c r="BV679" s="3" t="s">
        <v>87</v>
      </c>
      <c r="BW679" s="3" t="s">
        <v>453</v>
      </c>
      <c r="BX679" s="3" t="s">
        <v>279</v>
      </c>
      <c r="BY679" s="3">
        <v>7200</v>
      </c>
      <c r="BZ679" s="3" t="s">
        <v>165</v>
      </c>
      <c r="CC679" s="3" t="s">
        <v>95</v>
      </c>
      <c r="CD679" s="3">
        <v>3201</v>
      </c>
      <c r="CE679" s="3" t="s">
        <v>86</v>
      </c>
      <c r="CF679" s="4">
        <v>44581</v>
      </c>
      <c r="CI679" s="3">
        <v>1</v>
      </c>
      <c r="CJ679" s="3">
        <v>1</v>
      </c>
      <c r="CK679" s="3">
        <v>21</v>
      </c>
      <c r="CL679" s="3" t="s">
        <v>87</v>
      </c>
    </row>
    <row r="680" spans="1:90" x14ac:dyDescent="0.2">
      <c r="A680" s="3" t="s">
        <v>72</v>
      </c>
      <c r="B680" s="3" t="s">
        <v>73</v>
      </c>
      <c r="C680" s="3" t="s">
        <v>74</v>
      </c>
      <c r="E680" s="3" t="str">
        <f>"FES1162845011"</f>
        <v>FES1162845011</v>
      </c>
      <c r="F680" s="4">
        <v>44574</v>
      </c>
      <c r="G680" s="3">
        <v>202207</v>
      </c>
      <c r="H680" s="3" t="s">
        <v>75</v>
      </c>
      <c r="I680" s="3" t="s">
        <v>76</v>
      </c>
      <c r="J680" s="3" t="s">
        <v>77</v>
      </c>
      <c r="K680" s="3" t="s">
        <v>78</v>
      </c>
      <c r="L680" s="3" t="s">
        <v>90</v>
      </c>
      <c r="M680" s="3" t="s">
        <v>91</v>
      </c>
      <c r="N680" s="3" t="s">
        <v>210</v>
      </c>
      <c r="O680" s="3" t="s">
        <v>82</v>
      </c>
      <c r="P680" s="3" t="str">
        <f>"2170816577                    "</f>
        <v xml:space="preserve">2170816577                    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15.46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1</v>
      </c>
      <c r="BI680" s="3">
        <v>1</v>
      </c>
      <c r="BJ680" s="3">
        <v>0.2</v>
      </c>
      <c r="BK680" s="3">
        <v>1</v>
      </c>
      <c r="BL680" s="3">
        <v>59</v>
      </c>
      <c r="BM680" s="3">
        <v>8.85</v>
      </c>
      <c r="BN680" s="3">
        <v>67.849999999999994</v>
      </c>
      <c r="BO680" s="3">
        <v>67.849999999999994</v>
      </c>
      <c r="BQ680" s="3" t="s">
        <v>89</v>
      </c>
      <c r="BR680" s="3" t="s">
        <v>84</v>
      </c>
      <c r="BS680" s="4">
        <v>44575</v>
      </c>
      <c r="BT680" s="5">
        <v>0.46319444444444446</v>
      </c>
      <c r="BU680" s="3" t="s">
        <v>1054</v>
      </c>
      <c r="BV680" s="3" t="s">
        <v>87</v>
      </c>
      <c r="BW680" s="3" t="s">
        <v>353</v>
      </c>
      <c r="BX680" s="3" t="s">
        <v>354</v>
      </c>
      <c r="BY680" s="3">
        <v>1200</v>
      </c>
      <c r="BZ680" s="3" t="s">
        <v>165</v>
      </c>
      <c r="CA680" s="3" t="s">
        <v>713</v>
      </c>
      <c r="CC680" s="3" t="s">
        <v>91</v>
      </c>
      <c r="CD680" s="3">
        <v>7441</v>
      </c>
      <c r="CE680" s="3" t="s">
        <v>93</v>
      </c>
      <c r="CF680" s="4">
        <v>44578</v>
      </c>
      <c r="CI680" s="3">
        <v>1</v>
      </c>
      <c r="CJ680" s="3">
        <v>1</v>
      </c>
      <c r="CK680" s="3">
        <v>21</v>
      </c>
      <c r="CL680" s="3" t="s">
        <v>87</v>
      </c>
    </row>
    <row r="681" spans="1:90" x14ac:dyDescent="0.2">
      <c r="A681" s="3" t="s">
        <v>72</v>
      </c>
      <c r="B681" s="3" t="s">
        <v>73</v>
      </c>
      <c r="C681" s="3" t="s">
        <v>74</v>
      </c>
      <c r="E681" s="3" t="str">
        <f>"FES1162845025"</f>
        <v>FES1162845025</v>
      </c>
      <c r="F681" s="4">
        <v>44574</v>
      </c>
      <c r="G681" s="3">
        <v>202207</v>
      </c>
      <c r="H681" s="3" t="s">
        <v>75</v>
      </c>
      <c r="I681" s="3" t="s">
        <v>76</v>
      </c>
      <c r="J681" s="3" t="s">
        <v>77</v>
      </c>
      <c r="K681" s="3" t="s">
        <v>78</v>
      </c>
      <c r="L681" s="3" t="s">
        <v>97</v>
      </c>
      <c r="M681" s="3" t="s">
        <v>98</v>
      </c>
      <c r="N681" s="3" t="s">
        <v>1055</v>
      </c>
      <c r="O681" s="3" t="s">
        <v>82</v>
      </c>
      <c r="P681" s="3" t="str">
        <f>"2170812550                    "</f>
        <v xml:space="preserve">2170812550                    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12.07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1</v>
      </c>
      <c r="BI681" s="3">
        <v>1</v>
      </c>
      <c r="BJ681" s="3">
        <v>0.2</v>
      </c>
      <c r="BK681" s="3">
        <v>1</v>
      </c>
      <c r="BL681" s="3">
        <v>46.08</v>
      </c>
      <c r="BM681" s="3">
        <v>6.91</v>
      </c>
      <c r="BN681" s="3">
        <v>52.99</v>
      </c>
      <c r="BO681" s="3">
        <v>52.99</v>
      </c>
      <c r="BR681" s="3" t="s">
        <v>84</v>
      </c>
      <c r="BS681" s="4">
        <v>44575</v>
      </c>
      <c r="BT681" s="5">
        <v>0.42638888888888887</v>
      </c>
      <c r="BU681" s="3" t="s">
        <v>1056</v>
      </c>
      <c r="BV681" s="3" t="s">
        <v>105</v>
      </c>
      <c r="BY681" s="3">
        <v>1200</v>
      </c>
      <c r="BZ681" s="3" t="s">
        <v>165</v>
      </c>
      <c r="CA681" s="3" t="s">
        <v>1057</v>
      </c>
      <c r="CC681" s="3" t="s">
        <v>98</v>
      </c>
      <c r="CD681" s="3">
        <v>2090</v>
      </c>
      <c r="CE681" s="3" t="s">
        <v>93</v>
      </c>
      <c r="CF681" s="4">
        <v>44576</v>
      </c>
      <c r="CI681" s="3">
        <v>1</v>
      </c>
      <c r="CJ681" s="3">
        <v>1</v>
      </c>
      <c r="CK681" s="3">
        <v>22</v>
      </c>
      <c r="CL681" s="3" t="s">
        <v>87</v>
      </c>
    </row>
    <row r="682" spans="1:90" x14ac:dyDescent="0.2">
      <c r="A682" s="3" t="s">
        <v>72</v>
      </c>
      <c r="B682" s="3" t="s">
        <v>73</v>
      </c>
      <c r="C682" s="3" t="s">
        <v>74</v>
      </c>
      <c r="E682" s="3" t="str">
        <f>"FES1162845036"</f>
        <v>FES1162845036</v>
      </c>
      <c r="F682" s="4">
        <v>44574</v>
      </c>
      <c r="G682" s="3">
        <v>202207</v>
      </c>
      <c r="H682" s="3" t="s">
        <v>75</v>
      </c>
      <c r="I682" s="3" t="s">
        <v>76</v>
      </c>
      <c r="J682" s="3" t="s">
        <v>77</v>
      </c>
      <c r="K682" s="3" t="s">
        <v>78</v>
      </c>
      <c r="L682" s="3" t="s">
        <v>190</v>
      </c>
      <c r="M682" s="3" t="s">
        <v>191</v>
      </c>
      <c r="N682" s="3" t="s">
        <v>395</v>
      </c>
      <c r="O682" s="3" t="s">
        <v>82</v>
      </c>
      <c r="P682" s="3" t="str">
        <f>"2170815031                    "</f>
        <v xml:space="preserve">2170815031                    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29.95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1</v>
      </c>
      <c r="BI682" s="3">
        <v>1</v>
      </c>
      <c r="BJ682" s="3">
        <v>1.1000000000000001</v>
      </c>
      <c r="BK682" s="3">
        <v>1.5</v>
      </c>
      <c r="BL682" s="3">
        <v>114.31</v>
      </c>
      <c r="BM682" s="3">
        <v>17.149999999999999</v>
      </c>
      <c r="BN682" s="3">
        <v>131.46</v>
      </c>
      <c r="BO682" s="3">
        <v>131.46</v>
      </c>
      <c r="BR682" s="3" t="s">
        <v>84</v>
      </c>
      <c r="BS682" s="4">
        <v>44575</v>
      </c>
      <c r="BT682" s="5">
        <v>0.39305555555555555</v>
      </c>
      <c r="BU682" s="3" t="s">
        <v>1058</v>
      </c>
      <c r="BV682" s="3" t="s">
        <v>105</v>
      </c>
      <c r="BY682" s="3">
        <v>5320</v>
      </c>
      <c r="BZ682" s="3" t="s">
        <v>165</v>
      </c>
      <c r="CA682" s="3" t="s">
        <v>1059</v>
      </c>
      <c r="CC682" s="3" t="s">
        <v>191</v>
      </c>
      <c r="CD682" s="3">
        <v>1050</v>
      </c>
      <c r="CE682" s="3" t="s">
        <v>86</v>
      </c>
      <c r="CF682" s="4">
        <v>44575</v>
      </c>
      <c r="CI682" s="3">
        <v>1</v>
      </c>
      <c r="CJ682" s="3">
        <v>1</v>
      </c>
      <c r="CK682" s="3">
        <v>23</v>
      </c>
      <c r="CL682" s="3" t="s">
        <v>87</v>
      </c>
    </row>
    <row r="683" spans="1:90" x14ac:dyDescent="0.2">
      <c r="A683" s="3" t="s">
        <v>72</v>
      </c>
      <c r="B683" s="3" t="s">
        <v>73</v>
      </c>
      <c r="C683" s="3" t="s">
        <v>74</v>
      </c>
      <c r="E683" s="3" t="str">
        <f>"FES1162844852"</f>
        <v>FES1162844852</v>
      </c>
      <c r="F683" s="4">
        <v>44574</v>
      </c>
      <c r="G683" s="3">
        <v>202207</v>
      </c>
      <c r="H683" s="3" t="s">
        <v>75</v>
      </c>
      <c r="I683" s="3" t="s">
        <v>76</v>
      </c>
      <c r="J683" s="3" t="s">
        <v>77</v>
      </c>
      <c r="K683" s="3" t="s">
        <v>78</v>
      </c>
      <c r="L683" s="3" t="s">
        <v>427</v>
      </c>
      <c r="M683" s="3" t="s">
        <v>428</v>
      </c>
      <c r="N683" s="3" t="s">
        <v>447</v>
      </c>
      <c r="O683" s="3" t="s">
        <v>82</v>
      </c>
      <c r="P683" s="3" t="str">
        <f>"2170816423                    "</f>
        <v xml:space="preserve">2170816423                    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84.05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1</v>
      </c>
      <c r="BI683" s="3">
        <v>6</v>
      </c>
      <c r="BJ683" s="3">
        <v>1.3</v>
      </c>
      <c r="BK683" s="3">
        <v>6</v>
      </c>
      <c r="BL683" s="3">
        <v>320.81</v>
      </c>
      <c r="BM683" s="3">
        <v>48.12</v>
      </c>
      <c r="BN683" s="3">
        <v>368.93</v>
      </c>
      <c r="BO683" s="3">
        <v>368.93</v>
      </c>
      <c r="BQ683" s="3" t="s">
        <v>89</v>
      </c>
      <c r="BR683" s="3" t="s">
        <v>84</v>
      </c>
      <c r="BS683" s="4">
        <v>44575</v>
      </c>
      <c r="BT683" s="5">
        <v>0.5805555555555556</v>
      </c>
      <c r="BU683" s="3" t="s">
        <v>874</v>
      </c>
      <c r="BV683" s="3" t="s">
        <v>87</v>
      </c>
      <c r="BW683" s="3" t="s">
        <v>353</v>
      </c>
      <c r="BX683" s="3" t="s">
        <v>602</v>
      </c>
      <c r="BY683" s="3">
        <v>6720</v>
      </c>
      <c r="BZ683" s="3" t="s">
        <v>165</v>
      </c>
      <c r="CA683" s="3" t="s">
        <v>488</v>
      </c>
      <c r="CC683" s="3" t="s">
        <v>428</v>
      </c>
      <c r="CD683" s="3">
        <v>7130</v>
      </c>
      <c r="CE683" s="3" t="s">
        <v>86</v>
      </c>
      <c r="CF683" s="4">
        <v>44578</v>
      </c>
      <c r="CI683" s="3">
        <v>1</v>
      </c>
      <c r="CJ683" s="3">
        <v>1</v>
      </c>
      <c r="CK683" s="3">
        <v>23</v>
      </c>
      <c r="CL683" s="3" t="s">
        <v>87</v>
      </c>
    </row>
    <row r="684" spans="1:90" x14ac:dyDescent="0.2">
      <c r="A684" s="3" t="s">
        <v>72</v>
      </c>
      <c r="B684" s="3" t="s">
        <v>73</v>
      </c>
      <c r="C684" s="3" t="s">
        <v>74</v>
      </c>
      <c r="E684" s="3" t="str">
        <f>"FES1162844941"</f>
        <v>FES1162844941</v>
      </c>
      <c r="F684" s="4">
        <v>44574</v>
      </c>
      <c r="G684" s="3">
        <v>202207</v>
      </c>
      <c r="H684" s="3" t="s">
        <v>75</v>
      </c>
      <c r="I684" s="3" t="s">
        <v>76</v>
      </c>
      <c r="J684" s="3" t="s">
        <v>77</v>
      </c>
      <c r="K684" s="3" t="s">
        <v>78</v>
      </c>
      <c r="L684" s="3" t="s">
        <v>90</v>
      </c>
      <c r="M684" s="3" t="s">
        <v>91</v>
      </c>
      <c r="N684" s="3" t="s">
        <v>157</v>
      </c>
      <c r="O684" s="3" t="s">
        <v>82</v>
      </c>
      <c r="P684" s="3" t="str">
        <f>"2170816508                    "</f>
        <v xml:space="preserve">2170816508                    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30.91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3">
        <v>1</v>
      </c>
      <c r="BI684" s="3">
        <v>4</v>
      </c>
      <c r="BJ684" s="3">
        <v>1.6</v>
      </c>
      <c r="BK684" s="3">
        <v>4</v>
      </c>
      <c r="BL684" s="3">
        <v>117.97</v>
      </c>
      <c r="BM684" s="3">
        <v>17.7</v>
      </c>
      <c r="BN684" s="3">
        <v>135.66999999999999</v>
      </c>
      <c r="BO684" s="3">
        <v>135.66999999999999</v>
      </c>
      <c r="BQ684" s="3" t="s">
        <v>89</v>
      </c>
      <c r="BR684" s="3" t="s">
        <v>84</v>
      </c>
      <c r="BS684" s="4">
        <v>44575</v>
      </c>
      <c r="BT684" s="5">
        <v>0.39374999999999999</v>
      </c>
      <c r="BU684" s="3" t="s">
        <v>691</v>
      </c>
      <c r="BV684" s="3" t="s">
        <v>105</v>
      </c>
      <c r="BY684" s="3">
        <v>7990</v>
      </c>
      <c r="BZ684" s="3" t="s">
        <v>165</v>
      </c>
      <c r="CA684" s="3" t="s">
        <v>713</v>
      </c>
      <c r="CC684" s="3" t="s">
        <v>91</v>
      </c>
      <c r="CD684" s="3">
        <v>7441</v>
      </c>
      <c r="CE684" s="3" t="s">
        <v>86</v>
      </c>
      <c r="CF684" s="4">
        <v>44578</v>
      </c>
      <c r="CI684" s="3">
        <v>1</v>
      </c>
      <c r="CJ684" s="3">
        <v>1</v>
      </c>
      <c r="CK684" s="3">
        <v>21</v>
      </c>
      <c r="CL684" s="3" t="s">
        <v>87</v>
      </c>
    </row>
    <row r="685" spans="1:90" x14ac:dyDescent="0.2">
      <c r="A685" s="3" t="s">
        <v>72</v>
      </c>
      <c r="B685" s="3" t="s">
        <v>73</v>
      </c>
      <c r="C685" s="3" t="s">
        <v>74</v>
      </c>
      <c r="E685" s="3" t="str">
        <f>"FES1162844999"</f>
        <v>FES1162844999</v>
      </c>
      <c r="F685" s="4">
        <v>44574</v>
      </c>
      <c r="G685" s="3">
        <v>202207</v>
      </c>
      <c r="H685" s="3" t="s">
        <v>75</v>
      </c>
      <c r="I685" s="3" t="s">
        <v>76</v>
      </c>
      <c r="J685" s="3" t="s">
        <v>77</v>
      </c>
      <c r="K685" s="3" t="s">
        <v>78</v>
      </c>
      <c r="L685" s="3" t="s">
        <v>138</v>
      </c>
      <c r="M685" s="3" t="s">
        <v>139</v>
      </c>
      <c r="N685" s="3" t="s">
        <v>140</v>
      </c>
      <c r="O685" s="3" t="s">
        <v>82</v>
      </c>
      <c r="P685" s="3" t="str">
        <f>"2170816550                    "</f>
        <v xml:space="preserve">2170816550                    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54.08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1</v>
      </c>
      <c r="BI685" s="3">
        <v>7</v>
      </c>
      <c r="BJ685" s="3">
        <v>2</v>
      </c>
      <c r="BK685" s="3">
        <v>7</v>
      </c>
      <c r="BL685" s="3">
        <v>206.42</v>
      </c>
      <c r="BM685" s="3">
        <v>30.96</v>
      </c>
      <c r="BN685" s="3">
        <v>237.38</v>
      </c>
      <c r="BO685" s="3">
        <v>237.38</v>
      </c>
      <c r="BQ685" s="3" t="s">
        <v>126</v>
      </c>
      <c r="BR685" s="3" t="s">
        <v>84</v>
      </c>
      <c r="BS685" s="4">
        <v>44575</v>
      </c>
      <c r="BT685" s="5">
        <v>0.35694444444444445</v>
      </c>
      <c r="BU685" s="3" t="s">
        <v>819</v>
      </c>
      <c r="BV685" s="3" t="s">
        <v>105</v>
      </c>
      <c r="BY685" s="3">
        <v>9918</v>
      </c>
      <c r="BZ685" s="3" t="s">
        <v>165</v>
      </c>
      <c r="CA685" s="3" t="s">
        <v>334</v>
      </c>
      <c r="CC685" s="3" t="s">
        <v>139</v>
      </c>
      <c r="CD685" s="3">
        <v>3610</v>
      </c>
      <c r="CE685" s="3" t="s">
        <v>86</v>
      </c>
      <c r="CF685" s="4">
        <v>44578</v>
      </c>
      <c r="CI685" s="3">
        <v>1</v>
      </c>
      <c r="CJ685" s="3">
        <v>1</v>
      </c>
      <c r="CK685" s="3">
        <v>21</v>
      </c>
      <c r="CL685" s="3" t="s">
        <v>87</v>
      </c>
    </row>
    <row r="686" spans="1:90" x14ac:dyDescent="0.2">
      <c r="A686" s="3" t="s">
        <v>72</v>
      </c>
      <c r="B686" s="3" t="s">
        <v>73</v>
      </c>
      <c r="C686" s="3" t="s">
        <v>74</v>
      </c>
      <c r="E686" s="3" t="str">
        <f>"FES1162845086"</f>
        <v>FES1162845086</v>
      </c>
      <c r="F686" s="4">
        <v>44574</v>
      </c>
      <c r="G686" s="3">
        <v>202207</v>
      </c>
      <c r="H686" s="3" t="s">
        <v>75</v>
      </c>
      <c r="I686" s="3" t="s">
        <v>76</v>
      </c>
      <c r="J686" s="3" t="s">
        <v>77</v>
      </c>
      <c r="K686" s="3" t="s">
        <v>78</v>
      </c>
      <c r="L686" s="3" t="s">
        <v>90</v>
      </c>
      <c r="M686" s="3" t="s">
        <v>91</v>
      </c>
      <c r="N686" s="3" t="s">
        <v>584</v>
      </c>
      <c r="O686" s="3" t="s">
        <v>148</v>
      </c>
      <c r="P686" s="3" t="str">
        <f>"2170815988                    "</f>
        <v xml:space="preserve">2170815988                    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29.89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1</v>
      </c>
      <c r="BI686" s="3">
        <v>9</v>
      </c>
      <c r="BJ686" s="3">
        <v>5.4</v>
      </c>
      <c r="BK686" s="3">
        <v>9</v>
      </c>
      <c r="BL686" s="3">
        <v>119.34</v>
      </c>
      <c r="BM686" s="3">
        <v>17.899999999999999</v>
      </c>
      <c r="BN686" s="3">
        <v>137.24</v>
      </c>
      <c r="BO686" s="3">
        <v>137.24</v>
      </c>
      <c r="BQ686" s="3" t="s">
        <v>83</v>
      </c>
      <c r="BR686" s="3" t="s">
        <v>84</v>
      </c>
      <c r="BS686" s="4">
        <v>44578</v>
      </c>
      <c r="BT686" s="5">
        <v>0.31805555555555554</v>
      </c>
      <c r="BU686" s="3" t="s">
        <v>1060</v>
      </c>
      <c r="BV686" s="3" t="s">
        <v>105</v>
      </c>
      <c r="BY686" s="3">
        <v>27000</v>
      </c>
      <c r="BZ686" s="3" t="s">
        <v>327</v>
      </c>
      <c r="CA686" s="3" t="s">
        <v>1061</v>
      </c>
      <c r="CC686" s="3" t="s">
        <v>91</v>
      </c>
      <c r="CD686" s="3">
        <v>7530</v>
      </c>
      <c r="CE686" s="3" t="s">
        <v>86</v>
      </c>
      <c r="CF686" s="4">
        <v>44579</v>
      </c>
      <c r="CI686" s="3">
        <v>2</v>
      </c>
      <c r="CJ686" s="3">
        <v>2</v>
      </c>
      <c r="CK686" s="3">
        <v>41</v>
      </c>
      <c r="CL686" s="3" t="s">
        <v>87</v>
      </c>
    </row>
    <row r="687" spans="1:90" x14ac:dyDescent="0.2">
      <c r="A687" s="3" t="s">
        <v>72</v>
      </c>
      <c r="B687" s="3" t="s">
        <v>73</v>
      </c>
      <c r="C687" s="3" t="s">
        <v>74</v>
      </c>
      <c r="E687" s="3" t="str">
        <f>"FES1162844863"</f>
        <v>FES1162844863</v>
      </c>
      <c r="F687" s="4">
        <v>44574</v>
      </c>
      <c r="G687" s="3">
        <v>202207</v>
      </c>
      <c r="H687" s="3" t="s">
        <v>75</v>
      </c>
      <c r="I687" s="3" t="s">
        <v>76</v>
      </c>
      <c r="J687" s="3" t="s">
        <v>77</v>
      </c>
      <c r="K687" s="3" t="s">
        <v>78</v>
      </c>
      <c r="L687" s="3" t="s">
        <v>101</v>
      </c>
      <c r="M687" s="3" t="s">
        <v>102</v>
      </c>
      <c r="N687" s="3" t="s">
        <v>272</v>
      </c>
      <c r="O687" s="3" t="s">
        <v>82</v>
      </c>
      <c r="P687" s="3" t="str">
        <f>"2170816430                    "</f>
        <v xml:space="preserve">2170816430                    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15.46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1</v>
      </c>
      <c r="BI687" s="3">
        <v>2</v>
      </c>
      <c r="BJ687" s="3">
        <v>2</v>
      </c>
      <c r="BK687" s="3">
        <v>2</v>
      </c>
      <c r="BL687" s="3">
        <v>59</v>
      </c>
      <c r="BM687" s="3">
        <v>8.85</v>
      </c>
      <c r="BN687" s="3">
        <v>67.849999999999994</v>
      </c>
      <c r="BO687" s="3">
        <v>67.849999999999994</v>
      </c>
      <c r="BQ687" s="3" t="s">
        <v>273</v>
      </c>
      <c r="BR687" s="3" t="s">
        <v>84</v>
      </c>
      <c r="BS687" s="4">
        <v>44575</v>
      </c>
      <c r="BT687" s="5">
        <v>0.38194444444444442</v>
      </c>
      <c r="BU687" s="3" t="s">
        <v>274</v>
      </c>
      <c r="BV687" s="3" t="s">
        <v>105</v>
      </c>
      <c r="BY687" s="3">
        <v>9918</v>
      </c>
      <c r="BZ687" s="3" t="s">
        <v>165</v>
      </c>
      <c r="CA687" s="3" t="s">
        <v>275</v>
      </c>
      <c r="CC687" s="3" t="s">
        <v>102</v>
      </c>
      <c r="CD687" s="3">
        <v>4000</v>
      </c>
      <c r="CE687" s="3" t="s">
        <v>86</v>
      </c>
      <c r="CF687" s="4">
        <v>44578</v>
      </c>
      <c r="CI687" s="3">
        <v>1</v>
      </c>
      <c r="CJ687" s="3">
        <v>1</v>
      </c>
      <c r="CK687" s="3">
        <v>21</v>
      </c>
      <c r="CL687" s="3" t="s">
        <v>87</v>
      </c>
    </row>
    <row r="688" spans="1:90" x14ac:dyDescent="0.2">
      <c r="A688" s="3" t="s">
        <v>72</v>
      </c>
      <c r="B688" s="3" t="s">
        <v>73</v>
      </c>
      <c r="C688" s="3" t="s">
        <v>74</v>
      </c>
      <c r="E688" s="3" t="str">
        <f>"FES1162844902"</f>
        <v>FES1162844902</v>
      </c>
      <c r="F688" s="4">
        <v>44574</v>
      </c>
      <c r="G688" s="3">
        <v>202207</v>
      </c>
      <c r="H688" s="3" t="s">
        <v>75</v>
      </c>
      <c r="I688" s="3" t="s">
        <v>76</v>
      </c>
      <c r="J688" s="3" t="s">
        <v>77</v>
      </c>
      <c r="K688" s="3" t="s">
        <v>78</v>
      </c>
      <c r="L688" s="3" t="s">
        <v>167</v>
      </c>
      <c r="M688" s="3" t="s">
        <v>168</v>
      </c>
      <c r="N688" s="3" t="s">
        <v>337</v>
      </c>
      <c r="O688" s="3" t="s">
        <v>82</v>
      </c>
      <c r="P688" s="3" t="str">
        <f>"2170816297                    "</f>
        <v xml:space="preserve">2170816297                    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30.91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0</v>
      </c>
      <c r="AZ688" s="3">
        <v>0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1</v>
      </c>
      <c r="BI688" s="3">
        <v>4</v>
      </c>
      <c r="BJ688" s="3">
        <v>0.9</v>
      </c>
      <c r="BK688" s="3">
        <v>4</v>
      </c>
      <c r="BL688" s="3">
        <v>117.97</v>
      </c>
      <c r="BM688" s="3">
        <v>17.7</v>
      </c>
      <c r="BN688" s="3">
        <v>135.66999999999999</v>
      </c>
      <c r="BO688" s="3">
        <v>135.66999999999999</v>
      </c>
      <c r="BQ688" s="3" t="s">
        <v>89</v>
      </c>
      <c r="BR688" s="3" t="s">
        <v>84</v>
      </c>
      <c r="BS688" s="4">
        <v>44575</v>
      </c>
      <c r="BT688" s="5">
        <v>0.39027777777777778</v>
      </c>
      <c r="BU688" s="3" t="s">
        <v>485</v>
      </c>
      <c r="BV688" s="3" t="s">
        <v>105</v>
      </c>
      <c r="BY688" s="3">
        <v>4320</v>
      </c>
      <c r="BZ688" s="3" t="s">
        <v>165</v>
      </c>
      <c r="CA688" s="3" t="s">
        <v>263</v>
      </c>
      <c r="CC688" s="3" t="s">
        <v>168</v>
      </c>
      <c r="CD688" s="3">
        <v>6220</v>
      </c>
      <c r="CE688" s="3" t="s">
        <v>86</v>
      </c>
      <c r="CF688" s="4">
        <v>44575</v>
      </c>
      <c r="CI688" s="3">
        <v>1</v>
      </c>
      <c r="CJ688" s="3">
        <v>1</v>
      </c>
      <c r="CK688" s="3">
        <v>21</v>
      </c>
      <c r="CL688" s="3" t="s">
        <v>87</v>
      </c>
    </row>
    <row r="689" spans="1:90" x14ac:dyDescent="0.2">
      <c r="A689" s="3" t="s">
        <v>72</v>
      </c>
      <c r="B689" s="3" t="s">
        <v>73</v>
      </c>
      <c r="C689" s="3" t="s">
        <v>74</v>
      </c>
      <c r="E689" s="3" t="str">
        <f>"FES1162845068"</f>
        <v>FES1162845068</v>
      </c>
      <c r="F689" s="4">
        <v>44574</v>
      </c>
      <c r="G689" s="3">
        <v>202207</v>
      </c>
      <c r="H689" s="3" t="s">
        <v>75</v>
      </c>
      <c r="I689" s="3" t="s">
        <v>76</v>
      </c>
      <c r="J689" s="3" t="s">
        <v>77</v>
      </c>
      <c r="K689" s="3" t="s">
        <v>78</v>
      </c>
      <c r="L689" s="3" t="s">
        <v>94</v>
      </c>
      <c r="M689" s="3" t="s">
        <v>95</v>
      </c>
      <c r="N689" s="3" t="s">
        <v>179</v>
      </c>
      <c r="O689" s="3" t="s">
        <v>82</v>
      </c>
      <c r="P689" s="3" t="str">
        <f>"2170816642                    "</f>
        <v xml:space="preserve">2170816642                    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15.46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1</v>
      </c>
      <c r="BI689" s="3">
        <v>1</v>
      </c>
      <c r="BJ689" s="3">
        <v>0.2</v>
      </c>
      <c r="BK689" s="3">
        <v>1</v>
      </c>
      <c r="BL689" s="3">
        <v>59</v>
      </c>
      <c r="BM689" s="3">
        <v>8.85</v>
      </c>
      <c r="BN689" s="3">
        <v>67.849999999999994</v>
      </c>
      <c r="BO689" s="3">
        <v>67.849999999999994</v>
      </c>
      <c r="BQ689" s="3" t="s">
        <v>83</v>
      </c>
      <c r="BR689" s="3" t="s">
        <v>84</v>
      </c>
      <c r="BS689" s="4">
        <v>44575</v>
      </c>
      <c r="BT689" s="5">
        <v>0.46875</v>
      </c>
      <c r="BU689" s="3" t="s">
        <v>659</v>
      </c>
      <c r="BV689" s="3" t="s">
        <v>87</v>
      </c>
      <c r="BW689" s="3" t="s">
        <v>453</v>
      </c>
      <c r="BX689" s="3" t="s">
        <v>279</v>
      </c>
      <c r="BY689" s="3">
        <v>1200</v>
      </c>
      <c r="BZ689" s="3" t="s">
        <v>165</v>
      </c>
      <c r="CC689" s="3" t="s">
        <v>95</v>
      </c>
      <c r="CD689" s="3">
        <v>3201</v>
      </c>
      <c r="CE689" s="3" t="s">
        <v>93</v>
      </c>
      <c r="CF689" s="4">
        <v>44581</v>
      </c>
      <c r="CI689" s="3">
        <v>1</v>
      </c>
      <c r="CJ689" s="3">
        <v>1</v>
      </c>
      <c r="CK689" s="3">
        <v>21</v>
      </c>
      <c r="CL689" s="3" t="s">
        <v>87</v>
      </c>
    </row>
    <row r="690" spans="1:90" x14ac:dyDescent="0.2">
      <c r="A690" s="3" t="s">
        <v>72</v>
      </c>
      <c r="B690" s="3" t="s">
        <v>73</v>
      </c>
      <c r="C690" s="3" t="s">
        <v>74</v>
      </c>
      <c r="E690" s="3" t="str">
        <f>"FES1162845044"</f>
        <v>FES1162845044</v>
      </c>
      <c r="F690" s="4">
        <v>44574</v>
      </c>
      <c r="G690" s="3">
        <v>202207</v>
      </c>
      <c r="H690" s="3" t="s">
        <v>75</v>
      </c>
      <c r="I690" s="3" t="s">
        <v>76</v>
      </c>
      <c r="J690" s="3" t="s">
        <v>77</v>
      </c>
      <c r="K690" s="3" t="s">
        <v>78</v>
      </c>
      <c r="L690" s="3" t="s">
        <v>110</v>
      </c>
      <c r="M690" s="3" t="s">
        <v>110</v>
      </c>
      <c r="N690" s="3" t="s">
        <v>954</v>
      </c>
      <c r="O690" s="3" t="s">
        <v>82</v>
      </c>
      <c r="P690" s="3" t="str">
        <f>"2170816601                    "</f>
        <v xml:space="preserve">2170816601                    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29.95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1</v>
      </c>
      <c r="BI690" s="3">
        <v>1</v>
      </c>
      <c r="BJ690" s="3">
        <v>0.2</v>
      </c>
      <c r="BK690" s="3">
        <v>1</v>
      </c>
      <c r="BL690" s="3">
        <v>114.31</v>
      </c>
      <c r="BM690" s="3">
        <v>17.149999999999999</v>
      </c>
      <c r="BN690" s="3">
        <v>131.46</v>
      </c>
      <c r="BO690" s="3">
        <v>131.46</v>
      </c>
      <c r="BQ690" s="3" t="s">
        <v>83</v>
      </c>
      <c r="BR690" s="3" t="s">
        <v>84</v>
      </c>
      <c r="BS690" s="4">
        <v>44575</v>
      </c>
      <c r="BT690" s="5">
        <v>0.54097222222222219</v>
      </c>
      <c r="BU690" s="3" t="s">
        <v>1062</v>
      </c>
      <c r="BV690" s="3" t="s">
        <v>105</v>
      </c>
      <c r="BY690" s="3">
        <v>1200</v>
      </c>
      <c r="BZ690" s="3" t="s">
        <v>165</v>
      </c>
      <c r="CA690" s="3" t="s">
        <v>1011</v>
      </c>
      <c r="CC690" s="3" t="s">
        <v>110</v>
      </c>
      <c r="CD690" s="3">
        <v>7646</v>
      </c>
      <c r="CE690" s="3" t="s">
        <v>93</v>
      </c>
      <c r="CF690" s="4">
        <v>44578</v>
      </c>
      <c r="CI690" s="3">
        <v>1</v>
      </c>
      <c r="CJ690" s="3">
        <v>1</v>
      </c>
      <c r="CK690" s="3">
        <v>23</v>
      </c>
      <c r="CL690" s="3" t="s">
        <v>87</v>
      </c>
    </row>
    <row r="691" spans="1:90" x14ac:dyDescent="0.2">
      <c r="A691" s="3" t="s">
        <v>72</v>
      </c>
      <c r="B691" s="3" t="s">
        <v>73</v>
      </c>
      <c r="C691" s="3" t="s">
        <v>74</v>
      </c>
      <c r="E691" s="3" t="str">
        <f>"FES1162844989"</f>
        <v>FES1162844989</v>
      </c>
      <c r="F691" s="4">
        <v>44574</v>
      </c>
      <c r="G691" s="3">
        <v>202207</v>
      </c>
      <c r="H691" s="3" t="s">
        <v>75</v>
      </c>
      <c r="I691" s="3" t="s">
        <v>76</v>
      </c>
      <c r="J691" s="3" t="s">
        <v>77</v>
      </c>
      <c r="K691" s="3" t="s">
        <v>78</v>
      </c>
      <c r="L691" s="3" t="s">
        <v>110</v>
      </c>
      <c r="M691" s="3" t="s">
        <v>110</v>
      </c>
      <c r="N691" s="3" t="s">
        <v>146</v>
      </c>
      <c r="O691" s="3" t="s">
        <v>82</v>
      </c>
      <c r="P691" s="3" t="str">
        <f>"2170816187                    "</f>
        <v xml:space="preserve">2170816187                    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70.52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3">
        <v>1</v>
      </c>
      <c r="BI691" s="3">
        <v>5</v>
      </c>
      <c r="BJ691" s="3">
        <v>1.3</v>
      </c>
      <c r="BK691" s="3">
        <v>5</v>
      </c>
      <c r="BL691" s="3">
        <v>269.18</v>
      </c>
      <c r="BM691" s="3">
        <v>40.380000000000003</v>
      </c>
      <c r="BN691" s="3">
        <v>309.56</v>
      </c>
      <c r="BO691" s="3">
        <v>309.56</v>
      </c>
      <c r="BQ691" s="3" t="s">
        <v>89</v>
      </c>
      <c r="BR691" s="3" t="s">
        <v>84</v>
      </c>
      <c r="BS691" s="4">
        <v>44575</v>
      </c>
      <c r="BT691" s="5">
        <v>0.52569444444444446</v>
      </c>
      <c r="BU691" s="3" t="s">
        <v>1010</v>
      </c>
      <c r="BV691" s="3" t="s">
        <v>105</v>
      </c>
      <c r="BY691" s="3">
        <v>6720</v>
      </c>
      <c r="BZ691" s="3" t="s">
        <v>165</v>
      </c>
      <c r="CA691" s="3" t="s">
        <v>1011</v>
      </c>
      <c r="CC691" s="3" t="s">
        <v>110</v>
      </c>
      <c r="CD691" s="3">
        <v>7646</v>
      </c>
      <c r="CE691" s="3" t="s">
        <v>86</v>
      </c>
      <c r="CF691" s="4">
        <v>44578</v>
      </c>
      <c r="CI691" s="3">
        <v>1</v>
      </c>
      <c r="CJ691" s="3">
        <v>1</v>
      </c>
      <c r="CK691" s="3">
        <v>23</v>
      </c>
      <c r="CL691" s="3" t="s">
        <v>87</v>
      </c>
    </row>
    <row r="692" spans="1:90" x14ac:dyDescent="0.2">
      <c r="A692" s="3" t="s">
        <v>72</v>
      </c>
      <c r="B692" s="3" t="s">
        <v>73</v>
      </c>
      <c r="C692" s="3" t="s">
        <v>74</v>
      </c>
      <c r="E692" s="3" t="str">
        <f>"FES1162844957"</f>
        <v>FES1162844957</v>
      </c>
      <c r="F692" s="4">
        <v>44574</v>
      </c>
      <c r="G692" s="3">
        <v>202207</v>
      </c>
      <c r="H692" s="3" t="s">
        <v>75</v>
      </c>
      <c r="I692" s="3" t="s">
        <v>76</v>
      </c>
      <c r="J692" s="3" t="s">
        <v>77</v>
      </c>
      <c r="K692" s="3" t="s">
        <v>78</v>
      </c>
      <c r="L692" s="3" t="s">
        <v>154</v>
      </c>
      <c r="M692" s="3" t="s">
        <v>155</v>
      </c>
      <c r="N692" s="3" t="s">
        <v>1063</v>
      </c>
      <c r="O692" s="3" t="s">
        <v>82</v>
      </c>
      <c r="P692" s="3" t="str">
        <f>"2170813689                    "</f>
        <v xml:space="preserve">2170813689                    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12.07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1</v>
      </c>
      <c r="BI692" s="3">
        <v>3</v>
      </c>
      <c r="BJ692" s="3">
        <v>1.7</v>
      </c>
      <c r="BK692" s="3">
        <v>3</v>
      </c>
      <c r="BL692" s="3">
        <v>46.08</v>
      </c>
      <c r="BM692" s="3">
        <v>6.91</v>
      </c>
      <c r="BN692" s="3">
        <v>52.99</v>
      </c>
      <c r="BO692" s="3">
        <v>52.99</v>
      </c>
      <c r="BR692" s="3" t="s">
        <v>84</v>
      </c>
      <c r="BS692" s="4">
        <v>44575</v>
      </c>
      <c r="BT692" s="5">
        <v>0.37222222222222223</v>
      </c>
      <c r="BU692" s="3" t="s">
        <v>1064</v>
      </c>
      <c r="BV692" s="3" t="s">
        <v>105</v>
      </c>
      <c r="BY692" s="3">
        <v>8550</v>
      </c>
      <c r="BZ692" s="3" t="s">
        <v>165</v>
      </c>
      <c r="CA692" s="3" t="s">
        <v>1065</v>
      </c>
      <c r="CC692" s="3" t="s">
        <v>155</v>
      </c>
      <c r="CD692" s="3">
        <v>1682</v>
      </c>
      <c r="CE692" s="3" t="s">
        <v>86</v>
      </c>
      <c r="CF692" s="4">
        <v>44576</v>
      </c>
      <c r="CI692" s="3">
        <v>1</v>
      </c>
      <c r="CJ692" s="3">
        <v>1</v>
      </c>
      <c r="CK692" s="3">
        <v>22</v>
      </c>
      <c r="CL692" s="3" t="s">
        <v>87</v>
      </c>
    </row>
    <row r="693" spans="1:90" x14ac:dyDescent="0.2">
      <c r="A693" s="3" t="s">
        <v>72</v>
      </c>
      <c r="B693" s="3" t="s">
        <v>73</v>
      </c>
      <c r="C693" s="3" t="s">
        <v>74</v>
      </c>
      <c r="E693" s="3" t="str">
        <f>"FES1162844976"</f>
        <v>FES1162844976</v>
      </c>
      <c r="F693" s="4">
        <v>44574</v>
      </c>
      <c r="G693" s="3">
        <v>202207</v>
      </c>
      <c r="H693" s="3" t="s">
        <v>75</v>
      </c>
      <c r="I693" s="3" t="s">
        <v>76</v>
      </c>
      <c r="J693" s="3" t="s">
        <v>77</v>
      </c>
      <c r="K693" s="3" t="s">
        <v>78</v>
      </c>
      <c r="L693" s="3" t="s">
        <v>162</v>
      </c>
      <c r="M693" s="3" t="s">
        <v>163</v>
      </c>
      <c r="N693" s="3" t="s">
        <v>164</v>
      </c>
      <c r="O693" s="3" t="s">
        <v>82</v>
      </c>
      <c r="P693" s="3" t="str">
        <f>"2170816530                    "</f>
        <v xml:space="preserve">2170816530                    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12.07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3">
        <v>1</v>
      </c>
      <c r="BI693" s="3">
        <v>1</v>
      </c>
      <c r="BJ693" s="3">
        <v>0.2</v>
      </c>
      <c r="BK693" s="3">
        <v>1</v>
      </c>
      <c r="BL693" s="3">
        <v>46.08</v>
      </c>
      <c r="BM693" s="3">
        <v>6.91</v>
      </c>
      <c r="BN693" s="3">
        <v>52.99</v>
      </c>
      <c r="BO693" s="3">
        <v>52.99</v>
      </c>
      <c r="BQ693" s="3" t="s">
        <v>89</v>
      </c>
      <c r="BR693" s="3" t="s">
        <v>84</v>
      </c>
      <c r="BS693" s="4">
        <v>44575</v>
      </c>
      <c r="BT693" s="5">
        <v>0.38055555555555554</v>
      </c>
      <c r="BU693" s="3" t="s">
        <v>1066</v>
      </c>
      <c r="BV693" s="3" t="s">
        <v>105</v>
      </c>
      <c r="BY693" s="3">
        <v>1200</v>
      </c>
      <c r="BZ693" s="3" t="s">
        <v>165</v>
      </c>
      <c r="CA693" s="3" t="s">
        <v>591</v>
      </c>
      <c r="CC693" s="3" t="s">
        <v>163</v>
      </c>
      <c r="CD693" s="3">
        <v>1428</v>
      </c>
      <c r="CE693" s="3" t="s">
        <v>93</v>
      </c>
      <c r="CF693" s="4">
        <v>44575</v>
      </c>
      <c r="CI693" s="3">
        <v>1</v>
      </c>
      <c r="CJ693" s="3">
        <v>1</v>
      </c>
      <c r="CK693" s="3">
        <v>22</v>
      </c>
      <c r="CL693" s="3" t="s">
        <v>87</v>
      </c>
    </row>
    <row r="694" spans="1:90" x14ac:dyDescent="0.2">
      <c r="A694" s="3" t="s">
        <v>72</v>
      </c>
      <c r="B694" s="3" t="s">
        <v>73</v>
      </c>
      <c r="C694" s="3" t="s">
        <v>74</v>
      </c>
      <c r="E694" s="3" t="str">
        <f>"FES1162845091"</f>
        <v>FES1162845091</v>
      </c>
      <c r="F694" s="4">
        <v>44574</v>
      </c>
      <c r="G694" s="3">
        <v>202207</v>
      </c>
      <c r="H694" s="3" t="s">
        <v>75</v>
      </c>
      <c r="I694" s="3" t="s">
        <v>76</v>
      </c>
      <c r="J694" s="3" t="s">
        <v>77</v>
      </c>
      <c r="K694" s="3" t="s">
        <v>78</v>
      </c>
      <c r="L694" s="3" t="s">
        <v>90</v>
      </c>
      <c r="M694" s="3" t="s">
        <v>91</v>
      </c>
      <c r="N694" s="3" t="s">
        <v>584</v>
      </c>
      <c r="O694" s="3" t="s">
        <v>82</v>
      </c>
      <c r="P694" s="3" t="str">
        <f>"2170816661                    "</f>
        <v xml:space="preserve">2170816661                    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61.81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3">
        <v>1</v>
      </c>
      <c r="BI694" s="3">
        <v>8</v>
      </c>
      <c r="BJ694" s="3">
        <v>3.5</v>
      </c>
      <c r="BK694" s="3">
        <v>8</v>
      </c>
      <c r="BL694" s="3">
        <v>235.91</v>
      </c>
      <c r="BM694" s="3">
        <v>35.39</v>
      </c>
      <c r="BN694" s="3">
        <v>271.3</v>
      </c>
      <c r="BO694" s="3">
        <v>271.3</v>
      </c>
      <c r="BQ694" s="3" t="s">
        <v>83</v>
      </c>
      <c r="BR694" s="3" t="s">
        <v>84</v>
      </c>
      <c r="BS694" s="4">
        <v>44575</v>
      </c>
      <c r="BT694" s="5">
        <v>0.3520833333333333</v>
      </c>
      <c r="BU694" s="3" t="s">
        <v>1067</v>
      </c>
      <c r="BV694" s="3" t="s">
        <v>105</v>
      </c>
      <c r="BY694" s="3">
        <v>17710</v>
      </c>
      <c r="BZ694" s="3" t="s">
        <v>165</v>
      </c>
      <c r="CA694" s="3" t="s">
        <v>543</v>
      </c>
      <c r="CC694" s="3" t="s">
        <v>91</v>
      </c>
      <c r="CD694" s="3">
        <v>7530</v>
      </c>
      <c r="CE694" s="3" t="s">
        <v>86</v>
      </c>
      <c r="CF694" s="4">
        <v>44578</v>
      </c>
      <c r="CI694" s="3">
        <v>1</v>
      </c>
      <c r="CJ694" s="3">
        <v>1</v>
      </c>
      <c r="CK694" s="3">
        <v>21</v>
      </c>
      <c r="CL694" s="3" t="s">
        <v>87</v>
      </c>
    </row>
    <row r="695" spans="1:90" x14ac:dyDescent="0.2">
      <c r="A695" s="3" t="s">
        <v>72</v>
      </c>
      <c r="B695" s="3" t="s">
        <v>73</v>
      </c>
      <c r="C695" s="3" t="s">
        <v>74</v>
      </c>
      <c r="E695" s="3" t="str">
        <f>"FES1162844855"</f>
        <v>FES1162844855</v>
      </c>
      <c r="F695" s="4">
        <v>44574</v>
      </c>
      <c r="G695" s="3">
        <v>202207</v>
      </c>
      <c r="H695" s="3" t="s">
        <v>75</v>
      </c>
      <c r="I695" s="3" t="s">
        <v>76</v>
      </c>
      <c r="J695" s="3" t="s">
        <v>77</v>
      </c>
      <c r="K695" s="3" t="s">
        <v>78</v>
      </c>
      <c r="L695" s="3" t="s">
        <v>187</v>
      </c>
      <c r="M695" s="3" t="s">
        <v>188</v>
      </c>
      <c r="N695" s="3" t="s">
        <v>189</v>
      </c>
      <c r="O695" s="3" t="s">
        <v>82</v>
      </c>
      <c r="P695" s="3" t="str">
        <f>"2170816427                    "</f>
        <v xml:space="preserve">2170816427                    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29.95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0</v>
      </c>
      <c r="AZ695" s="3">
        <v>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1</v>
      </c>
      <c r="BI695" s="3">
        <v>1</v>
      </c>
      <c r="BJ695" s="3">
        <v>0.2</v>
      </c>
      <c r="BK695" s="3">
        <v>1</v>
      </c>
      <c r="BL695" s="3">
        <v>114.31</v>
      </c>
      <c r="BM695" s="3">
        <v>17.149999999999999</v>
      </c>
      <c r="BN695" s="3">
        <v>131.46</v>
      </c>
      <c r="BO695" s="3">
        <v>131.46</v>
      </c>
      <c r="BQ695" s="3" t="s">
        <v>83</v>
      </c>
      <c r="BR695" s="3" t="s">
        <v>84</v>
      </c>
      <c r="BS695" s="4">
        <v>44575</v>
      </c>
      <c r="BT695" s="5">
        <v>0.55347222222222225</v>
      </c>
      <c r="BU695" s="3" t="s">
        <v>267</v>
      </c>
      <c r="BV695" s="3" t="s">
        <v>87</v>
      </c>
      <c r="BW695" s="3" t="s">
        <v>353</v>
      </c>
      <c r="BX695" s="3" t="s">
        <v>602</v>
      </c>
      <c r="BY695" s="3">
        <v>1200</v>
      </c>
      <c r="BZ695" s="3" t="s">
        <v>165</v>
      </c>
      <c r="CA695" s="3" t="s">
        <v>268</v>
      </c>
      <c r="CC695" s="3" t="s">
        <v>188</v>
      </c>
      <c r="CD695" s="3">
        <v>7300</v>
      </c>
      <c r="CE695" s="3" t="s">
        <v>93</v>
      </c>
      <c r="CF695" s="4">
        <v>44578</v>
      </c>
      <c r="CI695" s="3">
        <v>1</v>
      </c>
      <c r="CJ695" s="3">
        <v>1</v>
      </c>
      <c r="CK695" s="3">
        <v>23</v>
      </c>
      <c r="CL695" s="3" t="s">
        <v>87</v>
      </c>
    </row>
    <row r="696" spans="1:90" x14ac:dyDescent="0.2">
      <c r="A696" s="3" t="s">
        <v>72</v>
      </c>
      <c r="B696" s="3" t="s">
        <v>73</v>
      </c>
      <c r="C696" s="3" t="s">
        <v>74</v>
      </c>
      <c r="E696" s="3" t="str">
        <f>"FES1162844933"</f>
        <v>FES1162844933</v>
      </c>
      <c r="F696" s="4">
        <v>44574</v>
      </c>
      <c r="G696" s="3">
        <v>202207</v>
      </c>
      <c r="H696" s="3" t="s">
        <v>75</v>
      </c>
      <c r="I696" s="3" t="s">
        <v>76</v>
      </c>
      <c r="J696" s="3" t="s">
        <v>77</v>
      </c>
      <c r="K696" s="3" t="s">
        <v>78</v>
      </c>
      <c r="L696" s="3" t="s">
        <v>97</v>
      </c>
      <c r="M696" s="3" t="s">
        <v>98</v>
      </c>
      <c r="N696" s="3" t="s">
        <v>1068</v>
      </c>
      <c r="O696" s="3" t="s">
        <v>82</v>
      </c>
      <c r="P696" s="3" t="str">
        <f>"2170816501                    "</f>
        <v xml:space="preserve">2170816501                    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12.07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3">
        <v>1</v>
      </c>
      <c r="BI696" s="3">
        <v>1</v>
      </c>
      <c r="BJ696" s="3">
        <v>0.2</v>
      </c>
      <c r="BK696" s="3">
        <v>1</v>
      </c>
      <c r="BL696" s="3">
        <v>46.08</v>
      </c>
      <c r="BM696" s="3">
        <v>6.91</v>
      </c>
      <c r="BN696" s="3">
        <v>52.99</v>
      </c>
      <c r="BO696" s="3">
        <v>52.99</v>
      </c>
      <c r="BR696" s="3" t="s">
        <v>84</v>
      </c>
      <c r="BS696" s="4">
        <v>44575</v>
      </c>
      <c r="BT696" s="5">
        <v>0.34861111111111115</v>
      </c>
      <c r="BU696" s="3" t="s">
        <v>1069</v>
      </c>
      <c r="BV696" s="3" t="s">
        <v>105</v>
      </c>
      <c r="BY696" s="3">
        <v>1200</v>
      </c>
      <c r="BZ696" s="3" t="s">
        <v>165</v>
      </c>
      <c r="CA696" s="3" t="s">
        <v>297</v>
      </c>
      <c r="CC696" s="3" t="s">
        <v>98</v>
      </c>
      <c r="CD696" s="3">
        <v>2013</v>
      </c>
      <c r="CE696" s="3" t="s">
        <v>93</v>
      </c>
      <c r="CF696" s="4">
        <v>44576</v>
      </c>
      <c r="CI696" s="3">
        <v>1</v>
      </c>
      <c r="CJ696" s="3">
        <v>1</v>
      </c>
      <c r="CK696" s="3">
        <v>22</v>
      </c>
      <c r="CL696" s="3" t="s">
        <v>87</v>
      </c>
    </row>
    <row r="697" spans="1:90" x14ac:dyDescent="0.2">
      <c r="A697" s="3" t="s">
        <v>72</v>
      </c>
      <c r="B697" s="3" t="s">
        <v>73</v>
      </c>
      <c r="C697" s="3" t="s">
        <v>74</v>
      </c>
      <c r="E697" s="3" t="str">
        <f>"FES1162845031"</f>
        <v>FES1162845031</v>
      </c>
      <c r="F697" s="4">
        <v>44574</v>
      </c>
      <c r="G697" s="3">
        <v>202207</v>
      </c>
      <c r="H697" s="3" t="s">
        <v>75</v>
      </c>
      <c r="I697" s="3" t="s">
        <v>76</v>
      </c>
      <c r="J697" s="3" t="s">
        <v>77</v>
      </c>
      <c r="K697" s="3" t="s">
        <v>78</v>
      </c>
      <c r="L697" s="3" t="s">
        <v>79</v>
      </c>
      <c r="M697" s="3" t="s">
        <v>80</v>
      </c>
      <c r="N697" s="3" t="s">
        <v>248</v>
      </c>
      <c r="O697" s="3" t="s">
        <v>148</v>
      </c>
      <c r="P697" s="3" t="str">
        <f>"2170811990                    "</f>
        <v xml:space="preserve">2170811990                    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0</v>
      </c>
      <c r="AJ697" s="3">
        <v>0</v>
      </c>
      <c r="AK697" s="3">
        <v>31.12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0</v>
      </c>
      <c r="AZ697" s="3">
        <v>0</v>
      </c>
      <c r="BA697" s="3">
        <v>0</v>
      </c>
      <c r="BB697" s="3">
        <v>0</v>
      </c>
      <c r="BC697" s="3">
        <v>0</v>
      </c>
      <c r="BD697" s="3">
        <v>0</v>
      </c>
      <c r="BE697" s="3">
        <v>0</v>
      </c>
      <c r="BF697" s="3">
        <v>0</v>
      </c>
      <c r="BG697" s="3">
        <v>0</v>
      </c>
      <c r="BH697" s="3">
        <v>1</v>
      </c>
      <c r="BI697" s="3">
        <v>16</v>
      </c>
      <c r="BJ697" s="3">
        <v>9.4</v>
      </c>
      <c r="BK697" s="3">
        <v>16</v>
      </c>
      <c r="BL697" s="3">
        <v>124.04</v>
      </c>
      <c r="BM697" s="3">
        <v>18.61</v>
      </c>
      <c r="BN697" s="3">
        <v>142.65</v>
      </c>
      <c r="BO697" s="3">
        <v>142.65</v>
      </c>
      <c r="BQ697" s="3" t="s">
        <v>83</v>
      </c>
      <c r="BR697" s="3" t="s">
        <v>84</v>
      </c>
      <c r="BS697" s="4">
        <v>44578</v>
      </c>
      <c r="BT697" s="5">
        <v>0.38819444444444445</v>
      </c>
      <c r="BU697" s="3" t="s">
        <v>1008</v>
      </c>
      <c r="BV697" s="3" t="s">
        <v>87</v>
      </c>
      <c r="BY697" s="3">
        <v>46800</v>
      </c>
      <c r="BZ697" s="3" t="s">
        <v>327</v>
      </c>
      <c r="CA697" s="3" t="s">
        <v>362</v>
      </c>
      <c r="CC697" s="3" t="s">
        <v>80</v>
      </c>
      <c r="CD697" s="3">
        <v>1</v>
      </c>
      <c r="CE697" s="3" t="s">
        <v>86</v>
      </c>
      <c r="CF697" s="4">
        <v>44578</v>
      </c>
      <c r="CI697" s="3">
        <v>1</v>
      </c>
      <c r="CJ697" s="3">
        <v>2</v>
      </c>
      <c r="CK697" s="3">
        <v>41</v>
      </c>
      <c r="CL697" s="3" t="s">
        <v>87</v>
      </c>
    </row>
    <row r="698" spans="1:90" x14ac:dyDescent="0.2">
      <c r="A698" s="3" t="s">
        <v>72</v>
      </c>
      <c r="B698" s="3" t="s">
        <v>73</v>
      </c>
      <c r="C698" s="3" t="s">
        <v>74</v>
      </c>
      <c r="E698" s="3" t="str">
        <f>"FES1162845054"</f>
        <v>FES1162845054</v>
      </c>
      <c r="F698" s="4">
        <v>44574</v>
      </c>
      <c r="G698" s="3">
        <v>202207</v>
      </c>
      <c r="H698" s="3" t="s">
        <v>75</v>
      </c>
      <c r="I698" s="3" t="s">
        <v>76</v>
      </c>
      <c r="J698" s="3" t="s">
        <v>77</v>
      </c>
      <c r="K698" s="3" t="s">
        <v>78</v>
      </c>
      <c r="L698" s="3" t="s">
        <v>101</v>
      </c>
      <c r="M698" s="3" t="s">
        <v>102</v>
      </c>
      <c r="N698" s="3" t="s">
        <v>170</v>
      </c>
      <c r="O698" s="3" t="s">
        <v>82</v>
      </c>
      <c r="P698" s="3" t="str">
        <f>"2170816624                    "</f>
        <v xml:space="preserve">2170816624                    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34.770000000000003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1</v>
      </c>
      <c r="BI698" s="3">
        <v>3</v>
      </c>
      <c r="BJ698" s="3">
        <v>4.0999999999999996</v>
      </c>
      <c r="BK698" s="3">
        <v>4.5</v>
      </c>
      <c r="BL698" s="3">
        <v>132.71</v>
      </c>
      <c r="BM698" s="3">
        <v>19.91</v>
      </c>
      <c r="BN698" s="3">
        <v>152.62</v>
      </c>
      <c r="BO698" s="3">
        <v>152.62</v>
      </c>
      <c r="BQ698" s="3" t="s">
        <v>89</v>
      </c>
      <c r="BR698" s="3" t="s">
        <v>84</v>
      </c>
      <c r="BS698" s="4">
        <v>44575</v>
      </c>
      <c r="BT698" s="5">
        <v>0.41736111111111113</v>
      </c>
      <c r="BU698" s="3" t="s">
        <v>369</v>
      </c>
      <c r="BV698" s="3" t="s">
        <v>105</v>
      </c>
      <c r="BY698" s="3">
        <v>20358</v>
      </c>
      <c r="BZ698" s="3" t="s">
        <v>165</v>
      </c>
      <c r="CA698" s="3" t="s">
        <v>280</v>
      </c>
      <c r="CC698" s="3" t="s">
        <v>102</v>
      </c>
      <c r="CD698" s="3">
        <v>4001</v>
      </c>
      <c r="CE698" s="3" t="s">
        <v>86</v>
      </c>
      <c r="CF698" s="4">
        <v>44578</v>
      </c>
      <c r="CI698" s="3">
        <v>1</v>
      </c>
      <c r="CJ698" s="3">
        <v>1</v>
      </c>
      <c r="CK698" s="3">
        <v>21</v>
      </c>
      <c r="CL698" s="3" t="s">
        <v>87</v>
      </c>
    </row>
    <row r="699" spans="1:90" x14ac:dyDescent="0.2">
      <c r="A699" s="3" t="s">
        <v>72</v>
      </c>
      <c r="B699" s="3" t="s">
        <v>73</v>
      </c>
      <c r="C699" s="3" t="s">
        <v>74</v>
      </c>
      <c r="E699" s="3" t="str">
        <f>"FES1162844986"</f>
        <v>FES1162844986</v>
      </c>
      <c r="F699" s="4">
        <v>44574</v>
      </c>
      <c r="G699" s="3">
        <v>202207</v>
      </c>
      <c r="H699" s="3" t="s">
        <v>75</v>
      </c>
      <c r="I699" s="3" t="s">
        <v>76</v>
      </c>
      <c r="J699" s="3" t="s">
        <v>77</v>
      </c>
      <c r="K699" s="3" t="s">
        <v>78</v>
      </c>
      <c r="L699" s="3" t="s">
        <v>142</v>
      </c>
      <c r="M699" s="3" t="s">
        <v>143</v>
      </c>
      <c r="N699" s="3" t="s">
        <v>175</v>
      </c>
      <c r="O699" s="3" t="s">
        <v>82</v>
      </c>
      <c r="P699" s="3" t="str">
        <f>"2170816541                    "</f>
        <v xml:space="preserve">2170816541                    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12.07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1</v>
      </c>
      <c r="BI699" s="3">
        <v>2</v>
      </c>
      <c r="BJ699" s="3">
        <v>1.3</v>
      </c>
      <c r="BK699" s="3">
        <v>2</v>
      </c>
      <c r="BL699" s="3">
        <v>46.08</v>
      </c>
      <c r="BM699" s="3">
        <v>6.91</v>
      </c>
      <c r="BN699" s="3">
        <v>52.99</v>
      </c>
      <c r="BO699" s="3">
        <v>52.99</v>
      </c>
      <c r="BQ699" s="3" t="s">
        <v>89</v>
      </c>
      <c r="BR699" s="3" t="s">
        <v>84</v>
      </c>
      <c r="BS699" s="4">
        <v>44575</v>
      </c>
      <c r="BT699" s="5">
        <v>0.39027777777777778</v>
      </c>
      <c r="BU699" s="3" t="s">
        <v>1070</v>
      </c>
      <c r="BV699" s="3" t="s">
        <v>105</v>
      </c>
      <c r="BY699" s="3">
        <v>6336</v>
      </c>
      <c r="BZ699" s="3" t="s">
        <v>165</v>
      </c>
      <c r="CA699" s="3" t="s">
        <v>471</v>
      </c>
      <c r="CC699" s="3" t="s">
        <v>143</v>
      </c>
      <c r="CD699" s="3">
        <v>1451</v>
      </c>
      <c r="CE699" s="3" t="s">
        <v>86</v>
      </c>
      <c r="CF699" s="4">
        <v>44575</v>
      </c>
      <c r="CI699" s="3">
        <v>1</v>
      </c>
      <c r="CJ699" s="3">
        <v>1</v>
      </c>
      <c r="CK699" s="3">
        <v>22</v>
      </c>
      <c r="CL699" s="3" t="s">
        <v>87</v>
      </c>
    </row>
    <row r="700" spans="1:90" x14ac:dyDescent="0.2">
      <c r="A700" s="3" t="s">
        <v>72</v>
      </c>
      <c r="B700" s="3" t="s">
        <v>73</v>
      </c>
      <c r="C700" s="3" t="s">
        <v>74</v>
      </c>
      <c r="E700" s="3" t="str">
        <f>"FES1162844895"</f>
        <v>FES1162844895</v>
      </c>
      <c r="F700" s="4">
        <v>44574</v>
      </c>
      <c r="G700" s="3">
        <v>202207</v>
      </c>
      <c r="H700" s="3" t="s">
        <v>75</v>
      </c>
      <c r="I700" s="3" t="s">
        <v>76</v>
      </c>
      <c r="J700" s="3" t="s">
        <v>77</v>
      </c>
      <c r="K700" s="3" t="s">
        <v>78</v>
      </c>
      <c r="L700" s="3" t="s">
        <v>101</v>
      </c>
      <c r="M700" s="3" t="s">
        <v>102</v>
      </c>
      <c r="N700" s="3" t="s">
        <v>1071</v>
      </c>
      <c r="O700" s="3" t="s">
        <v>82</v>
      </c>
      <c r="P700" s="3" t="str">
        <f>"2170816466                    "</f>
        <v xml:space="preserve">2170816466                    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23.18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1</v>
      </c>
      <c r="BI700" s="3">
        <v>2</v>
      </c>
      <c r="BJ700" s="3">
        <v>2.6</v>
      </c>
      <c r="BK700" s="3">
        <v>3</v>
      </c>
      <c r="BL700" s="3">
        <v>88.48</v>
      </c>
      <c r="BM700" s="3">
        <v>13.27</v>
      </c>
      <c r="BN700" s="3">
        <v>101.75</v>
      </c>
      <c r="BO700" s="3">
        <v>101.75</v>
      </c>
      <c r="BQ700" s="3" t="s">
        <v>83</v>
      </c>
      <c r="BR700" s="3" t="s">
        <v>84</v>
      </c>
      <c r="BS700" s="4">
        <v>44575</v>
      </c>
      <c r="BT700" s="5">
        <v>0.43333333333333335</v>
      </c>
      <c r="BU700" s="3" t="s">
        <v>1072</v>
      </c>
      <c r="BV700" s="3" t="s">
        <v>105</v>
      </c>
      <c r="BY700" s="3">
        <v>13068</v>
      </c>
      <c r="BZ700" s="3" t="s">
        <v>165</v>
      </c>
      <c r="CA700" s="3" t="s">
        <v>303</v>
      </c>
      <c r="CC700" s="3" t="s">
        <v>102</v>
      </c>
      <c r="CD700" s="3">
        <v>4072</v>
      </c>
      <c r="CE700" s="3" t="s">
        <v>86</v>
      </c>
      <c r="CF700" s="4">
        <v>44578</v>
      </c>
      <c r="CI700" s="3">
        <v>1</v>
      </c>
      <c r="CJ700" s="3">
        <v>1</v>
      </c>
      <c r="CK700" s="3">
        <v>21</v>
      </c>
      <c r="CL700" s="3" t="s">
        <v>87</v>
      </c>
    </row>
    <row r="701" spans="1:90" x14ac:dyDescent="0.2">
      <c r="A701" s="3" t="s">
        <v>72</v>
      </c>
      <c r="B701" s="3" t="s">
        <v>73</v>
      </c>
      <c r="C701" s="3" t="s">
        <v>74</v>
      </c>
      <c r="E701" s="3" t="str">
        <f>"FES1162844948"</f>
        <v>FES1162844948</v>
      </c>
      <c r="F701" s="4">
        <v>44574</v>
      </c>
      <c r="G701" s="3">
        <v>202207</v>
      </c>
      <c r="H701" s="3" t="s">
        <v>75</v>
      </c>
      <c r="I701" s="3" t="s">
        <v>76</v>
      </c>
      <c r="J701" s="3" t="s">
        <v>77</v>
      </c>
      <c r="K701" s="3" t="s">
        <v>78</v>
      </c>
      <c r="L701" s="3" t="s">
        <v>138</v>
      </c>
      <c r="M701" s="3" t="s">
        <v>139</v>
      </c>
      <c r="N701" s="3" t="s">
        <v>1073</v>
      </c>
      <c r="O701" s="3" t="s">
        <v>82</v>
      </c>
      <c r="P701" s="3" t="str">
        <f>"2170816150                    "</f>
        <v xml:space="preserve">2170816150                    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15.46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1</v>
      </c>
      <c r="BI701" s="3">
        <v>1</v>
      </c>
      <c r="BJ701" s="3">
        <v>0.9</v>
      </c>
      <c r="BK701" s="3">
        <v>1</v>
      </c>
      <c r="BL701" s="3">
        <v>59</v>
      </c>
      <c r="BM701" s="3">
        <v>8.85</v>
      </c>
      <c r="BN701" s="3">
        <v>67.849999999999994</v>
      </c>
      <c r="BO701" s="3">
        <v>67.849999999999994</v>
      </c>
      <c r="BQ701" s="3" t="s">
        <v>89</v>
      </c>
      <c r="BR701" s="3" t="s">
        <v>84</v>
      </c>
      <c r="BS701" s="4">
        <v>44575</v>
      </c>
      <c r="BT701" s="5">
        <v>0.44444444444444442</v>
      </c>
      <c r="BU701" s="3" t="s">
        <v>1074</v>
      </c>
      <c r="BV701" s="3" t="s">
        <v>87</v>
      </c>
      <c r="BW701" s="3" t="s">
        <v>278</v>
      </c>
      <c r="BX701" s="3" t="s">
        <v>279</v>
      </c>
      <c r="BY701" s="3">
        <v>4560</v>
      </c>
      <c r="BZ701" s="3" t="s">
        <v>165</v>
      </c>
      <c r="CA701" s="3" t="s">
        <v>303</v>
      </c>
      <c r="CC701" s="3" t="s">
        <v>139</v>
      </c>
      <c r="CD701" s="3">
        <v>3620</v>
      </c>
      <c r="CE701" s="3" t="s">
        <v>86</v>
      </c>
      <c r="CF701" s="4">
        <v>44578</v>
      </c>
      <c r="CI701" s="3">
        <v>1</v>
      </c>
      <c r="CJ701" s="3">
        <v>1</v>
      </c>
      <c r="CK701" s="3">
        <v>21</v>
      </c>
      <c r="CL701" s="3" t="s">
        <v>87</v>
      </c>
    </row>
    <row r="702" spans="1:90" x14ac:dyDescent="0.2">
      <c r="A702" s="3" t="s">
        <v>72</v>
      </c>
      <c r="B702" s="3" t="s">
        <v>73</v>
      </c>
      <c r="C702" s="3" t="s">
        <v>74</v>
      </c>
      <c r="E702" s="3" t="str">
        <f>"FES1162843252"</f>
        <v>FES1162843252</v>
      </c>
      <c r="F702" s="4">
        <v>44564</v>
      </c>
      <c r="G702" s="3">
        <v>202207</v>
      </c>
      <c r="H702" s="3" t="s">
        <v>75</v>
      </c>
      <c r="I702" s="3" t="s">
        <v>76</v>
      </c>
      <c r="J702" s="3" t="s">
        <v>966</v>
      </c>
      <c r="K702" s="3" t="s">
        <v>78</v>
      </c>
      <c r="L702" s="3" t="s">
        <v>101</v>
      </c>
      <c r="M702" s="3" t="s">
        <v>102</v>
      </c>
      <c r="N702" s="3" t="s">
        <v>170</v>
      </c>
      <c r="O702" s="3" t="s">
        <v>82</v>
      </c>
      <c r="P702" s="3" t="str">
        <f>"2170815488                    "</f>
        <v xml:space="preserve">2170815488                    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42.44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1</v>
      </c>
      <c r="BI702" s="3">
        <v>2</v>
      </c>
      <c r="BJ702" s="3">
        <v>4.9000000000000004</v>
      </c>
      <c r="BK702" s="3">
        <v>5</v>
      </c>
      <c r="BL702" s="3">
        <v>151.26</v>
      </c>
      <c r="BM702" s="3">
        <v>22.69</v>
      </c>
      <c r="BN702" s="3">
        <v>173.95</v>
      </c>
      <c r="BO702" s="3">
        <v>173.95</v>
      </c>
      <c r="BQ702" s="3" t="s">
        <v>83</v>
      </c>
      <c r="BR702" s="3" t="s">
        <v>308</v>
      </c>
      <c r="BS702" s="4">
        <v>44565</v>
      </c>
      <c r="BT702" s="5">
        <v>0.36874999999999997</v>
      </c>
      <c r="BU702" s="3" t="s">
        <v>1075</v>
      </c>
      <c r="BV702" s="3" t="s">
        <v>105</v>
      </c>
      <c r="BY702" s="3">
        <v>24576</v>
      </c>
      <c r="BZ702" s="3" t="s">
        <v>1076</v>
      </c>
      <c r="CA702" s="3" t="s">
        <v>615</v>
      </c>
      <c r="CC702" s="3" t="s">
        <v>102</v>
      </c>
      <c r="CD702" s="3">
        <v>4001</v>
      </c>
      <c r="CE702" s="3" t="s">
        <v>86</v>
      </c>
      <c r="CF702" s="4">
        <v>44565</v>
      </c>
      <c r="CI702" s="3">
        <v>1</v>
      </c>
      <c r="CJ702" s="3">
        <v>1</v>
      </c>
      <c r="CK702" s="3">
        <v>21</v>
      </c>
      <c r="CL702" s="3" t="s">
        <v>87</v>
      </c>
    </row>
    <row r="703" spans="1:90" x14ac:dyDescent="0.2">
      <c r="A703" s="3" t="s">
        <v>72</v>
      </c>
      <c r="B703" s="3" t="s">
        <v>73</v>
      </c>
      <c r="C703" s="3" t="s">
        <v>74</v>
      </c>
      <c r="E703" s="3" t="str">
        <f>"FES1162845098"</f>
        <v>FES1162845098</v>
      </c>
      <c r="F703" s="4">
        <v>44574</v>
      </c>
      <c r="G703" s="3">
        <v>202207</v>
      </c>
      <c r="H703" s="3" t="s">
        <v>75</v>
      </c>
      <c r="I703" s="3" t="s">
        <v>76</v>
      </c>
      <c r="J703" s="3" t="s">
        <v>77</v>
      </c>
      <c r="K703" s="3" t="s">
        <v>78</v>
      </c>
      <c r="L703" s="3" t="s">
        <v>162</v>
      </c>
      <c r="M703" s="3" t="s">
        <v>163</v>
      </c>
      <c r="N703" s="3" t="s">
        <v>1077</v>
      </c>
      <c r="O703" s="3" t="s">
        <v>82</v>
      </c>
      <c r="P703" s="3" t="str">
        <f>"2170816671                    "</f>
        <v xml:space="preserve">2170816671                    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12.07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1</v>
      </c>
      <c r="BI703" s="3">
        <v>1</v>
      </c>
      <c r="BJ703" s="3">
        <v>0.2</v>
      </c>
      <c r="BK703" s="3">
        <v>1</v>
      </c>
      <c r="BL703" s="3">
        <v>46.08</v>
      </c>
      <c r="BM703" s="3">
        <v>6.91</v>
      </c>
      <c r="BN703" s="3">
        <v>52.99</v>
      </c>
      <c r="BO703" s="3">
        <v>52.99</v>
      </c>
      <c r="BQ703" s="3" t="s">
        <v>1078</v>
      </c>
      <c r="BR703" s="3" t="s">
        <v>84</v>
      </c>
      <c r="BS703" s="4">
        <v>44575</v>
      </c>
      <c r="BT703" s="5">
        <v>0.41250000000000003</v>
      </c>
      <c r="BU703" s="3" t="s">
        <v>1079</v>
      </c>
      <c r="BV703" s="3" t="s">
        <v>105</v>
      </c>
      <c r="BY703" s="3">
        <v>1200</v>
      </c>
      <c r="BZ703" s="3" t="s">
        <v>165</v>
      </c>
      <c r="CA703" s="3" t="s">
        <v>1080</v>
      </c>
      <c r="CC703" s="3" t="s">
        <v>163</v>
      </c>
      <c r="CD703" s="3">
        <v>1401</v>
      </c>
      <c r="CE703" s="3" t="s">
        <v>93</v>
      </c>
      <c r="CF703" s="4">
        <v>44576</v>
      </c>
      <c r="CI703" s="3">
        <v>1</v>
      </c>
      <c r="CJ703" s="3">
        <v>1</v>
      </c>
      <c r="CK703" s="3">
        <v>22</v>
      </c>
      <c r="CL703" s="3" t="s">
        <v>87</v>
      </c>
    </row>
    <row r="704" spans="1:90" x14ac:dyDescent="0.2">
      <c r="A704" s="3" t="s">
        <v>72</v>
      </c>
      <c r="B704" s="3" t="s">
        <v>73</v>
      </c>
      <c r="C704" s="3" t="s">
        <v>74</v>
      </c>
      <c r="E704" s="3" t="str">
        <f>"FES1162845058"</f>
        <v>FES1162845058</v>
      </c>
      <c r="F704" s="4">
        <v>44574</v>
      </c>
      <c r="G704" s="3">
        <v>202207</v>
      </c>
      <c r="H704" s="3" t="s">
        <v>75</v>
      </c>
      <c r="I704" s="3" t="s">
        <v>76</v>
      </c>
      <c r="J704" s="3" t="s">
        <v>77</v>
      </c>
      <c r="K704" s="3" t="s">
        <v>78</v>
      </c>
      <c r="L704" s="3" t="s">
        <v>90</v>
      </c>
      <c r="M704" s="3" t="s">
        <v>91</v>
      </c>
      <c r="N704" s="3" t="s">
        <v>1081</v>
      </c>
      <c r="O704" s="3" t="s">
        <v>82</v>
      </c>
      <c r="P704" s="3" t="str">
        <f>"2170809137                    "</f>
        <v xml:space="preserve">2170809137                    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15.46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1</v>
      </c>
      <c r="BI704" s="3">
        <v>1</v>
      </c>
      <c r="BJ704" s="3">
        <v>0.9</v>
      </c>
      <c r="BK704" s="3">
        <v>1</v>
      </c>
      <c r="BL704" s="3">
        <v>59</v>
      </c>
      <c r="BM704" s="3">
        <v>8.85</v>
      </c>
      <c r="BN704" s="3">
        <v>67.849999999999994</v>
      </c>
      <c r="BO704" s="3">
        <v>67.849999999999994</v>
      </c>
      <c r="BQ704" s="3" t="s">
        <v>126</v>
      </c>
      <c r="BR704" s="3" t="s">
        <v>84</v>
      </c>
      <c r="BS704" s="4">
        <v>44575</v>
      </c>
      <c r="BT704" s="5">
        <v>0.3444444444444445</v>
      </c>
      <c r="BU704" s="3" t="s">
        <v>1082</v>
      </c>
      <c r="BV704" s="3" t="s">
        <v>105</v>
      </c>
      <c r="BY704" s="3">
        <v>4590</v>
      </c>
      <c r="BZ704" s="3" t="s">
        <v>165</v>
      </c>
      <c r="CA704" s="3" t="s">
        <v>543</v>
      </c>
      <c r="CC704" s="3" t="s">
        <v>91</v>
      </c>
      <c r="CD704" s="3">
        <v>7530</v>
      </c>
      <c r="CE704" s="3" t="s">
        <v>86</v>
      </c>
      <c r="CF704" s="4">
        <v>44578</v>
      </c>
      <c r="CI704" s="3">
        <v>1</v>
      </c>
      <c r="CJ704" s="3">
        <v>1</v>
      </c>
      <c r="CK704" s="3">
        <v>21</v>
      </c>
      <c r="CL704" s="3" t="s">
        <v>87</v>
      </c>
    </row>
    <row r="705" spans="1:90" x14ac:dyDescent="0.2">
      <c r="A705" s="3" t="s">
        <v>72</v>
      </c>
      <c r="B705" s="3" t="s">
        <v>73</v>
      </c>
      <c r="C705" s="3" t="s">
        <v>74</v>
      </c>
      <c r="E705" s="3" t="str">
        <f>"FES1162845089"</f>
        <v>FES1162845089</v>
      </c>
      <c r="F705" s="4">
        <v>44574</v>
      </c>
      <c r="G705" s="3">
        <v>202207</v>
      </c>
      <c r="H705" s="3" t="s">
        <v>75</v>
      </c>
      <c r="I705" s="3" t="s">
        <v>76</v>
      </c>
      <c r="J705" s="3" t="s">
        <v>77</v>
      </c>
      <c r="K705" s="3" t="s">
        <v>78</v>
      </c>
      <c r="L705" s="3" t="s">
        <v>171</v>
      </c>
      <c r="M705" s="3" t="s">
        <v>172</v>
      </c>
      <c r="N705" s="3" t="s">
        <v>174</v>
      </c>
      <c r="O705" s="3" t="s">
        <v>82</v>
      </c>
      <c r="P705" s="3" t="str">
        <f>"2170816658                    "</f>
        <v xml:space="preserve">2170816658                    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15.46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1</v>
      </c>
      <c r="BI705" s="3">
        <v>1</v>
      </c>
      <c r="BJ705" s="3">
        <v>0.2</v>
      </c>
      <c r="BK705" s="3">
        <v>1</v>
      </c>
      <c r="BL705" s="3">
        <v>59</v>
      </c>
      <c r="BM705" s="3">
        <v>8.85</v>
      </c>
      <c r="BN705" s="3">
        <v>67.849999999999994</v>
      </c>
      <c r="BO705" s="3">
        <v>67.849999999999994</v>
      </c>
      <c r="BQ705" s="3" t="s">
        <v>83</v>
      </c>
      <c r="BR705" s="3" t="s">
        <v>84</v>
      </c>
      <c r="BS705" s="4">
        <v>44575</v>
      </c>
      <c r="BT705" s="5">
        <v>0.39374999999999999</v>
      </c>
      <c r="BU705" s="3" t="s">
        <v>1083</v>
      </c>
      <c r="BV705" s="3" t="s">
        <v>105</v>
      </c>
      <c r="BY705" s="3">
        <v>1200</v>
      </c>
      <c r="BZ705" s="3" t="s">
        <v>165</v>
      </c>
      <c r="CA705" s="3" t="s">
        <v>263</v>
      </c>
      <c r="CC705" s="3" t="s">
        <v>172</v>
      </c>
      <c r="CD705" s="3">
        <v>6001</v>
      </c>
      <c r="CE705" s="3" t="s">
        <v>93</v>
      </c>
      <c r="CF705" s="4">
        <v>44575</v>
      </c>
      <c r="CI705" s="3">
        <v>1</v>
      </c>
      <c r="CJ705" s="3">
        <v>1</v>
      </c>
      <c r="CK705" s="3">
        <v>21</v>
      </c>
      <c r="CL705" s="3" t="s">
        <v>87</v>
      </c>
    </row>
    <row r="706" spans="1:90" x14ac:dyDescent="0.2">
      <c r="A706" s="3" t="s">
        <v>72</v>
      </c>
      <c r="B706" s="3" t="s">
        <v>73</v>
      </c>
      <c r="C706" s="3" t="s">
        <v>74</v>
      </c>
      <c r="E706" s="3" t="str">
        <f>"FES1162845077"</f>
        <v>FES1162845077</v>
      </c>
      <c r="F706" s="4">
        <v>44574</v>
      </c>
      <c r="G706" s="3">
        <v>202207</v>
      </c>
      <c r="H706" s="3" t="s">
        <v>75</v>
      </c>
      <c r="I706" s="3" t="s">
        <v>76</v>
      </c>
      <c r="J706" s="3" t="s">
        <v>77</v>
      </c>
      <c r="K706" s="3" t="s">
        <v>78</v>
      </c>
      <c r="L706" s="3" t="s">
        <v>90</v>
      </c>
      <c r="M706" s="3" t="s">
        <v>91</v>
      </c>
      <c r="N706" s="3" t="s">
        <v>157</v>
      </c>
      <c r="O706" s="3" t="s">
        <v>82</v>
      </c>
      <c r="P706" s="3" t="str">
        <f>"2170815272                    "</f>
        <v xml:space="preserve">2170815272                    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15.46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0</v>
      </c>
      <c r="AZ706" s="3">
        <v>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1</v>
      </c>
      <c r="BI706" s="3">
        <v>1</v>
      </c>
      <c r="BJ706" s="3">
        <v>0.2</v>
      </c>
      <c r="BK706" s="3">
        <v>1</v>
      </c>
      <c r="BL706" s="3">
        <v>59</v>
      </c>
      <c r="BM706" s="3">
        <v>8.85</v>
      </c>
      <c r="BN706" s="3">
        <v>67.849999999999994</v>
      </c>
      <c r="BO706" s="3">
        <v>67.849999999999994</v>
      </c>
      <c r="BQ706" s="3" t="s">
        <v>89</v>
      </c>
      <c r="BR706" s="3" t="s">
        <v>84</v>
      </c>
      <c r="BS706" s="4">
        <v>44575</v>
      </c>
      <c r="BT706" s="5">
        <v>0.39374999999999999</v>
      </c>
      <c r="BU706" s="3" t="s">
        <v>691</v>
      </c>
      <c r="BV706" s="3" t="s">
        <v>105</v>
      </c>
      <c r="BY706" s="3">
        <v>1200</v>
      </c>
      <c r="BZ706" s="3" t="s">
        <v>165</v>
      </c>
      <c r="CA706" s="3" t="s">
        <v>713</v>
      </c>
      <c r="CC706" s="3" t="s">
        <v>91</v>
      </c>
      <c r="CD706" s="3">
        <v>7441</v>
      </c>
      <c r="CE706" s="3" t="s">
        <v>93</v>
      </c>
      <c r="CF706" s="4">
        <v>44578</v>
      </c>
      <c r="CI706" s="3">
        <v>1</v>
      </c>
      <c r="CJ706" s="3">
        <v>1</v>
      </c>
      <c r="CK706" s="3">
        <v>21</v>
      </c>
      <c r="CL706" s="3" t="s">
        <v>87</v>
      </c>
    </row>
    <row r="707" spans="1:90" x14ac:dyDescent="0.2">
      <c r="A707" s="3" t="s">
        <v>72</v>
      </c>
      <c r="B707" s="3" t="s">
        <v>73</v>
      </c>
      <c r="C707" s="3" t="s">
        <v>74</v>
      </c>
      <c r="E707" s="3" t="str">
        <f>"FES1162845088"</f>
        <v>FES1162845088</v>
      </c>
      <c r="F707" s="4">
        <v>44574</v>
      </c>
      <c r="G707" s="3">
        <v>202207</v>
      </c>
      <c r="H707" s="3" t="s">
        <v>75</v>
      </c>
      <c r="I707" s="3" t="s">
        <v>76</v>
      </c>
      <c r="J707" s="3" t="s">
        <v>77</v>
      </c>
      <c r="K707" s="3" t="s">
        <v>78</v>
      </c>
      <c r="L707" s="3" t="s">
        <v>312</v>
      </c>
      <c r="M707" s="3" t="s">
        <v>313</v>
      </c>
      <c r="N707" s="3" t="s">
        <v>314</v>
      </c>
      <c r="O707" s="3" t="s">
        <v>82</v>
      </c>
      <c r="P707" s="3" t="str">
        <f>"21770816657                   "</f>
        <v xml:space="preserve">21770816657                   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15.46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1</v>
      </c>
      <c r="BI707" s="3">
        <v>1</v>
      </c>
      <c r="BJ707" s="3">
        <v>0.2</v>
      </c>
      <c r="BK707" s="3">
        <v>1</v>
      </c>
      <c r="BL707" s="3">
        <v>59</v>
      </c>
      <c r="BM707" s="3">
        <v>8.85</v>
      </c>
      <c r="BN707" s="3">
        <v>67.849999999999994</v>
      </c>
      <c r="BO707" s="3">
        <v>67.849999999999994</v>
      </c>
      <c r="BR707" s="3" t="s">
        <v>84</v>
      </c>
      <c r="BS707" s="4">
        <v>44575</v>
      </c>
      <c r="BT707" s="5">
        <v>0.41388888888888892</v>
      </c>
      <c r="BU707" s="3" t="s">
        <v>1084</v>
      </c>
      <c r="BV707" s="3" t="s">
        <v>105</v>
      </c>
      <c r="BY707" s="3">
        <v>1200</v>
      </c>
      <c r="BZ707" s="3" t="s">
        <v>165</v>
      </c>
      <c r="CA707" s="3" t="s">
        <v>316</v>
      </c>
      <c r="CC707" s="3" t="s">
        <v>313</v>
      </c>
      <c r="CD707" s="3">
        <v>1240</v>
      </c>
      <c r="CE707" s="3" t="s">
        <v>93</v>
      </c>
      <c r="CF707" s="4">
        <v>44575</v>
      </c>
      <c r="CI707" s="3">
        <v>1</v>
      </c>
      <c r="CJ707" s="3">
        <v>1</v>
      </c>
      <c r="CK707" s="3">
        <v>21</v>
      </c>
      <c r="CL707" s="3" t="s">
        <v>87</v>
      </c>
    </row>
    <row r="708" spans="1:90" x14ac:dyDescent="0.2">
      <c r="A708" s="3" t="s">
        <v>72</v>
      </c>
      <c r="B708" s="3" t="s">
        <v>73</v>
      </c>
      <c r="C708" s="3" t="s">
        <v>74</v>
      </c>
      <c r="E708" s="3" t="str">
        <f>"FES1162845065"</f>
        <v>FES1162845065</v>
      </c>
      <c r="F708" s="4">
        <v>44574</v>
      </c>
      <c r="G708" s="3">
        <v>202207</v>
      </c>
      <c r="H708" s="3" t="s">
        <v>75</v>
      </c>
      <c r="I708" s="3" t="s">
        <v>76</v>
      </c>
      <c r="J708" s="3" t="s">
        <v>77</v>
      </c>
      <c r="K708" s="3" t="s">
        <v>78</v>
      </c>
      <c r="L708" s="3" t="s">
        <v>79</v>
      </c>
      <c r="M708" s="3" t="s">
        <v>80</v>
      </c>
      <c r="N708" s="3" t="s">
        <v>539</v>
      </c>
      <c r="O708" s="3" t="s">
        <v>82</v>
      </c>
      <c r="P708" s="3" t="str">
        <f>"2170816637                    "</f>
        <v xml:space="preserve">2170816637                    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15.46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1</v>
      </c>
      <c r="BI708" s="3">
        <v>2</v>
      </c>
      <c r="BJ708" s="3">
        <v>2</v>
      </c>
      <c r="BK708" s="3">
        <v>2</v>
      </c>
      <c r="BL708" s="3">
        <v>59</v>
      </c>
      <c r="BM708" s="3">
        <v>8.85</v>
      </c>
      <c r="BN708" s="3">
        <v>67.849999999999994</v>
      </c>
      <c r="BO708" s="3">
        <v>67.849999999999994</v>
      </c>
      <c r="BQ708" s="3" t="s">
        <v>83</v>
      </c>
      <c r="BR708" s="3" t="s">
        <v>84</v>
      </c>
      <c r="BS708" s="4">
        <v>44575</v>
      </c>
      <c r="BT708" s="5">
        <v>0.40625</v>
      </c>
      <c r="BU708" s="3" t="s">
        <v>1085</v>
      </c>
      <c r="BV708" s="3" t="s">
        <v>105</v>
      </c>
      <c r="BY708" s="3">
        <v>9918</v>
      </c>
      <c r="BZ708" s="3" t="s">
        <v>165</v>
      </c>
      <c r="CA708" s="3" t="s">
        <v>366</v>
      </c>
      <c r="CC708" s="3" t="s">
        <v>80</v>
      </c>
      <c r="CD708" s="3">
        <v>200</v>
      </c>
      <c r="CE708" s="3" t="s">
        <v>86</v>
      </c>
      <c r="CF708" s="4">
        <v>44575</v>
      </c>
      <c r="CI708" s="3">
        <v>1</v>
      </c>
      <c r="CJ708" s="3">
        <v>1</v>
      </c>
      <c r="CK708" s="3">
        <v>21</v>
      </c>
      <c r="CL708" s="3" t="s">
        <v>87</v>
      </c>
    </row>
    <row r="709" spans="1:90" x14ac:dyDescent="0.2">
      <c r="A709" s="3" t="s">
        <v>72</v>
      </c>
      <c r="B709" s="3" t="s">
        <v>73</v>
      </c>
      <c r="C709" s="3" t="s">
        <v>74</v>
      </c>
      <c r="E709" s="3" t="str">
        <f>"FES1162845085"</f>
        <v>FES1162845085</v>
      </c>
      <c r="F709" s="4">
        <v>44574</v>
      </c>
      <c r="G709" s="3">
        <v>202207</v>
      </c>
      <c r="H709" s="3" t="s">
        <v>75</v>
      </c>
      <c r="I709" s="3" t="s">
        <v>76</v>
      </c>
      <c r="J709" s="3" t="s">
        <v>77</v>
      </c>
      <c r="K709" s="3" t="s">
        <v>78</v>
      </c>
      <c r="L709" s="3" t="s">
        <v>258</v>
      </c>
      <c r="M709" s="3" t="s">
        <v>259</v>
      </c>
      <c r="N709" s="3" t="s">
        <v>260</v>
      </c>
      <c r="O709" s="3" t="s">
        <v>82</v>
      </c>
      <c r="P709" s="3" t="str">
        <f>"2170816656                    "</f>
        <v xml:space="preserve">2170816656                    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106.43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v>0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1</v>
      </c>
      <c r="BI709" s="3">
        <v>10</v>
      </c>
      <c r="BJ709" s="3">
        <v>9.3000000000000007</v>
      </c>
      <c r="BK709" s="3">
        <v>10</v>
      </c>
      <c r="BL709" s="3">
        <v>406.23</v>
      </c>
      <c r="BM709" s="3">
        <v>60.93</v>
      </c>
      <c r="BN709" s="3">
        <v>467.16</v>
      </c>
      <c r="BO709" s="3">
        <v>467.16</v>
      </c>
      <c r="BQ709" s="3" t="s">
        <v>83</v>
      </c>
      <c r="BR709" s="3" t="s">
        <v>84</v>
      </c>
      <c r="BS709" s="4">
        <v>44575</v>
      </c>
      <c r="BT709" s="5">
        <v>0.375</v>
      </c>
      <c r="BU709" s="3" t="s">
        <v>1086</v>
      </c>
      <c r="BV709" s="3" t="s">
        <v>105</v>
      </c>
      <c r="BY709" s="3">
        <v>46375</v>
      </c>
      <c r="BZ709" s="3" t="s">
        <v>165</v>
      </c>
      <c r="CA709" s="3" t="s">
        <v>328</v>
      </c>
      <c r="CC709" s="3" t="s">
        <v>259</v>
      </c>
      <c r="CD709" s="3">
        <v>2302</v>
      </c>
      <c r="CE709" s="3" t="s">
        <v>86</v>
      </c>
      <c r="CF709" s="4">
        <v>44576</v>
      </c>
      <c r="CI709" s="3">
        <v>1</v>
      </c>
      <c r="CJ709" s="3">
        <v>1</v>
      </c>
      <c r="CK709" s="3">
        <v>24</v>
      </c>
      <c r="CL709" s="3" t="s">
        <v>87</v>
      </c>
    </row>
    <row r="710" spans="1:90" x14ac:dyDescent="0.2">
      <c r="A710" s="3" t="s">
        <v>72</v>
      </c>
      <c r="B710" s="3" t="s">
        <v>73</v>
      </c>
      <c r="C710" s="3" t="s">
        <v>74</v>
      </c>
      <c r="E710" s="3" t="str">
        <f>"FES1162845090"</f>
        <v>FES1162845090</v>
      </c>
      <c r="F710" s="4">
        <v>44574</v>
      </c>
      <c r="G710" s="3">
        <v>202207</v>
      </c>
      <c r="H710" s="3" t="s">
        <v>75</v>
      </c>
      <c r="I710" s="3" t="s">
        <v>76</v>
      </c>
      <c r="J710" s="3" t="s">
        <v>77</v>
      </c>
      <c r="K710" s="3" t="s">
        <v>78</v>
      </c>
      <c r="L710" s="3" t="s">
        <v>312</v>
      </c>
      <c r="M710" s="3" t="s">
        <v>313</v>
      </c>
      <c r="N710" s="3" t="s">
        <v>314</v>
      </c>
      <c r="O710" s="3" t="s">
        <v>82</v>
      </c>
      <c r="P710" s="3" t="str">
        <f>"2170816659                    "</f>
        <v xml:space="preserve">2170816659                    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15.46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1</v>
      </c>
      <c r="BI710" s="3">
        <v>2</v>
      </c>
      <c r="BJ710" s="3">
        <v>1.5</v>
      </c>
      <c r="BK710" s="3">
        <v>2</v>
      </c>
      <c r="BL710" s="3">
        <v>59</v>
      </c>
      <c r="BM710" s="3">
        <v>8.85</v>
      </c>
      <c r="BN710" s="3">
        <v>67.849999999999994</v>
      </c>
      <c r="BO710" s="3">
        <v>67.849999999999994</v>
      </c>
      <c r="BR710" s="3" t="s">
        <v>84</v>
      </c>
      <c r="BS710" s="4">
        <v>44575</v>
      </c>
      <c r="BT710" s="5">
        <v>0.41388888888888892</v>
      </c>
      <c r="BU710" s="3" t="s">
        <v>1084</v>
      </c>
      <c r="BV710" s="3" t="s">
        <v>105</v>
      </c>
      <c r="BY710" s="3">
        <v>7540</v>
      </c>
      <c r="BZ710" s="3" t="s">
        <v>165</v>
      </c>
      <c r="CA710" s="3" t="s">
        <v>316</v>
      </c>
      <c r="CC710" s="3" t="s">
        <v>313</v>
      </c>
      <c r="CD710" s="3">
        <v>1240</v>
      </c>
      <c r="CE710" s="3" t="s">
        <v>86</v>
      </c>
      <c r="CF710" s="4">
        <v>44575</v>
      </c>
      <c r="CI710" s="3">
        <v>1</v>
      </c>
      <c r="CJ710" s="3">
        <v>1</v>
      </c>
      <c r="CK710" s="3">
        <v>21</v>
      </c>
      <c r="CL710" s="3" t="s">
        <v>87</v>
      </c>
    </row>
    <row r="711" spans="1:90" x14ac:dyDescent="0.2">
      <c r="A711" s="3" t="s">
        <v>72</v>
      </c>
      <c r="B711" s="3" t="s">
        <v>73</v>
      </c>
      <c r="C711" s="3" t="s">
        <v>74</v>
      </c>
      <c r="E711" s="3" t="str">
        <f>"FES1162845071"</f>
        <v>FES1162845071</v>
      </c>
      <c r="F711" s="4">
        <v>44574</v>
      </c>
      <c r="G711" s="3">
        <v>202207</v>
      </c>
      <c r="H711" s="3" t="s">
        <v>75</v>
      </c>
      <c r="I711" s="3" t="s">
        <v>76</v>
      </c>
      <c r="J711" s="3" t="s">
        <v>77</v>
      </c>
      <c r="K711" s="3" t="s">
        <v>78</v>
      </c>
      <c r="L711" s="3" t="s">
        <v>167</v>
      </c>
      <c r="M711" s="3" t="s">
        <v>168</v>
      </c>
      <c r="N711" s="3" t="s">
        <v>1087</v>
      </c>
      <c r="O711" s="3" t="s">
        <v>148</v>
      </c>
      <c r="P711" s="3" t="str">
        <f>"2170816645                    "</f>
        <v xml:space="preserve">2170816645                    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29.89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v>0</v>
      </c>
      <c r="BA711" s="3">
        <v>0</v>
      </c>
      <c r="BB711" s="3">
        <v>0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3">
        <v>1</v>
      </c>
      <c r="BI711" s="3">
        <v>2</v>
      </c>
      <c r="BJ711" s="3">
        <v>1.3</v>
      </c>
      <c r="BK711" s="3">
        <v>2</v>
      </c>
      <c r="BL711" s="3">
        <v>119.34</v>
      </c>
      <c r="BM711" s="3">
        <v>17.899999999999999</v>
      </c>
      <c r="BN711" s="3">
        <v>137.24</v>
      </c>
      <c r="BO711" s="3">
        <v>137.24</v>
      </c>
      <c r="BR711" s="3" t="s">
        <v>84</v>
      </c>
      <c r="BS711" s="4">
        <v>44578</v>
      </c>
      <c r="BT711" s="5">
        <v>0.44444444444444442</v>
      </c>
      <c r="BU711" s="3" t="s">
        <v>1088</v>
      </c>
      <c r="BV711" s="3" t="s">
        <v>105</v>
      </c>
      <c r="BY711" s="3">
        <v>6555</v>
      </c>
      <c r="BZ711" s="3" t="s">
        <v>327</v>
      </c>
      <c r="CA711" s="3" t="s">
        <v>263</v>
      </c>
      <c r="CC711" s="3" t="s">
        <v>168</v>
      </c>
      <c r="CD711" s="3">
        <v>6220</v>
      </c>
      <c r="CE711" s="3" t="s">
        <v>86</v>
      </c>
      <c r="CF711" s="4">
        <v>44579</v>
      </c>
      <c r="CI711" s="3">
        <v>2</v>
      </c>
      <c r="CJ711" s="3">
        <v>2</v>
      </c>
      <c r="CK711" s="3">
        <v>41</v>
      </c>
      <c r="CL711" s="3" t="s">
        <v>87</v>
      </c>
    </row>
    <row r="712" spans="1:90" x14ac:dyDescent="0.2">
      <c r="A712" s="3" t="s">
        <v>72</v>
      </c>
      <c r="B712" s="3" t="s">
        <v>73</v>
      </c>
      <c r="C712" s="3" t="s">
        <v>74</v>
      </c>
      <c r="E712" s="3" t="str">
        <f>"FES1162845079"</f>
        <v>FES1162845079</v>
      </c>
      <c r="F712" s="4">
        <v>44574</v>
      </c>
      <c r="G712" s="3">
        <v>202207</v>
      </c>
      <c r="H712" s="3" t="s">
        <v>75</v>
      </c>
      <c r="I712" s="3" t="s">
        <v>76</v>
      </c>
      <c r="J712" s="3" t="s">
        <v>77</v>
      </c>
      <c r="K712" s="3" t="s">
        <v>78</v>
      </c>
      <c r="L712" s="3" t="s">
        <v>427</v>
      </c>
      <c r="M712" s="3" t="s">
        <v>428</v>
      </c>
      <c r="N712" s="3" t="s">
        <v>447</v>
      </c>
      <c r="O712" s="3" t="s">
        <v>82</v>
      </c>
      <c r="P712" s="3" t="str">
        <f>"2170816423                    "</f>
        <v xml:space="preserve">2170816423                    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29.95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0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1</v>
      </c>
      <c r="BI712" s="3">
        <v>1</v>
      </c>
      <c r="BJ712" s="3">
        <v>1.1000000000000001</v>
      </c>
      <c r="BK712" s="3">
        <v>1.5</v>
      </c>
      <c r="BL712" s="3">
        <v>114.31</v>
      </c>
      <c r="BM712" s="3">
        <v>17.149999999999999</v>
      </c>
      <c r="BN712" s="3">
        <v>131.46</v>
      </c>
      <c r="BO712" s="3">
        <v>131.46</v>
      </c>
      <c r="BQ712" s="3" t="s">
        <v>89</v>
      </c>
      <c r="BR712" s="3" t="s">
        <v>84</v>
      </c>
      <c r="BS712" s="4">
        <v>44575</v>
      </c>
      <c r="BT712" s="5">
        <v>0.5805555555555556</v>
      </c>
      <c r="BU712" s="3" t="s">
        <v>874</v>
      </c>
      <c r="BV712" s="3" t="s">
        <v>87</v>
      </c>
      <c r="BW712" s="3" t="s">
        <v>353</v>
      </c>
      <c r="BX712" s="3" t="s">
        <v>602</v>
      </c>
      <c r="BY712" s="3">
        <v>5320</v>
      </c>
      <c r="BZ712" s="3" t="s">
        <v>165</v>
      </c>
      <c r="CA712" s="3" t="s">
        <v>488</v>
      </c>
      <c r="CC712" s="3" t="s">
        <v>428</v>
      </c>
      <c r="CD712" s="3">
        <v>7130</v>
      </c>
      <c r="CE712" s="3" t="s">
        <v>86</v>
      </c>
      <c r="CF712" s="4">
        <v>44578</v>
      </c>
      <c r="CI712" s="3">
        <v>1</v>
      </c>
      <c r="CJ712" s="3">
        <v>1</v>
      </c>
      <c r="CK712" s="3">
        <v>23</v>
      </c>
      <c r="CL712" s="3" t="s">
        <v>87</v>
      </c>
    </row>
    <row r="713" spans="1:90" x14ac:dyDescent="0.2">
      <c r="A713" s="3" t="s">
        <v>72</v>
      </c>
      <c r="B713" s="3" t="s">
        <v>73</v>
      </c>
      <c r="C713" s="3" t="s">
        <v>74</v>
      </c>
      <c r="E713" s="3" t="str">
        <f>"FES1162845087"</f>
        <v>FES1162845087</v>
      </c>
      <c r="F713" s="4">
        <v>44574</v>
      </c>
      <c r="G713" s="3">
        <v>202207</v>
      </c>
      <c r="H713" s="3" t="s">
        <v>75</v>
      </c>
      <c r="I713" s="3" t="s">
        <v>76</v>
      </c>
      <c r="J713" s="3" t="s">
        <v>77</v>
      </c>
      <c r="K713" s="3" t="s">
        <v>78</v>
      </c>
      <c r="L713" s="3" t="s">
        <v>90</v>
      </c>
      <c r="M713" s="3" t="s">
        <v>91</v>
      </c>
      <c r="N713" s="3" t="s">
        <v>157</v>
      </c>
      <c r="O713" s="3" t="s">
        <v>82</v>
      </c>
      <c r="P713" s="3" t="str">
        <f>"2170816231                    "</f>
        <v xml:space="preserve">2170816231                    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15.46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1</v>
      </c>
      <c r="BI713" s="3">
        <v>2</v>
      </c>
      <c r="BJ713" s="3">
        <v>1</v>
      </c>
      <c r="BK713" s="3">
        <v>2</v>
      </c>
      <c r="BL713" s="3">
        <v>59</v>
      </c>
      <c r="BM713" s="3">
        <v>8.85</v>
      </c>
      <c r="BN713" s="3">
        <v>67.849999999999994</v>
      </c>
      <c r="BO713" s="3">
        <v>67.849999999999994</v>
      </c>
      <c r="BQ713" s="3" t="s">
        <v>89</v>
      </c>
      <c r="BR713" s="3" t="s">
        <v>84</v>
      </c>
      <c r="BS713" s="4">
        <v>44575</v>
      </c>
      <c r="BT713" s="5">
        <v>0.39374999999999999</v>
      </c>
      <c r="BU713" s="3" t="s">
        <v>691</v>
      </c>
      <c r="BV713" s="3" t="s">
        <v>105</v>
      </c>
      <c r="BY713" s="3">
        <v>4928</v>
      </c>
      <c r="BZ713" s="3" t="s">
        <v>165</v>
      </c>
      <c r="CA713" s="3" t="s">
        <v>713</v>
      </c>
      <c r="CC713" s="3" t="s">
        <v>91</v>
      </c>
      <c r="CD713" s="3">
        <v>7441</v>
      </c>
      <c r="CE713" s="3" t="s">
        <v>86</v>
      </c>
      <c r="CF713" s="4">
        <v>44578</v>
      </c>
      <c r="CI713" s="3">
        <v>1</v>
      </c>
      <c r="CJ713" s="3">
        <v>1</v>
      </c>
      <c r="CK713" s="3">
        <v>21</v>
      </c>
      <c r="CL713" s="3" t="s">
        <v>87</v>
      </c>
    </row>
    <row r="714" spans="1:90" x14ac:dyDescent="0.2">
      <c r="A714" s="3" t="s">
        <v>72</v>
      </c>
      <c r="B714" s="3" t="s">
        <v>73</v>
      </c>
      <c r="C714" s="3" t="s">
        <v>74</v>
      </c>
      <c r="E714" s="3" t="str">
        <f>"FES1162844908"</f>
        <v>FES1162844908</v>
      </c>
      <c r="F714" s="4">
        <v>44574</v>
      </c>
      <c r="G714" s="3">
        <v>202207</v>
      </c>
      <c r="H714" s="3" t="s">
        <v>75</v>
      </c>
      <c r="I714" s="3" t="s">
        <v>76</v>
      </c>
      <c r="J714" s="3" t="s">
        <v>77</v>
      </c>
      <c r="K714" s="3" t="s">
        <v>78</v>
      </c>
      <c r="L714" s="3" t="s">
        <v>786</v>
      </c>
      <c r="M714" s="3" t="s">
        <v>787</v>
      </c>
      <c r="N714" s="3" t="s">
        <v>788</v>
      </c>
      <c r="O714" s="3" t="s">
        <v>82</v>
      </c>
      <c r="P714" s="3" t="str">
        <f>"2170816456                    "</f>
        <v xml:space="preserve">2170816456                    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21.74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1</v>
      </c>
      <c r="BI714" s="3">
        <v>1</v>
      </c>
      <c r="BJ714" s="3">
        <v>0.2</v>
      </c>
      <c r="BK714" s="3">
        <v>1</v>
      </c>
      <c r="BL714" s="3">
        <v>82.98</v>
      </c>
      <c r="BM714" s="3">
        <v>12.45</v>
      </c>
      <c r="BN714" s="3">
        <v>95.43</v>
      </c>
      <c r="BO714" s="3">
        <v>95.43</v>
      </c>
      <c r="BQ714" s="3" t="s">
        <v>83</v>
      </c>
      <c r="BR714" s="3" t="s">
        <v>84</v>
      </c>
      <c r="BS714" s="4">
        <v>44575</v>
      </c>
      <c r="BT714" s="5">
        <v>0.42777777777777781</v>
      </c>
      <c r="BU714" s="3" t="s">
        <v>1089</v>
      </c>
      <c r="BV714" s="3" t="s">
        <v>105</v>
      </c>
      <c r="BY714" s="3">
        <v>1200</v>
      </c>
      <c r="BZ714" s="3" t="s">
        <v>165</v>
      </c>
      <c r="CA714" s="3" t="s">
        <v>790</v>
      </c>
      <c r="CC714" s="3" t="s">
        <v>787</v>
      </c>
      <c r="CD714" s="3">
        <v>2410</v>
      </c>
      <c r="CE714" s="3" t="s">
        <v>93</v>
      </c>
      <c r="CF714" s="4">
        <v>44578</v>
      </c>
      <c r="CI714" s="3">
        <v>1</v>
      </c>
      <c r="CJ714" s="3">
        <v>1</v>
      </c>
      <c r="CK714" s="3">
        <v>24</v>
      </c>
      <c r="CL714" s="3" t="s">
        <v>87</v>
      </c>
    </row>
    <row r="715" spans="1:90" x14ac:dyDescent="0.2">
      <c r="A715" s="3" t="s">
        <v>72</v>
      </c>
      <c r="B715" s="3" t="s">
        <v>73</v>
      </c>
      <c r="C715" s="3" t="s">
        <v>74</v>
      </c>
      <c r="E715" s="3" t="str">
        <f>"FES1162844932"</f>
        <v>FES1162844932</v>
      </c>
      <c r="F715" s="4">
        <v>44574</v>
      </c>
      <c r="G715" s="3">
        <v>202207</v>
      </c>
      <c r="H715" s="3" t="s">
        <v>75</v>
      </c>
      <c r="I715" s="3" t="s">
        <v>76</v>
      </c>
      <c r="J715" s="3" t="s">
        <v>77</v>
      </c>
      <c r="K715" s="3" t="s">
        <v>78</v>
      </c>
      <c r="L715" s="3" t="s">
        <v>97</v>
      </c>
      <c r="M715" s="3" t="s">
        <v>98</v>
      </c>
      <c r="N715" s="3" t="s">
        <v>943</v>
      </c>
      <c r="O715" s="3" t="s">
        <v>82</v>
      </c>
      <c r="P715" s="3" t="str">
        <f>"2170816500                    "</f>
        <v xml:space="preserve">2170816500                    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12.07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1</v>
      </c>
      <c r="BI715" s="3">
        <v>1</v>
      </c>
      <c r="BJ715" s="3">
        <v>0.2</v>
      </c>
      <c r="BK715" s="3">
        <v>1</v>
      </c>
      <c r="BL715" s="3">
        <v>46.08</v>
      </c>
      <c r="BM715" s="3">
        <v>6.91</v>
      </c>
      <c r="BN715" s="3">
        <v>52.99</v>
      </c>
      <c r="BO715" s="3">
        <v>52.99</v>
      </c>
      <c r="BQ715" s="3" t="s">
        <v>89</v>
      </c>
      <c r="BR715" s="3" t="s">
        <v>84</v>
      </c>
      <c r="BS715" s="4">
        <v>44575</v>
      </c>
      <c r="BT715" s="5">
        <v>0.34930555555555554</v>
      </c>
      <c r="BU715" s="3" t="s">
        <v>1069</v>
      </c>
      <c r="BV715" s="3" t="s">
        <v>105</v>
      </c>
      <c r="BY715" s="3">
        <v>1200</v>
      </c>
      <c r="BZ715" s="3" t="s">
        <v>165</v>
      </c>
      <c r="CA715" s="3" t="s">
        <v>297</v>
      </c>
      <c r="CC715" s="3" t="s">
        <v>98</v>
      </c>
      <c r="CD715" s="3">
        <v>2013</v>
      </c>
      <c r="CE715" s="3" t="s">
        <v>93</v>
      </c>
      <c r="CF715" s="4">
        <v>44576</v>
      </c>
      <c r="CI715" s="3">
        <v>1</v>
      </c>
      <c r="CJ715" s="3">
        <v>1</v>
      </c>
      <c r="CK715" s="3">
        <v>22</v>
      </c>
      <c r="CL715" s="3" t="s">
        <v>87</v>
      </c>
    </row>
    <row r="716" spans="1:90" x14ac:dyDescent="0.2">
      <c r="A716" s="3" t="s">
        <v>72</v>
      </c>
      <c r="B716" s="3" t="s">
        <v>73</v>
      </c>
      <c r="C716" s="3" t="s">
        <v>74</v>
      </c>
      <c r="E716" s="3" t="str">
        <f>"FES1162844880"</f>
        <v>FES1162844880</v>
      </c>
      <c r="F716" s="4">
        <v>44574</v>
      </c>
      <c r="G716" s="3">
        <v>202207</v>
      </c>
      <c r="H716" s="3" t="s">
        <v>75</v>
      </c>
      <c r="I716" s="3" t="s">
        <v>76</v>
      </c>
      <c r="J716" s="3" t="s">
        <v>77</v>
      </c>
      <c r="K716" s="3" t="s">
        <v>78</v>
      </c>
      <c r="L716" s="3" t="s">
        <v>97</v>
      </c>
      <c r="M716" s="3" t="s">
        <v>98</v>
      </c>
      <c r="N716" s="3" t="s">
        <v>505</v>
      </c>
      <c r="O716" s="3" t="s">
        <v>148</v>
      </c>
      <c r="P716" s="3" t="str">
        <f>"2170816451                    "</f>
        <v xml:space="preserve">2170816451                    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25.76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1</v>
      </c>
      <c r="BI716" s="3">
        <v>4</v>
      </c>
      <c r="BJ716" s="3">
        <v>18.3</v>
      </c>
      <c r="BK716" s="3">
        <v>19</v>
      </c>
      <c r="BL716" s="3">
        <v>103.58</v>
      </c>
      <c r="BM716" s="3">
        <v>15.54</v>
      </c>
      <c r="BN716" s="3">
        <v>119.12</v>
      </c>
      <c r="BO716" s="3">
        <v>119.12</v>
      </c>
      <c r="BR716" s="3" t="s">
        <v>84</v>
      </c>
      <c r="BS716" s="4">
        <v>44575</v>
      </c>
      <c r="BT716" s="5">
        <v>0.60555555555555551</v>
      </c>
      <c r="BU716" s="3" t="s">
        <v>1090</v>
      </c>
      <c r="BV716" s="3" t="s">
        <v>105</v>
      </c>
      <c r="BY716" s="3">
        <v>91264</v>
      </c>
      <c r="BZ716" s="3" t="s">
        <v>327</v>
      </c>
      <c r="CA716" s="3" t="s">
        <v>1091</v>
      </c>
      <c r="CC716" s="3" t="s">
        <v>98</v>
      </c>
      <c r="CD716" s="3">
        <v>2094</v>
      </c>
      <c r="CE716" s="3" t="s">
        <v>86</v>
      </c>
      <c r="CF716" s="4">
        <v>44578</v>
      </c>
      <c r="CI716" s="3">
        <v>1</v>
      </c>
      <c r="CJ716" s="3">
        <v>1</v>
      </c>
      <c r="CK716" s="3">
        <v>42</v>
      </c>
      <c r="CL716" s="3" t="s">
        <v>87</v>
      </c>
    </row>
    <row r="717" spans="1:90" x14ac:dyDescent="0.2">
      <c r="A717" s="3" t="s">
        <v>72</v>
      </c>
      <c r="B717" s="3" t="s">
        <v>73</v>
      </c>
      <c r="C717" s="3" t="s">
        <v>74</v>
      </c>
      <c r="E717" s="3" t="str">
        <f>"FES1162844856"</f>
        <v>FES1162844856</v>
      </c>
      <c r="F717" s="4">
        <v>44574</v>
      </c>
      <c r="G717" s="3">
        <v>202207</v>
      </c>
      <c r="H717" s="3" t="s">
        <v>75</v>
      </c>
      <c r="I717" s="3" t="s">
        <v>76</v>
      </c>
      <c r="J717" s="3" t="s">
        <v>77</v>
      </c>
      <c r="K717" s="3" t="s">
        <v>78</v>
      </c>
      <c r="L717" s="3" t="s">
        <v>90</v>
      </c>
      <c r="M717" s="3" t="s">
        <v>91</v>
      </c>
      <c r="N717" s="3" t="s">
        <v>1092</v>
      </c>
      <c r="O717" s="3" t="s">
        <v>82</v>
      </c>
      <c r="P717" s="3" t="str">
        <f>"2170816405                    "</f>
        <v xml:space="preserve">2170816405                    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73.39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v>0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0</v>
      </c>
      <c r="BH717" s="3">
        <v>1</v>
      </c>
      <c r="BI717" s="3">
        <v>4</v>
      </c>
      <c r="BJ717" s="3">
        <v>9.1</v>
      </c>
      <c r="BK717" s="3">
        <v>9.5</v>
      </c>
      <c r="BL717" s="3">
        <v>280.13</v>
      </c>
      <c r="BM717" s="3">
        <v>42.02</v>
      </c>
      <c r="BN717" s="3">
        <v>322.14999999999998</v>
      </c>
      <c r="BO717" s="3">
        <v>322.14999999999998</v>
      </c>
      <c r="BQ717" s="3" t="s">
        <v>89</v>
      </c>
      <c r="BR717" s="3" t="s">
        <v>84</v>
      </c>
      <c r="BS717" s="4">
        <v>44575</v>
      </c>
      <c r="BT717" s="5">
        <v>0.38819444444444445</v>
      </c>
      <c r="BU717" s="3" t="s">
        <v>1093</v>
      </c>
      <c r="BV717" s="3" t="s">
        <v>105</v>
      </c>
      <c r="BY717" s="3">
        <v>45632</v>
      </c>
      <c r="BZ717" s="3" t="s">
        <v>165</v>
      </c>
      <c r="CA717" s="3" t="s">
        <v>1094</v>
      </c>
      <c r="CC717" s="3" t="s">
        <v>91</v>
      </c>
      <c r="CD717" s="3">
        <v>7764</v>
      </c>
      <c r="CE717" s="3" t="s">
        <v>86</v>
      </c>
      <c r="CF717" s="4">
        <v>44578</v>
      </c>
      <c r="CI717" s="3">
        <v>1</v>
      </c>
      <c r="CJ717" s="3">
        <v>1</v>
      </c>
      <c r="CK717" s="3">
        <v>21</v>
      </c>
      <c r="CL717" s="3" t="s">
        <v>87</v>
      </c>
    </row>
    <row r="718" spans="1:90" x14ac:dyDescent="0.2">
      <c r="A718" s="3" t="s">
        <v>72</v>
      </c>
      <c r="B718" s="3" t="s">
        <v>73</v>
      </c>
      <c r="C718" s="3" t="s">
        <v>74</v>
      </c>
      <c r="E718" s="3" t="str">
        <f>"FES1162844913"</f>
        <v>FES1162844913</v>
      </c>
      <c r="F718" s="4">
        <v>44574</v>
      </c>
      <c r="G718" s="3">
        <v>202207</v>
      </c>
      <c r="H718" s="3" t="s">
        <v>75</v>
      </c>
      <c r="I718" s="3" t="s">
        <v>76</v>
      </c>
      <c r="J718" s="3" t="s">
        <v>77</v>
      </c>
      <c r="K718" s="3" t="s">
        <v>78</v>
      </c>
      <c r="L718" s="3" t="s">
        <v>90</v>
      </c>
      <c r="M718" s="3" t="s">
        <v>91</v>
      </c>
      <c r="N718" s="3" t="s">
        <v>584</v>
      </c>
      <c r="O718" s="3" t="s">
        <v>82</v>
      </c>
      <c r="P718" s="3" t="str">
        <f>"2170816476                    "</f>
        <v xml:space="preserve">2170816476                    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73.39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1</v>
      </c>
      <c r="BI718" s="3">
        <v>4</v>
      </c>
      <c r="BJ718" s="3">
        <v>9.1</v>
      </c>
      <c r="BK718" s="3">
        <v>9.5</v>
      </c>
      <c r="BL718" s="3">
        <v>280.13</v>
      </c>
      <c r="BM718" s="3">
        <v>42.02</v>
      </c>
      <c r="BN718" s="3">
        <v>322.14999999999998</v>
      </c>
      <c r="BO718" s="3">
        <v>322.14999999999998</v>
      </c>
      <c r="BQ718" s="3" t="s">
        <v>83</v>
      </c>
      <c r="BR718" s="3" t="s">
        <v>84</v>
      </c>
      <c r="BS718" s="4">
        <v>44575</v>
      </c>
      <c r="BT718" s="5">
        <v>0.3520833333333333</v>
      </c>
      <c r="BU718" s="3" t="s">
        <v>1067</v>
      </c>
      <c r="BV718" s="3" t="s">
        <v>105</v>
      </c>
      <c r="BY718" s="3">
        <v>45632</v>
      </c>
      <c r="BZ718" s="3" t="s">
        <v>165</v>
      </c>
      <c r="CA718" s="3" t="s">
        <v>543</v>
      </c>
      <c r="CC718" s="3" t="s">
        <v>91</v>
      </c>
      <c r="CD718" s="3">
        <v>7530</v>
      </c>
      <c r="CE718" s="3" t="s">
        <v>86</v>
      </c>
      <c r="CF718" s="4">
        <v>44578</v>
      </c>
      <c r="CI718" s="3">
        <v>1</v>
      </c>
      <c r="CJ718" s="3">
        <v>1</v>
      </c>
      <c r="CK718" s="3">
        <v>21</v>
      </c>
      <c r="CL718" s="3" t="s">
        <v>87</v>
      </c>
    </row>
    <row r="719" spans="1:90" x14ac:dyDescent="0.2">
      <c r="A719" s="3" t="s">
        <v>72</v>
      </c>
      <c r="B719" s="3" t="s">
        <v>73</v>
      </c>
      <c r="C719" s="3" t="s">
        <v>74</v>
      </c>
      <c r="E719" s="3" t="str">
        <f>"FES1162844879"</f>
        <v>FES1162844879</v>
      </c>
      <c r="F719" s="4">
        <v>44574</v>
      </c>
      <c r="G719" s="3">
        <v>202207</v>
      </c>
      <c r="H719" s="3" t="s">
        <v>75</v>
      </c>
      <c r="I719" s="3" t="s">
        <v>76</v>
      </c>
      <c r="J719" s="3" t="s">
        <v>77</v>
      </c>
      <c r="K719" s="3" t="s">
        <v>78</v>
      </c>
      <c r="L719" s="3" t="s">
        <v>90</v>
      </c>
      <c r="M719" s="3" t="s">
        <v>91</v>
      </c>
      <c r="N719" s="3" t="s">
        <v>1095</v>
      </c>
      <c r="O719" s="3" t="s">
        <v>82</v>
      </c>
      <c r="P719" s="3" t="str">
        <f>"2170816450                    "</f>
        <v xml:space="preserve">2170816450                    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23.18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1</v>
      </c>
      <c r="BI719" s="3">
        <v>3</v>
      </c>
      <c r="BJ719" s="3">
        <v>1.1000000000000001</v>
      </c>
      <c r="BK719" s="3">
        <v>3</v>
      </c>
      <c r="BL719" s="3">
        <v>88.48</v>
      </c>
      <c r="BM719" s="3">
        <v>13.27</v>
      </c>
      <c r="BN719" s="3">
        <v>101.75</v>
      </c>
      <c r="BO719" s="3">
        <v>101.75</v>
      </c>
      <c r="BQ719" s="3" t="s">
        <v>83</v>
      </c>
      <c r="BR719" s="3" t="s">
        <v>84</v>
      </c>
      <c r="BS719" s="4">
        <v>44575</v>
      </c>
      <c r="BT719" s="5">
        <v>0.44722222222222219</v>
      </c>
      <c r="BU719" s="3" t="s">
        <v>1096</v>
      </c>
      <c r="BV719" s="3" t="s">
        <v>87</v>
      </c>
      <c r="BW719" s="3" t="s">
        <v>353</v>
      </c>
      <c r="BX719" s="3" t="s">
        <v>354</v>
      </c>
      <c r="BY719" s="3">
        <v>5320</v>
      </c>
      <c r="BZ719" s="3" t="s">
        <v>165</v>
      </c>
      <c r="CA719" s="3" t="s">
        <v>713</v>
      </c>
      <c r="CC719" s="3" t="s">
        <v>91</v>
      </c>
      <c r="CD719" s="3">
        <v>7441</v>
      </c>
      <c r="CE719" s="3" t="s">
        <v>86</v>
      </c>
      <c r="CF719" s="4">
        <v>44578</v>
      </c>
      <c r="CI719" s="3">
        <v>1</v>
      </c>
      <c r="CJ719" s="3">
        <v>1</v>
      </c>
      <c r="CK719" s="3">
        <v>21</v>
      </c>
      <c r="CL719" s="3" t="s">
        <v>87</v>
      </c>
    </row>
    <row r="720" spans="1:90" x14ac:dyDescent="0.2">
      <c r="A720" s="3" t="s">
        <v>72</v>
      </c>
      <c r="B720" s="3" t="s">
        <v>73</v>
      </c>
      <c r="C720" s="3" t="s">
        <v>74</v>
      </c>
      <c r="E720" s="3" t="str">
        <f>"FES1162844821"</f>
        <v>FES1162844821</v>
      </c>
      <c r="F720" s="4">
        <v>44574</v>
      </c>
      <c r="G720" s="3">
        <v>202207</v>
      </c>
      <c r="H720" s="3" t="s">
        <v>75</v>
      </c>
      <c r="I720" s="3" t="s">
        <v>76</v>
      </c>
      <c r="J720" s="3" t="s">
        <v>77</v>
      </c>
      <c r="K720" s="3" t="s">
        <v>78</v>
      </c>
      <c r="L720" s="3" t="s">
        <v>110</v>
      </c>
      <c r="M720" s="3" t="s">
        <v>110</v>
      </c>
      <c r="N720" s="3" t="s">
        <v>111</v>
      </c>
      <c r="O720" s="3" t="s">
        <v>82</v>
      </c>
      <c r="P720" s="3" t="str">
        <f>"2170816381                    "</f>
        <v xml:space="preserve">2170816381                    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0</v>
      </c>
      <c r="AJ720" s="3">
        <v>0</v>
      </c>
      <c r="AK720" s="3">
        <v>29.95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1</v>
      </c>
      <c r="BI720" s="3">
        <v>1</v>
      </c>
      <c r="BJ720" s="3">
        <v>1.1000000000000001</v>
      </c>
      <c r="BK720" s="3">
        <v>1.5</v>
      </c>
      <c r="BL720" s="3">
        <v>114.31</v>
      </c>
      <c r="BM720" s="3">
        <v>17.149999999999999</v>
      </c>
      <c r="BN720" s="3">
        <v>131.46</v>
      </c>
      <c r="BO720" s="3">
        <v>131.46</v>
      </c>
      <c r="BQ720" s="3" t="s">
        <v>89</v>
      </c>
      <c r="BR720" s="3" t="s">
        <v>84</v>
      </c>
      <c r="BS720" s="4">
        <v>44575</v>
      </c>
      <c r="BT720" s="5">
        <v>0.52083333333333337</v>
      </c>
      <c r="BU720" s="3" t="s">
        <v>1097</v>
      </c>
      <c r="BV720" s="3" t="s">
        <v>105</v>
      </c>
      <c r="BY720" s="3">
        <v>5320</v>
      </c>
      <c r="BZ720" s="3" t="s">
        <v>165</v>
      </c>
      <c r="CA720" s="3" t="s">
        <v>1011</v>
      </c>
      <c r="CC720" s="3" t="s">
        <v>110</v>
      </c>
      <c r="CD720" s="3">
        <v>7646</v>
      </c>
      <c r="CE720" s="3" t="s">
        <v>86</v>
      </c>
      <c r="CF720" s="4">
        <v>44578</v>
      </c>
      <c r="CI720" s="3">
        <v>1</v>
      </c>
      <c r="CJ720" s="3">
        <v>1</v>
      </c>
      <c r="CK720" s="3">
        <v>23</v>
      </c>
      <c r="CL720" s="3" t="s">
        <v>87</v>
      </c>
    </row>
    <row r="721" spans="1:90" x14ac:dyDescent="0.2">
      <c r="A721" s="3" t="s">
        <v>72</v>
      </c>
      <c r="B721" s="3" t="s">
        <v>73</v>
      </c>
      <c r="C721" s="3" t="s">
        <v>74</v>
      </c>
      <c r="E721" s="3" t="str">
        <f>"FES1162844904"</f>
        <v>FES1162844904</v>
      </c>
      <c r="F721" s="4">
        <v>44574</v>
      </c>
      <c r="G721" s="3">
        <v>202207</v>
      </c>
      <c r="H721" s="3" t="s">
        <v>75</v>
      </c>
      <c r="I721" s="3" t="s">
        <v>76</v>
      </c>
      <c r="J721" s="3" t="s">
        <v>77</v>
      </c>
      <c r="K721" s="3" t="s">
        <v>78</v>
      </c>
      <c r="L721" s="3" t="s">
        <v>171</v>
      </c>
      <c r="M721" s="3" t="s">
        <v>172</v>
      </c>
      <c r="N721" s="3" t="s">
        <v>217</v>
      </c>
      <c r="O721" s="3" t="s">
        <v>82</v>
      </c>
      <c r="P721" s="3" t="str">
        <f>"2170816470                    "</f>
        <v xml:space="preserve">2170816470                    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15.46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1</v>
      </c>
      <c r="BI721" s="3">
        <v>1</v>
      </c>
      <c r="BJ721" s="3">
        <v>0.2</v>
      </c>
      <c r="BK721" s="3">
        <v>1</v>
      </c>
      <c r="BL721" s="3">
        <v>59</v>
      </c>
      <c r="BM721" s="3">
        <v>8.85</v>
      </c>
      <c r="BN721" s="3">
        <v>67.849999999999994</v>
      </c>
      <c r="BO721" s="3">
        <v>67.849999999999994</v>
      </c>
      <c r="BQ721" s="3" t="s">
        <v>89</v>
      </c>
      <c r="BR721" s="3" t="s">
        <v>84</v>
      </c>
      <c r="BS721" s="4">
        <v>44575</v>
      </c>
      <c r="BT721" s="5">
        <v>0.36944444444444446</v>
      </c>
      <c r="BU721" s="3" t="s">
        <v>1098</v>
      </c>
      <c r="BV721" s="3" t="s">
        <v>105</v>
      </c>
      <c r="BY721" s="3">
        <v>1200</v>
      </c>
      <c r="BZ721" s="3" t="s">
        <v>165</v>
      </c>
      <c r="CA721" s="3" t="s">
        <v>814</v>
      </c>
      <c r="CC721" s="3" t="s">
        <v>172</v>
      </c>
      <c r="CD721" s="3">
        <v>6001</v>
      </c>
      <c r="CE721" s="3" t="s">
        <v>93</v>
      </c>
      <c r="CF721" s="4">
        <v>44575</v>
      </c>
      <c r="CI721" s="3">
        <v>1</v>
      </c>
      <c r="CJ721" s="3">
        <v>1</v>
      </c>
      <c r="CK721" s="3">
        <v>21</v>
      </c>
      <c r="CL721" s="3" t="s">
        <v>87</v>
      </c>
    </row>
    <row r="722" spans="1:90" x14ac:dyDescent="0.2">
      <c r="A722" s="3" t="s">
        <v>72</v>
      </c>
      <c r="B722" s="3" t="s">
        <v>73</v>
      </c>
      <c r="C722" s="3" t="s">
        <v>74</v>
      </c>
      <c r="E722" s="3" t="str">
        <f>"FES1162844905"</f>
        <v>FES1162844905</v>
      </c>
      <c r="F722" s="4">
        <v>44574</v>
      </c>
      <c r="G722" s="3">
        <v>202207</v>
      </c>
      <c r="H722" s="3" t="s">
        <v>75</v>
      </c>
      <c r="I722" s="3" t="s">
        <v>76</v>
      </c>
      <c r="J722" s="3" t="s">
        <v>77</v>
      </c>
      <c r="K722" s="3" t="s">
        <v>78</v>
      </c>
      <c r="L722" s="3" t="s">
        <v>184</v>
      </c>
      <c r="M722" s="3" t="s">
        <v>185</v>
      </c>
      <c r="N722" s="3" t="s">
        <v>1099</v>
      </c>
      <c r="O722" s="3" t="s">
        <v>82</v>
      </c>
      <c r="P722" s="3" t="str">
        <f>"2170816471                    "</f>
        <v xml:space="preserve">2170816471                    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23.18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1</v>
      </c>
      <c r="BI722" s="3">
        <v>2</v>
      </c>
      <c r="BJ722" s="3">
        <v>2.6</v>
      </c>
      <c r="BK722" s="3">
        <v>3</v>
      </c>
      <c r="BL722" s="3">
        <v>88.48</v>
      </c>
      <c r="BM722" s="3">
        <v>13.27</v>
      </c>
      <c r="BN722" s="3">
        <v>101.75</v>
      </c>
      <c r="BO722" s="3">
        <v>101.75</v>
      </c>
      <c r="BQ722" s="3" t="s">
        <v>89</v>
      </c>
      <c r="BR722" s="3" t="s">
        <v>84</v>
      </c>
      <c r="BS722" s="4">
        <v>44575</v>
      </c>
      <c r="BT722" s="5">
        <v>0.39097222222222222</v>
      </c>
      <c r="BU722" s="3" t="s">
        <v>1100</v>
      </c>
      <c r="BV722" s="3" t="s">
        <v>105</v>
      </c>
      <c r="BY722" s="3">
        <v>13068</v>
      </c>
      <c r="BZ722" s="3" t="s">
        <v>165</v>
      </c>
      <c r="CA722" s="3" t="s">
        <v>612</v>
      </c>
      <c r="CC722" s="3" t="s">
        <v>185</v>
      </c>
      <c r="CD722" s="3">
        <v>5201</v>
      </c>
      <c r="CE722" s="3" t="s">
        <v>86</v>
      </c>
      <c r="CF722" s="4">
        <v>44575</v>
      </c>
      <c r="CI722" s="3">
        <v>1</v>
      </c>
      <c r="CJ722" s="3">
        <v>1</v>
      </c>
      <c r="CK722" s="3">
        <v>21</v>
      </c>
      <c r="CL722" s="3" t="s">
        <v>87</v>
      </c>
    </row>
    <row r="723" spans="1:90" x14ac:dyDescent="0.2">
      <c r="A723" s="3" t="s">
        <v>72</v>
      </c>
      <c r="B723" s="3" t="s">
        <v>73</v>
      </c>
      <c r="C723" s="3" t="s">
        <v>74</v>
      </c>
      <c r="E723" s="3" t="str">
        <f>"FES1162845004"</f>
        <v>FES1162845004</v>
      </c>
      <c r="F723" s="4">
        <v>44574</v>
      </c>
      <c r="G723" s="3">
        <v>202207</v>
      </c>
      <c r="H723" s="3" t="s">
        <v>75</v>
      </c>
      <c r="I723" s="3" t="s">
        <v>76</v>
      </c>
      <c r="J723" s="3" t="s">
        <v>77</v>
      </c>
      <c r="K723" s="3" t="s">
        <v>78</v>
      </c>
      <c r="L723" s="3" t="s">
        <v>138</v>
      </c>
      <c r="M723" s="3" t="s">
        <v>139</v>
      </c>
      <c r="N723" s="3" t="s">
        <v>152</v>
      </c>
      <c r="O723" s="3" t="s">
        <v>82</v>
      </c>
      <c r="P723" s="3" t="str">
        <f>"2170816565                    "</f>
        <v xml:space="preserve">2170816565                    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15.46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1</v>
      </c>
      <c r="BI723" s="3">
        <v>1</v>
      </c>
      <c r="BJ723" s="3">
        <v>0.2</v>
      </c>
      <c r="BK723" s="3">
        <v>1</v>
      </c>
      <c r="BL723" s="3">
        <v>59</v>
      </c>
      <c r="BM723" s="3">
        <v>8.85</v>
      </c>
      <c r="BN723" s="3">
        <v>67.849999999999994</v>
      </c>
      <c r="BO723" s="3">
        <v>67.849999999999994</v>
      </c>
      <c r="BQ723" s="3" t="s">
        <v>83</v>
      </c>
      <c r="BR723" s="3" t="s">
        <v>84</v>
      </c>
      <c r="BS723" s="4">
        <v>44575</v>
      </c>
      <c r="BT723" s="5">
        <v>0.42708333333333331</v>
      </c>
      <c r="BU723" s="3" t="s">
        <v>655</v>
      </c>
      <c r="BV723" s="3" t="s">
        <v>105</v>
      </c>
      <c r="BY723" s="3">
        <v>1200</v>
      </c>
      <c r="BZ723" s="3" t="s">
        <v>165</v>
      </c>
      <c r="CA723" s="3" t="s">
        <v>303</v>
      </c>
      <c r="CC723" s="3" t="s">
        <v>139</v>
      </c>
      <c r="CD723" s="3">
        <v>3610</v>
      </c>
      <c r="CE723" s="3" t="s">
        <v>93</v>
      </c>
      <c r="CF723" s="4">
        <v>44578</v>
      </c>
      <c r="CI723" s="3">
        <v>1</v>
      </c>
      <c r="CJ723" s="3">
        <v>1</v>
      </c>
      <c r="CK723" s="3">
        <v>21</v>
      </c>
      <c r="CL723" s="3" t="s">
        <v>87</v>
      </c>
    </row>
    <row r="724" spans="1:90" x14ac:dyDescent="0.2">
      <c r="A724" s="3" t="s">
        <v>72</v>
      </c>
      <c r="B724" s="3" t="s">
        <v>73</v>
      </c>
      <c r="C724" s="3" t="s">
        <v>74</v>
      </c>
      <c r="E724" s="3" t="str">
        <f>"FES1162845016"</f>
        <v>FES1162845016</v>
      </c>
      <c r="F724" s="4">
        <v>44574</v>
      </c>
      <c r="G724" s="3">
        <v>202207</v>
      </c>
      <c r="H724" s="3" t="s">
        <v>75</v>
      </c>
      <c r="I724" s="3" t="s">
        <v>76</v>
      </c>
      <c r="J724" s="3" t="s">
        <v>77</v>
      </c>
      <c r="K724" s="3" t="s">
        <v>78</v>
      </c>
      <c r="L724" s="3" t="s">
        <v>90</v>
      </c>
      <c r="M724" s="3" t="s">
        <v>91</v>
      </c>
      <c r="N724" s="3" t="s">
        <v>132</v>
      </c>
      <c r="O724" s="3" t="s">
        <v>82</v>
      </c>
      <c r="P724" s="3" t="str">
        <f>"2170816580                    "</f>
        <v xml:space="preserve">2170816580                    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15.46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1</v>
      </c>
      <c r="BI724" s="3">
        <v>1</v>
      </c>
      <c r="BJ724" s="3">
        <v>0.2</v>
      </c>
      <c r="BK724" s="3">
        <v>1</v>
      </c>
      <c r="BL724" s="3">
        <v>59</v>
      </c>
      <c r="BM724" s="3">
        <v>8.85</v>
      </c>
      <c r="BN724" s="3">
        <v>67.849999999999994</v>
      </c>
      <c r="BO724" s="3">
        <v>67.849999999999994</v>
      </c>
      <c r="BQ724" s="3" t="s">
        <v>83</v>
      </c>
      <c r="BR724" s="3" t="s">
        <v>84</v>
      </c>
      <c r="BS724" s="4">
        <v>44578</v>
      </c>
      <c r="BT724" s="5">
        <v>0.4236111111111111</v>
      </c>
      <c r="BU724" s="3" t="s">
        <v>595</v>
      </c>
      <c r="BV724" s="3" t="s">
        <v>87</v>
      </c>
      <c r="BY724" s="3">
        <v>1200</v>
      </c>
      <c r="BZ724" s="3" t="s">
        <v>165</v>
      </c>
      <c r="CA724" s="3" t="s">
        <v>596</v>
      </c>
      <c r="CC724" s="3" t="s">
        <v>91</v>
      </c>
      <c r="CD724" s="3">
        <v>7530</v>
      </c>
      <c r="CE724" s="3" t="s">
        <v>93</v>
      </c>
      <c r="CF724" s="4">
        <v>44579</v>
      </c>
      <c r="CI724" s="3">
        <v>1</v>
      </c>
      <c r="CJ724" s="3">
        <v>2</v>
      </c>
      <c r="CK724" s="3">
        <v>21</v>
      </c>
      <c r="CL724" s="3" t="s">
        <v>87</v>
      </c>
    </row>
    <row r="725" spans="1:90" x14ac:dyDescent="0.2">
      <c r="A725" s="3" t="s">
        <v>72</v>
      </c>
      <c r="B725" s="3" t="s">
        <v>73</v>
      </c>
      <c r="C725" s="3" t="s">
        <v>74</v>
      </c>
      <c r="E725" s="3" t="str">
        <f>"FES1162844967"</f>
        <v>FES1162844967</v>
      </c>
      <c r="F725" s="4">
        <v>44574</v>
      </c>
      <c r="G725" s="3">
        <v>202207</v>
      </c>
      <c r="H725" s="3" t="s">
        <v>75</v>
      </c>
      <c r="I725" s="3" t="s">
        <v>76</v>
      </c>
      <c r="J725" s="3" t="s">
        <v>77</v>
      </c>
      <c r="K725" s="3" t="s">
        <v>78</v>
      </c>
      <c r="L725" s="3" t="s">
        <v>90</v>
      </c>
      <c r="M725" s="3" t="s">
        <v>91</v>
      </c>
      <c r="N725" s="3" t="s">
        <v>132</v>
      </c>
      <c r="O725" s="3" t="s">
        <v>148</v>
      </c>
      <c r="P725" s="3" t="str">
        <f>"2170816523                    "</f>
        <v xml:space="preserve">2170816523                    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34.82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1</v>
      </c>
      <c r="BI725" s="3">
        <v>9</v>
      </c>
      <c r="BJ725" s="3">
        <v>18.3</v>
      </c>
      <c r="BK725" s="3">
        <v>19</v>
      </c>
      <c r="BL725" s="3">
        <v>138.15</v>
      </c>
      <c r="BM725" s="3">
        <v>20.72</v>
      </c>
      <c r="BN725" s="3">
        <v>158.87</v>
      </c>
      <c r="BO725" s="3">
        <v>158.87</v>
      </c>
      <c r="BQ725" s="3" t="s">
        <v>83</v>
      </c>
      <c r="BR725" s="3" t="s">
        <v>84</v>
      </c>
      <c r="BS725" s="4">
        <v>44578</v>
      </c>
      <c r="BT725" s="5">
        <v>0.4236111111111111</v>
      </c>
      <c r="BU725" s="3" t="s">
        <v>595</v>
      </c>
      <c r="BV725" s="3" t="s">
        <v>105</v>
      </c>
      <c r="BY725" s="3">
        <v>91264</v>
      </c>
      <c r="BZ725" s="3" t="s">
        <v>327</v>
      </c>
      <c r="CA725" s="3" t="s">
        <v>596</v>
      </c>
      <c r="CC725" s="3" t="s">
        <v>91</v>
      </c>
      <c r="CD725" s="3">
        <v>7530</v>
      </c>
      <c r="CE725" s="3" t="s">
        <v>86</v>
      </c>
      <c r="CF725" s="4">
        <v>44579</v>
      </c>
      <c r="CI725" s="3">
        <v>2</v>
      </c>
      <c r="CJ725" s="3">
        <v>2</v>
      </c>
      <c r="CK725" s="3">
        <v>41</v>
      </c>
      <c r="CL725" s="3" t="s">
        <v>87</v>
      </c>
    </row>
    <row r="726" spans="1:90" x14ac:dyDescent="0.2">
      <c r="A726" s="3" t="s">
        <v>72</v>
      </c>
      <c r="B726" s="3" t="s">
        <v>73</v>
      </c>
      <c r="C726" s="3" t="s">
        <v>74</v>
      </c>
      <c r="E726" s="3" t="str">
        <f>"FES1162845008"</f>
        <v>FES1162845008</v>
      </c>
      <c r="F726" s="4">
        <v>44574</v>
      </c>
      <c r="G726" s="3">
        <v>202207</v>
      </c>
      <c r="H726" s="3" t="s">
        <v>75</v>
      </c>
      <c r="I726" s="3" t="s">
        <v>76</v>
      </c>
      <c r="J726" s="3" t="s">
        <v>77</v>
      </c>
      <c r="K726" s="3" t="s">
        <v>78</v>
      </c>
      <c r="L726" s="3" t="s">
        <v>79</v>
      </c>
      <c r="M726" s="3" t="s">
        <v>80</v>
      </c>
      <c r="N726" s="3" t="s">
        <v>248</v>
      </c>
      <c r="O726" s="3" t="s">
        <v>82</v>
      </c>
      <c r="P726" s="3" t="str">
        <f>"2170816571                    "</f>
        <v xml:space="preserve">2170816571                    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104.29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v>0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2</v>
      </c>
      <c r="BI726" s="3">
        <v>7</v>
      </c>
      <c r="BJ726" s="3">
        <v>13.4</v>
      </c>
      <c r="BK726" s="3">
        <v>13.5</v>
      </c>
      <c r="BL726" s="3">
        <v>398.07</v>
      </c>
      <c r="BM726" s="3">
        <v>59.71</v>
      </c>
      <c r="BN726" s="3">
        <v>457.78</v>
      </c>
      <c r="BO726" s="3">
        <v>457.78</v>
      </c>
      <c r="BQ726" s="3" t="s">
        <v>83</v>
      </c>
      <c r="BR726" s="3" t="s">
        <v>84</v>
      </c>
      <c r="BS726" s="4">
        <v>44575</v>
      </c>
      <c r="BT726" s="5">
        <v>0.39999999999999997</v>
      </c>
      <c r="BU726" s="3" t="s">
        <v>1008</v>
      </c>
      <c r="BV726" s="3" t="s">
        <v>105</v>
      </c>
      <c r="BY726" s="3">
        <v>67176</v>
      </c>
      <c r="BZ726" s="3" t="s">
        <v>165</v>
      </c>
      <c r="CA726" s="3" t="s">
        <v>362</v>
      </c>
      <c r="CC726" s="3" t="s">
        <v>80</v>
      </c>
      <c r="CD726" s="3">
        <v>1</v>
      </c>
      <c r="CE726" s="3" t="s">
        <v>221</v>
      </c>
      <c r="CF726" s="4">
        <v>44575</v>
      </c>
      <c r="CI726" s="3">
        <v>1</v>
      </c>
      <c r="CJ726" s="3">
        <v>1</v>
      </c>
      <c r="CK726" s="3">
        <v>21</v>
      </c>
      <c r="CL726" s="3" t="s">
        <v>87</v>
      </c>
    </row>
    <row r="727" spans="1:90" x14ac:dyDescent="0.2">
      <c r="A727" s="3" t="s">
        <v>72</v>
      </c>
      <c r="B727" s="3" t="s">
        <v>73</v>
      </c>
      <c r="C727" s="3" t="s">
        <v>74</v>
      </c>
      <c r="E727" s="3" t="str">
        <f>"FES1162844960"</f>
        <v>FES1162844960</v>
      </c>
      <c r="F727" s="4">
        <v>44574</v>
      </c>
      <c r="G727" s="3">
        <v>202207</v>
      </c>
      <c r="H727" s="3" t="s">
        <v>75</v>
      </c>
      <c r="I727" s="3" t="s">
        <v>76</v>
      </c>
      <c r="J727" s="3" t="s">
        <v>77</v>
      </c>
      <c r="K727" s="3" t="s">
        <v>78</v>
      </c>
      <c r="L727" s="3" t="s">
        <v>805</v>
      </c>
      <c r="M727" s="3" t="s">
        <v>806</v>
      </c>
      <c r="N727" s="3" t="s">
        <v>807</v>
      </c>
      <c r="O727" s="3" t="s">
        <v>148</v>
      </c>
      <c r="P727" s="3" t="str">
        <f>"2170815336                    "</f>
        <v xml:space="preserve">2170815336                    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42.16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1</v>
      </c>
      <c r="BI727" s="3">
        <v>12</v>
      </c>
      <c r="BJ727" s="3">
        <v>4.3</v>
      </c>
      <c r="BK727" s="3">
        <v>12</v>
      </c>
      <c r="BL727" s="3">
        <v>166.16</v>
      </c>
      <c r="BM727" s="3">
        <v>24.92</v>
      </c>
      <c r="BN727" s="3">
        <v>191.08</v>
      </c>
      <c r="BO727" s="3">
        <v>191.08</v>
      </c>
      <c r="BQ727" s="3" t="s">
        <v>808</v>
      </c>
      <c r="BR727" s="3" t="s">
        <v>84</v>
      </c>
      <c r="BS727" s="4">
        <v>44578</v>
      </c>
      <c r="BT727" s="5">
        <v>0.57361111111111118</v>
      </c>
      <c r="BU727" s="3" t="s">
        <v>1101</v>
      </c>
      <c r="BV727" s="3" t="s">
        <v>87</v>
      </c>
      <c r="BW727" s="3" t="s">
        <v>278</v>
      </c>
      <c r="BX727" s="3" t="s">
        <v>871</v>
      </c>
      <c r="BY727" s="3">
        <v>21560</v>
      </c>
      <c r="BZ727" s="3" t="s">
        <v>327</v>
      </c>
      <c r="CA727" s="3" t="s">
        <v>809</v>
      </c>
      <c r="CC727" s="3" t="s">
        <v>806</v>
      </c>
      <c r="CD727" s="3">
        <v>4400</v>
      </c>
      <c r="CE727" s="3" t="s">
        <v>86</v>
      </c>
      <c r="CF727" s="4">
        <v>44579</v>
      </c>
      <c r="CI727" s="3">
        <v>1</v>
      </c>
      <c r="CJ727" s="3">
        <v>2</v>
      </c>
      <c r="CK727" s="3">
        <v>43</v>
      </c>
      <c r="CL727" s="3" t="s">
        <v>87</v>
      </c>
    </row>
    <row r="728" spans="1:90" x14ac:dyDescent="0.2">
      <c r="A728" s="3" t="s">
        <v>72</v>
      </c>
      <c r="B728" s="3" t="s">
        <v>73</v>
      </c>
      <c r="C728" s="3" t="s">
        <v>74</v>
      </c>
      <c r="E728" s="3" t="str">
        <f>"FES1162845032"</f>
        <v>FES1162845032</v>
      </c>
      <c r="F728" s="4">
        <v>44574</v>
      </c>
      <c r="G728" s="3">
        <v>202207</v>
      </c>
      <c r="H728" s="3" t="s">
        <v>75</v>
      </c>
      <c r="I728" s="3" t="s">
        <v>76</v>
      </c>
      <c r="J728" s="3" t="s">
        <v>77</v>
      </c>
      <c r="K728" s="3" t="s">
        <v>78</v>
      </c>
      <c r="L728" s="3" t="s">
        <v>184</v>
      </c>
      <c r="M728" s="3" t="s">
        <v>185</v>
      </c>
      <c r="N728" s="3" t="s">
        <v>186</v>
      </c>
      <c r="O728" s="3" t="s">
        <v>148</v>
      </c>
      <c r="P728" s="3" t="str">
        <f>"2170812692                    "</f>
        <v xml:space="preserve">2170812692                    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36.049999999999997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1</v>
      </c>
      <c r="BI728" s="3">
        <v>12</v>
      </c>
      <c r="BJ728" s="3">
        <v>20</v>
      </c>
      <c r="BK728" s="3">
        <v>20</v>
      </c>
      <c r="BL728" s="3">
        <v>142.85</v>
      </c>
      <c r="BM728" s="3">
        <v>21.43</v>
      </c>
      <c r="BN728" s="3">
        <v>164.28</v>
      </c>
      <c r="BO728" s="3">
        <v>164.28</v>
      </c>
      <c r="BQ728" s="3" t="s">
        <v>83</v>
      </c>
      <c r="BR728" s="3" t="s">
        <v>84</v>
      </c>
      <c r="BS728" s="4">
        <v>44578</v>
      </c>
      <c r="BT728" s="5">
        <v>0.58472222222222225</v>
      </c>
      <c r="BU728" s="3" t="s">
        <v>604</v>
      </c>
      <c r="BV728" s="3" t="s">
        <v>105</v>
      </c>
      <c r="BY728" s="3">
        <v>100000</v>
      </c>
      <c r="BZ728" s="3" t="s">
        <v>327</v>
      </c>
      <c r="CA728" s="3" t="s">
        <v>649</v>
      </c>
      <c r="CC728" s="3" t="s">
        <v>185</v>
      </c>
      <c r="CD728" s="3">
        <v>5201</v>
      </c>
      <c r="CE728" s="3" t="s">
        <v>86</v>
      </c>
      <c r="CF728" s="4">
        <v>44578</v>
      </c>
      <c r="CI728" s="3">
        <v>3</v>
      </c>
      <c r="CJ728" s="3">
        <v>2</v>
      </c>
      <c r="CK728" s="3">
        <v>41</v>
      </c>
      <c r="CL728" s="3" t="s">
        <v>87</v>
      </c>
    </row>
    <row r="729" spans="1:90" x14ac:dyDescent="0.2">
      <c r="A729" s="3" t="s">
        <v>72</v>
      </c>
      <c r="B729" s="3" t="s">
        <v>73</v>
      </c>
      <c r="C729" s="3" t="s">
        <v>74</v>
      </c>
      <c r="E729" s="3" t="str">
        <f>"FES1162845006"</f>
        <v>FES1162845006</v>
      </c>
      <c r="F729" s="4">
        <v>44574</v>
      </c>
      <c r="G729" s="3">
        <v>202207</v>
      </c>
      <c r="H729" s="3" t="s">
        <v>75</v>
      </c>
      <c r="I729" s="3" t="s">
        <v>76</v>
      </c>
      <c r="J729" s="3" t="s">
        <v>77</v>
      </c>
      <c r="K729" s="3" t="s">
        <v>78</v>
      </c>
      <c r="L729" s="3" t="s">
        <v>75</v>
      </c>
      <c r="M729" s="3" t="s">
        <v>76</v>
      </c>
      <c r="N729" s="3" t="s">
        <v>209</v>
      </c>
      <c r="O729" s="3" t="s">
        <v>82</v>
      </c>
      <c r="P729" s="3" t="str">
        <f>"2170816569                    "</f>
        <v xml:space="preserve">2170816569                    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12.07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1</v>
      </c>
      <c r="BI729" s="3">
        <v>1</v>
      </c>
      <c r="BJ729" s="3">
        <v>1.7</v>
      </c>
      <c r="BK729" s="3">
        <v>2</v>
      </c>
      <c r="BL729" s="3">
        <v>46.08</v>
      </c>
      <c r="BM729" s="3">
        <v>6.91</v>
      </c>
      <c r="BN729" s="3">
        <v>52.99</v>
      </c>
      <c r="BO729" s="3">
        <v>52.99</v>
      </c>
      <c r="BQ729" s="3" t="s">
        <v>89</v>
      </c>
      <c r="BR729" s="3" t="s">
        <v>84</v>
      </c>
      <c r="BS729" s="4">
        <v>44575</v>
      </c>
      <c r="BT729" s="5">
        <v>0.3298611111111111</v>
      </c>
      <c r="BU729" s="3" t="s">
        <v>1102</v>
      </c>
      <c r="BV729" s="3" t="s">
        <v>105</v>
      </c>
      <c r="BY729" s="3">
        <v>8550</v>
      </c>
      <c r="BZ729" s="3" t="s">
        <v>165</v>
      </c>
      <c r="CA729" s="3" t="s">
        <v>227</v>
      </c>
      <c r="CC729" s="3" t="s">
        <v>76</v>
      </c>
      <c r="CD729" s="3">
        <v>1600</v>
      </c>
      <c r="CE729" s="3" t="s">
        <v>86</v>
      </c>
      <c r="CF729" s="4">
        <v>44575</v>
      </c>
      <c r="CI729" s="3">
        <v>1</v>
      </c>
      <c r="CJ729" s="3">
        <v>1</v>
      </c>
      <c r="CK729" s="3">
        <v>22</v>
      </c>
      <c r="CL729" s="3" t="s">
        <v>87</v>
      </c>
    </row>
    <row r="730" spans="1:90" x14ac:dyDescent="0.2">
      <c r="A730" s="3" t="s">
        <v>72</v>
      </c>
      <c r="B730" s="3" t="s">
        <v>73</v>
      </c>
      <c r="C730" s="3" t="s">
        <v>74</v>
      </c>
      <c r="E730" s="3" t="str">
        <f>"FES1162844910"</f>
        <v>FES1162844910</v>
      </c>
      <c r="F730" s="4">
        <v>44574</v>
      </c>
      <c r="G730" s="3">
        <v>202207</v>
      </c>
      <c r="H730" s="3" t="s">
        <v>75</v>
      </c>
      <c r="I730" s="3" t="s">
        <v>76</v>
      </c>
      <c r="J730" s="3" t="s">
        <v>77</v>
      </c>
      <c r="K730" s="3" t="s">
        <v>78</v>
      </c>
      <c r="L730" s="3" t="s">
        <v>120</v>
      </c>
      <c r="M730" s="3" t="s">
        <v>121</v>
      </c>
      <c r="N730" s="3" t="s">
        <v>410</v>
      </c>
      <c r="O730" s="3" t="s">
        <v>82</v>
      </c>
      <c r="P730" s="3" t="str">
        <f>"2170816469                    "</f>
        <v xml:space="preserve">2170816469                    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115.88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1</v>
      </c>
      <c r="BI730" s="3">
        <v>15</v>
      </c>
      <c r="BJ730" s="3">
        <v>6.5</v>
      </c>
      <c r="BK730" s="3">
        <v>15</v>
      </c>
      <c r="BL730" s="3">
        <v>442.3</v>
      </c>
      <c r="BM730" s="3">
        <v>66.349999999999994</v>
      </c>
      <c r="BN730" s="3">
        <v>508.65</v>
      </c>
      <c r="BO730" s="3">
        <v>508.65</v>
      </c>
      <c r="BQ730" s="3" t="s">
        <v>411</v>
      </c>
      <c r="BR730" s="3" t="s">
        <v>84</v>
      </c>
      <c r="BS730" s="4">
        <v>44575</v>
      </c>
      <c r="BT730" s="5">
        <v>0.39166666666666666</v>
      </c>
      <c r="BU730" s="3" t="s">
        <v>1103</v>
      </c>
      <c r="BV730" s="3" t="s">
        <v>105</v>
      </c>
      <c r="BY730" s="3">
        <v>32490</v>
      </c>
      <c r="BZ730" s="3" t="s">
        <v>165</v>
      </c>
      <c r="CA730" s="3" t="s">
        <v>553</v>
      </c>
      <c r="CC730" s="3" t="s">
        <v>121</v>
      </c>
      <c r="CD730" s="3">
        <v>6230</v>
      </c>
      <c r="CE730" s="3" t="s">
        <v>86</v>
      </c>
      <c r="CF730" s="4">
        <v>44575</v>
      </c>
      <c r="CI730" s="3">
        <v>1</v>
      </c>
      <c r="CJ730" s="3">
        <v>1</v>
      </c>
      <c r="CK730" s="3">
        <v>21</v>
      </c>
      <c r="CL730" s="3" t="s">
        <v>87</v>
      </c>
    </row>
    <row r="731" spans="1:90" x14ac:dyDescent="0.2">
      <c r="A731" s="3" t="s">
        <v>72</v>
      </c>
      <c r="B731" s="3" t="s">
        <v>73</v>
      </c>
      <c r="C731" s="3" t="s">
        <v>74</v>
      </c>
      <c r="E731" s="3" t="str">
        <f>"FES1162844968"</f>
        <v>FES1162844968</v>
      </c>
      <c r="F731" s="4">
        <v>44574</v>
      </c>
      <c r="G731" s="3">
        <v>202207</v>
      </c>
      <c r="H731" s="3" t="s">
        <v>75</v>
      </c>
      <c r="I731" s="3" t="s">
        <v>76</v>
      </c>
      <c r="J731" s="3" t="s">
        <v>77</v>
      </c>
      <c r="K731" s="3" t="s">
        <v>78</v>
      </c>
      <c r="L731" s="3" t="s">
        <v>101</v>
      </c>
      <c r="M731" s="3" t="s">
        <v>102</v>
      </c>
      <c r="N731" s="3" t="s">
        <v>272</v>
      </c>
      <c r="O731" s="3" t="s">
        <v>82</v>
      </c>
      <c r="P731" s="3" t="str">
        <f>"2170816524                    "</f>
        <v xml:space="preserve">2170816524                    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15.46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1</v>
      </c>
      <c r="BI731" s="3">
        <v>1</v>
      </c>
      <c r="BJ731" s="3">
        <v>0.2</v>
      </c>
      <c r="BK731" s="3">
        <v>1</v>
      </c>
      <c r="BL731" s="3">
        <v>59</v>
      </c>
      <c r="BM731" s="3">
        <v>8.85</v>
      </c>
      <c r="BN731" s="3">
        <v>67.849999999999994</v>
      </c>
      <c r="BO731" s="3">
        <v>67.849999999999994</v>
      </c>
      <c r="BQ731" s="3" t="s">
        <v>273</v>
      </c>
      <c r="BR731" s="3" t="s">
        <v>84</v>
      </c>
      <c r="BS731" s="4">
        <v>44578</v>
      </c>
      <c r="BT731" s="5">
        <v>0.3888888888888889</v>
      </c>
      <c r="BU731" s="3" t="s">
        <v>274</v>
      </c>
      <c r="BV731" s="3" t="s">
        <v>87</v>
      </c>
      <c r="BW731" s="3" t="s">
        <v>278</v>
      </c>
      <c r="BX731" s="3" t="s">
        <v>279</v>
      </c>
      <c r="BY731" s="3">
        <v>1200</v>
      </c>
      <c r="BZ731" s="3" t="s">
        <v>165</v>
      </c>
      <c r="CA731" s="3" t="s">
        <v>275</v>
      </c>
      <c r="CC731" s="3" t="s">
        <v>102</v>
      </c>
      <c r="CD731" s="3">
        <v>4000</v>
      </c>
      <c r="CE731" s="3" t="s">
        <v>93</v>
      </c>
      <c r="CF731" s="4">
        <v>44579</v>
      </c>
      <c r="CI731" s="3">
        <v>1</v>
      </c>
      <c r="CJ731" s="3">
        <v>2</v>
      </c>
      <c r="CK731" s="3">
        <v>21</v>
      </c>
      <c r="CL731" s="3" t="s">
        <v>87</v>
      </c>
    </row>
    <row r="732" spans="1:90" x14ac:dyDescent="0.2">
      <c r="A732" s="3" t="s">
        <v>72</v>
      </c>
      <c r="B732" s="3" t="s">
        <v>73</v>
      </c>
      <c r="C732" s="3" t="s">
        <v>74</v>
      </c>
      <c r="E732" s="3" t="str">
        <f>"FES1162844896"</f>
        <v>FES1162844896</v>
      </c>
      <c r="F732" s="4">
        <v>44574</v>
      </c>
      <c r="G732" s="3">
        <v>202207</v>
      </c>
      <c r="H732" s="3" t="s">
        <v>75</v>
      </c>
      <c r="I732" s="3" t="s">
        <v>76</v>
      </c>
      <c r="J732" s="3" t="s">
        <v>77</v>
      </c>
      <c r="K732" s="3" t="s">
        <v>78</v>
      </c>
      <c r="L732" s="3" t="s">
        <v>90</v>
      </c>
      <c r="M732" s="3" t="s">
        <v>91</v>
      </c>
      <c r="N732" s="3" t="s">
        <v>577</v>
      </c>
      <c r="O732" s="3" t="s">
        <v>82</v>
      </c>
      <c r="P732" s="3" t="str">
        <f>"2170816468                    "</f>
        <v xml:space="preserve">2170816468                    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15.46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1</v>
      </c>
      <c r="BI732" s="3">
        <v>1</v>
      </c>
      <c r="BJ732" s="3">
        <v>0.2</v>
      </c>
      <c r="BK732" s="3">
        <v>1</v>
      </c>
      <c r="BL732" s="3">
        <v>59</v>
      </c>
      <c r="BM732" s="3">
        <v>8.85</v>
      </c>
      <c r="BN732" s="3">
        <v>67.849999999999994</v>
      </c>
      <c r="BO732" s="3">
        <v>67.849999999999994</v>
      </c>
      <c r="BQ732" s="3" t="s">
        <v>126</v>
      </c>
      <c r="BR732" s="3" t="s">
        <v>84</v>
      </c>
      <c r="BS732" s="4">
        <v>44575</v>
      </c>
      <c r="BT732" s="5">
        <v>0.36944444444444446</v>
      </c>
      <c r="BU732" s="3" t="s">
        <v>1104</v>
      </c>
      <c r="BV732" s="3" t="s">
        <v>105</v>
      </c>
      <c r="BY732" s="3">
        <v>1200</v>
      </c>
      <c r="BZ732" s="3" t="s">
        <v>165</v>
      </c>
      <c r="CA732" s="3" t="s">
        <v>271</v>
      </c>
      <c r="CC732" s="3" t="s">
        <v>91</v>
      </c>
      <c r="CD732" s="3">
        <v>7441</v>
      </c>
      <c r="CE732" s="3" t="s">
        <v>93</v>
      </c>
      <c r="CF732" s="4">
        <v>44578</v>
      </c>
      <c r="CI732" s="3">
        <v>1</v>
      </c>
      <c r="CJ732" s="3">
        <v>1</v>
      </c>
      <c r="CK732" s="3">
        <v>21</v>
      </c>
      <c r="CL732" s="3" t="s">
        <v>87</v>
      </c>
    </row>
    <row r="733" spans="1:90" x14ac:dyDescent="0.2">
      <c r="A733" s="3" t="s">
        <v>72</v>
      </c>
      <c r="B733" s="3" t="s">
        <v>73</v>
      </c>
      <c r="C733" s="3" t="s">
        <v>74</v>
      </c>
      <c r="E733" s="3" t="str">
        <f>"FES1162844945"</f>
        <v>FES1162844945</v>
      </c>
      <c r="F733" s="4">
        <v>44574</v>
      </c>
      <c r="G733" s="3">
        <v>202207</v>
      </c>
      <c r="H733" s="3" t="s">
        <v>75</v>
      </c>
      <c r="I733" s="3" t="s">
        <v>76</v>
      </c>
      <c r="J733" s="3" t="s">
        <v>77</v>
      </c>
      <c r="K733" s="3" t="s">
        <v>78</v>
      </c>
      <c r="L733" s="3" t="s">
        <v>123</v>
      </c>
      <c r="M733" s="3" t="s">
        <v>124</v>
      </c>
      <c r="N733" s="3" t="s">
        <v>709</v>
      </c>
      <c r="O733" s="3" t="s">
        <v>82</v>
      </c>
      <c r="P733" s="3" t="str">
        <f>"2170816509                    "</f>
        <v xml:space="preserve">2170816509                    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12.07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1</v>
      </c>
      <c r="BI733" s="3">
        <v>1</v>
      </c>
      <c r="BJ733" s="3">
        <v>0.2</v>
      </c>
      <c r="BK733" s="3">
        <v>1</v>
      </c>
      <c r="BL733" s="3">
        <v>46.08</v>
      </c>
      <c r="BM733" s="3">
        <v>6.91</v>
      </c>
      <c r="BN733" s="3">
        <v>52.99</v>
      </c>
      <c r="BO733" s="3">
        <v>52.99</v>
      </c>
      <c r="BQ733" s="3" t="s">
        <v>89</v>
      </c>
      <c r="BR733" s="3" t="s">
        <v>84</v>
      </c>
      <c r="BS733" s="4">
        <v>44575</v>
      </c>
      <c r="BT733" s="5">
        <v>0.38611111111111113</v>
      </c>
      <c r="BU733" s="3" t="s">
        <v>1105</v>
      </c>
      <c r="BV733" s="3" t="s">
        <v>105</v>
      </c>
      <c r="BY733" s="3">
        <v>1200</v>
      </c>
      <c r="BZ733" s="3" t="s">
        <v>165</v>
      </c>
      <c r="CA733" s="3" t="s">
        <v>266</v>
      </c>
      <c r="CC733" s="3" t="s">
        <v>124</v>
      </c>
      <c r="CD733" s="3">
        <v>1725</v>
      </c>
      <c r="CE733" s="3" t="s">
        <v>93</v>
      </c>
      <c r="CF733" s="4">
        <v>44576</v>
      </c>
      <c r="CI733" s="3">
        <v>1</v>
      </c>
      <c r="CJ733" s="3">
        <v>1</v>
      </c>
      <c r="CK733" s="3">
        <v>22</v>
      </c>
      <c r="CL733" s="3" t="s">
        <v>87</v>
      </c>
    </row>
    <row r="734" spans="1:90" x14ac:dyDescent="0.2">
      <c r="A734" s="3" t="s">
        <v>72</v>
      </c>
      <c r="B734" s="3" t="s">
        <v>73</v>
      </c>
      <c r="C734" s="3" t="s">
        <v>74</v>
      </c>
      <c r="E734" s="3" t="str">
        <f>"FES1162845122"</f>
        <v>FES1162845122</v>
      </c>
      <c r="F734" s="4">
        <v>44575</v>
      </c>
      <c r="G734" s="3">
        <v>202207</v>
      </c>
      <c r="H734" s="3" t="s">
        <v>75</v>
      </c>
      <c r="I734" s="3" t="s">
        <v>76</v>
      </c>
      <c r="J734" s="3" t="s">
        <v>77</v>
      </c>
      <c r="K734" s="3" t="s">
        <v>78</v>
      </c>
      <c r="L734" s="3" t="s">
        <v>171</v>
      </c>
      <c r="M734" s="3" t="s">
        <v>172</v>
      </c>
      <c r="N734" s="3" t="s">
        <v>249</v>
      </c>
      <c r="O734" s="3" t="s">
        <v>82</v>
      </c>
      <c r="P734" s="3" t="str">
        <f>"2170816713                    "</f>
        <v xml:space="preserve">2170816713                    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15.46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1</v>
      </c>
      <c r="BI734" s="3">
        <v>1</v>
      </c>
      <c r="BJ734" s="3">
        <v>0.2</v>
      </c>
      <c r="BK734" s="3">
        <v>1</v>
      </c>
      <c r="BL734" s="3">
        <v>59</v>
      </c>
      <c r="BM734" s="3">
        <v>8.85</v>
      </c>
      <c r="BN734" s="3">
        <v>67.849999999999994</v>
      </c>
      <c r="BO734" s="3">
        <v>67.849999999999994</v>
      </c>
      <c r="BQ734" s="3" t="s">
        <v>89</v>
      </c>
      <c r="BR734" s="3" t="s">
        <v>84</v>
      </c>
      <c r="BS734" s="4">
        <v>44578</v>
      </c>
      <c r="BT734" s="5">
        <v>0.40486111111111112</v>
      </c>
      <c r="BU734" s="3" t="s">
        <v>1106</v>
      </c>
      <c r="BV734" s="3" t="s">
        <v>105</v>
      </c>
      <c r="BY734" s="3">
        <v>1200</v>
      </c>
      <c r="BZ734" s="3" t="s">
        <v>165</v>
      </c>
      <c r="CA734" s="3" t="s">
        <v>509</v>
      </c>
      <c r="CC734" s="3" t="s">
        <v>172</v>
      </c>
      <c r="CD734" s="3">
        <v>6001</v>
      </c>
      <c r="CE734" s="3" t="s">
        <v>93</v>
      </c>
      <c r="CF734" s="4">
        <v>44578</v>
      </c>
      <c r="CI734" s="3">
        <v>1</v>
      </c>
      <c r="CJ734" s="3">
        <v>1</v>
      </c>
      <c r="CK734" s="3">
        <v>21</v>
      </c>
      <c r="CL734" s="3" t="s">
        <v>87</v>
      </c>
    </row>
    <row r="735" spans="1:90" x14ac:dyDescent="0.2">
      <c r="A735" s="3" t="s">
        <v>72</v>
      </c>
      <c r="B735" s="3" t="s">
        <v>73</v>
      </c>
      <c r="C735" s="3" t="s">
        <v>74</v>
      </c>
      <c r="E735" s="3" t="str">
        <f>"FES1162845099"</f>
        <v>FES1162845099</v>
      </c>
      <c r="F735" s="4">
        <v>44575</v>
      </c>
      <c r="G735" s="3">
        <v>202207</v>
      </c>
      <c r="H735" s="3" t="s">
        <v>75</v>
      </c>
      <c r="I735" s="3" t="s">
        <v>76</v>
      </c>
      <c r="J735" s="3" t="s">
        <v>77</v>
      </c>
      <c r="K735" s="3" t="s">
        <v>78</v>
      </c>
      <c r="L735" s="3" t="s">
        <v>948</v>
      </c>
      <c r="M735" s="3" t="s">
        <v>949</v>
      </c>
      <c r="N735" s="3" t="s">
        <v>950</v>
      </c>
      <c r="O735" s="3" t="s">
        <v>82</v>
      </c>
      <c r="P735" s="3" t="str">
        <f>"2170816674                    "</f>
        <v xml:space="preserve">2170816674                    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21.74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1</v>
      </c>
      <c r="BI735" s="3">
        <v>1</v>
      </c>
      <c r="BJ735" s="3">
        <v>0.2</v>
      </c>
      <c r="BK735" s="3">
        <v>1</v>
      </c>
      <c r="BL735" s="3">
        <v>82.98</v>
      </c>
      <c r="BM735" s="3">
        <v>12.45</v>
      </c>
      <c r="BN735" s="3">
        <v>95.43</v>
      </c>
      <c r="BO735" s="3">
        <v>95.43</v>
      </c>
      <c r="BQ735" s="3" t="s">
        <v>89</v>
      </c>
      <c r="BR735" s="3" t="s">
        <v>84</v>
      </c>
      <c r="BS735" s="4">
        <v>44578</v>
      </c>
      <c r="BT735" s="5">
        <v>0.56041666666666667</v>
      </c>
      <c r="BU735" s="3" t="s">
        <v>1107</v>
      </c>
      <c r="BV735" s="3" t="s">
        <v>105</v>
      </c>
      <c r="BY735" s="3">
        <v>1200</v>
      </c>
      <c r="BZ735" s="3" t="s">
        <v>165</v>
      </c>
      <c r="CA735" s="3" t="s">
        <v>952</v>
      </c>
      <c r="CC735" s="3" t="s">
        <v>949</v>
      </c>
      <c r="CD735" s="3">
        <v>1759</v>
      </c>
      <c r="CE735" s="3" t="s">
        <v>93</v>
      </c>
      <c r="CF735" s="4">
        <v>44578</v>
      </c>
      <c r="CI735" s="3">
        <v>1</v>
      </c>
      <c r="CJ735" s="3">
        <v>1</v>
      </c>
      <c r="CK735" s="3">
        <v>24</v>
      </c>
      <c r="CL735" s="3" t="s">
        <v>87</v>
      </c>
    </row>
    <row r="736" spans="1:90" x14ac:dyDescent="0.2">
      <c r="A736" s="3" t="s">
        <v>72</v>
      </c>
      <c r="B736" s="3" t="s">
        <v>73</v>
      </c>
      <c r="C736" s="3" t="s">
        <v>74</v>
      </c>
      <c r="E736" s="3" t="str">
        <f>"FES1162845182"</f>
        <v>FES1162845182</v>
      </c>
      <c r="F736" s="4">
        <v>44575</v>
      </c>
      <c r="G736" s="3">
        <v>202207</v>
      </c>
      <c r="H736" s="3" t="s">
        <v>75</v>
      </c>
      <c r="I736" s="3" t="s">
        <v>76</v>
      </c>
      <c r="J736" s="3" t="s">
        <v>77</v>
      </c>
      <c r="K736" s="3" t="s">
        <v>78</v>
      </c>
      <c r="L736" s="3" t="s">
        <v>184</v>
      </c>
      <c r="M736" s="3" t="s">
        <v>185</v>
      </c>
      <c r="N736" s="3" t="s">
        <v>979</v>
      </c>
      <c r="O736" s="3" t="s">
        <v>82</v>
      </c>
      <c r="P736" s="3" t="str">
        <f>"2170816721                    "</f>
        <v xml:space="preserve">2170816721                    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15.46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1</v>
      </c>
      <c r="BI736" s="3">
        <v>1</v>
      </c>
      <c r="BJ736" s="3">
        <v>0.2</v>
      </c>
      <c r="BK736" s="3">
        <v>1</v>
      </c>
      <c r="BL736" s="3">
        <v>59</v>
      </c>
      <c r="BM736" s="3">
        <v>8.85</v>
      </c>
      <c r="BN736" s="3">
        <v>67.849999999999994</v>
      </c>
      <c r="BO736" s="3">
        <v>67.849999999999994</v>
      </c>
      <c r="BQ736" s="3" t="s">
        <v>83</v>
      </c>
      <c r="BR736" s="3" t="s">
        <v>84</v>
      </c>
      <c r="BS736" s="4">
        <v>44578</v>
      </c>
      <c r="BT736" s="5">
        <v>0.40833333333333338</v>
      </c>
      <c r="BU736" s="3" t="s">
        <v>1108</v>
      </c>
      <c r="BV736" s="3" t="s">
        <v>105</v>
      </c>
      <c r="BY736" s="3">
        <v>1200</v>
      </c>
      <c r="BZ736" s="3" t="s">
        <v>165</v>
      </c>
      <c r="CA736" s="3" t="s">
        <v>1109</v>
      </c>
      <c r="CC736" s="3" t="s">
        <v>185</v>
      </c>
      <c r="CD736" s="3">
        <v>5201</v>
      </c>
      <c r="CE736" s="3" t="s">
        <v>93</v>
      </c>
      <c r="CF736" s="4">
        <v>44578</v>
      </c>
      <c r="CI736" s="3">
        <v>1</v>
      </c>
      <c r="CJ736" s="3">
        <v>1</v>
      </c>
      <c r="CK736" s="3">
        <v>21</v>
      </c>
      <c r="CL736" s="3" t="s">
        <v>87</v>
      </c>
    </row>
    <row r="737" spans="1:90" x14ac:dyDescent="0.2">
      <c r="A737" s="3" t="s">
        <v>72</v>
      </c>
      <c r="B737" s="3" t="s">
        <v>73</v>
      </c>
      <c r="C737" s="3" t="s">
        <v>74</v>
      </c>
      <c r="E737" s="3" t="str">
        <f>"FES1162845117"</f>
        <v>FES1162845117</v>
      </c>
      <c r="F737" s="4">
        <v>44575</v>
      </c>
      <c r="G737" s="3">
        <v>202207</v>
      </c>
      <c r="H737" s="3" t="s">
        <v>75</v>
      </c>
      <c r="I737" s="3" t="s">
        <v>76</v>
      </c>
      <c r="J737" s="3" t="s">
        <v>77</v>
      </c>
      <c r="K737" s="3" t="s">
        <v>78</v>
      </c>
      <c r="L737" s="3" t="s">
        <v>90</v>
      </c>
      <c r="M737" s="3" t="s">
        <v>91</v>
      </c>
      <c r="N737" s="3" t="s">
        <v>749</v>
      </c>
      <c r="O737" s="3" t="s">
        <v>82</v>
      </c>
      <c r="P737" s="3" t="str">
        <f>"2170816707                    "</f>
        <v xml:space="preserve">2170816707                    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15.46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0</v>
      </c>
      <c r="AZ737" s="3">
        <v>0</v>
      </c>
      <c r="BA737" s="3">
        <v>0</v>
      </c>
      <c r="BB737" s="3">
        <v>0</v>
      </c>
      <c r="BC737" s="3">
        <v>0</v>
      </c>
      <c r="BD737" s="3">
        <v>0</v>
      </c>
      <c r="BE737" s="3">
        <v>0</v>
      </c>
      <c r="BF737" s="3">
        <v>0</v>
      </c>
      <c r="BG737" s="3">
        <v>0</v>
      </c>
      <c r="BH737" s="3">
        <v>1</v>
      </c>
      <c r="BI737" s="3">
        <v>1</v>
      </c>
      <c r="BJ737" s="3">
        <v>0.2</v>
      </c>
      <c r="BK737" s="3">
        <v>1</v>
      </c>
      <c r="BL737" s="3">
        <v>59</v>
      </c>
      <c r="BM737" s="3">
        <v>8.85</v>
      </c>
      <c r="BN737" s="3">
        <v>67.849999999999994</v>
      </c>
      <c r="BO737" s="3">
        <v>67.849999999999994</v>
      </c>
      <c r="BQ737" s="3" t="s">
        <v>1110</v>
      </c>
      <c r="BR737" s="3" t="s">
        <v>84</v>
      </c>
      <c r="BS737" s="4">
        <v>44578</v>
      </c>
      <c r="BT737" s="5">
        <v>0.39374999999999999</v>
      </c>
      <c r="BU737" s="3" t="s">
        <v>1111</v>
      </c>
      <c r="BV737" s="3" t="s">
        <v>105</v>
      </c>
      <c r="BY737" s="3">
        <v>1200</v>
      </c>
      <c r="BZ737" s="3" t="s">
        <v>165</v>
      </c>
      <c r="CA737" s="3" t="s">
        <v>1112</v>
      </c>
      <c r="CC737" s="3" t="s">
        <v>91</v>
      </c>
      <c r="CD737" s="3">
        <v>7405</v>
      </c>
      <c r="CE737" s="3" t="s">
        <v>93</v>
      </c>
      <c r="CF737" s="4">
        <v>44579</v>
      </c>
      <c r="CI737" s="3">
        <v>1</v>
      </c>
      <c r="CJ737" s="3">
        <v>1</v>
      </c>
      <c r="CK737" s="3">
        <v>21</v>
      </c>
      <c r="CL737" s="3" t="s">
        <v>87</v>
      </c>
    </row>
    <row r="738" spans="1:90" x14ac:dyDescent="0.2">
      <c r="A738" s="3" t="s">
        <v>72</v>
      </c>
      <c r="B738" s="3" t="s">
        <v>73</v>
      </c>
      <c r="C738" s="3" t="s">
        <v>74</v>
      </c>
      <c r="E738" s="3" t="str">
        <f>"FES1162845101"</f>
        <v>FES1162845101</v>
      </c>
      <c r="F738" s="4">
        <v>44575</v>
      </c>
      <c r="G738" s="3">
        <v>202207</v>
      </c>
      <c r="H738" s="3" t="s">
        <v>75</v>
      </c>
      <c r="I738" s="3" t="s">
        <v>76</v>
      </c>
      <c r="J738" s="3" t="s">
        <v>77</v>
      </c>
      <c r="K738" s="3" t="s">
        <v>78</v>
      </c>
      <c r="L738" s="3" t="s">
        <v>335</v>
      </c>
      <c r="M738" s="3" t="s">
        <v>336</v>
      </c>
      <c r="N738" s="3" t="s">
        <v>1113</v>
      </c>
      <c r="O738" s="3" t="s">
        <v>82</v>
      </c>
      <c r="P738" s="3" t="str">
        <f>"2170816677                    "</f>
        <v xml:space="preserve">2170816677                    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15.46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15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1</v>
      </c>
      <c r="BI738" s="3">
        <v>1</v>
      </c>
      <c r="BJ738" s="3">
        <v>0.2</v>
      </c>
      <c r="BK738" s="3">
        <v>1</v>
      </c>
      <c r="BL738" s="3">
        <v>74</v>
      </c>
      <c r="BM738" s="3">
        <v>11.1</v>
      </c>
      <c r="BN738" s="3">
        <v>85.1</v>
      </c>
      <c r="BO738" s="3">
        <v>85.1</v>
      </c>
      <c r="BQ738" s="3" t="s">
        <v>126</v>
      </c>
      <c r="BR738" s="3" t="s">
        <v>84</v>
      </c>
      <c r="BS738" s="4">
        <v>44578</v>
      </c>
      <c r="BT738" s="5">
        <v>0.37916666666666665</v>
      </c>
      <c r="BU738" s="3" t="s">
        <v>1114</v>
      </c>
      <c r="BV738" s="3" t="s">
        <v>105</v>
      </c>
      <c r="BY738" s="3">
        <v>1200</v>
      </c>
      <c r="BZ738" s="3" t="s">
        <v>446</v>
      </c>
      <c r="CA738" s="3" t="s">
        <v>528</v>
      </c>
      <c r="CC738" s="3" t="s">
        <v>336</v>
      </c>
      <c r="CD738" s="3">
        <v>4110</v>
      </c>
      <c r="CE738" s="3" t="s">
        <v>93</v>
      </c>
      <c r="CF738" s="4">
        <v>44579</v>
      </c>
      <c r="CI738" s="3">
        <v>1</v>
      </c>
      <c r="CJ738" s="3">
        <v>1</v>
      </c>
      <c r="CK738" s="3">
        <v>21</v>
      </c>
      <c r="CL738" s="3" t="s">
        <v>87</v>
      </c>
    </row>
    <row r="739" spans="1:90" x14ac:dyDescent="0.2">
      <c r="A739" s="3" t="s">
        <v>72</v>
      </c>
      <c r="B739" s="3" t="s">
        <v>73</v>
      </c>
      <c r="C739" s="3" t="s">
        <v>74</v>
      </c>
      <c r="E739" s="3" t="str">
        <f>"FES1162845109"</f>
        <v>FES1162845109</v>
      </c>
      <c r="F739" s="4">
        <v>44575</v>
      </c>
      <c r="G739" s="3">
        <v>202207</v>
      </c>
      <c r="H739" s="3" t="s">
        <v>75</v>
      </c>
      <c r="I739" s="3" t="s">
        <v>76</v>
      </c>
      <c r="J739" s="3" t="s">
        <v>77</v>
      </c>
      <c r="K739" s="3" t="s">
        <v>78</v>
      </c>
      <c r="L739" s="3" t="s">
        <v>138</v>
      </c>
      <c r="M739" s="3" t="s">
        <v>139</v>
      </c>
      <c r="N739" s="3" t="s">
        <v>214</v>
      </c>
      <c r="O739" s="3" t="s">
        <v>82</v>
      </c>
      <c r="P739" s="3" t="str">
        <f>"2170816691                    "</f>
        <v xml:space="preserve">2170816691                    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15.46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1</v>
      </c>
      <c r="BI739" s="3">
        <v>1</v>
      </c>
      <c r="BJ739" s="3">
        <v>0.2</v>
      </c>
      <c r="BK739" s="3">
        <v>1</v>
      </c>
      <c r="BL739" s="3">
        <v>59</v>
      </c>
      <c r="BM739" s="3">
        <v>8.85</v>
      </c>
      <c r="BN739" s="3">
        <v>67.849999999999994</v>
      </c>
      <c r="BO739" s="3">
        <v>67.849999999999994</v>
      </c>
      <c r="BQ739" s="3" t="s">
        <v>126</v>
      </c>
      <c r="BR739" s="3" t="s">
        <v>84</v>
      </c>
      <c r="BS739" s="4">
        <v>44578</v>
      </c>
      <c r="BT739" s="5">
        <v>0.42083333333333334</v>
      </c>
      <c r="BU739" s="3" t="s">
        <v>770</v>
      </c>
      <c r="BV739" s="3" t="s">
        <v>105</v>
      </c>
      <c r="BY739" s="3">
        <v>1200</v>
      </c>
      <c r="BZ739" s="3" t="s">
        <v>165</v>
      </c>
      <c r="CA739" s="3" t="s">
        <v>303</v>
      </c>
      <c r="CC739" s="3" t="s">
        <v>139</v>
      </c>
      <c r="CD739" s="3">
        <v>3610</v>
      </c>
      <c r="CE739" s="3" t="s">
        <v>93</v>
      </c>
      <c r="CF739" s="4">
        <v>44579</v>
      </c>
      <c r="CI739" s="3">
        <v>1</v>
      </c>
      <c r="CJ739" s="3">
        <v>1</v>
      </c>
      <c r="CK739" s="3">
        <v>21</v>
      </c>
      <c r="CL739" s="3" t="s">
        <v>87</v>
      </c>
    </row>
    <row r="740" spans="1:90" x14ac:dyDescent="0.2">
      <c r="A740" s="3" t="s">
        <v>72</v>
      </c>
      <c r="B740" s="3" t="s">
        <v>73</v>
      </c>
      <c r="C740" s="3" t="s">
        <v>74</v>
      </c>
      <c r="E740" s="3" t="str">
        <f>"FES1162845105"</f>
        <v>FES1162845105</v>
      </c>
      <c r="F740" s="4">
        <v>44575</v>
      </c>
      <c r="G740" s="3">
        <v>202207</v>
      </c>
      <c r="H740" s="3" t="s">
        <v>75</v>
      </c>
      <c r="I740" s="3" t="s">
        <v>76</v>
      </c>
      <c r="J740" s="3" t="s">
        <v>77</v>
      </c>
      <c r="K740" s="3" t="s">
        <v>78</v>
      </c>
      <c r="L740" s="3" t="s">
        <v>133</v>
      </c>
      <c r="M740" s="3" t="s">
        <v>134</v>
      </c>
      <c r="N740" s="3" t="s">
        <v>1115</v>
      </c>
      <c r="O740" s="3" t="s">
        <v>82</v>
      </c>
      <c r="P740" s="3" t="str">
        <f>"2170816660                    "</f>
        <v xml:space="preserve">2170816660                    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21.74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1</v>
      </c>
      <c r="BI740" s="3">
        <v>1</v>
      </c>
      <c r="BJ740" s="3">
        <v>0.2</v>
      </c>
      <c r="BK740" s="3">
        <v>1</v>
      </c>
      <c r="BL740" s="3">
        <v>82.98</v>
      </c>
      <c r="BM740" s="3">
        <v>12.45</v>
      </c>
      <c r="BN740" s="3">
        <v>95.43</v>
      </c>
      <c r="BO740" s="3">
        <v>95.43</v>
      </c>
      <c r="BQ740" s="3" t="s">
        <v>89</v>
      </c>
      <c r="BR740" s="3" t="s">
        <v>84</v>
      </c>
      <c r="BS740" s="4">
        <v>44578</v>
      </c>
      <c r="BT740" s="5">
        <v>0.42152777777777778</v>
      </c>
      <c r="BU740" s="3" t="s">
        <v>1116</v>
      </c>
      <c r="BV740" s="3" t="s">
        <v>105</v>
      </c>
      <c r="BY740" s="3">
        <v>1200</v>
      </c>
      <c r="BZ740" s="3" t="s">
        <v>165</v>
      </c>
      <c r="CA740" s="3" t="s">
        <v>673</v>
      </c>
      <c r="CC740" s="3" t="s">
        <v>134</v>
      </c>
      <c r="CD740" s="3">
        <v>1900</v>
      </c>
      <c r="CE740" s="3" t="s">
        <v>93</v>
      </c>
      <c r="CF740" s="4">
        <v>44579</v>
      </c>
      <c r="CI740" s="3">
        <v>1</v>
      </c>
      <c r="CJ740" s="3">
        <v>1</v>
      </c>
      <c r="CK740" s="3">
        <v>24</v>
      </c>
      <c r="CL740" s="3" t="s">
        <v>87</v>
      </c>
    </row>
    <row r="741" spans="1:90" x14ac:dyDescent="0.2">
      <c r="A741" s="3" t="s">
        <v>72</v>
      </c>
      <c r="B741" s="3" t="s">
        <v>73</v>
      </c>
      <c r="C741" s="3" t="s">
        <v>74</v>
      </c>
      <c r="E741" s="3" t="str">
        <f>"FES1162845110"</f>
        <v>FES1162845110</v>
      </c>
      <c r="F741" s="4">
        <v>44575</v>
      </c>
      <c r="G741" s="3">
        <v>202207</v>
      </c>
      <c r="H741" s="3" t="s">
        <v>75</v>
      </c>
      <c r="I741" s="3" t="s">
        <v>76</v>
      </c>
      <c r="J741" s="3" t="s">
        <v>77</v>
      </c>
      <c r="K741" s="3" t="s">
        <v>78</v>
      </c>
      <c r="L741" s="3" t="s">
        <v>162</v>
      </c>
      <c r="M741" s="3" t="s">
        <v>163</v>
      </c>
      <c r="N741" s="3" t="s">
        <v>164</v>
      </c>
      <c r="O741" s="3" t="s">
        <v>82</v>
      </c>
      <c r="P741" s="3" t="str">
        <f>"2170816694                    "</f>
        <v xml:space="preserve">2170816694                    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12.07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1</v>
      </c>
      <c r="BI741" s="3">
        <v>1</v>
      </c>
      <c r="BJ741" s="3">
        <v>0.2</v>
      </c>
      <c r="BK741" s="3">
        <v>1</v>
      </c>
      <c r="BL741" s="3">
        <v>46.08</v>
      </c>
      <c r="BM741" s="3">
        <v>6.91</v>
      </c>
      <c r="BN741" s="3">
        <v>52.99</v>
      </c>
      <c r="BO741" s="3">
        <v>52.99</v>
      </c>
      <c r="BQ741" s="3" t="s">
        <v>89</v>
      </c>
      <c r="BR741" s="3" t="s">
        <v>84</v>
      </c>
      <c r="BS741" s="4">
        <v>44578</v>
      </c>
      <c r="BT741" s="5">
        <v>0.46319444444444446</v>
      </c>
      <c r="BU741" s="3" t="s">
        <v>1117</v>
      </c>
      <c r="BV741" s="3" t="s">
        <v>87</v>
      </c>
      <c r="BW741" s="3" t="s">
        <v>353</v>
      </c>
      <c r="BX741" s="3" t="s">
        <v>1118</v>
      </c>
      <c r="BY741" s="3">
        <v>1200</v>
      </c>
      <c r="BZ741" s="3" t="s">
        <v>165</v>
      </c>
      <c r="CA741" s="3" t="s">
        <v>591</v>
      </c>
      <c r="CC741" s="3" t="s">
        <v>163</v>
      </c>
      <c r="CD741" s="3">
        <v>1428</v>
      </c>
      <c r="CE741" s="3" t="s">
        <v>93</v>
      </c>
      <c r="CF741" s="4">
        <v>44578</v>
      </c>
      <c r="CI741" s="3">
        <v>1</v>
      </c>
      <c r="CJ741" s="3">
        <v>1</v>
      </c>
      <c r="CK741" s="3">
        <v>22</v>
      </c>
      <c r="CL741" s="3" t="s">
        <v>87</v>
      </c>
    </row>
    <row r="742" spans="1:90" x14ac:dyDescent="0.2">
      <c r="A742" s="3" t="s">
        <v>72</v>
      </c>
      <c r="B742" s="3" t="s">
        <v>73</v>
      </c>
      <c r="C742" s="3" t="s">
        <v>74</v>
      </c>
      <c r="E742" s="3" t="str">
        <f>"FES1162845111"</f>
        <v>FES1162845111</v>
      </c>
      <c r="F742" s="4">
        <v>44575</v>
      </c>
      <c r="G742" s="3">
        <v>202207</v>
      </c>
      <c r="H742" s="3" t="s">
        <v>75</v>
      </c>
      <c r="I742" s="3" t="s">
        <v>76</v>
      </c>
      <c r="J742" s="3" t="s">
        <v>77</v>
      </c>
      <c r="K742" s="3" t="s">
        <v>78</v>
      </c>
      <c r="L742" s="3" t="s">
        <v>162</v>
      </c>
      <c r="M742" s="3" t="s">
        <v>163</v>
      </c>
      <c r="N742" s="3" t="s">
        <v>164</v>
      </c>
      <c r="O742" s="3" t="s">
        <v>82</v>
      </c>
      <c r="P742" s="3" t="str">
        <f>"2170816695                    "</f>
        <v xml:space="preserve">2170816695                    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12.07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1</v>
      </c>
      <c r="BI742" s="3">
        <v>1</v>
      </c>
      <c r="BJ742" s="3">
        <v>0.2</v>
      </c>
      <c r="BK742" s="3">
        <v>1</v>
      </c>
      <c r="BL742" s="3">
        <v>46.08</v>
      </c>
      <c r="BM742" s="3">
        <v>6.91</v>
      </c>
      <c r="BN742" s="3">
        <v>52.99</v>
      </c>
      <c r="BO742" s="3">
        <v>52.99</v>
      </c>
      <c r="BQ742" s="3" t="s">
        <v>89</v>
      </c>
      <c r="BR742" s="3" t="s">
        <v>84</v>
      </c>
      <c r="BS742" s="4">
        <v>44578</v>
      </c>
      <c r="BT742" s="5">
        <v>0.46388888888888885</v>
      </c>
      <c r="BU742" s="3" t="s">
        <v>1117</v>
      </c>
      <c r="BV742" s="3" t="s">
        <v>87</v>
      </c>
      <c r="BW742" s="3" t="s">
        <v>353</v>
      </c>
      <c r="BX742" s="3" t="s">
        <v>1118</v>
      </c>
      <c r="BY742" s="3">
        <v>1200</v>
      </c>
      <c r="BZ742" s="3" t="s">
        <v>165</v>
      </c>
      <c r="CA742" s="3" t="s">
        <v>591</v>
      </c>
      <c r="CC742" s="3" t="s">
        <v>163</v>
      </c>
      <c r="CD742" s="3">
        <v>1428</v>
      </c>
      <c r="CE742" s="3" t="s">
        <v>93</v>
      </c>
      <c r="CF742" s="4">
        <v>44578</v>
      </c>
      <c r="CI742" s="3">
        <v>1</v>
      </c>
      <c r="CJ742" s="3">
        <v>1</v>
      </c>
      <c r="CK742" s="3">
        <v>22</v>
      </c>
      <c r="CL742" s="3" t="s">
        <v>87</v>
      </c>
    </row>
    <row r="743" spans="1:90" x14ac:dyDescent="0.2">
      <c r="A743" s="3" t="s">
        <v>72</v>
      </c>
      <c r="B743" s="3" t="s">
        <v>73</v>
      </c>
      <c r="C743" s="3" t="s">
        <v>74</v>
      </c>
      <c r="E743" s="3" t="str">
        <f>"FES1162845120"</f>
        <v>FES1162845120</v>
      </c>
      <c r="F743" s="4">
        <v>44575</v>
      </c>
      <c r="G743" s="3">
        <v>202207</v>
      </c>
      <c r="H743" s="3" t="s">
        <v>75</v>
      </c>
      <c r="I743" s="3" t="s">
        <v>76</v>
      </c>
      <c r="J743" s="3" t="s">
        <v>77</v>
      </c>
      <c r="K743" s="3" t="s">
        <v>78</v>
      </c>
      <c r="L743" s="3" t="s">
        <v>1119</v>
      </c>
      <c r="M743" s="3" t="s">
        <v>1120</v>
      </c>
      <c r="N743" s="3" t="s">
        <v>1121</v>
      </c>
      <c r="O743" s="3" t="s">
        <v>82</v>
      </c>
      <c r="P743" s="3" t="str">
        <f>"2170816710                    "</f>
        <v xml:space="preserve">2170816710                    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29.95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1</v>
      </c>
      <c r="BI743" s="3">
        <v>1</v>
      </c>
      <c r="BJ743" s="3">
        <v>0.2</v>
      </c>
      <c r="BK743" s="3">
        <v>1</v>
      </c>
      <c r="BL743" s="3">
        <v>114.31</v>
      </c>
      <c r="BM743" s="3">
        <v>17.149999999999999</v>
      </c>
      <c r="BN743" s="3">
        <v>131.46</v>
      </c>
      <c r="BO743" s="3">
        <v>131.46</v>
      </c>
      <c r="BR743" s="3" t="s">
        <v>84</v>
      </c>
      <c r="BS743" s="4">
        <v>44578</v>
      </c>
      <c r="BT743" s="5">
        <v>0.57430555555555551</v>
      </c>
      <c r="BU743" s="3" t="s">
        <v>1101</v>
      </c>
      <c r="BV743" s="3" t="s">
        <v>105</v>
      </c>
      <c r="BY743" s="3">
        <v>1200</v>
      </c>
      <c r="BZ743" s="3" t="s">
        <v>165</v>
      </c>
      <c r="CA743" s="3" t="s">
        <v>809</v>
      </c>
      <c r="CC743" s="3" t="s">
        <v>1120</v>
      </c>
      <c r="CD743" s="3">
        <v>4380</v>
      </c>
      <c r="CE743" s="3" t="s">
        <v>93</v>
      </c>
      <c r="CF743" s="4">
        <v>44579</v>
      </c>
      <c r="CI743" s="3">
        <v>1</v>
      </c>
      <c r="CJ743" s="3">
        <v>1</v>
      </c>
      <c r="CK743" s="3">
        <v>23</v>
      </c>
      <c r="CL743" s="3" t="s">
        <v>87</v>
      </c>
    </row>
    <row r="744" spans="1:90" x14ac:dyDescent="0.2">
      <c r="A744" s="3" t="s">
        <v>72</v>
      </c>
      <c r="B744" s="3" t="s">
        <v>73</v>
      </c>
      <c r="C744" s="3" t="s">
        <v>74</v>
      </c>
      <c r="E744" s="3" t="str">
        <f>"FES1162845128"</f>
        <v>FES1162845128</v>
      </c>
      <c r="F744" s="4">
        <v>44575</v>
      </c>
      <c r="G744" s="3">
        <v>202207</v>
      </c>
      <c r="H744" s="3" t="s">
        <v>75</v>
      </c>
      <c r="I744" s="3" t="s">
        <v>76</v>
      </c>
      <c r="J744" s="3" t="s">
        <v>77</v>
      </c>
      <c r="K744" s="3" t="s">
        <v>78</v>
      </c>
      <c r="L744" s="3" t="s">
        <v>75</v>
      </c>
      <c r="M744" s="3" t="s">
        <v>76</v>
      </c>
      <c r="N744" s="3" t="s">
        <v>1122</v>
      </c>
      <c r="O744" s="3" t="s">
        <v>82</v>
      </c>
      <c r="P744" s="3" t="str">
        <f>"2170809971                    "</f>
        <v xml:space="preserve">2170809971                    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12.07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1</v>
      </c>
      <c r="BI744" s="3">
        <v>1</v>
      </c>
      <c r="BJ744" s="3">
        <v>2</v>
      </c>
      <c r="BK744" s="3">
        <v>2</v>
      </c>
      <c r="BL744" s="3">
        <v>46.08</v>
      </c>
      <c r="BM744" s="3">
        <v>6.91</v>
      </c>
      <c r="BN744" s="3">
        <v>52.99</v>
      </c>
      <c r="BO744" s="3">
        <v>52.99</v>
      </c>
      <c r="BQ744" s="3" t="s">
        <v>83</v>
      </c>
      <c r="BR744" s="3" t="s">
        <v>84</v>
      </c>
      <c r="BS744" s="4">
        <v>44578</v>
      </c>
      <c r="BT744" s="5">
        <v>0.37708333333333338</v>
      </c>
      <c r="BU744" s="3" t="s">
        <v>1123</v>
      </c>
      <c r="BV744" s="3" t="s">
        <v>105</v>
      </c>
      <c r="BY744" s="3">
        <v>9918</v>
      </c>
      <c r="BZ744" s="3" t="s">
        <v>165</v>
      </c>
      <c r="CA744" s="3" t="s">
        <v>227</v>
      </c>
      <c r="CC744" s="3" t="s">
        <v>76</v>
      </c>
      <c r="CD744" s="3">
        <v>1600</v>
      </c>
      <c r="CE744" s="3" t="s">
        <v>86</v>
      </c>
      <c r="CF744" s="4">
        <v>44578</v>
      </c>
      <c r="CI744" s="3">
        <v>1</v>
      </c>
      <c r="CJ744" s="3">
        <v>1</v>
      </c>
      <c r="CK744" s="3">
        <v>22</v>
      </c>
      <c r="CL744" s="3" t="s">
        <v>87</v>
      </c>
    </row>
    <row r="745" spans="1:90" x14ac:dyDescent="0.2">
      <c r="A745" s="3" t="s">
        <v>72</v>
      </c>
      <c r="B745" s="3" t="s">
        <v>73</v>
      </c>
      <c r="C745" s="3" t="s">
        <v>74</v>
      </c>
      <c r="E745" s="3" t="str">
        <f>"FES1162845108"</f>
        <v>FES1162845108</v>
      </c>
      <c r="F745" s="4">
        <v>44575</v>
      </c>
      <c r="G745" s="3">
        <v>202207</v>
      </c>
      <c r="H745" s="3" t="s">
        <v>75</v>
      </c>
      <c r="I745" s="3" t="s">
        <v>76</v>
      </c>
      <c r="J745" s="3" t="s">
        <v>77</v>
      </c>
      <c r="K745" s="3" t="s">
        <v>78</v>
      </c>
      <c r="L745" s="3" t="s">
        <v>90</v>
      </c>
      <c r="M745" s="3" t="s">
        <v>91</v>
      </c>
      <c r="N745" s="3" t="s">
        <v>1124</v>
      </c>
      <c r="O745" s="3" t="s">
        <v>82</v>
      </c>
      <c r="P745" s="3" t="str">
        <f>"2170816690                    "</f>
        <v xml:space="preserve">2170816690                    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15.46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0</v>
      </c>
      <c r="BF745" s="3">
        <v>0</v>
      </c>
      <c r="BG745" s="3">
        <v>0</v>
      </c>
      <c r="BH745" s="3">
        <v>1</v>
      </c>
      <c r="BI745" s="3">
        <v>1</v>
      </c>
      <c r="BJ745" s="3">
        <v>0.2</v>
      </c>
      <c r="BK745" s="3">
        <v>1</v>
      </c>
      <c r="BL745" s="3">
        <v>59</v>
      </c>
      <c r="BM745" s="3">
        <v>8.85</v>
      </c>
      <c r="BN745" s="3">
        <v>67.849999999999994</v>
      </c>
      <c r="BO745" s="3">
        <v>67.849999999999994</v>
      </c>
      <c r="BQ745" s="3" t="s">
        <v>83</v>
      </c>
      <c r="BR745" s="3" t="s">
        <v>84</v>
      </c>
      <c r="BS745" s="4">
        <v>44578</v>
      </c>
      <c r="BT745" s="5">
        <v>0.41666666666666669</v>
      </c>
      <c r="BU745" s="3" t="s">
        <v>1125</v>
      </c>
      <c r="BV745" s="3" t="s">
        <v>105</v>
      </c>
      <c r="BY745" s="3">
        <v>1200</v>
      </c>
      <c r="BZ745" s="3" t="s">
        <v>165</v>
      </c>
      <c r="CC745" s="3" t="s">
        <v>91</v>
      </c>
      <c r="CD745" s="3">
        <v>7405</v>
      </c>
      <c r="CE745" s="3" t="s">
        <v>93</v>
      </c>
      <c r="CF745" s="4">
        <v>44579</v>
      </c>
      <c r="CI745" s="3">
        <v>1</v>
      </c>
      <c r="CJ745" s="3">
        <v>1</v>
      </c>
      <c r="CK745" s="3">
        <v>21</v>
      </c>
      <c r="CL745" s="3" t="s">
        <v>87</v>
      </c>
    </row>
    <row r="746" spans="1:90" x14ac:dyDescent="0.2">
      <c r="A746" s="3" t="s">
        <v>72</v>
      </c>
      <c r="B746" s="3" t="s">
        <v>73</v>
      </c>
      <c r="C746" s="3" t="s">
        <v>74</v>
      </c>
      <c r="E746" s="3" t="str">
        <f>"FES1162845165"</f>
        <v>FES1162845165</v>
      </c>
      <c r="F746" s="4">
        <v>44575</v>
      </c>
      <c r="G746" s="3">
        <v>202207</v>
      </c>
      <c r="H746" s="3" t="s">
        <v>75</v>
      </c>
      <c r="I746" s="3" t="s">
        <v>76</v>
      </c>
      <c r="J746" s="3" t="s">
        <v>77</v>
      </c>
      <c r="K746" s="3" t="s">
        <v>78</v>
      </c>
      <c r="L746" s="3" t="s">
        <v>206</v>
      </c>
      <c r="M746" s="3" t="s">
        <v>207</v>
      </c>
      <c r="N746" s="3" t="s">
        <v>1126</v>
      </c>
      <c r="O746" s="3" t="s">
        <v>82</v>
      </c>
      <c r="P746" s="3" t="str">
        <f>"2170815451                    "</f>
        <v xml:space="preserve">2170815451                    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106.43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15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1</v>
      </c>
      <c r="BI746" s="3">
        <v>10</v>
      </c>
      <c r="BJ746" s="3">
        <v>4.0999999999999996</v>
      </c>
      <c r="BK746" s="3">
        <v>10</v>
      </c>
      <c r="BL746" s="3">
        <v>421.23</v>
      </c>
      <c r="BM746" s="3">
        <v>63.18</v>
      </c>
      <c r="BN746" s="3">
        <v>484.41</v>
      </c>
      <c r="BO746" s="3">
        <v>484.41</v>
      </c>
      <c r="BQ746" s="3" t="s">
        <v>1127</v>
      </c>
      <c r="BR746" s="3" t="s">
        <v>84</v>
      </c>
      <c r="BS746" s="4">
        <v>44580</v>
      </c>
      <c r="BT746" s="5">
        <v>0.4375</v>
      </c>
      <c r="BU746" s="3" t="s">
        <v>1128</v>
      </c>
      <c r="BV746" s="3" t="s">
        <v>87</v>
      </c>
      <c r="BW746" s="3" t="s">
        <v>639</v>
      </c>
      <c r="BX746" s="3" t="s">
        <v>377</v>
      </c>
      <c r="BY746" s="3">
        <v>20358</v>
      </c>
      <c r="BZ746" s="3" t="s">
        <v>446</v>
      </c>
      <c r="CA746" s="3" t="s">
        <v>635</v>
      </c>
      <c r="CC746" s="3" t="s">
        <v>207</v>
      </c>
      <c r="CD746" s="3">
        <v>1754</v>
      </c>
      <c r="CE746" s="3" t="s">
        <v>86</v>
      </c>
      <c r="CF746" s="4">
        <v>44580</v>
      </c>
      <c r="CI746" s="3">
        <v>1</v>
      </c>
      <c r="CJ746" s="3">
        <v>3</v>
      </c>
      <c r="CK746" s="3">
        <v>24</v>
      </c>
      <c r="CL746" s="3" t="s">
        <v>87</v>
      </c>
    </row>
    <row r="747" spans="1:90" x14ac:dyDescent="0.2">
      <c r="A747" s="3" t="s">
        <v>72</v>
      </c>
      <c r="B747" s="3" t="s">
        <v>73</v>
      </c>
      <c r="C747" s="3" t="s">
        <v>74</v>
      </c>
      <c r="E747" s="3" t="str">
        <f>"FES1162845118"</f>
        <v>FES1162845118</v>
      </c>
      <c r="F747" s="4">
        <v>44575</v>
      </c>
      <c r="G747" s="3">
        <v>202207</v>
      </c>
      <c r="H747" s="3" t="s">
        <v>75</v>
      </c>
      <c r="I747" s="3" t="s">
        <v>76</v>
      </c>
      <c r="J747" s="3" t="s">
        <v>77</v>
      </c>
      <c r="K747" s="3" t="s">
        <v>78</v>
      </c>
      <c r="L747" s="3" t="s">
        <v>171</v>
      </c>
      <c r="M747" s="3" t="s">
        <v>172</v>
      </c>
      <c r="N747" s="3" t="s">
        <v>1129</v>
      </c>
      <c r="O747" s="3" t="s">
        <v>82</v>
      </c>
      <c r="P747" s="3" t="str">
        <f>"2170816708                    "</f>
        <v xml:space="preserve">2170816708                    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15.46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1</v>
      </c>
      <c r="BI747" s="3">
        <v>1</v>
      </c>
      <c r="BJ747" s="3">
        <v>0.2</v>
      </c>
      <c r="BK747" s="3">
        <v>1</v>
      </c>
      <c r="BL747" s="3">
        <v>59</v>
      </c>
      <c r="BM747" s="3">
        <v>8.85</v>
      </c>
      <c r="BN747" s="3">
        <v>67.849999999999994</v>
      </c>
      <c r="BO747" s="3">
        <v>67.849999999999994</v>
      </c>
      <c r="BQ747" s="3" t="s">
        <v>89</v>
      </c>
      <c r="BR747" s="3" t="s">
        <v>84</v>
      </c>
      <c r="BS747" s="4">
        <v>44578</v>
      </c>
      <c r="BT747" s="5">
        <v>0.4375</v>
      </c>
      <c r="BU747" s="3" t="s">
        <v>1130</v>
      </c>
      <c r="BV747" s="3" t="s">
        <v>105</v>
      </c>
      <c r="BY747" s="3">
        <v>1200</v>
      </c>
      <c r="BZ747" s="3" t="s">
        <v>165</v>
      </c>
      <c r="CA747" s="3" t="s">
        <v>509</v>
      </c>
      <c r="CC747" s="3" t="s">
        <v>172</v>
      </c>
      <c r="CD747" s="3">
        <v>6000</v>
      </c>
      <c r="CE747" s="3" t="s">
        <v>93</v>
      </c>
      <c r="CF747" s="4">
        <v>44578</v>
      </c>
      <c r="CI747" s="3">
        <v>1</v>
      </c>
      <c r="CJ747" s="3">
        <v>1</v>
      </c>
      <c r="CK747" s="3">
        <v>21</v>
      </c>
      <c r="CL747" s="3" t="s">
        <v>87</v>
      </c>
    </row>
    <row r="748" spans="1:90" x14ac:dyDescent="0.2">
      <c r="A748" s="3" t="s">
        <v>72</v>
      </c>
      <c r="B748" s="3" t="s">
        <v>73</v>
      </c>
      <c r="C748" s="3" t="s">
        <v>74</v>
      </c>
      <c r="E748" s="3" t="str">
        <f>"FES1162845221"</f>
        <v>FES1162845221</v>
      </c>
      <c r="F748" s="4">
        <v>44575</v>
      </c>
      <c r="G748" s="3">
        <v>202207</v>
      </c>
      <c r="H748" s="3" t="s">
        <v>75</v>
      </c>
      <c r="I748" s="3" t="s">
        <v>76</v>
      </c>
      <c r="J748" s="3" t="s">
        <v>77</v>
      </c>
      <c r="K748" s="3" t="s">
        <v>78</v>
      </c>
      <c r="L748" s="3" t="s">
        <v>489</v>
      </c>
      <c r="M748" s="3" t="s">
        <v>490</v>
      </c>
      <c r="N748" s="3" t="s">
        <v>491</v>
      </c>
      <c r="O748" s="3" t="s">
        <v>148</v>
      </c>
      <c r="P748" s="3" t="str">
        <f>"2170816590                    "</f>
        <v xml:space="preserve">2170816590                    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42.16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15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2</v>
      </c>
      <c r="BI748" s="3">
        <v>14</v>
      </c>
      <c r="BJ748" s="3">
        <v>11.4</v>
      </c>
      <c r="BK748" s="3">
        <v>14</v>
      </c>
      <c r="BL748" s="3">
        <v>181.16</v>
      </c>
      <c r="BM748" s="3">
        <v>27.17</v>
      </c>
      <c r="BN748" s="3">
        <v>208.33</v>
      </c>
      <c r="BO748" s="3">
        <v>208.33</v>
      </c>
      <c r="BQ748" s="3" t="s">
        <v>83</v>
      </c>
      <c r="BR748" s="3" t="s">
        <v>84</v>
      </c>
      <c r="BS748" s="4">
        <v>44578</v>
      </c>
      <c r="BT748" s="5">
        <v>0.56527777777777777</v>
      </c>
      <c r="BU748" s="3" t="s">
        <v>492</v>
      </c>
      <c r="BV748" s="3" t="s">
        <v>105</v>
      </c>
      <c r="BY748" s="3">
        <v>57158</v>
      </c>
      <c r="BZ748" s="3" t="s">
        <v>426</v>
      </c>
      <c r="CA748" s="3" t="s">
        <v>495</v>
      </c>
      <c r="CC748" s="3" t="s">
        <v>490</v>
      </c>
      <c r="CD748" s="3">
        <v>250</v>
      </c>
      <c r="CE748" s="3" t="s">
        <v>221</v>
      </c>
      <c r="CF748" s="4">
        <v>44578</v>
      </c>
      <c r="CI748" s="3">
        <v>1</v>
      </c>
      <c r="CJ748" s="3">
        <v>1</v>
      </c>
      <c r="CK748" s="3">
        <v>43</v>
      </c>
      <c r="CL748" s="3" t="s">
        <v>87</v>
      </c>
    </row>
    <row r="749" spans="1:90" x14ac:dyDescent="0.2">
      <c r="A749" s="3" t="s">
        <v>72</v>
      </c>
      <c r="B749" s="3" t="s">
        <v>73</v>
      </c>
      <c r="C749" s="3" t="s">
        <v>74</v>
      </c>
      <c r="E749" s="3" t="str">
        <f>"FES1162845215"</f>
        <v>FES1162845215</v>
      </c>
      <c r="F749" s="4">
        <v>44575</v>
      </c>
      <c r="G749" s="3">
        <v>202207</v>
      </c>
      <c r="H749" s="3" t="s">
        <v>75</v>
      </c>
      <c r="I749" s="3" t="s">
        <v>76</v>
      </c>
      <c r="J749" s="3" t="s">
        <v>77</v>
      </c>
      <c r="K749" s="3" t="s">
        <v>78</v>
      </c>
      <c r="L749" s="3" t="s">
        <v>107</v>
      </c>
      <c r="M749" s="3" t="s">
        <v>108</v>
      </c>
      <c r="N749" s="3" t="s">
        <v>392</v>
      </c>
      <c r="O749" s="3" t="s">
        <v>82</v>
      </c>
      <c r="P749" s="3" t="str">
        <f>"2170816751                    "</f>
        <v xml:space="preserve">2170816751                    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29.95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1</v>
      </c>
      <c r="BI749" s="3">
        <v>1</v>
      </c>
      <c r="BJ749" s="3">
        <v>0.2</v>
      </c>
      <c r="BK749" s="3">
        <v>1</v>
      </c>
      <c r="BL749" s="3">
        <v>114.31</v>
      </c>
      <c r="BM749" s="3">
        <v>17.149999999999999</v>
      </c>
      <c r="BN749" s="3">
        <v>131.46</v>
      </c>
      <c r="BO749" s="3">
        <v>131.46</v>
      </c>
      <c r="BQ749" s="3" t="s">
        <v>83</v>
      </c>
      <c r="BR749" s="3" t="s">
        <v>84</v>
      </c>
      <c r="BS749" s="4">
        <v>44578</v>
      </c>
      <c r="BT749" s="5">
        <v>0.49027777777777781</v>
      </c>
      <c r="BU749" s="3" t="s">
        <v>592</v>
      </c>
      <c r="BV749" s="3" t="s">
        <v>105</v>
      </c>
      <c r="BY749" s="3">
        <v>1200</v>
      </c>
      <c r="BZ749" s="3" t="s">
        <v>165</v>
      </c>
      <c r="CA749" s="3" t="s">
        <v>394</v>
      </c>
      <c r="CC749" s="3" t="s">
        <v>108</v>
      </c>
      <c r="CD749" s="3">
        <v>6849</v>
      </c>
      <c r="CE749" s="3" t="s">
        <v>93</v>
      </c>
      <c r="CF749" s="4">
        <v>44579</v>
      </c>
      <c r="CI749" s="3">
        <v>2</v>
      </c>
      <c r="CJ749" s="3">
        <v>1</v>
      </c>
      <c r="CK749" s="3">
        <v>23</v>
      </c>
      <c r="CL749" s="3" t="s">
        <v>87</v>
      </c>
    </row>
    <row r="750" spans="1:90" x14ac:dyDescent="0.2">
      <c r="A750" s="3" t="s">
        <v>72</v>
      </c>
      <c r="B750" s="3" t="s">
        <v>73</v>
      </c>
      <c r="C750" s="3" t="s">
        <v>74</v>
      </c>
      <c r="E750" s="3" t="str">
        <f>"FES1162845222"</f>
        <v>FES1162845222</v>
      </c>
      <c r="F750" s="4">
        <v>44575</v>
      </c>
      <c r="G750" s="3">
        <v>202207</v>
      </c>
      <c r="H750" s="3" t="s">
        <v>75</v>
      </c>
      <c r="I750" s="3" t="s">
        <v>76</v>
      </c>
      <c r="J750" s="3" t="s">
        <v>77</v>
      </c>
      <c r="K750" s="3" t="s">
        <v>78</v>
      </c>
      <c r="L750" s="3" t="s">
        <v>101</v>
      </c>
      <c r="M750" s="3" t="s">
        <v>102</v>
      </c>
      <c r="N750" s="3" t="s">
        <v>340</v>
      </c>
      <c r="O750" s="3" t="s">
        <v>82</v>
      </c>
      <c r="P750" s="3" t="str">
        <f>"2170816759                    "</f>
        <v xml:space="preserve">2170816759                    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23.18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1</v>
      </c>
      <c r="BI750" s="3">
        <v>3</v>
      </c>
      <c r="BJ750" s="3">
        <v>1.5</v>
      </c>
      <c r="BK750" s="3">
        <v>3</v>
      </c>
      <c r="BL750" s="3">
        <v>88.48</v>
      </c>
      <c r="BM750" s="3">
        <v>13.27</v>
      </c>
      <c r="BN750" s="3">
        <v>101.75</v>
      </c>
      <c r="BO750" s="3">
        <v>101.75</v>
      </c>
      <c r="BQ750" s="3" t="s">
        <v>341</v>
      </c>
      <c r="BR750" s="3" t="s">
        <v>84</v>
      </c>
      <c r="BS750" s="4">
        <v>44578</v>
      </c>
      <c r="BT750" s="5">
        <v>0.35833333333333334</v>
      </c>
      <c r="BU750" s="3" t="s">
        <v>1131</v>
      </c>
      <c r="BV750" s="3" t="s">
        <v>105</v>
      </c>
      <c r="BY750" s="3">
        <v>7540</v>
      </c>
      <c r="BZ750" s="3" t="s">
        <v>165</v>
      </c>
      <c r="CA750" s="3" t="s">
        <v>343</v>
      </c>
      <c r="CC750" s="3" t="s">
        <v>102</v>
      </c>
      <c r="CD750" s="3">
        <v>4001</v>
      </c>
      <c r="CE750" s="3" t="s">
        <v>86</v>
      </c>
      <c r="CF750" s="4">
        <v>44579</v>
      </c>
      <c r="CI750" s="3">
        <v>1</v>
      </c>
      <c r="CJ750" s="3">
        <v>1</v>
      </c>
      <c r="CK750" s="3">
        <v>21</v>
      </c>
      <c r="CL750" s="3" t="s">
        <v>87</v>
      </c>
    </row>
    <row r="751" spans="1:90" x14ac:dyDescent="0.2">
      <c r="A751" s="3" t="s">
        <v>72</v>
      </c>
      <c r="B751" s="3" t="s">
        <v>73</v>
      </c>
      <c r="C751" s="3" t="s">
        <v>74</v>
      </c>
      <c r="E751" s="3" t="str">
        <f>"FES1162845223"</f>
        <v>FES1162845223</v>
      </c>
      <c r="F751" s="4">
        <v>44575</v>
      </c>
      <c r="G751" s="3">
        <v>202207</v>
      </c>
      <c r="H751" s="3" t="s">
        <v>75</v>
      </c>
      <c r="I751" s="3" t="s">
        <v>76</v>
      </c>
      <c r="J751" s="3" t="s">
        <v>77</v>
      </c>
      <c r="K751" s="3" t="s">
        <v>78</v>
      </c>
      <c r="L751" s="3" t="s">
        <v>211</v>
      </c>
      <c r="M751" s="3" t="s">
        <v>212</v>
      </c>
      <c r="N751" s="3" t="s">
        <v>1132</v>
      </c>
      <c r="O751" s="3" t="s">
        <v>82</v>
      </c>
      <c r="P751" s="3" t="str">
        <f>"2170816760                    "</f>
        <v xml:space="preserve">2170816760                    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12.07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1</v>
      </c>
      <c r="BI751" s="3">
        <v>3</v>
      </c>
      <c r="BJ751" s="3">
        <v>4.0999999999999996</v>
      </c>
      <c r="BK751" s="3">
        <v>4.5</v>
      </c>
      <c r="BL751" s="3">
        <v>46.08</v>
      </c>
      <c r="BM751" s="3">
        <v>6.91</v>
      </c>
      <c r="BN751" s="3">
        <v>52.99</v>
      </c>
      <c r="BO751" s="3">
        <v>52.99</v>
      </c>
      <c r="BR751" s="3" t="s">
        <v>84</v>
      </c>
      <c r="BS751" s="4">
        <v>44578</v>
      </c>
      <c r="BT751" s="5">
        <v>0.40972222222222227</v>
      </c>
      <c r="BU751" s="3" t="s">
        <v>1133</v>
      </c>
      <c r="BV751" s="3" t="s">
        <v>105</v>
      </c>
      <c r="BY751" s="3">
        <v>20358</v>
      </c>
      <c r="BZ751" s="3" t="s">
        <v>165</v>
      </c>
      <c r="CA751" s="3" t="s">
        <v>345</v>
      </c>
      <c r="CC751" s="3" t="s">
        <v>212</v>
      </c>
      <c r="CD751" s="3">
        <v>2163</v>
      </c>
      <c r="CE751" s="3" t="s">
        <v>86</v>
      </c>
      <c r="CF751" s="4">
        <v>44578</v>
      </c>
      <c r="CI751" s="3">
        <v>1</v>
      </c>
      <c r="CJ751" s="3">
        <v>1</v>
      </c>
      <c r="CK751" s="3">
        <v>22</v>
      </c>
      <c r="CL751" s="3" t="s">
        <v>87</v>
      </c>
    </row>
    <row r="752" spans="1:90" x14ac:dyDescent="0.2">
      <c r="A752" s="3" t="s">
        <v>72</v>
      </c>
      <c r="B752" s="3" t="s">
        <v>73</v>
      </c>
      <c r="C752" s="3" t="s">
        <v>74</v>
      </c>
      <c r="E752" s="3" t="str">
        <f>"FES1162845229"</f>
        <v>FES1162845229</v>
      </c>
      <c r="F752" s="4">
        <v>44575</v>
      </c>
      <c r="G752" s="3">
        <v>202207</v>
      </c>
      <c r="H752" s="3" t="s">
        <v>75</v>
      </c>
      <c r="I752" s="3" t="s">
        <v>76</v>
      </c>
      <c r="J752" s="3" t="s">
        <v>77</v>
      </c>
      <c r="K752" s="3" t="s">
        <v>78</v>
      </c>
      <c r="L752" s="3" t="s">
        <v>679</v>
      </c>
      <c r="M752" s="3" t="s">
        <v>680</v>
      </c>
      <c r="N752" s="3" t="s">
        <v>681</v>
      </c>
      <c r="O752" s="3" t="s">
        <v>82</v>
      </c>
      <c r="P752" s="3" t="str">
        <f>"2170816768                    "</f>
        <v xml:space="preserve">2170816768                    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117.86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15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1</v>
      </c>
      <c r="BI752" s="3">
        <v>4.4000000000000004</v>
      </c>
      <c r="BJ752" s="3">
        <v>8.3000000000000007</v>
      </c>
      <c r="BK752" s="3">
        <v>8.5</v>
      </c>
      <c r="BL752" s="3">
        <v>464.87</v>
      </c>
      <c r="BM752" s="3">
        <v>69.73</v>
      </c>
      <c r="BN752" s="3">
        <v>534.6</v>
      </c>
      <c r="BO752" s="3">
        <v>534.6</v>
      </c>
      <c r="BQ752" s="3" t="s">
        <v>128</v>
      </c>
      <c r="BR752" s="3" t="s">
        <v>84</v>
      </c>
      <c r="BS752" s="4">
        <v>44578</v>
      </c>
      <c r="BT752" s="5">
        <v>0.45833333333333331</v>
      </c>
      <c r="BU752" s="3" t="s">
        <v>1134</v>
      </c>
      <c r="BV752" s="3" t="s">
        <v>105</v>
      </c>
      <c r="BY752" s="3">
        <v>41300</v>
      </c>
      <c r="BZ752" s="3" t="s">
        <v>446</v>
      </c>
      <c r="CC752" s="3" t="s">
        <v>680</v>
      </c>
      <c r="CD752" s="3">
        <v>3930</v>
      </c>
      <c r="CE752" s="3" t="s">
        <v>86</v>
      </c>
      <c r="CF752" s="4">
        <v>44579</v>
      </c>
      <c r="CI752" s="3">
        <v>2</v>
      </c>
      <c r="CJ752" s="3">
        <v>1</v>
      </c>
      <c r="CK752" s="3">
        <v>23</v>
      </c>
      <c r="CL752" s="3" t="s">
        <v>87</v>
      </c>
    </row>
    <row r="753" spans="1:90" x14ac:dyDescent="0.2">
      <c r="A753" s="3" t="s">
        <v>72</v>
      </c>
      <c r="B753" s="3" t="s">
        <v>73</v>
      </c>
      <c r="C753" s="3" t="s">
        <v>74</v>
      </c>
      <c r="E753" s="3" t="str">
        <f>"FES1162845240"</f>
        <v>FES1162845240</v>
      </c>
      <c r="F753" s="4">
        <v>44575</v>
      </c>
      <c r="G753" s="3">
        <v>202207</v>
      </c>
      <c r="H753" s="3" t="s">
        <v>75</v>
      </c>
      <c r="I753" s="3" t="s">
        <v>76</v>
      </c>
      <c r="J753" s="3" t="s">
        <v>77</v>
      </c>
      <c r="K753" s="3" t="s">
        <v>78</v>
      </c>
      <c r="L753" s="3" t="s">
        <v>731</v>
      </c>
      <c r="M753" s="3" t="s">
        <v>732</v>
      </c>
      <c r="N753" s="3" t="s">
        <v>883</v>
      </c>
      <c r="O753" s="3" t="s">
        <v>82</v>
      </c>
      <c r="P753" s="3" t="str">
        <f>"2170816781                    "</f>
        <v xml:space="preserve">2170816781                    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29.95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1</v>
      </c>
      <c r="BI753" s="3">
        <v>1</v>
      </c>
      <c r="BJ753" s="3">
        <v>0.2</v>
      </c>
      <c r="BK753" s="3">
        <v>1</v>
      </c>
      <c r="BL753" s="3">
        <v>114.31</v>
      </c>
      <c r="BM753" s="3">
        <v>17.149999999999999</v>
      </c>
      <c r="BN753" s="3">
        <v>131.46</v>
      </c>
      <c r="BO753" s="3">
        <v>131.46</v>
      </c>
      <c r="BQ753" s="3" t="s">
        <v>273</v>
      </c>
      <c r="BR753" s="3" t="s">
        <v>84</v>
      </c>
      <c r="BS753" s="4">
        <v>44579</v>
      </c>
      <c r="BT753" s="5">
        <v>0.39583333333333331</v>
      </c>
      <c r="BU753" s="3" t="s">
        <v>884</v>
      </c>
      <c r="BV753" s="3" t="s">
        <v>87</v>
      </c>
      <c r="BW753" s="3" t="s">
        <v>453</v>
      </c>
      <c r="BX753" s="3" t="s">
        <v>279</v>
      </c>
      <c r="BY753" s="3">
        <v>1200</v>
      </c>
      <c r="BZ753" s="3" t="s">
        <v>165</v>
      </c>
      <c r="CC753" s="3" t="s">
        <v>732</v>
      </c>
      <c r="CD753" s="3">
        <v>3280</v>
      </c>
      <c r="CE753" s="3" t="s">
        <v>93</v>
      </c>
      <c r="CF753" s="4">
        <v>44582</v>
      </c>
      <c r="CI753" s="3">
        <v>1</v>
      </c>
      <c r="CJ753" s="3">
        <v>2</v>
      </c>
      <c r="CK753" s="3">
        <v>23</v>
      </c>
      <c r="CL753" s="3" t="s">
        <v>87</v>
      </c>
    </row>
    <row r="754" spans="1:90" x14ac:dyDescent="0.2">
      <c r="A754" s="3" t="s">
        <v>72</v>
      </c>
      <c r="B754" s="3" t="s">
        <v>73</v>
      </c>
      <c r="C754" s="3" t="s">
        <v>74</v>
      </c>
      <c r="E754" s="3" t="str">
        <f>"FES1162845261"</f>
        <v>FES1162845261</v>
      </c>
      <c r="F754" s="4">
        <v>44575</v>
      </c>
      <c r="G754" s="3">
        <v>202207</v>
      </c>
      <c r="H754" s="3" t="s">
        <v>75</v>
      </c>
      <c r="I754" s="3" t="s">
        <v>76</v>
      </c>
      <c r="J754" s="3" t="s">
        <v>77</v>
      </c>
      <c r="K754" s="3" t="s">
        <v>78</v>
      </c>
      <c r="L754" s="3" t="s">
        <v>176</v>
      </c>
      <c r="M754" s="3" t="s">
        <v>177</v>
      </c>
      <c r="N754" s="3" t="s">
        <v>178</v>
      </c>
      <c r="O754" s="3" t="s">
        <v>82</v>
      </c>
      <c r="P754" s="3" t="str">
        <f>"2170816815                    "</f>
        <v xml:space="preserve">2170816815                    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15.46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1</v>
      </c>
      <c r="BI754" s="3">
        <v>1</v>
      </c>
      <c r="BJ754" s="3">
        <v>0.2</v>
      </c>
      <c r="BK754" s="3">
        <v>1</v>
      </c>
      <c r="BL754" s="3">
        <v>59</v>
      </c>
      <c r="BM754" s="3">
        <v>8.85</v>
      </c>
      <c r="BN754" s="3">
        <v>67.849999999999994</v>
      </c>
      <c r="BO754" s="3">
        <v>67.849999999999994</v>
      </c>
      <c r="BQ754" s="3" t="s">
        <v>83</v>
      </c>
      <c r="BR754" s="3" t="s">
        <v>84</v>
      </c>
      <c r="BS754" s="4">
        <v>44578</v>
      </c>
      <c r="BT754" s="5">
        <v>0.41875000000000001</v>
      </c>
      <c r="BU754" s="3" t="s">
        <v>1135</v>
      </c>
      <c r="BV754" s="3" t="s">
        <v>105</v>
      </c>
      <c r="BY754" s="3">
        <v>1200</v>
      </c>
      <c r="BZ754" s="3" t="s">
        <v>165</v>
      </c>
      <c r="CA754" s="3" t="s">
        <v>1040</v>
      </c>
      <c r="CC754" s="3" t="s">
        <v>177</v>
      </c>
      <c r="CD754" s="3">
        <v>4026</v>
      </c>
      <c r="CE754" s="3" t="s">
        <v>93</v>
      </c>
      <c r="CF754" s="4">
        <v>44579</v>
      </c>
      <c r="CI754" s="3">
        <v>1</v>
      </c>
      <c r="CJ754" s="3">
        <v>1</v>
      </c>
      <c r="CK754" s="3">
        <v>21</v>
      </c>
      <c r="CL754" s="3" t="s">
        <v>87</v>
      </c>
    </row>
    <row r="755" spans="1:90" x14ac:dyDescent="0.2">
      <c r="A755" s="3" t="s">
        <v>72</v>
      </c>
      <c r="B755" s="3" t="s">
        <v>73</v>
      </c>
      <c r="C755" s="3" t="s">
        <v>74</v>
      </c>
      <c r="E755" s="3" t="str">
        <f>"FES1162845266"</f>
        <v>FES1162845266</v>
      </c>
      <c r="F755" s="4">
        <v>44575</v>
      </c>
      <c r="G755" s="3">
        <v>202207</v>
      </c>
      <c r="H755" s="3" t="s">
        <v>75</v>
      </c>
      <c r="I755" s="3" t="s">
        <v>76</v>
      </c>
      <c r="J755" s="3" t="s">
        <v>77</v>
      </c>
      <c r="K755" s="3" t="s">
        <v>78</v>
      </c>
      <c r="L755" s="3" t="s">
        <v>167</v>
      </c>
      <c r="M755" s="3" t="s">
        <v>168</v>
      </c>
      <c r="N755" s="3" t="s">
        <v>1136</v>
      </c>
      <c r="O755" s="3" t="s">
        <v>148</v>
      </c>
      <c r="P755" s="3" t="str">
        <f>"2170816820                    "</f>
        <v xml:space="preserve">2170816820                    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29.89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1</v>
      </c>
      <c r="BI755" s="3">
        <v>4</v>
      </c>
      <c r="BJ755" s="3">
        <v>2.2999999999999998</v>
      </c>
      <c r="BK755" s="3">
        <v>4</v>
      </c>
      <c r="BL755" s="3">
        <v>119.34</v>
      </c>
      <c r="BM755" s="3">
        <v>17.899999999999999</v>
      </c>
      <c r="BN755" s="3">
        <v>137.24</v>
      </c>
      <c r="BO755" s="3">
        <v>137.24</v>
      </c>
      <c r="BQ755" s="3" t="s">
        <v>83</v>
      </c>
      <c r="BR755" s="3" t="s">
        <v>84</v>
      </c>
      <c r="BS755" s="4">
        <v>44578</v>
      </c>
      <c r="BT755" s="5">
        <v>0.41388888888888892</v>
      </c>
      <c r="BU755" s="3" t="s">
        <v>1137</v>
      </c>
      <c r="BV755" s="3" t="s">
        <v>105</v>
      </c>
      <c r="BY755" s="3">
        <v>11492</v>
      </c>
      <c r="BZ755" s="3" t="s">
        <v>327</v>
      </c>
      <c r="CA755" s="3" t="s">
        <v>263</v>
      </c>
      <c r="CC755" s="3" t="s">
        <v>168</v>
      </c>
      <c r="CD755" s="3">
        <v>6220</v>
      </c>
      <c r="CE755" s="3" t="s">
        <v>86</v>
      </c>
      <c r="CF755" s="4">
        <v>44579</v>
      </c>
      <c r="CI755" s="3">
        <v>2</v>
      </c>
      <c r="CJ755" s="3">
        <v>1</v>
      </c>
      <c r="CK755" s="3">
        <v>41</v>
      </c>
      <c r="CL755" s="3" t="s">
        <v>87</v>
      </c>
    </row>
    <row r="756" spans="1:90" x14ac:dyDescent="0.2">
      <c r="A756" s="3" t="s">
        <v>72</v>
      </c>
      <c r="B756" s="3" t="s">
        <v>73</v>
      </c>
      <c r="C756" s="3" t="s">
        <v>74</v>
      </c>
      <c r="E756" s="3" t="str">
        <f>"FES1162845225"</f>
        <v>FES1162845225</v>
      </c>
      <c r="F756" s="4">
        <v>44575</v>
      </c>
      <c r="G756" s="3">
        <v>202207</v>
      </c>
      <c r="H756" s="3" t="s">
        <v>75</v>
      </c>
      <c r="I756" s="3" t="s">
        <v>76</v>
      </c>
      <c r="J756" s="3" t="s">
        <v>77</v>
      </c>
      <c r="K756" s="3" t="s">
        <v>78</v>
      </c>
      <c r="L756" s="3" t="s">
        <v>731</v>
      </c>
      <c r="M756" s="3" t="s">
        <v>732</v>
      </c>
      <c r="N756" s="3" t="s">
        <v>733</v>
      </c>
      <c r="O756" s="3" t="s">
        <v>82</v>
      </c>
      <c r="P756" s="3" t="str">
        <f>"2170816763                    "</f>
        <v xml:space="preserve">2170816763                    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63.76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1</v>
      </c>
      <c r="BI756" s="3">
        <v>3</v>
      </c>
      <c r="BJ756" s="3">
        <v>4.0999999999999996</v>
      </c>
      <c r="BK756" s="3">
        <v>4.5</v>
      </c>
      <c r="BL756" s="3">
        <v>243.37</v>
      </c>
      <c r="BM756" s="3">
        <v>36.51</v>
      </c>
      <c r="BN756" s="3">
        <v>279.88</v>
      </c>
      <c r="BO756" s="3">
        <v>279.88</v>
      </c>
      <c r="BQ756" s="3" t="s">
        <v>89</v>
      </c>
      <c r="BR756" s="3" t="s">
        <v>84</v>
      </c>
      <c r="BS756" s="4">
        <v>44578</v>
      </c>
      <c r="BT756" s="5">
        <v>0.49861111111111112</v>
      </c>
      <c r="BU756" s="3" t="s">
        <v>937</v>
      </c>
      <c r="BV756" s="3" t="s">
        <v>105</v>
      </c>
      <c r="BY756" s="3">
        <v>20358</v>
      </c>
      <c r="BZ756" s="3" t="s">
        <v>165</v>
      </c>
      <c r="CC756" s="3" t="s">
        <v>732</v>
      </c>
      <c r="CD756" s="3">
        <v>3290</v>
      </c>
      <c r="CE756" s="3" t="s">
        <v>86</v>
      </c>
      <c r="CF756" s="4">
        <v>44581</v>
      </c>
      <c r="CI756" s="3">
        <v>1</v>
      </c>
      <c r="CJ756" s="3">
        <v>1</v>
      </c>
      <c r="CK756" s="3">
        <v>23</v>
      </c>
      <c r="CL756" s="3" t="s">
        <v>87</v>
      </c>
    </row>
    <row r="757" spans="1:90" x14ac:dyDescent="0.2">
      <c r="A757" s="3" t="s">
        <v>72</v>
      </c>
      <c r="B757" s="3" t="s">
        <v>73</v>
      </c>
      <c r="C757" s="3" t="s">
        <v>74</v>
      </c>
      <c r="E757" s="3" t="str">
        <f>"FES1162845234"</f>
        <v>FES1162845234</v>
      </c>
      <c r="F757" s="4">
        <v>44575</v>
      </c>
      <c r="G757" s="3">
        <v>202207</v>
      </c>
      <c r="H757" s="3" t="s">
        <v>75</v>
      </c>
      <c r="I757" s="3" t="s">
        <v>76</v>
      </c>
      <c r="J757" s="3" t="s">
        <v>77</v>
      </c>
      <c r="K757" s="3" t="s">
        <v>78</v>
      </c>
      <c r="L757" s="3" t="s">
        <v>167</v>
      </c>
      <c r="M757" s="3" t="s">
        <v>168</v>
      </c>
      <c r="N757" s="3" t="s">
        <v>1136</v>
      </c>
      <c r="O757" s="3" t="s">
        <v>82</v>
      </c>
      <c r="P757" s="3" t="str">
        <f>"2170816774                    "</f>
        <v xml:space="preserve">2170816774                    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15.46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1</v>
      </c>
      <c r="BI757" s="3">
        <v>1</v>
      </c>
      <c r="BJ757" s="3">
        <v>0.2</v>
      </c>
      <c r="BK757" s="3">
        <v>1</v>
      </c>
      <c r="BL757" s="3">
        <v>59</v>
      </c>
      <c r="BM757" s="3">
        <v>8.85</v>
      </c>
      <c r="BN757" s="3">
        <v>67.849999999999994</v>
      </c>
      <c r="BO757" s="3">
        <v>67.849999999999994</v>
      </c>
      <c r="BQ757" s="3" t="s">
        <v>83</v>
      </c>
      <c r="BR757" s="3" t="s">
        <v>84</v>
      </c>
      <c r="BS757" s="4">
        <v>44578</v>
      </c>
      <c r="BT757" s="5">
        <v>0.4145833333333333</v>
      </c>
      <c r="BU757" s="3" t="s">
        <v>1137</v>
      </c>
      <c r="BV757" s="3" t="s">
        <v>105</v>
      </c>
      <c r="BY757" s="3">
        <v>1200</v>
      </c>
      <c r="BZ757" s="3" t="s">
        <v>165</v>
      </c>
      <c r="CA757" s="3" t="s">
        <v>263</v>
      </c>
      <c r="CC757" s="3" t="s">
        <v>168</v>
      </c>
      <c r="CD757" s="3">
        <v>6220</v>
      </c>
      <c r="CE757" s="3" t="s">
        <v>93</v>
      </c>
      <c r="CF757" s="4">
        <v>44579</v>
      </c>
      <c r="CI757" s="3">
        <v>1</v>
      </c>
      <c r="CJ757" s="3">
        <v>1</v>
      </c>
      <c r="CK757" s="3">
        <v>21</v>
      </c>
      <c r="CL757" s="3" t="s">
        <v>87</v>
      </c>
    </row>
    <row r="758" spans="1:90" x14ac:dyDescent="0.2">
      <c r="A758" s="3" t="s">
        <v>72</v>
      </c>
      <c r="B758" s="3" t="s">
        <v>73</v>
      </c>
      <c r="C758" s="3" t="s">
        <v>74</v>
      </c>
      <c r="E758" s="3" t="str">
        <f>"FES1162845228"</f>
        <v>FES1162845228</v>
      </c>
      <c r="F758" s="4">
        <v>44575</v>
      </c>
      <c r="G758" s="3">
        <v>202207</v>
      </c>
      <c r="H758" s="3" t="s">
        <v>75</v>
      </c>
      <c r="I758" s="3" t="s">
        <v>76</v>
      </c>
      <c r="J758" s="3" t="s">
        <v>77</v>
      </c>
      <c r="K758" s="3" t="s">
        <v>78</v>
      </c>
      <c r="L758" s="3" t="s">
        <v>731</v>
      </c>
      <c r="M758" s="3" t="s">
        <v>732</v>
      </c>
      <c r="N758" s="3" t="s">
        <v>733</v>
      </c>
      <c r="O758" s="3" t="s">
        <v>82</v>
      </c>
      <c r="P758" s="3" t="str">
        <f>"2170816767                    "</f>
        <v xml:space="preserve">2170816767                    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29.95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1</v>
      </c>
      <c r="BI758" s="3">
        <v>1</v>
      </c>
      <c r="BJ758" s="3">
        <v>2</v>
      </c>
      <c r="BK758" s="3">
        <v>2</v>
      </c>
      <c r="BL758" s="3">
        <v>114.31</v>
      </c>
      <c r="BM758" s="3">
        <v>17.149999999999999</v>
      </c>
      <c r="BN758" s="3">
        <v>131.46</v>
      </c>
      <c r="BO758" s="3">
        <v>131.46</v>
      </c>
      <c r="BQ758" s="3" t="s">
        <v>89</v>
      </c>
      <c r="BR758" s="3" t="s">
        <v>84</v>
      </c>
      <c r="BS758" s="4">
        <v>44579</v>
      </c>
      <c r="BT758" s="5">
        <v>0.5</v>
      </c>
      <c r="BU758" s="3" t="s">
        <v>937</v>
      </c>
      <c r="BV758" s="3" t="s">
        <v>87</v>
      </c>
      <c r="BW758" s="3" t="s">
        <v>453</v>
      </c>
      <c r="BX758" s="3" t="s">
        <v>279</v>
      </c>
      <c r="BY758" s="3">
        <v>10192</v>
      </c>
      <c r="BZ758" s="3" t="s">
        <v>165</v>
      </c>
      <c r="CC758" s="3" t="s">
        <v>732</v>
      </c>
      <c r="CD758" s="3">
        <v>3290</v>
      </c>
      <c r="CE758" s="3" t="s">
        <v>86</v>
      </c>
      <c r="CF758" s="4">
        <v>44587</v>
      </c>
      <c r="CI758" s="3">
        <v>1</v>
      </c>
      <c r="CJ758" s="3">
        <v>2</v>
      </c>
      <c r="CK758" s="3">
        <v>23</v>
      </c>
      <c r="CL758" s="3" t="s">
        <v>87</v>
      </c>
    </row>
    <row r="759" spans="1:90" x14ac:dyDescent="0.2">
      <c r="A759" s="3" t="s">
        <v>72</v>
      </c>
      <c r="B759" s="3" t="s">
        <v>73</v>
      </c>
      <c r="C759" s="3" t="s">
        <v>74</v>
      </c>
      <c r="E759" s="3" t="str">
        <f>"FES1162845237"</f>
        <v>FES1162845237</v>
      </c>
      <c r="F759" s="4">
        <v>44575</v>
      </c>
      <c r="G759" s="3">
        <v>202207</v>
      </c>
      <c r="H759" s="3" t="s">
        <v>75</v>
      </c>
      <c r="I759" s="3" t="s">
        <v>76</v>
      </c>
      <c r="J759" s="3" t="s">
        <v>77</v>
      </c>
      <c r="K759" s="3" t="s">
        <v>78</v>
      </c>
      <c r="L759" s="3" t="s">
        <v>731</v>
      </c>
      <c r="M759" s="3" t="s">
        <v>732</v>
      </c>
      <c r="N759" s="3" t="s">
        <v>883</v>
      </c>
      <c r="O759" s="3" t="s">
        <v>82</v>
      </c>
      <c r="P759" s="3" t="str">
        <f>"2170816778                    "</f>
        <v xml:space="preserve">2170816778                    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43.47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1</v>
      </c>
      <c r="BI759" s="3">
        <v>3</v>
      </c>
      <c r="BJ759" s="3">
        <v>2</v>
      </c>
      <c r="BK759" s="3">
        <v>3</v>
      </c>
      <c r="BL759" s="3">
        <v>165.93</v>
      </c>
      <c r="BM759" s="3">
        <v>24.89</v>
      </c>
      <c r="BN759" s="3">
        <v>190.82</v>
      </c>
      <c r="BO759" s="3">
        <v>190.82</v>
      </c>
      <c r="BQ759" s="3" t="s">
        <v>273</v>
      </c>
      <c r="BR759" s="3" t="s">
        <v>84</v>
      </c>
      <c r="BS759" s="4">
        <v>44578</v>
      </c>
      <c r="BT759" s="5">
        <v>0.3888888888888889</v>
      </c>
      <c r="BU759" s="3" t="s">
        <v>884</v>
      </c>
      <c r="BV759" s="3" t="s">
        <v>105</v>
      </c>
      <c r="BY759" s="3">
        <v>9918</v>
      </c>
      <c r="BZ759" s="3" t="s">
        <v>165</v>
      </c>
      <c r="CC759" s="3" t="s">
        <v>732</v>
      </c>
      <c r="CD759" s="3">
        <v>3280</v>
      </c>
      <c r="CE759" s="3" t="s">
        <v>86</v>
      </c>
      <c r="CF759" s="4">
        <v>44582</v>
      </c>
      <c r="CI759" s="3">
        <v>1</v>
      </c>
      <c r="CJ759" s="3">
        <v>1</v>
      </c>
      <c r="CK759" s="3">
        <v>23</v>
      </c>
      <c r="CL759" s="3" t="s">
        <v>87</v>
      </c>
    </row>
    <row r="760" spans="1:90" x14ac:dyDescent="0.2">
      <c r="A760" s="3" t="s">
        <v>72</v>
      </c>
      <c r="B760" s="3" t="s">
        <v>73</v>
      </c>
      <c r="C760" s="3" t="s">
        <v>74</v>
      </c>
      <c r="E760" s="3" t="str">
        <f>"FES1162845268"</f>
        <v>FES1162845268</v>
      </c>
      <c r="F760" s="4">
        <v>44575</v>
      </c>
      <c r="G760" s="3">
        <v>202207</v>
      </c>
      <c r="H760" s="3" t="s">
        <v>75</v>
      </c>
      <c r="I760" s="3" t="s">
        <v>76</v>
      </c>
      <c r="J760" s="3" t="s">
        <v>77</v>
      </c>
      <c r="K760" s="3" t="s">
        <v>78</v>
      </c>
      <c r="L760" s="3" t="s">
        <v>94</v>
      </c>
      <c r="M760" s="3" t="s">
        <v>95</v>
      </c>
      <c r="N760" s="3" t="s">
        <v>179</v>
      </c>
      <c r="O760" s="3" t="s">
        <v>82</v>
      </c>
      <c r="P760" s="3" t="str">
        <f>"2170816823                    "</f>
        <v xml:space="preserve">2170816823                    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15.46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1</v>
      </c>
      <c r="BI760" s="3">
        <v>1</v>
      </c>
      <c r="BJ760" s="3">
        <v>0.2</v>
      </c>
      <c r="BK760" s="3">
        <v>1</v>
      </c>
      <c r="BL760" s="3">
        <v>59</v>
      </c>
      <c r="BM760" s="3">
        <v>8.85</v>
      </c>
      <c r="BN760" s="3">
        <v>67.849999999999994</v>
      </c>
      <c r="BO760" s="3">
        <v>67.849999999999994</v>
      </c>
      <c r="BQ760" s="3" t="s">
        <v>83</v>
      </c>
      <c r="BR760" s="3" t="s">
        <v>84</v>
      </c>
      <c r="BS760" s="4">
        <v>44578</v>
      </c>
      <c r="BT760" s="5">
        <v>0.45833333333333331</v>
      </c>
      <c r="BU760" s="3" t="s">
        <v>1138</v>
      </c>
      <c r="BV760" s="3" t="s">
        <v>87</v>
      </c>
      <c r="BW760" s="3" t="s">
        <v>453</v>
      </c>
      <c r="BX760" s="3" t="s">
        <v>279</v>
      </c>
      <c r="BY760" s="3">
        <v>1200</v>
      </c>
      <c r="BZ760" s="3" t="s">
        <v>165</v>
      </c>
      <c r="CC760" s="3" t="s">
        <v>95</v>
      </c>
      <c r="CD760" s="3">
        <v>3201</v>
      </c>
      <c r="CE760" s="3" t="s">
        <v>93</v>
      </c>
      <c r="CF760" s="4">
        <v>44581</v>
      </c>
      <c r="CI760" s="3">
        <v>1</v>
      </c>
      <c r="CJ760" s="3">
        <v>1</v>
      </c>
      <c r="CK760" s="3">
        <v>21</v>
      </c>
      <c r="CL760" s="3" t="s">
        <v>87</v>
      </c>
    </row>
    <row r="761" spans="1:90" x14ac:dyDescent="0.2">
      <c r="A761" s="3" t="s">
        <v>72</v>
      </c>
      <c r="B761" s="3" t="s">
        <v>73</v>
      </c>
      <c r="C761" s="3" t="s">
        <v>74</v>
      </c>
      <c r="E761" s="3" t="str">
        <f>"FES1162845238"</f>
        <v>FES1162845238</v>
      </c>
      <c r="F761" s="4">
        <v>44575</v>
      </c>
      <c r="G761" s="3">
        <v>202207</v>
      </c>
      <c r="H761" s="3" t="s">
        <v>75</v>
      </c>
      <c r="I761" s="3" t="s">
        <v>76</v>
      </c>
      <c r="J761" s="3" t="s">
        <v>77</v>
      </c>
      <c r="K761" s="3" t="s">
        <v>78</v>
      </c>
      <c r="L761" s="3" t="s">
        <v>97</v>
      </c>
      <c r="M761" s="3" t="s">
        <v>98</v>
      </c>
      <c r="N761" s="3" t="s">
        <v>644</v>
      </c>
      <c r="O761" s="3" t="s">
        <v>82</v>
      </c>
      <c r="P761" s="3" t="str">
        <f>"2170816779                    "</f>
        <v xml:space="preserve">2170816779                    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12.07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1</v>
      </c>
      <c r="BI761" s="3">
        <v>1</v>
      </c>
      <c r="BJ761" s="3">
        <v>0.2</v>
      </c>
      <c r="BK761" s="3">
        <v>1</v>
      </c>
      <c r="BL761" s="3">
        <v>46.08</v>
      </c>
      <c r="BM761" s="3">
        <v>6.91</v>
      </c>
      <c r="BN761" s="3">
        <v>52.99</v>
      </c>
      <c r="BO761" s="3">
        <v>52.99</v>
      </c>
      <c r="BQ761" s="3" t="s">
        <v>126</v>
      </c>
      <c r="BR761" s="3" t="s">
        <v>84</v>
      </c>
      <c r="BS761" s="4">
        <v>44578</v>
      </c>
      <c r="BT761" s="5">
        <v>0.31388888888888888</v>
      </c>
      <c r="BU761" s="3" t="s">
        <v>1139</v>
      </c>
      <c r="BV761" s="3" t="s">
        <v>105</v>
      </c>
      <c r="BY761" s="3">
        <v>1200</v>
      </c>
      <c r="BZ761" s="3" t="s">
        <v>165</v>
      </c>
      <c r="CA761" s="3" t="s">
        <v>297</v>
      </c>
      <c r="CC761" s="3" t="s">
        <v>98</v>
      </c>
      <c r="CD761" s="3">
        <v>2013</v>
      </c>
      <c r="CE761" s="3" t="s">
        <v>93</v>
      </c>
      <c r="CF761" s="4">
        <v>44579</v>
      </c>
      <c r="CI761" s="3">
        <v>1</v>
      </c>
      <c r="CJ761" s="3">
        <v>1</v>
      </c>
      <c r="CK761" s="3">
        <v>22</v>
      </c>
      <c r="CL761" s="3" t="s">
        <v>87</v>
      </c>
    </row>
    <row r="762" spans="1:90" x14ac:dyDescent="0.2">
      <c r="A762" s="3" t="s">
        <v>72</v>
      </c>
      <c r="B762" s="3" t="s">
        <v>73</v>
      </c>
      <c r="C762" s="3" t="s">
        <v>74</v>
      </c>
      <c r="E762" s="3" t="str">
        <f>"FES1162845227"</f>
        <v>FES1162845227</v>
      </c>
      <c r="F762" s="4">
        <v>44575</v>
      </c>
      <c r="G762" s="3">
        <v>202207</v>
      </c>
      <c r="H762" s="3" t="s">
        <v>75</v>
      </c>
      <c r="I762" s="3" t="s">
        <v>76</v>
      </c>
      <c r="J762" s="3" t="s">
        <v>77</v>
      </c>
      <c r="K762" s="3" t="s">
        <v>78</v>
      </c>
      <c r="L762" s="3" t="s">
        <v>158</v>
      </c>
      <c r="M762" s="3" t="s">
        <v>159</v>
      </c>
      <c r="N762" s="3" t="s">
        <v>1140</v>
      </c>
      <c r="O762" s="3" t="s">
        <v>82</v>
      </c>
      <c r="P762" s="3" t="str">
        <f>"2170816766                    "</f>
        <v xml:space="preserve">2170816766                    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12.07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1</v>
      </c>
      <c r="BI762" s="3">
        <v>5</v>
      </c>
      <c r="BJ762" s="3">
        <v>6.5</v>
      </c>
      <c r="BK762" s="3">
        <v>6.5</v>
      </c>
      <c r="BL762" s="3">
        <v>46.08</v>
      </c>
      <c r="BM762" s="3">
        <v>6.91</v>
      </c>
      <c r="BN762" s="3">
        <v>52.99</v>
      </c>
      <c r="BO762" s="3">
        <v>52.99</v>
      </c>
      <c r="BQ762" s="3" t="s">
        <v>89</v>
      </c>
      <c r="BR762" s="3" t="s">
        <v>84</v>
      </c>
      <c r="BS762" s="4">
        <v>44579</v>
      </c>
      <c r="BT762" s="5">
        <v>0.40833333333333338</v>
      </c>
      <c r="BU762" s="3" t="s">
        <v>1141</v>
      </c>
      <c r="BV762" s="3" t="s">
        <v>87</v>
      </c>
      <c r="BW762" s="3" t="s">
        <v>376</v>
      </c>
      <c r="BX762" s="3" t="s">
        <v>758</v>
      </c>
      <c r="BY762" s="3">
        <v>32500</v>
      </c>
      <c r="BZ762" s="3" t="s">
        <v>165</v>
      </c>
      <c r="CA762" s="3" t="s">
        <v>653</v>
      </c>
      <c r="CC762" s="3" t="s">
        <v>159</v>
      </c>
      <c r="CD762" s="3">
        <v>1459</v>
      </c>
      <c r="CE762" s="3" t="s">
        <v>86</v>
      </c>
      <c r="CF762" s="4">
        <v>44580</v>
      </c>
      <c r="CI762" s="3">
        <v>1</v>
      </c>
      <c r="CJ762" s="3">
        <v>2</v>
      </c>
      <c r="CK762" s="3">
        <v>22</v>
      </c>
      <c r="CL762" s="3" t="s">
        <v>87</v>
      </c>
    </row>
    <row r="763" spans="1:90" x14ac:dyDescent="0.2">
      <c r="A763" s="3" t="s">
        <v>72</v>
      </c>
      <c r="B763" s="3" t="s">
        <v>73</v>
      </c>
      <c r="C763" s="3" t="s">
        <v>74</v>
      </c>
      <c r="E763" s="3" t="str">
        <f>"FES1162845249"</f>
        <v>FES1162845249</v>
      </c>
      <c r="F763" s="4">
        <v>44575</v>
      </c>
      <c r="G763" s="3">
        <v>202207</v>
      </c>
      <c r="H763" s="3" t="s">
        <v>75</v>
      </c>
      <c r="I763" s="3" t="s">
        <v>76</v>
      </c>
      <c r="J763" s="3" t="s">
        <v>77</v>
      </c>
      <c r="K763" s="3" t="s">
        <v>78</v>
      </c>
      <c r="L763" s="3" t="s">
        <v>97</v>
      </c>
      <c r="M763" s="3" t="s">
        <v>98</v>
      </c>
      <c r="N763" s="3" t="s">
        <v>1142</v>
      </c>
      <c r="O763" s="3" t="s">
        <v>82</v>
      </c>
      <c r="P763" s="3" t="str">
        <f>"2170816796                    "</f>
        <v xml:space="preserve">2170816796                    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12.07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1</v>
      </c>
      <c r="BI763" s="3">
        <v>1</v>
      </c>
      <c r="BJ763" s="3">
        <v>0.2</v>
      </c>
      <c r="BK763" s="3">
        <v>1</v>
      </c>
      <c r="BL763" s="3">
        <v>46.08</v>
      </c>
      <c r="BM763" s="3">
        <v>6.91</v>
      </c>
      <c r="BN763" s="3">
        <v>52.99</v>
      </c>
      <c r="BO763" s="3">
        <v>52.99</v>
      </c>
      <c r="BQ763" s="3" t="s">
        <v>89</v>
      </c>
      <c r="BR763" s="3" t="s">
        <v>84</v>
      </c>
      <c r="BS763" s="4">
        <v>44578</v>
      </c>
      <c r="BT763" s="5">
        <v>0.37083333333333335</v>
      </c>
      <c r="BU763" s="3" t="s">
        <v>1143</v>
      </c>
      <c r="BV763" s="3" t="s">
        <v>105</v>
      </c>
      <c r="BY763" s="3">
        <v>1200</v>
      </c>
      <c r="BZ763" s="3" t="s">
        <v>165</v>
      </c>
      <c r="CA763" s="3" t="s">
        <v>297</v>
      </c>
      <c r="CC763" s="3" t="s">
        <v>98</v>
      </c>
      <c r="CD763" s="3">
        <v>2091</v>
      </c>
      <c r="CE763" s="3" t="s">
        <v>93</v>
      </c>
      <c r="CF763" s="4">
        <v>44579</v>
      </c>
      <c r="CI763" s="3">
        <v>1</v>
      </c>
      <c r="CJ763" s="3">
        <v>1</v>
      </c>
      <c r="CK763" s="3">
        <v>22</v>
      </c>
      <c r="CL763" s="3" t="s">
        <v>87</v>
      </c>
    </row>
    <row r="764" spans="1:90" x14ac:dyDescent="0.2">
      <c r="A764" s="3" t="s">
        <v>72</v>
      </c>
      <c r="B764" s="3" t="s">
        <v>73</v>
      </c>
      <c r="C764" s="3" t="s">
        <v>74</v>
      </c>
      <c r="E764" s="3" t="str">
        <f>"FES1162845275"</f>
        <v>FES1162845275</v>
      </c>
      <c r="F764" s="4">
        <v>44575</v>
      </c>
      <c r="G764" s="3">
        <v>202207</v>
      </c>
      <c r="H764" s="3" t="s">
        <v>75</v>
      </c>
      <c r="I764" s="3" t="s">
        <v>76</v>
      </c>
      <c r="J764" s="3" t="s">
        <v>77</v>
      </c>
      <c r="K764" s="3" t="s">
        <v>78</v>
      </c>
      <c r="L764" s="3" t="s">
        <v>75</v>
      </c>
      <c r="M764" s="3" t="s">
        <v>76</v>
      </c>
      <c r="N764" s="3" t="s">
        <v>374</v>
      </c>
      <c r="O764" s="3" t="s">
        <v>82</v>
      </c>
      <c r="P764" s="3" t="str">
        <f>"2170816832                    "</f>
        <v xml:space="preserve">2170816832                    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12.07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1</v>
      </c>
      <c r="BI764" s="3">
        <v>1</v>
      </c>
      <c r="BJ764" s="3">
        <v>0.2</v>
      </c>
      <c r="BK764" s="3">
        <v>1</v>
      </c>
      <c r="BL764" s="3">
        <v>46.08</v>
      </c>
      <c r="BM764" s="3">
        <v>6.91</v>
      </c>
      <c r="BN764" s="3">
        <v>52.99</v>
      </c>
      <c r="BO764" s="3">
        <v>52.99</v>
      </c>
      <c r="BQ764" s="3" t="s">
        <v>83</v>
      </c>
      <c r="BR764" s="3" t="s">
        <v>84</v>
      </c>
      <c r="BS764" s="4">
        <v>44578</v>
      </c>
      <c r="BT764" s="5">
        <v>0.4069444444444445</v>
      </c>
      <c r="BU764" s="3" t="s">
        <v>652</v>
      </c>
      <c r="BV764" s="3" t="s">
        <v>105</v>
      </c>
      <c r="BY764" s="3">
        <v>1200</v>
      </c>
      <c r="BZ764" s="3" t="s">
        <v>165</v>
      </c>
      <c r="CA764" s="3" t="s">
        <v>227</v>
      </c>
      <c r="CC764" s="3" t="s">
        <v>76</v>
      </c>
      <c r="CD764" s="3">
        <v>1609</v>
      </c>
      <c r="CE764" s="3" t="s">
        <v>93</v>
      </c>
      <c r="CF764" s="4">
        <v>44578</v>
      </c>
      <c r="CI764" s="3">
        <v>1</v>
      </c>
      <c r="CJ764" s="3">
        <v>1</v>
      </c>
      <c r="CK764" s="3">
        <v>22</v>
      </c>
      <c r="CL764" s="3" t="s">
        <v>87</v>
      </c>
    </row>
    <row r="765" spans="1:90" x14ac:dyDescent="0.2">
      <c r="A765" s="3" t="s">
        <v>72</v>
      </c>
      <c r="B765" s="3" t="s">
        <v>73</v>
      </c>
      <c r="C765" s="3" t="s">
        <v>74</v>
      </c>
      <c r="E765" s="3" t="str">
        <f>"FES1162845278"</f>
        <v>FES1162845278</v>
      </c>
      <c r="F765" s="4">
        <v>44575</v>
      </c>
      <c r="G765" s="3">
        <v>202207</v>
      </c>
      <c r="H765" s="3" t="s">
        <v>75</v>
      </c>
      <c r="I765" s="3" t="s">
        <v>76</v>
      </c>
      <c r="J765" s="3" t="s">
        <v>77</v>
      </c>
      <c r="K765" s="3" t="s">
        <v>78</v>
      </c>
      <c r="L765" s="3" t="s">
        <v>75</v>
      </c>
      <c r="M765" s="3" t="s">
        <v>76</v>
      </c>
      <c r="N765" s="3" t="s">
        <v>1144</v>
      </c>
      <c r="O765" s="3" t="s">
        <v>82</v>
      </c>
      <c r="P765" s="3" t="str">
        <f>"2170816835                    "</f>
        <v xml:space="preserve">2170816835                    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12.07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1</v>
      </c>
      <c r="BI765" s="3">
        <v>2</v>
      </c>
      <c r="BJ765" s="3">
        <v>3.8</v>
      </c>
      <c r="BK765" s="3">
        <v>4</v>
      </c>
      <c r="BL765" s="3">
        <v>46.08</v>
      </c>
      <c r="BM765" s="3">
        <v>6.91</v>
      </c>
      <c r="BN765" s="3">
        <v>52.99</v>
      </c>
      <c r="BO765" s="3">
        <v>52.99</v>
      </c>
      <c r="BR765" s="3" t="s">
        <v>84</v>
      </c>
      <c r="BS765" s="4">
        <v>44578</v>
      </c>
      <c r="BT765" s="5">
        <v>0.39930555555555558</v>
      </c>
      <c r="BU765" s="3" t="s">
        <v>1145</v>
      </c>
      <c r="BV765" s="3" t="s">
        <v>105</v>
      </c>
      <c r="BY765" s="3">
        <v>19044</v>
      </c>
      <c r="BZ765" s="3" t="s">
        <v>165</v>
      </c>
      <c r="CA765" s="3" t="s">
        <v>1146</v>
      </c>
      <c r="CC765" s="3" t="s">
        <v>76</v>
      </c>
      <c r="CD765" s="3">
        <v>1619</v>
      </c>
      <c r="CE765" s="3" t="s">
        <v>86</v>
      </c>
      <c r="CF765" s="4">
        <v>44579</v>
      </c>
      <c r="CI765" s="3">
        <v>1</v>
      </c>
      <c r="CJ765" s="3">
        <v>1</v>
      </c>
      <c r="CK765" s="3">
        <v>22</v>
      </c>
      <c r="CL765" s="3" t="s">
        <v>87</v>
      </c>
    </row>
    <row r="766" spans="1:90" x14ac:dyDescent="0.2">
      <c r="A766" s="3" t="s">
        <v>72</v>
      </c>
      <c r="B766" s="3" t="s">
        <v>73</v>
      </c>
      <c r="C766" s="3" t="s">
        <v>74</v>
      </c>
      <c r="E766" s="3" t="str">
        <f>"FES1162845243"</f>
        <v>FES1162845243</v>
      </c>
      <c r="F766" s="4">
        <v>44575</v>
      </c>
      <c r="G766" s="3">
        <v>202207</v>
      </c>
      <c r="H766" s="3" t="s">
        <v>75</v>
      </c>
      <c r="I766" s="3" t="s">
        <v>76</v>
      </c>
      <c r="J766" s="3" t="s">
        <v>77</v>
      </c>
      <c r="K766" s="3" t="s">
        <v>78</v>
      </c>
      <c r="L766" s="3" t="s">
        <v>1147</v>
      </c>
      <c r="M766" s="3" t="s">
        <v>1148</v>
      </c>
      <c r="N766" s="3" t="s">
        <v>1149</v>
      </c>
      <c r="O766" s="3" t="s">
        <v>148</v>
      </c>
      <c r="P766" s="3" t="str">
        <f>"2170816788                    "</f>
        <v xml:space="preserve">2170816788                    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23.06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2</v>
      </c>
      <c r="BI766" s="3">
        <v>11</v>
      </c>
      <c r="BJ766" s="3">
        <v>4.0999999999999996</v>
      </c>
      <c r="BK766" s="3">
        <v>11</v>
      </c>
      <c r="BL766" s="3">
        <v>93.28</v>
      </c>
      <c r="BM766" s="3">
        <v>13.99</v>
      </c>
      <c r="BN766" s="3">
        <v>107.27</v>
      </c>
      <c r="BO766" s="3">
        <v>107.27</v>
      </c>
      <c r="BR766" s="3" t="s">
        <v>84</v>
      </c>
      <c r="BS766" s="4">
        <v>44578</v>
      </c>
      <c r="BT766" s="5">
        <v>0.49722222222222223</v>
      </c>
      <c r="BU766" s="3" t="s">
        <v>1150</v>
      </c>
      <c r="BV766" s="3" t="s">
        <v>105</v>
      </c>
      <c r="BY766" s="3">
        <v>20400</v>
      </c>
      <c r="BZ766" s="3" t="s">
        <v>327</v>
      </c>
      <c r="CA766" s="3" t="s">
        <v>1151</v>
      </c>
      <c r="CC766" s="3" t="s">
        <v>1148</v>
      </c>
      <c r="CD766" s="3">
        <v>2146</v>
      </c>
      <c r="CE766" s="3" t="s">
        <v>1009</v>
      </c>
      <c r="CF766" s="4">
        <v>44579</v>
      </c>
      <c r="CI766" s="3">
        <v>1</v>
      </c>
      <c r="CJ766" s="3">
        <v>1</v>
      </c>
      <c r="CK766" s="3">
        <v>42</v>
      </c>
      <c r="CL766" s="3" t="s">
        <v>87</v>
      </c>
    </row>
    <row r="767" spans="1:90" x14ac:dyDescent="0.2">
      <c r="A767" s="3" t="s">
        <v>72</v>
      </c>
      <c r="B767" s="3" t="s">
        <v>73</v>
      </c>
      <c r="C767" s="3" t="s">
        <v>74</v>
      </c>
      <c r="E767" s="3" t="str">
        <f>"FES1162845276"</f>
        <v>FES1162845276</v>
      </c>
      <c r="F767" s="4">
        <v>44575</v>
      </c>
      <c r="G767" s="3">
        <v>202207</v>
      </c>
      <c r="H767" s="3" t="s">
        <v>75</v>
      </c>
      <c r="I767" s="3" t="s">
        <v>76</v>
      </c>
      <c r="J767" s="3" t="s">
        <v>77</v>
      </c>
      <c r="K767" s="3" t="s">
        <v>78</v>
      </c>
      <c r="L767" s="3" t="s">
        <v>115</v>
      </c>
      <c r="M767" s="3" t="s">
        <v>116</v>
      </c>
      <c r="N767" s="3" t="s">
        <v>1152</v>
      </c>
      <c r="O767" s="3" t="s">
        <v>82</v>
      </c>
      <c r="P767" s="3" t="str">
        <f>"2170816833                    "</f>
        <v xml:space="preserve">2170816833                    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12.07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1</v>
      </c>
      <c r="BI767" s="3">
        <v>1</v>
      </c>
      <c r="BJ767" s="3">
        <v>0.2</v>
      </c>
      <c r="BK767" s="3">
        <v>1</v>
      </c>
      <c r="BL767" s="3">
        <v>46.08</v>
      </c>
      <c r="BM767" s="3">
        <v>6.91</v>
      </c>
      <c r="BN767" s="3">
        <v>52.99</v>
      </c>
      <c r="BO767" s="3">
        <v>52.99</v>
      </c>
      <c r="BR767" s="3" t="s">
        <v>84</v>
      </c>
      <c r="BS767" s="4">
        <v>44578</v>
      </c>
      <c r="BT767" s="5">
        <v>0.31666666666666665</v>
      </c>
      <c r="BU767" s="3" t="s">
        <v>1153</v>
      </c>
      <c r="BV767" s="3" t="s">
        <v>105</v>
      </c>
      <c r="BY767" s="3">
        <v>1200</v>
      </c>
      <c r="BZ767" s="3" t="s">
        <v>165</v>
      </c>
      <c r="CA767" s="3" t="s">
        <v>119</v>
      </c>
      <c r="CC767" s="3" t="s">
        <v>116</v>
      </c>
      <c r="CD767" s="3">
        <v>1559</v>
      </c>
      <c r="CE767" s="3" t="s">
        <v>93</v>
      </c>
      <c r="CF767" s="4">
        <v>44578</v>
      </c>
      <c r="CI767" s="3">
        <v>1</v>
      </c>
      <c r="CJ767" s="3">
        <v>1</v>
      </c>
      <c r="CK767" s="3">
        <v>22</v>
      </c>
      <c r="CL767" s="3" t="s">
        <v>87</v>
      </c>
    </row>
    <row r="768" spans="1:90" x14ac:dyDescent="0.2">
      <c r="A768" s="3" t="s">
        <v>72</v>
      </c>
      <c r="B768" s="3" t="s">
        <v>73</v>
      </c>
      <c r="C768" s="3" t="s">
        <v>74</v>
      </c>
      <c r="E768" s="3" t="str">
        <f>"FES1162845192"</f>
        <v>FES1162845192</v>
      </c>
      <c r="F768" s="4">
        <v>44575</v>
      </c>
      <c r="G768" s="3">
        <v>202207</v>
      </c>
      <c r="H768" s="3" t="s">
        <v>75</v>
      </c>
      <c r="I768" s="3" t="s">
        <v>76</v>
      </c>
      <c r="J768" s="3" t="s">
        <v>77</v>
      </c>
      <c r="K768" s="3" t="s">
        <v>78</v>
      </c>
      <c r="L768" s="3" t="s">
        <v>79</v>
      </c>
      <c r="M768" s="3" t="s">
        <v>80</v>
      </c>
      <c r="N768" s="3" t="s">
        <v>237</v>
      </c>
      <c r="O768" s="3" t="s">
        <v>82</v>
      </c>
      <c r="P768" s="3" t="str">
        <f>"2170816726                    "</f>
        <v xml:space="preserve">2170816726                    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15.46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1</v>
      </c>
      <c r="BI768" s="3">
        <v>1</v>
      </c>
      <c r="BJ768" s="3">
        <v>0.2</v>
      </c>
      <c r="BK768" s="3">
        <v>1</v>
      </c>
      <c r="BL768" s="3">
        <v>59</v>
      </c>
      <c r="BM768" s="3">
        <v>8.85</v>
      </c>
      <c r="BN768" s="3">
        <v>67.849999999999994</v>
      </c>
      <c r="BO768" s="3">
        <v>67.849999999999994</v>
      </c>
      <c r="BQ768" s="3" t="s">
        <v>83</v>
      </c>
      <c r="BR768" s="3" t="s">
        <v>84</v>
      </c>
      <c r="BS768" s="4">
        <v>44578</v>
      </c>
      <c r="BT768" s="5">
        <v>0.33611111111111108</v>
      </c>
      <c r="BU768" s="3" t="s">
        <v>1154</v>
      </c>
      <c r="BV768" s="3" t="s">
        <v>105</v>
      </c>
      <c r="BY768" s="3">
        <v>1200</v>
      </c>
      <c r="BZ768" s="3" t="s">
        <v>165</v>
      </c>
      <c r="CA768" s="3" t="s">
        <v>481</v>
      </c>
      <c r="CC768" s="3" t="s">
        <v>80</v>
      </c>
      <c r="CD768" s="3">
        <v>1</v>
      </c>
      <c r="CE768" s="3" t="s">
        <v>93</v>
      </c>
      <c r="CF768" s="4">
        <v>44578</v>
      </c>
      <c r="CI768" s="3">
        <v>1</v>
      </c>
      <c r="CJ768" s="3">
        <v>1</v>
      </c>
      <c r="CK768" s="3">
        <v>21</v>
      </c>
      <c r="CL768" s="3" t="s">
        <v>87</v>
      </c>
    </row>
    <row r="769" spans="1:90" x14ac:dyDescent="0.2">
      <c r="A769" s="3" t="s">
        <v>72</v>
      </c>
      <c r="B769" s="3" t="s">
        <v>73</v>
      </c>
      <c r="C769" s="3" t="s">
        <v>74</v>
      </c>
      <c r="E769" s="3" t="str">
        <f>"FES1162845164"</f>
        <v>FES1162845164</v>
      </c>
      <c r="F769" s="4">
        <v>44575</v>
      </c>
      <c r="G769" s="3">
        <v>202207</v>
      </c>
      <c r="H769" s="3" t="s">
        <v>75</v>
      </c>
      <c r="I769" s="3" t="s">
        <v>76</v>
      </c>
      <c r="J769" s="3" t="s">
        <v>77</v>
      </c>
      <c r="K769" s="3" t="s">
        <v>78</v>
      </c>
      <c r="L769" s="3" t="s">
        <v>171</v>
      </c>
      <c r="M769" s="3" t="s">
        <v>172</v>
      </c>
      <c r="N769" s="3" t="s">
        <v>454</v>
      </c>
      <c r="O769" s="3" t="s">
        <v>82</v>
      </c>
      <c r="P769" s="3" t="str">
        <f>"2170815447                    "</f>
        <v xml:space="preserve">2170815447                    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15.46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1</v>
      </c>
      <c r="BI769" s="3">
        <v>1</v>
      </c>
      <c r="BJ769" s="3">
        <v>0.2</v>
      </c>
      <c r="BK769" s="3">
        <v>1</v>
      </c>
      <c r="BL769" s="3">
        <v>59</v>
      </c>
      <c r="BM769" s="3">
        <v>8.85</v>
      </c>
      <c r="BN769" s="3">
        <v>67.849999999999994</v>
      </c>
      <c r="BO769" s="3">
        <v>67.849999999999994</v>
      </c>
      <c r="BQ769" s="3" t="s">
        <v>89</v>
      </c>
      <c r="BR769" s="3" t="s">
        <v>84</v>
      </c>
      <c r="BS769" s="4">
        <v>44578</v>
      </c>
      <c r="BT769" s="5">
        <v>0.3888888888888889</v>
      </c>
      <c r="BU769" s="3" t="s">
        <v>1155</v>
      </c>
      <c r="BV769" s="3" t="s">
        <v>105</v>
      </c>
      <c r="BY769" s="3">
        <v>1200</v>
      </c>
      <c r="BZ769" s="3" t="s">
        <v>165</v>
      </c>
      <c r="CA769" s="3" t="s">
        <v>509</v>
      </c>
      <c r="CC769" s="3" t="s">
        <v>172</v>
      </c>
      <c r="CD769" s="3">
        <v>6001</v>
      </c>
      <c r="CE769" s="3" t="s">
        <v>93</v>
      </c>
      <c r="CF769" s="4">
        <v>44578</v>
      </c>
      <c r="CI769" s="3">
        <v>1</v>
      </c>
      <c r="CJ769" s="3">
        <v>1</v>
      </c>
      <c r="CK769" s="3">
        <v>21</v>
      </c>
      <c r="CL769" s="3" t="s">
        <v>87</v>
      </c>
    </row>
    <row r="770" spans="1:90" x14ac:dyDescent="0.2">
      <c r="A770" s="3" t="s">
        <v>72</v>
      </c>
      <c r="B770" s="3" t="s">
        <v>73</v>
      </c>
      <c r="C770" s="3" t="s">
        <v>74</v>
      </c>
      <c r="E770" s="3" t="str">
        <f>"FES1162845129"</f>
        <v>FES1162845129</v>
      </c>
      <c r="F770" s="4">
        <v>44575</v>
      </c>
      <c r="G770" s="3">
        <v>202207</v>
      </c>
      <c r="H770" s="3" t="s">
        <v>75</v>
      </c>
      <c r="I770" s="3" t="s">
        <v>76</v>
      </c>
      <c r="J770" s="3" t="s">
        <v>77</v>
      </c>
      <c r="K770" s="3" t="s">
        <v>78</v>
      </c>
      <c r="L770" s="3" t="s">
        <v>158</v>
      </c>
      <c r="M770" s="3" t="s">
        <v>159</v>
      </c>
      <c r="N770" s="3" t="s">
        <v>1156</v>
      </c>
      <c r="O770" s="3" t="s">
        <v>82</v>
      </c>
      <c r="P770" s="3" t="str">
        <f>"2170811612                    "</f>
        <v xml:space="preserve">2170811612                    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12.07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1</v>
      </c>
      <c r="BI770" s="3">
        <v>1</v>
      </c>
      <c r="BJ770" s="3">
        <v>0.2</v>
      </c>
      <c r="BK770" s="3">
        <v>1</v>
      </c>
      <c r="BL770" s="3">
        <v>46.08</v>
      </c>
      <c r="BM770" s="3">
        <v>6.91</v>
      </c>
      <c r="BN770" s="3">
        <v>52.99</v>
      </c>
      <c r="BO770" s="3">
        <v>52.99</v>
      </c>
      <c r="BQ770" s="3" t="s">
        <v>83</v>
      </c>
      <c r="BR770" s="3" t="s">
        <v>84</v>
      </c>
      <c r="BS770" s="4">
        <v>44578</v>
      </c>
      <c r="BT770" s="5">
        <v>0.37986111111111115</v>
      </c>
      <c r="BU770" s="3" t="s">
        <v>1157</v>
      </c>
      <c r="BV770" s="3" t="s">
        <v>105</v>
      </c>
      <c r="BY770" s="3">
        <v>1200</v>
      </c>
      <c r="BZ770" s="3" t="s">
        <v>165</v>
      </c>
      <c r="CA770" s="3" t="s">
        <v>678</v>
      </c>
      <c r="CC770" s="3" t="s">
        <v>159</v>
      </c>
      <c r="CD770" s="3">
        <v>1459</v>
      </c>
      <c r="CE770" s="3" t="s">
        <v>93</v>
      </c>
      <c r="CF770" s="4">
        <v>44578</v>
      </c>
      <c r="CI770" s="3">
        <v>1</v>
      </c>
      <c r="CJ770" s="3">
        <v>1</v>
      </c>
      <c r="CK770" s="3">
        <v>22</v>
      </c>
      <c r="CL770" s="3" t="s">
        <v>87</v>
      </c>
    </row>
    <row r="771" spans="1:90" x14ac:dyDescent="0.2">
      <c r="A771" s="3" t="s">
        <v>72</v>
      </c>
      <c r="B771" s="3" t="s">
        <v>73</v>
      </c>
      <c r="C771" s="3" t="s">
        <v>74</v>
      </c>
      <c r="E771" s="3" t="str">
        <f>"FES1162845139"</f>
        <v>FES1162845139</v>
      </c>
      <c r="F771" s="4">
        <v>44575</v>
      </c>
      <c r="G771" s="3">
        <v>202207</v>
      </c>
      <c r="H771" s="3" t="s">
        <v>75</v>
      </c>
      <c r="I771" s="3" t="s">
        <v>76</v>
      </c>
      <c r="J771" s="3" t="s">
        <v>77</v>
      </c>
      <c r="K771" s="3" t="s">
        <v>78</v>
      </c>
      <c r="L771" s="3" t="s">
        <v>75</v>
      </c>
      <c r="M771" s="3" t="s">
        <v>76</v>
      </c>
      <c r="N771" s="3" t="s">
        <v>560</v>
      </c>
      <c r="O771" s="3" t="s">
        <v>82</v>
      </c>
      <c r="P771" s="3" t="str">
        <f>"2170815019                    "</f>
        <v xml:space="preserve">2170815019                    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12.07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0</v>
      </c>
      <c r="AZ771" s="3">
        <v>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3">
        <v>1</v>
      </c>
      <c r="BI771" s="3">
        <v>1</v>
      </c>
      <c r="BJ771" s="3">
        <v>0.2</v>
      </c>
      <c r="BK771" s="3">
        <v>1</v>
      </c>
      <c r="BL771" s="3">
        <v>46.08</v>
      </c>
      <c r="BM771" s="3">
        <v>6.91</v>
      </c>
      <c r="BN771" s="3">
        <v>52.99</v>
      </c>
      <c r="BO771" s="3">
        <v>52.99</v>
      </c>
      <c r="BQ771" s="3" t="s">
        <v>83</v>
      </c>
      <c r="BR771" s="3" t="s">
        <v>84</v>
      </c>
      <c r="BS771" s="4">
        <v>44578</v>
      </c>
      <c r="BT771" s="5">
        <v>0.38472222222222219</v>
      </c>
      <c r="BU771" s="3" t="s">
        <v>1158</v>
      </c>
      <c r="BV771" s="3" t="s">
        <v>105</v>
      </c>
      <c r="BY771" s="3">
        <v>1200</v>
      </c>
      <c r="BZ771" s="3" t="s">
        <v>165</v>
      </c>
      <c r="CA771" s="3" t="s">
        <v>378</v>
      </c>
      <c r="CC771" s="3" t="s">
        <v>76</v>
      </c>
      <c r="CD771" s="3">
        <v>1601</v>
      </c>
      <c r="CE771" s="3" t="s">
        <v>93</v>
      </c>
      <c r="CF771" s="4">
        <v>44578</v>
      </c>
      <c r="CI771" s="3">
        <v>1</v>
      </c>
      <c r="CJ771" s="3">
        <v>1</v>
      </c>
      <c r="CK771" s="3">
        <v>22</v>
      </c>
      <c r="CL771" s="3" t="s">
        <v>87</v>
      </c>
    </row>
    <row r="772" spans="1:90" x14ac:dyDescent="0.2">
      <c r="A772" s="3" t="s">
        <v>72</v>
      </c>
      <c r="B772" s="3" t="s">
        <v>73</v>
      </c>
      <c r="C772" s="3" t="s">
        <v>74</v>
      </c>
      <c r="E772" s="3" t="str">
        <f>"FES1162845191"</f>
        <v>FES1162845191</v>
      </c>
      <c r="F772" s="4">
        <v>44575</v>
      </c>
      <c r="G772" s="3">
        <v>202207</v>
      </c>
      <c r="H772" s="3" t="s">
        <v>75</v>
      </c>
      <c r="I772" s="3" t="s">
        <v>76</v>
      </c>
      <c r="J772" s="3" t="s">
        <v>77</v>
      </c>
      <c r="K772" s="3" t="s">
        <v>78</v>
      </c>
      <c r="L772" s="3" t="s">
        <v>90</v>
      </c>
      <c r="M772" s="3" t="s">
        <v>91</v>
      </c>
      <c r="N772" s="3" t="s">
        <v>1159</v>
      </c>
      <c r="O772" s="3" t="s">
        <v>82</v>
      </c>
      <c r="P772" s="3" t="str">
        <f>"2170816724                    "</f>
        <v xml:space="preserve">2170816724                    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15.46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0</v>
      </c>
      <c r="BF772" s="3">
        <v>0</v>
      </c>
      <c r="BG772" s="3">
        <v>0</v>
      </c>
      <c r="BH772" s="3">
        <v>1</v>
      </c>
      <c r="BI772" s="3">
        <v>1</v>
      </c>
      <c r="BJ772" s="3">
        <v>0.2</v>
      </c>
      <c r="BK772" s="3">
        <v>1</v>
      </c>
      <c r="BL772" s="3">
        <v>59</v>
      </c>
      <c r="BM772" s="3">
        <v>8.85</v>
      </c>
      <c r="BN772" s="3">
        <v>67.849999999999994</v>
      </c>
      <c r="BO772" s="3">
        <v>67.849999999999994</v>
      </c>
      <c r="BQ772" s="3" t="s">
        <v>89</v>
      </c>
      <c r="BR772" s="3" t="s">
        <v>84</v>
      </c>
      <c r="BS772" s="4">
        <v>44578</v>
      </c>
      <c r="BT772" s="5">
        <v>0.44097222222222227</v>
      </c>
      <c r="BU772" s="3" t="s">
        <v>1160</v>
      </c>
      <c r="BV772" s="3" t="s">
        <v>87</v>
      </c>
      <c r="BW772" s="3" t="s">
        <v>353</v>
      </c>
      <c r="BX772" s="3" t="s">
        <v>602</v>
      </c>
      <c r="BY772" s="3">
        <v>1200</v>
      </c>
      <c r="BZ772" s="3" t="s">
        <v>165</v>
      </c>
      <c r="CA772" s="3" t="s">
        <v>289</v>
      </c>
      <c r="CC772" s="3" t="s">
        <v>91</v>
      </c>
      <c r="CD772" s="3">
        <v>7441</v>
      </c>
      <c r="CE772" s="3" t="s">
        <v>93</v>
      </c>
      <c r="CF772" s="4">
        <v>44579</v>
      </c>
      <c r="CI772" s="3">
        <v>1</v>
      </c>
      <c r="CJ772" s="3">
        <v>1</v>
      </c>
      <c r="CK772" s="3">
        <v>21</v>
      </c>
      <c r="CL772" s="3" t="s">
        <v>87</v>
      </c>
    </row>
    <row r="773" spans="1:90" x14ac:dyDescent="0.2">
      <c r="A773" s="3" t="s">
        <v>72</v>
      </c>
      <c r="B773" s="3" t="s">
        <v>73</v>
      </c>
      <c r="C773" s="3" t="s">
        <v>74</v>
      </c>
      <c r="E773" s="3" t="str">
        <f>"FES1162845121"</f>
        <v>FES1162845121</v>
      </c>
      <c r="F773" s="4">
        <v>44575</v>
      </c>
      <c r="G773" s="3">
        <v>202207</v>
      </c>
      <c r="H773" s="3" t="s">
        <v>75</v>
      </c>
      <c r="I773" s="3" t="s">
        <v>76</v>
      </c>
      <c r="J773" s="3" t="s">
        <v>77</v>
      </c>
      <c r="K773" s="3" t="s">
        <v>78</v>
      </c>
      <c r="L773" s="3" t="s">
        <v>171</v>
      </c>
      <c r="M773" s="3" t="s">
        <v>172</v>
      </c>
      <c r="N773" s="3" t="s">
        <v>838</v>
      </c>
      <c r="O773" s="3" t="s">
        <v>82</v>
      </c>
      <c r="P773" s="3" t="str">
        <f>"2170816712                    "</f>
        <v xml:space="preserve">2170816712                    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15.46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1</v>
      </c>
      <c r="BI773" s="3">
        <v>1</v>
      </c>
      <c r="BJ773" s="3">
        <v>0.2</v>
      </c>
      <c r="BK773" s="3">
        <v>1</v>
      </c>
      <c r="BL773" s="3">
        <v>59</v>
      </c>
      <c r="BM773" s="3">
        <v>8.85</v>
      </c>
      <c r="BN773" s="3">
        <v>67.849999999999994</v>
      </c>
      <c r="BO773" s="3">
        <v>67.849999999999994</v>
      </c>
      <c r="BQ773" s="3" t="s">
        <v>83</v>
      </c>
      <c r="BR773" s="3" t="s">
        <v>84</v>
      </c>
      <c r="BS773" s="4">
        <v>44578</v>
      </c>
      <c r="BT773" s="5">
        <v>0.43402777777777773</v>
      </c>
      <c r="BU773" s="3" t="s">
        <v>1161</v>
      </c>
      <c r="BV773" s="3" t="s">
        <v>105</v>
      </c>
      <c r="BY773" s="3">
        <v>1200</v>
      </c>
      <c r="BZ773" s="3" t="s">
        <v>165</v>
      </c>
      <c r="CA773" s="3" t="s">
        <v>509</v>
      </c>
      <c r="CC773" s="3" t="s">
        <v>172</v>
      </c>
      <c r="CD773" s="3">
        <v>6001</v>
      </c>
      <c r="CE773" s="3" t="s">
        <v>93</v>
      </c>
      <c r="CF773" s="4">
        <v>44578</v>
      </c>
      <c r="CI773" s="3">
        <v>1</v>
      </c>
      <c r="CJ773" s="3">
        <v>1</v>
      </c>
      <c r="CK773" s="3">
        <v>21</v>
      </c>
      <c r="CL773" s="3" t="s">
        <v>87</v>
      </c>
    </row>
    <row r="774" spans="1:90" x14ac:dyDescent="0.2">
      <c r="A774" s="3" t="s">
        <v>72</v>
      </c>
      <c r="B774" s="3" t="s">
        <v>73</v>
      </c>
      <c r="C774" s="3" t="s">
        <v>74</v>
      </c>
      <c r="E774" s="3" t="str">
        <f>"FES1162845150"</f>
        <v>FES1162845150</v>
      </c>
      <c r="F774" s="4">
        <v>44575</v>
      </c>
      <c r="G774" s="3">
        <v>202207</v>
      </c>
      <c r="H774" s="3" t="s">
        <v>75</v>
      </c>
      <c r="I774" s="3" t="s">
        <v>76</v>
      </c>
      <c r="J774" s="3" t="s">
        <v>77</v>
      </c>
      <c r="K774" s="3" t="s">
        <v>78</v>
      </c>
      <c r="L774" s="3" t="s">
        <v>75</v>
      </c>
      <c r="M774" s="3" t="s">
        <v>76</v>
      </c>
      <c r="N774" s="3" t="s">
        <v>1162</v>
      </c>
      <c r="O774" s="3" t="s">
        <v>148</v>
      </c>
      <c r="P774" s="3" t="str">
        <f>"2170815346                    "</f>
        <v xml:space="preserve">2170815346                    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25.76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3">
        <v>0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1</v>
      </c>
      <c r="BI774" s="3">
        <v>9</v>
      </c>
      <c r="BJ774" s="3">
        <v>18.3</v>
      </c>
      <c r="BK774" s="3">
        <v>19</v>
      </c>
      <c r="BL774" s="3">
        <v>103.58</v>
      </c>
      <c r="BM774" s="3">
        <v>15.54</v>
      </c>
      <c r="BN774" s="3">
        <v>119.12</v>
      </c>
      <c r="BO774" s="3">
        <v>119.12</v>
      </c>
      <c r="BQ774" s="3" t="s">
        <v>83</v>
      </c>
      <c r="BR774" s="3" t="s">
        <v>84</v>
      </c>
      <c r="BS774" s="4">
        <v>44578</v>
      </c>
      <c r="BT774" s="5">
        <v>0.47152777777777777</v>
      </c>
      <c r="BU774" s="3" t="s">
        <v>1163</v>
      </c>
      <c r="BV774" s="3" t="s">
        <v>105</v>
      </c>
      <c r="BY774" s="3">
        <v>91264</v>
      </c>
      <c r="BZ774" s="3" t="s">
        <v>327</v>
      </c>
      <c r="CA774" s="3" t="s">
        <v>227</v>
      </c>
      <c r="CC774" s="3" t="s">
        <v>76</v>
      </c>
      <c r="CD774" s="3">
        <v>1625</v>
      </c>
      <c r="CE774" s="3" t="s">
        <v>86</v>
      </c>
      <c r="CF774" s="4">
        <v>44578</v>
      </c>
      <c r="CI774" s="3">
        <v>1</v>
      </c>
      <c r="CJ774" s="3">
        <v>1</v>
      </c>
      <c r="CK774" s="3">
        <v>42</v>
      </c>
      <c r="CL774" s="3" t="s">
        <v>87</v>
      </c>
    </row>
    <row r="775" spans="1:90" x14ac:dyDescent="0.2">
      <c r="A775" s="3" t="s">
        <v>72</v>
      </c>
      <c r="B775" s="3" t="s">
        <v>73</v>
      </c>
      <c r="C775" s="3" t="s">
        <v>74</v>
      </c>
      <c r="E775" s="3" t="str">
        <f>"FES1162845202"</f>
        <v>FES1162845202</v>
      </c>
      <c r="F775" s="4">
        <v>44575</v>
      </c>
      <c r="G775" s="3">
        <v>202207</v>
      </c>
      <c r="H775" s="3" t="s">
        <v>75</v>
      </c>
      <c r="I775" s="3" t="s">
        <v>76</v>
      </c>
      <c r="J775" s="3" t="s">
        <v>77</v>
      </c>
      <c r="K775" s="3" t="s">
        <v>78</v>
      </c>
      <c r="L775" s="3" t="s">
        <v>180</v>
      </c>
      <c r="M775" s="3" t="s">
        <v>181</v>
      </c>
      <c r="N775" s="3" t="s">
        <v>1164</v>
      </c>
      <c r="O775" s="3" t="s">
        <v>148</v>
      </c>
      <c r="P775" s="3" t="str">
        <f>"2170816731                    "</f>
        <v xml:space="preserve">2170816731                    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36.450000000000003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v>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3">
        <v>1</v>
      </c>
      <c r="BI775" s="3">
        <v>19</v>
      </c>
      <c r="BJ775" s="3">
        <v>9.1</v>
      </c>
      <c r="BK775" s="3">
        <v>19</v>
      </c>
      <c r="BL775" s="3">
        <v>144.37</v>
      </c>
      <c r="BM775" s="3">
        <v>21.66</v>
      </c>
      <c r="BN775" s="3">
        <v>166.03</v>
      </c>
      <c r="BO775" s="3">
        <v>166.03</v>
      </c>
      <c r="BR775" s="3" t="s">
        <v>84</v>
      </c>
      <c r="BS775" s="4">
        <v>44578</v>
      </c>
      <c r="BT775" s="5">
        <v>0.35972222222222222</v>
      </c>
      <c r="BU775" s="3" t="s">
        <v>1165</v>
      </c>
      <c r="BV775" s="3" t="s">
        <v>105</v>
      </c>
      <c r="BY775" s="3">
        <v>45500</v>
      </c>
      <c r="BZ775" s="3" t="s">
        <v>327</v>
      </c>
      <c r="CA775" s="3" t="s">
        <v>1166</v>
      </c>
      <c r="CC775" s="3" t="s">
        <v>181</v>
      </c>
      <c r="CD775" s="3">
        <v>1939</v>
      </c>
      <c r="CE775" s="3" t="s">
        <v>86</v>
      </c>
      <c r="CF775" s="4">
        <v>44579</v>
      </c>
      <c r="CI775" s="3">
        <v>1</v>
      </c>
      <c r="CJ775" s="3">
        <v>1</v>
      </c>
      <c r="CK775" s="3">
        <v>44</v>
      </c>
      <c r="CL775" s="3" t="s">
        <v>87</v>
      </c>
    </row>
    <row r="776" spans="1:90" x14ac:dyDescent="0.2">
      <c r="A776" s="3" t="s">
        <v>72</v>
      </c>
      <c r="B776" s="3" t="s">
        <v>73</v>
      </c>
      <c r="C776" s="3" t="s">
        <v>74</v>
      </c>
      <c r="E776" s="3" t="str">
        <f>"FES1162845194"</f>
        <v>FES1162845194</v>
      </c>
      <c r="F776" s="4">
        <v>44575</v>
      </c>
      <c r="G776" s="3">
        <v>202207</v>
      </c>
      <c r="H776" s="3" t="s">
        <v>75</v>
      </c>
      <c r="I776" s="3" t="s">
        <v>76</v>
      </c>
      <c r="J776" s="3" t="s">
        <v>77</v>
      </c>
      <c r="K776" s="3" t="s">
        <v>78</v>
      </c>
      <c r="L776" s="3" t="s">
        <v>79</v>
      </c>
      <c r="M776" s="3" t="s">
        <v>80</v>
      </c>
      <c r="N776" s="3" t="s">
        <v>237</v>
      </c>
      <c r="O776" s="3" t="s">
        <v>82</v>
      </c>
      <c r="P776" s="3" t="str">
        <f>"2170816728                    "</f>
        <v xml:space="preserve">2170816728                    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15.46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1</v>
      </c>
      <c r="BI776" s="3">
        <v>1</v>
      </c>
      <c r="BJ776" s="3">
        <v>0.2</v>
      </c>
      <c r="BK776" s="3">
        <v>1</v>
      </c>
      <c r="BL776" s="3">
        <v>59</v>
      </c>
      <c r="BM776" s="3">
        <v>8.85</v>
      </c>
      <c r="BN776" s="3">
        <v>67.849999999999994</v>
      </c>
      <c r="BO776" s="3">
        <v>67.849999999999994</v>
      </c>
      <c r="BQ776" s="3" t="s">
        <v>83</v>
      </c>
      <c r="BR776" s="3" t="s">
        <v>84</v>
      </c>
      <c r="BS776" s="4">
        <v>44578</v>
      </c>
      <c r="BT776" s="5">
        <v>0.33611111111111108</v>
      </c>
      <c r="BU776" s="3" t="s">
        <v>1154</v>
      </c>
      <c r="BV776" s="3" t="s">
        <v>105</v>
      </c>
      <c r="BY776" s="3">
        <v>1200</v>
      </c>
      <c r="BZ776" s="3" t="s">
        <v>165</v>
      </c>
      <c r="CA776" s="3" t="s">
        <v>481</v>
      </c>
      <c r="CC776" s="3" t="s">
        <v>80</v>
      </c>
      <c r="CD776" s="3">
        <v>1</v>
      </c>
      <c r="CE776" s="3" t="s">
        <v>93</v>
      </c>
      <c r="CF776" s="4">
        <v>44578</v>
      </c>
      <c r="CI776" s="3">
        <v>1</v>
      </c>
      <c r="CJ776" s="3">
        <v>1</v>
      </c>
      <c r="CK776" s="3">
        <v>21</v>
      </c>
      <c r="CL776" s="3" t="s">
        <v>87</v>
      </c>
    </row>
    <row r="777" spans="1:90" x14ac:dyDescent="0.2">
      <c r="A777" s="3" t="s">
        <v>72</v>
      </c>
      <c r="B777" s="3" t="s">
        <v>73</v>
      </c>
      <c r="C777" s="3" t="s">
        <v>74</v>
      </c>
      <c r="E777" s="3" t="str">
        <f>"FES1162845141"</f>
        <v>FES1162845141</v>
      </c>
      <c r="F777" s="4">
        <v>44575</v>
      </c>
      <c r="G777" s="3">
        <v>202207</v>
      </c>
      <c r="H777" s="3" t="s">
        <v>75</v>
      </c>
      <c r="I777" s="3" t="s">
        <v>76</v>
      </c>
      <c r="J777" s="3" t="s">
        <v>77</v>
      </c>
      <c r="K777" s="3" t="s">
        <v>78</v>
      </c>
      <c r="L777" s="3" t="s">
        <v>1167</v>
      </c>
      <c r="M777" s="3" t="s">
        <v>1168</v>
      </c>
      <c r="N777" s="3" t="s">
        <v>1169</v>
      </c>
      <c r="O777" s="3" t="s">
        <v>82</v>
      </c>
      <c r="P777" s="3" t="str">
        <f>"2170815261                    "</f>
        <v xml:space="preserve">2170815261                    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29.95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15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1</v>
      </c>
      <c r="BI777" s="3">
        <v>1</v>
      </c>
      <c r="BJ777" s="3">
        <v>0.2</v>
      </c>
      <c r="BK777" s="3">
        <v>1</v>
      </c>
      <c r="BL777" s="3">
        <v>129.31</v>
      </c>
      <c r="BM777" s="3">
        <v>19.399999999999999</v>
      </c>
      <c r="BN777" s="3">
        <v>148.71</v>
      </c>
      <c r="BO777" s="3">
        <v>148.71</v>
      </c>
      <c r="BR777" s="3" t="s">
        <v>84</v>
      </c>
      <c r="BS777" s="4">
        <v>44578</v>
      </c>
      <c r="BT777" s="5">
        <v>0.63888888888888895</v>
      </c>
      <c r="BU777" s="3" t="s">
        <v>1170</v>
      </c>
      <c r="BV777" s="3" t="s">
        <v>87</v>
      </c>
      <c r="BW777" s="3" t="s">
        <v>353</v>
      </c>
      <c r="BX777" s="3" t="s">
        <v>841</v>
      </c>
      <c r="BY777" s="3">
        <v>1200</v>
      </c>
      <c r="BZ777" s="3" t="s">
        <v>446</v>
      </c>
      <c r="CA777" s="3" t="s">
        <v>1171</v>
      </c>
      <c r="CC777" s="3" t="s">
        <v>1168</v>
      </c>
      <c r="CD777" s="3">
        <v>3875</v>
      </c>
      <c r="CE777" s="3" t="s">
        <v>93</v>
      </c>
      <c r="CF777" s="4">
        <v>44579</v>
      </c>
      <c r="CI777" s="3">
        <v>1</v>
      </c>
      <c r="CJ777" s="3">
        <v>1</v>
      </c>
      <c r="CK777" s="3">
        <v>23</v>
      </c>
      <c r="CL777" s="3" t="s">
        <v>87</v>
      </c>
    </row>
    <row r="778" spans="1:90" x14ac:dyDescent="0.2">
      <c r="A778" s="3" t="s">
        <v>72</v>
      </c>
      <c r="B778" s="3" t="s">
        <v>73</v>
      </c>
      <c r="C778" s="3" t="s">
        <v>74</v>
      </c>
      <c r="E778" s="3" t="str">
        <f>"FES1162845166"</f>
        <v>FES1162845166</v>
      </c>
      <c r="F778" s="4">
        <v>44575</v>
      </c>
      <c r="G778" s="3">
        <v>202207</v>
      </c>
      <c r="H778" s="3" t="s">
        <v>75</v>
      </c>
      <c r="I778" s="3" t="s">
        <v>76</v>
      </c>
      <c r="J778" s="3" t="s">
        <v>77</v>
      </c>
      <c r="K778" s="3" t="s">
        <v>78</v>
      </c>
      <c r="L778" s="3" t="s">
        <v>138</v>
      </c>
      <c r="M778" s="3" t="s">
        <v>139</v>
      </c>
      <c r="N778" s="3" t="s">
        <v>621</v>
      </c>
      <c r="O778" s="3" t="s">
        <v>82</v>
      </c>
      <c r="P778" s="3" t="str">
        <f>"2170815454                    "</f>
        <v xml:space="preserve">2170815454                    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54.08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1</v>
      </c>
      <c r="BI778" s="3">
        <v>2</v>
      </c>
      <c r="BJ778" s="3">
        <v>6.8</v>
      </c>
      <c r="BK778" s="3">
        <v>7</v>
      </c>
      <c r="BL778" s="3">
        <v>206.42</v>
      </c>
      <c r="BM778" s="3">
        <v>30.96</v>
      </c>
      <c r="BN778" s="3">
        <v>237.38</v>
      </c>
      <c r="BO778" s="3">
        <v>237.38</v>
      </c>
      <c r="BQ778" s="3" t="s">
        <v>83</v>
      </c>
      <c r="BR778" s="3" t="s">
        <v>84</v>
      </c>
      <c r="BS778" s="4">
        <v>44578</v>
      </c>
      <c r="BT778" s="5">
        <v>0.47152777777777777</v>
      </c>
      <c r="BU778" s="3" t="s">
        <v>1172</v>
      </c>
      <c r="BV778" s="3" t="s">
        <v>105</v>
      </c>
      <c r="BY778" s="3">
        <v>34086</v>
      </c>
      <c r="BZ778" s="3" t="s">
        <v>165</v>
      </c>
      <c r="CA778" s="3" t="s">
        <v>303</v>
      </c>
      <c r="CC778" s="3" t="s">
        <v>139</v>
      </c>
      <c r="CD778" s="3">
        <v>3610</v>
      </c>
      <c r="CE778" s="3" t="s">
        <v>86</v>
      </c>
      <c r="CF778" s="4">
        <v>44579</v>
      </c>
      <c r="CI778" s="3">
        <v>1</v>
      </c>
      <c r="CJ778" s="3">
        <v>1</v>
      </c>
      <c r="CK778" s="3">
        <v>21</v>
      </c>
      <c r="CL778" s="3" t="s">
        <v>87</v>
      </c>
    </row>
    <row r="779" spans="1:90" x14ac:dyDescent="0.2">
      <c r="A779" s="3" t="s">
        <v>72</v>
      </c>
      <c r="B779" s="3" t="s">
        <v>73</v>
      </c>
      <c r="C779" s="3" t="s">
        <v>74</v>
      </c>
      <c r="E779" s="3" t="str">
        <f>"FES1162845123"</f>
        <v>FES1162845123</v>
      </c>
      <c r="F779" s="4">
        <v>44575</v>
      </c>
      <c r="G779" s="3">
        <v>202207</v>
      </c>
      <c r="H779" s="3" t="s">
        <v>75</v>
      </c>
      <c r="I779" s="3" t="s">
        <v>76</v>
      </c>
      <c r="J779" s="3" t="s">
        <v>77</v>
      </c>
      <c r="K779" s="3" t="s">
        <v>78</v>
      </c>
      <c r="L779" s="3" t="s">
        <v>94</v>
      </c>
      <c r="M779" s="3" t="s">
        <v>95</v>
      </c>
      <c r="N779" s="3" t="s">
        <v>96</v>
      </c>
      <c r="O779" s="3" t="s">
        <v>82</v>
      </c>
      <c r="P779" s="3" t="str">
        <f>"2170800455                    "</f>
        <v xml:space="preserve">2170800455                    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108.15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1</v>
      </c>
      <c r="BI779" s="3">
        <v>14</v>
      </c>
      <c r="BJ779" s="3">
        <v>4</v>
      </c>
      <c r="BK779" s="3">
        <v>14</v>
      </c>
      <c r="BL779" s="3">
        <v>412.81</v>
      </c>
      <c r="BM779" s="3">
        <v>61.92</v>
      </c>
      <c r="BN779" s="3">
        <v>474.73</v>
      </c>
      <c r="BO779" s="3">
        <v>474.73</v>
      </c>
      <c r="BQ779" s="3" t="s">
        <v>89</v>
      </c>
      <c r="BR779" s="3" t="s">
        <v>84</v>
      </c>
      <c r="BS779" s="4">
        <v>44579</v>
      </c>
      <c r="BT779" s="5">
        <v>0.53055555555555556</v>
      </c>
      <c r="BU779" s="3" t="s">
        <v>897</v>
      </c>
      <c r="BV779" s="3" t="s">
        <v>87</v>
      </c>
      <c r="BW779" s="3" t="s">
        <v>453</v>
      </c>
      <c r="BX779" s="3" t="s">
        <v>279</v>
      </c>
      <c r="BY779" s="3">
        <v>19875</v>
      </c>
      <c r="BZ779" s="3" t="s">
        <v>165</v>
      </c>
      <c r="CC779" s="3" t="s">
        <v>95</v>
      </c>
      <c r="CD779" s="3">
        <v>3201</v>
      </c>
      <c r="CE779" s="3" t="s">
        <v>86</v>
      </c>
      <c r="CF779" s="4">
        <v>44582</v>
      </c>
      <c r="CI779" s="3">
        <v>1</v>
      </c>
      <c r="CJ779" s="3">
        <v>2</v>
      </c>
      <c r="CK779" s="3">
        <v>21</v>
      </c>
      <c r="CL779" s="3" t="s">
        <v>87</v>
      </c>
    </row>
    <row r="780" spans="1:90" x14ac:dyDescent="0.2">
      <c r="A780" s="3" t="s">
        <v>72</v>
      </c>
      <c r="B780" s="3" t="s">
        <v>73</v>
      </c>
      <c r="C780" s="3" t="s">
        <v>74</v>
      </c>
      <c r="E780" s="3" t="str">
        <f>"FES1162845180"</f>
        <v>FES1162845180</v>
      </c>
      <c r="F780" s="4">
        <v>44575</v>
      </c>
      <c r="G780" s="3">
        <v>202207</v>
      </c>
      <c r="H780" s="3" t="s">
        <v>75</v>
      </c>
      <c r="I780" s="3" t="s">
        <v>76</v>
      </c>
      <c r="J780" s="3" t="s">
        <v>77</v>
      </c>
      <c r="K780" s="3" t="s">
        <v>78</v>
      </c>
      <c r="L780" s="3" t="s">
        <v>75</v>
      </c>
      <c r="M780" s="3" t="s">
        <v>76</v>
      </c>
      <c r="N780" s="3" t="s">
        <v>688</v>
      </c>
      <c r="O780" s="3" t="s">
        <v>82</v>
      </c>
      <c r="P780" s="3" t="str">
        <f>"2170816573                    "</f>
        <v xml:space="preserve">2170816573                    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12.07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1</v>
      </c>
      <c r="BI780" s="3">
        <v>4</v>
      </c>
      <c r="BJ780" s="3">
        <v>0.9</v>
      </c>
      <c r="BK780" s="3">
        <v>4</v>
      </c>
      <c r="BL780" s="3">
        <v>46.08</v>
      </c>
      <c r="BM780" s="3">
        <v>6.91</v>
      </c>
      <c r="BN780" s="3">
        <v>52.99</v>
      </c>
      <c r="BO780" s="3">
        <v>52.99</v>
      </c>
      <c r="BQ780" s="3" t="s">
        <v>83</v>
      </c>
      <c r="BR780" s="3" t="s">
        <v>84</v>
      </c>
      <c r="BS780" s="4">
        <v>44578</v>
      </c>
      <c r="BT780" s="5">
        <v>0.31111111111111112</v>
      </c>
      <c r="BU780" s="3" t="s">
        <v>1173</v>
      </c>
      <c r="BV780" s="3" t="s">
        <v>105</v>
      </c>
      <c r="BY780" s="3">
        <v>4275</v>
      </c>
      <c r="BZ780" s="3" t="s">
        <v>165</v>
      </c>
      <c r="CA780" s="3" t="s">
        <v>227</v>
      </c>
      <c r="CC780" s="3" t="s">
        <v>76</v>
      </c>
      <c r="CD780" s="3">
        <v>1620</v>
      </c>
      <c r="CE780" s="3" t="s">
        <v>86</v>
      </c>
      <c r="CF780" s="4">
        <v>44578</v>
      </c>
      <c r="CI780" s="3">
        <v>1</v>
      </c>
      <c r="CJ780" s="3">
        <v>1</v>
      </c>
      <c r="CK780" s="3">
        <v>22</v>
      </c>
      <c r="CL780" s="3" t="s">
        <v>87</v>
      </c>
    </row>
    <row r="781" spans="1:90" x14ac:dyDescent="0.2">
      <c r="A781" s="3" t="s">
        <v>72</v>
      </c>
      <c r="B781" s="3" t="s">
        <v>73</v>
      </c>
      <c r="C781" s="3" t="s">
        <v>74</v>
      </c>
      <c r="E781" s="3" t="str">
        <f>"FES1162845161"</f>
        <v>FES1162845161</v>
      </c>
      <c r="F781" s="4">
        <v>44575</v>
      </c>
      <c r="G781" s="3">
        <v>202207</v>
      </c>
      <c r="H781" s="3" t="s">
        <v>75</v>
      </c>
      <c r="I781" s="3" t="s">
        <v>76</v>
      </c>
      <c r="J781" s="3" t="s">
        <v>77</v>
      </c>
      <c r="K781" s="3" t="s">
        <v>78</v>
      </c>
      <c r="L781" s="3" t="s">
        <v>218</v>
      </c>
      <c r="M781" s="3" t="s">
        <v>219</v>
      </c>
      <c r="N781" s="3" t="s">
        <v>1174</v>
      </c>
      <c r="O781" s="3" t="s">
        <v>82</v>
      </c>
      <c r="P781" s="3" t="str">
        <f>"2170815427                    "</f>
        <v xml:space="preserve">2170815427                    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15.46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1</v>
      </c>
      <c r="BI781" s="3">
        <v>1</v>
      </c>
      <c r="BJ781" s="3">
        <v>1.1000000000000001</v>
      </c>
      <c r="BK781" s="3">
        <v>1.5</v>
      </c>
      <c r="BL781" s="3">
        <v>59</v>
      </c>
      <c r="BM781" s="3">
        <v>8.85</v>
      </c>
      <c r="BN781" s="3">
        <v>67.849999999999994</v>
      </c>
      <c r="BO781" s="3">
        <v>67.849999999999994</v>
      </c>
      <c r="BQ781" s="3" t="s">
        <v>273</v>
      </c>
      <c r="BR781" s="3" t="s">
        <v>84</v>
      </c>
      <c r="BS781" s="4">
        <v>44578</v>
      </c>
      <c r="BT781" s="5">
        <v>0.38611111111111113</v>
      </c>
      <c r="BU781" s="3" t="s">
        <v>1175</v>
      </c>
      <c r="BV781" s="3" t="s">
        <v>105</v>
      </c>
      <c r="BY781" s="3">
        <v>5320</v>
      </c>
      <c r="BZ781" s="3" t="s">
        <v>165</v>
      </c>
      <c r="CA781" s="3" t="s">
        <v>362</v>
      </c>
      <c r="CC781" s="3" t="s">
        <v>219</v>
      </c>
      <c r="CD781" s="3">
        <v>157</v>
      </c>
      <c r="CE781" s="3" t="s">
        <v>86</v>
      </c>
      <c r="CF781" s="4">
        <v>44578</v>
      </c>
      <c r="CI781" s="3">
        <v>1</v>
      </c>
      <c r="CJ781" s="3">
        <v>1</v>
      </c>
      <c r="CK781" s="3">
        <v>21</v>
      </c>
      <c r="CL781" s="3" t="s">
        <v>87</v>
      </c>
    </row>
    <row r="782" spans="1:90" x14ac:dyDescent="0.2">
      <c r="A782" s="3" t="s">
        <v>72</v>
      </c>
      <c r="B782" s="3" t="s">
        <v>73</v>
      </c>
      <c r="C782" s="3" t="s">
        <v>74</v>
      </c>
      <c r="E782" s="3" t="str">
        <f>"FES1162845130"</f>
        <v>FES1162845130</v>
      </c>
      <c r="F782" s="4">
        <v>44575</v>
      </c>
      <c r="G782" s="3">
        <v>202207</v>
      </c>
      <c r="H782" s="3" t="s">
        <v>75</v>
      </c>
      <c r="I782" s="3" t="s">
        <v>76</v>
      </c>
      <c r="J782" s="3" t="s">
        <v>77</v>
      </c>
      <c r="K782" s="3" t="s">
        <v>78</v>
      </c>
      <c r="L782" s="3" t="s">
        <v>244</v>
      </c>
      <c r="M782" s="3" t="s">
        <v>245</v>
      </c>
      <c r="N782" s="3" t="s">
        <v>400</v>
      </c>
      <c r="O782" s="3" t="s">
        <v>82</v>
      </c>
      <c r="P782" s="3" t="str">
        <f>"2170811678                    "</f>
        <v xml:space="preserve">2170811678                    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29.95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1</v>
      </c>
      <c r="BI782" s="3">
        <v>1</v>
      </c>
      <c r="BJ782" s="3">
        <v>0.2</v>
      </c>
      <c r="BK782" s="3">
        <v>1</v>
      </c>
      <c r="BL782" s="3">
        <v>114.31</v>
      </c>
      <c r="BM782" s="3">
        <v>17.149999999999999</v>
      </c>
      <c r="BN782" s="3">
        <v>131.46</v>
      </c>
      <c r="BO782" s="3">
        <v>131.46</v>
      </c>
      <c r="BQ782" s="3" t="s">
        <v>83</v>
      </c>
      <c r="BR782" s="3" t="s">
        <v>84</v>
      </c>
      <c r="BS782" s="4">
        <v>44578</v>
      </c>
      <c r="BT782" s="5">
        <v>0.36944444444444446</v>
      </c>
      <c r="BU782" s="3" t="s">
        <v>401</v>
      </c>
      <c r="BV782" s="3" t="s">
        <v>105</v>
      </c>
      <c r="BY782" s="3">
        <v>1200</v>
      </c>
      <c r="BZ782" s="3" t="s">
        <v>165</v>
      </c>
      <c r="CA782" s="3" t="s">
        <v>402</v>
      </c>
      <c r="CC782" s="3" t="s">
        <v>245</v>
      </c>
      <c r="CD782" s="3">
        <v>1947</v>
      </c>
      <c r="CE782" s="3" t="s">
        <v>93</v>
      </c>
      <c r="CF782" s="4">
        <v>44579</v>
      </c>
      <c r="CI782" s="3">
        <v>1</v>
      </c>
      <c r="CJ782" s="3">
        <v>1</v>
      </c>
      <c r="CK782" s="3">
        <v>23</v>
      </c>
      <c r="CL782" s="3" t="s">
        <v>87</v>
      </c>
    </row>
    <row r="783" spans="1:90" x14ac:dyDescent="0.2">
      <c r="A783" s="3" t="s">
        <v>72</v>
      </c>
      <c r="B783" s="3" t="s">
        <v>73</v>
      </c>
      <c r="C783" s="3" t="s">
        <v>74</v>
      </c>
      <c r="E783" s="3" t="str">
        <f>"FES1162845159"</f>
        <v>FES1162845159</v>
      </c>
      <c r="F783" s="4">
        <v>44575</v>
      </c>
      <c r="G783" s="3">
        <v>202207</v>
      </c>
      <c r="H783" s="3" t="s">
        <v>75</v>
      </c>
      <c r="I783" s="3" t="s">
        <v>76</v>
      </c>
      <c r="J783" s="3" t="s">
        <v>77</v>
      </c>
      <c r="K783" s="3" t="s">
        <v>78</v>
      </c>
      <c r="L783" s="3" t="s">
        <v>250</v>
      </c>
      <c r="M783" s="3" t="s">
        <v>251</v>
      </c>
      <c r="N783" s="3" t="s">
        <v>252</v>
      </c>
      <c r="O783" s="3" t="s">
        <v>82</v>
      </c>
      <c r="P783" s="3" t="str">
        <f>"2170815411                    "</f>
        <v xml:space="preserve">2170815411                    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43.47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0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1</v>
      </c>
      <c r="BI783" s="3">
        <v>3</v>
      </c>
      <c r="BJ783" s="3">
        <v>1.1000000000000001</v>
      </c>
      <c r="BK783" s="3">
        <v>3</v>
      </c>
      <c r="BL783" s="3">
        <v>165.93</v>
      </c>
      <c r="BM783" s="3">
        <v>24.89</v>
      </c>
      <c r="BN783" s="3">
        <v>190.82</v>
      </c>
      <c r="BO783" s="3">
        <v>190.82</v>
      </c>
      <c r="BQ783" s="3" t="s">
        <v>253</v>
      </c>
      <c r="BR783" s="3" t="s">
        <v>84</v>
      </c>
      <c r="BS783" s="4">
        <v>44578</v>
      </c>
      <c r="BT783" s="5">
        <v>0.67361111111111116</v>
      </c>
      <c r="BU783" s="3" t="s">
        <v>1176</v>
      </c>
      <c r="BV783" s="3" t="s">
        <v>105</v>
      </c>
      <c r="BY783" s="3">
        <v>5320</v>
      </c>
      <c r="BZ783" s="3" t="s">
        <v>165</v>
      </c>
      <c r="CA783" s="3" t="s">
        <v>368</v>
      </c>
      <c r="CC783" s="3" t="s">
        <v>251</v>
      </c>
      <c r="CD783" s="3">
        <v>6300</v>
      </c>
      <c r="CE783" s="3" t="s">
        <v>86</v>
      </c>
      <c r="CF783" s="4">
        <v>44579</v>
      </c>
      <c r="CI783" s="3">
        <v>2</v>
      </c>
      <c r="CJ783" s="3">
        <v>1</v>
      </c>
      <c r="CK783" s="3">
        <v>23</v>
      </c>
      <c r="CL783" s="3" t="s">
        <v>87</v>
      </c>
    </row>
    <row r="784" spans="1:90" x14ac:dyDescent="0.2">
      <c r="A784" s="3" t="s">
        <v>72</v>
      </c>
      <c r="B784" s="3" t="s">
        <v>73</v>
      </c>
      <c r="C784" s="3" t="s">
        <v>74</v>
      </c>
      <c r="E784" s="3" t="str">
        <f>"FES1162845148"</f>
        <v>FES1162845148</v>
      </c>
      <c r="F784" s="4">
        <v>44575</v>
      </c>
      <c r="G784" s="3">
        <v>202207</v>
      </c>
      <c r="H784" s="3" t="s">
        <v>75</v>
      </c>
      <c r="I784" s="3" t="s">
        <v>76</v>
      </c>
      <c r="J784" s="3" t="s">
        <v>77</v>
      </c>
      <c r="K784" s="3" t="s">
        <v>78</v>
      </c>
      <c r="L784" s="3" t="s">
        <v>110</v>
      </c>
      <c r="M784" s="3" t="s">
        <v>110</v>
      </c>
      <c r="N784" s="3" t="s">
        <v>146</v>
      </c>
      <c r="O784" s="3" t="s">
        <v>82</v>
      </c>
      <c r="P784" s="3" t="str">
        <f>"2170815317                    "</f>
        <v xml:space="preserve">2170815317                    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29.95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1</v>
      </c>
      <c r="BI784" s="3">
        <v>1</v>
      </c>
      <c r="BJ784" s="3">
        <v>0.2</v>
      </c>
      <c r="BK784" s="3">
        <v>1</v>
      </c>
      <c r="BL784" s="3">
        <v>114.31</v>
      </c>
      <c r="BM784" s="3">
        <v>17.149999999999999</v>
      </c>
      <c r="BN784" s="3">
        <v>131.46</v>
      </c>
      <c r="BO784" s="3">
        <v>131.46</v>
      </c>
      <c r="BQ784" s="3" t="s">
        <v>89</v>
      </c>
      <c r="BR784" s="3" t="s">
        <v>84</v>
      </c>
      <c r="BS784" s="4">
        <v>44578</v>
      </c>
      <c r="BT784" s="5">
        <v>0.51944444444444449</v>
      </c>
      <c r="BU784" s="3" t="s">
        <v>1177</v>
      </c>
      <c r="BV784" s="3" t="s">
        <v>105</v>
      </c>
      <c r="BY784" s="3">
        <v>1200</v>
      </c>
      <c r="BZ784" s="3" t="s">
        <v>165</v>
      </c>
      <c r="CA784" s="3" t="s">
        <v>563</v>
      </c>
      <c r="CC784" s="3" t="s">
        <v>110</v>
      </c>
      <c r="CD784" s="3">
        <v>7646</v>
      </c>
      <c r="CE784" s="3" t="s">
        <v>93</v>
      </c>
      <c r="CF784" s="4">
        <v>44579</v>
      </c>
      <c r="CI784" s="3">
        <v>1</v>
      </c>
      <c r="CJ784" s="3">
        <v>1</v>
      </c>
      <c r="CK784" s="3">
        <v>23</v>
      </c>
      <c r="CL784" s="3" t="s">
        <v>87</v>
      </c>
    </row>
    <row r="785" spans="1:90" x14ac:dyDescent="0.2">
      <c r="A785" s="3" t="s">
        <v>72</v>
      </c>
      <c r="B785" s="3" t="s">
        <v>73</v>
      </c>
      <c r="C785" s="3" t="s">
        <v>74</v>
      </c>
      <c r="E785" s="3" t="str">
        <f>"FES1162845154"</f>
        <v>FES1162845154</v>
      </c>
      <c r="F785" s="4">
        <v>44575</v>
      </c>
      <c r="G785" s="3">
        <v>202207</v>
      </c>
      <c r="H785" s="3" t="s">
        <v>75</v>
      </c>
      <c r="I785" s="3" t="s">
        <v>76</v>
      </c>
      <c r="J785" s="3" t="s">
        <v>77</v>
      </c>
      <c r="K785" s="3" t="s">
        <v>78</v>
      </c>
      <c r="L785" s="3" t="s">
        <v>154</v>
      </c>
      <c r="M785" s="3" t="s">
        <v>155</v>
      </c>
      <c r="N785" s="3" t="s">
        <v>963</v>
      </c>
      <c r="O785" s="3" t="s">
        <v>82</v>
      </c>
      <c r="P785" s="3" t="str">
        <f>"2170815377                    "</f>
        <v xml:space="preserve">2170815377                    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12.07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1</v>
      </c>
      <c r="BI785" s="3">
        <v>1</v>
      </c>
      <c r="BJ785" s="3">
        <v>0.2</v>
      </c>
      <c r="BK785" s="3">
        <v>1</v>
      </c>
      <c r="BL785" s="3">
        <v>46.08</v>
      </c>
      <c r="BM785" s="3">
        <v>6.91</v>
      </c>
      <c r="BN785" s="3">
        <v>52.99</v>
      </c>
      <c r="BO785" s="3">
        <v>52.99</v>
      </c>
      <c r="BQ785" s="3" t="s">
        <v>83</v>
      </c>
      <c r="BR785" s="3" t="s">
        <v>84</v>
      </c>
      <c r="BS785" s="4">
        <v>44578</v>
      </c>
      <c r="BT785" s="5">
        <v>0.36527777777777781</v>
      </c>
      <c r="BU785" s="3" t="s">
        <v>1178</v>
      </c>
      <c r="BV785" s="3" t="s">
        <v>105</v>
      </c>
      <c r="BY785" s="3">
        <v>1200</v>
      </c>
      <c r="BZ785" s="3" t="s">
        <v>165</v>
      </c>
      <c r="CA785" s="3" t="s">
        <v>965</v>
      </c>
      <c r="CC785" s="3" t="s">
        <v>155</v>
      </c>
      <c r="CD785" s="3">
        <v>1682</v>
      </c>
      <c r="CE785" s="3" t="s">
        <v>93</v>
      </c>
      <c r="CF785" s="4">
        <v>44579</v>
      </c>
      <c r="CI785" s="3">
        <v>1</v>
      </c>
      <c r="CJ785" s="3">
        <v>1</v>
      </c>
      <c r="CK785" s="3">
        <v>22</v>
      </c>
      <c r="CL785" s="3" t="s">
        <v>87</v>
      </c>
    </row>
    <row r="786" spans="1:90" x14ac:dyDescent="0.2">
      <c r="A786" s="3" t="s">
        <v>72</v>
      </c>
      <c r="B786" s="3" t="s">
        <v>73</v>
      </c>
      <c r="C786" s="3" t="s">
        <v>74</v>
      </c>
      <c r="E786" s="3" t="str">
        <f>"FES1162845144"</f>
        <v>FES1162845144</v>
      </c>
      <c r="F786" s="4">
        <v>44575</v>
      </c>
      <c r="G786" s="3">
        <v>202207</v>
      </c>
      <c r="H786" s="3" t="s">
        <v>75</v>
      </c>
      <c r="I786" s="3" t="s">
        <v>76</v>
      </c>
      <c r="J786" s="3" t="s">
        <v>77</v>
      </c>
      <c r="K786" s="3" t="s">
        <v>78</v>
      </c>
      <c r="L786" s="3" t="s">
        <v>1179</v>
      </c>
      <c r="M786" s="3" t="s">
        <v>1180</v>
      </c>
      <c r="N786" s="3" t="s">
        <v>1181</v>
      </c>
      <c r="O786" s="3" t="s">
        <v>82</v>
      </c>
      <c r="P786" s="3" t="str">
        <f>"2170815301                    "</f>
        <v xml:space="preserve">2170815301                    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29.95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15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1</v>
      </c>
      <c r="BI786" s="3">
        <v>1</v>
      </c>
      <c r="BJ786" s="3">
        <v>0.2</v>
      </c>
      <c r="BK786" s="3">
        <v>1</v>
      </c>
      <c r="BL786" s="3">
        <v>129.31</v>
      </c>
      <c r="BM786" s="3">
        <v>19.399999999999999</v>
      </c>
      <c r="BN786" s="3">
        <v>148.71</v>
      </c>
      <c r="BO786" s="3">
        <v>148.71</v>
      </c>
      <c r="BQ786" s="3" t="s">
        <v>83</v>
      </c>
      <c r="BR786" s="3" t="s">
        <v>84</v>
      </c>
      <c r="BS786" s="4">
        <v>44578</v>
      </c>
      <c r="BT786" s="5">
        <v>0.76944444444444438</v>
      </c>
      <c r="BU786" s="3" t="s">
        <v>1182</v>
      </c>
      <c r="BV786" s="3" t="s">
        <v>87</v>
      </c>
      <c r="BY786" s="3">
        <v>1200</v>
      </c>
      <c r="BZ786" s="3" t="s">
        <v>446</v>
      </c>
      <c r="CA786" s="3" t="s">
        <v>1183</v>
      </c>
      <c r="CC786" s="3" t="s">
        <v>1180</v>
      </c>
      <c r="CD786" s="3">
        <v>208</v>
      </c>
      <c r="CE786" s="3" t="s">
        <v>93</v>
      </c>
      <c r="CF786" s="4">
        <v>44578</v>
      </c>
      <c r="CI786" s="3">
        <v>1</v>
      </c>
      <c r="CJ786" s="3">
        <v>1</v>
      </c>
      <c r="CK786" s="3">
        <v>23</v>
      </c>
      <c r="CL786" s="3" t="s">
        <v>87</v>
      </c>
    </row>
    <row r="787" spans="1:90" x14ac:dyDescent="0.2">
      <c r="A787" s="3" t="s">
        <v>72</v>
      </c>
      <c r="B787" s="3" t="s">
        <v>73</v>
      </c>
      <c r="C787" s="3" t="s">
        <v>74</v>
      </c>
      <c r="E787" s="3" t="str">
        <f>"FES1162845131"</f>
        <v>FES1162845131</v>
      </c>
      <c r="F787" s="4">
        <v>44575</v>
      </c>
      <c r="G787" s="3">
        <v>202207</v>
      </c>
      <c r="H787" s="3" t="s">
        <v>75</v>
      </c>
      <c r="I787" s="3" t="s">
        <v>76</v>
      </c>
      <c r="J787" s="3" t="s">
        <v>77</v>
      </c>
      <c r="K787" s="3" t="s">
        <v>78</v>
      </c>
      <c r="L787" s="3" t="s">
        <v>184</v>
      </c>
      <c r="M787" s="3" t="s">
        <v>185</v>
      </c>
      <c r="N787" s="3" t="s">
        <v>503</v>
      </c>
      <c r="O787" s="3" t="s">
        <v>82</v>
      </c>
      <c r="P787" s="3" t="str">
        <f>"2170811804                    "</f>
        <v xml:space="preserve">2170811804                    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15.46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0</v>
      </c>
      <c r="BF787" s="3">
        <v>0</v>
      </c>
      <c r="BG787" s="3">
        <v>0</v>
      </c>
      <c r="BH787" s="3">
        <v>1</v>
      </c>
      <c r="BI787" s="3">
        <v>1</v>
      </c>
      <c r="BJ787" s="3">
        <v>0.2</v>
      </c>
      <c r="BK787" s="3">
        <v>1</v>
      </c>
      <c r="BL787" s="3">
        <v>59</v>
      </c>
      <c r="BM787" s="3">
        <v>8.85</v>
      </c>
      <c r="BN787" s="3">
        <v>67.849999999999994</v>
      </c>
      <c r="BO787" s="3">
        <v>67.849999999999994</v>
      </c>
      <c r="BQ787" s="3" t="s">
        <v>89</v>
      </c>
      <c r="BR787" s="3" t="s">
        <v>84</v>
      </c>
      <c r="BS787" s="4">
        <v>44578</v>
      </c>
      <c r="BT787" s="5">
        <v>0.4777777777777778</v>
      </c>
      <c r="BU787" s="3" t="s">
        <v>1012</v>
      </c>
      <c r="BV787" s="3" t="s">
        <v>87</v>
      </c>
      <c r="BW787" s="3" t="s">
        <v>353</v>
      </c>
      <c r="BX787" s="3" t="s">
        <v>605</v>
      </c>
      <c r="BY787" s="3">
        <v>1200</v>
      </c>
      <c r="BZ787" s="3" t="s">
        <v>165</v>
      </c>
      <c r="CA787" s="3" t="s">
        <v>1013</v>
      </c>
      <c r="CC787" s="3" t="s">
        <v>185</v>
      </c>
      <c r="CD787" s="3">
        <v>5201</v>
      </c>
      <c r="CE787" s="3" t="s">
        <v>93</v>
      </c>
      <c r="CF787" s="4">
        <v>44578</v>
      </c>
      <c r="CI787" s="3">
        <v>1</v>
      </c>
      <c r="CJ787" s="3">
        <v>1</v>
      </c>
      <c r="CK787" s="3">
        <v>21</v>
      </c>
      <c r="CL787" s="3" t="s">
        <v>87</v>
      </c>
    </row>
    <row r="788" spans="1:90" x14ac:dyDescent="0.2">
      <c r="A788" s="3" t="s">
        <v>72</v>
      </c>
      <c r="B788" s="3" t="s">
        <v>73</v>
      </c>
      <c r="C788" s="3" t="s">
        <v>74</v>
      </c>
      <c r="E788" s="3" t="str">
        <f>"FES1162845155"</f>
        <v>FES1162845155</v>
      </c>
      <c r="F788" s="4">
        <v>44575</v>
      </c>
      <c r="G788" s="3">
        <v>202207</v>
      </c>
      <c r="H788" s="3" t="s">
        <v>75</v>
      </c>
      <c r="I788" s="3" t="s">
        <v>76</v>
      </c>
      <c r="J788" s="3" t="s">
        <v>77</v>
      </c>
      <c r="K788" s="3" t="s">
        <v>78</v>
      </c>
      <c r="L788" s="3" t="s">
        <v>529</v>
      </c>
      <c r="M788" s="3" t="s">
        <v>530</v>
      </c>
      <c r="N788" s="3" t="s">
        <v>531</v>
      </c>
      <c r="O788" s="3" t="s">
        <v>82</v>
      </c>
      <c r="P788" s="3" t="str">
        <f>"2170815400                    "</f>
        <v xml:space="preserve">2170815400                    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29.95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1</v>
      </c>
      <c r="BI788" s="3">
        <v>1</v>
      </c>
      <c r="BJ788" s="3">
        <v>0.2</v>
      </c>
      <c r="BK788" s="3">
        <v>1</v>
      </c>
      <c r="BL788" s="3">
        <v>114.31</v>
      </c>
      <c r="BM788" s="3">
        <v>17.149999999999999</v>
      </c>
      <c r="BN788" s="3">
        <v>131.46</v>
      </c>
      <c r="BO788" s="3">
        <v>131.46</v>
      </c>
      <c r="BQ788" s="3" t="s">
        <v>83</v>
      </c>
      <c r="BR788" s="3" t="s">
        <v>84</v>
      </c>
      <c r="BS788" s="4">
        <v>44579</v>
      </c>
      <c r="BT788" s="5">
        <v>0.49652777777777773</v>
      </c>
      <c r="BU788" s="3" t="s">
        <v>826</v>
      </c>
      <c r="BV788" s="3" t="s">
        <v>87</v>
      </c>
      <c r="BY788" s="3">
        <v>1200</v>
      </c>
      <c r="BZ788" s="3" t="s">
        <v>165</v>
      </c>
      <c r="CA788" s="3" t="s">
        <v>328</v>
      </c>
      <c r="CC788" s="3" t="s">
        <v>530</v>
      </c>
      <c r="CD788" s="3">
        <v>6500</v>
      </c>
      <c r="CE788" s="3" t="s">
        <v>93</v>
      </c>
      <c r="CF788" s="4">
        <v>44580</v>
      </c>
      <c r="CI788" s="3">
        <v>1</v>
      </c>
      <c r="CJ788" s="3">
        <v>2</v>
      </c>
      <c r="CK788" s="3">
        <v>23</v>
      </c>
      <c r="CL788" s="3" t="s">
        <v>87</v>
      </c>
    </row>
    <row r="789" spans="1:90" x14ac:dyDescent="0.2">
      <c r="A789" s="3" t="s">
        <v>72</v>
      </c>
      <c r="B789" s="3" t="s">
        <v>73</v>
      </c>
      <c r="C789" s="3" t="s">
        <v>74</v>
      </c>
      <c r="E789" s="3" t="str">
        <f>"FES1162845175"</f>
        <v>FES1162845175</v>
      </c>
      <c r="F789" s="4">
        <v>44575</v>
      </c>
      <c r="G789" s="3">
        <v>202207</v>
      </c>
      <c r="H789" s="3" t="s">
        <v>75</v>
      </c>
      <c r="I789" s="3" t="s">
        <v>76</v>
      </c>
      <c r="J789" s="3" t="s">
        <v>77</v>
      </c>
      <c r="K789" s="3" t="s">
        <v>78</v>
      </c>
      <c r="L789" s="3" t="s">
        <v>799</v>
      </c>
      <c r="M789" s="3" t="s">
        <v>800</v>
      </c>
      <c r="N789" s="3" t="s">
        <v>801</v>
      </c>
      <c r="O789" s="3" t="s">
        <v>82</v>
      </c>
      <c r="P789" s="3" t="str">
        <f>"2170816152                    "</f>
        <v xml:space="preserve">2170816152                    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21.74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1</v>
      </c>
      <c r="BI789" s="3">
        <v>2</v>
      </c>
      <c r="BJ789" s="3">
        <v>0.9</v>
      </c>
      <c r="BK789" s="3">
        <v>2</v>
      </c>
      <c r="BL789" s="3">
        <v>82.98</v>
      </c>
      <c r="BM789" s="3">
        <v>12.45</v>
      </c>
      <c r="BN789" s="3">
        <v>95.43</v>
      </c>
      <c r="BO789" s="3">
        <v>95.43</v>
      </c>
      <c r="BQ789" s="3" t="s">
        <v>89</v>
      </c>
      <c r="BR789" s="3" t="s">
        <v>84</v>
      </c>
      <c r="BS789" s="4">
        <v>44578</v>
      </c>
      <c r="BT789" s="5">
        <v>0.39513888888888887</v>
      </c>
      <c r="BU789" s="3" t="s">
        <v>1184</v>
      </c>
      <c r="BV789" s="3" t="s">
        <v>105</v>
      </c>
      <c r="BY789" s="3">
        <v>4455</v>
      </c>
      <c r="BZ789" s="3" t="s">
        <v>165</v>
      </c>
      <c r="CA789" s="3" t="s">
        <v>803</v>
      </c>
      <c r="CC789" s="3" t="s">
        <v>800</v>
      </c>
      <c r="CD789" s="3">
        <v>2210</v>
      </c>
      <c r="CE789" s="3" t="s">
        <v>86</v>
      </c>
      <c r="CF789" s="4">
        <v>44579</v>
      </c>
      <c r="CI789" s="3">
        <v>1</v>
      </c>
      <c r="CJ789" s="3">
        <v>1</v>
      </c>
      <c r="CK789" s="3">
        <v>24</v>
      </c>
      <c r="CL789" s="3" t="s">
        <v>87</v>
      </c>
    </row>
    <row r="790" spans="1:90" x14ac:dyDescent="0.2">
      <c r="A790" s="3" t="s">
        <v>72</v>
      </c>
      <c r="B790" s="3" t="s">
        <v>73</v>
      </c>
      <c r="C790" s="3" t="s">
        <v>74</v>
      </c>
      <c r="E790" s="3" t="str">
        <f>"FES1162845171"</f>
        <v>FES1162845171</v>
      </c>
      <c r="F790" s="4">
        <v>44575</v>
      </c>
      <c r="G790" s="3">
        <v>202207</v>
      </c>
      <c r="H790" s="3" t="s">
        <v>75</v>
      </c>
      <c r="I790" s="3" t="s">
        <v>76</v>
      </c>
      <c r="J790" s="3" t="s">
        <v>77</v>
      </c>
      <c r="K790" s="3" t="s">
        <v>78</v>
      </c>
      <c r="L790" s="3" t="s">
        <v>799</v>
      </c>
      <c r="M790" s="3" t="s">
        <v>800</v>
      </c>
      <c r="N790" s="3" t="s">
        <v>801</v>
      </c>
      <c r="O790" s="3" t="s">
        <v>82</v>
      </c>
      <c r="P790" s="3" t="str">
        <f>"2170815601                    "</f>
        <v xml:space="preserve">2170815601                    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21.74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1</v>
      </c>
      <c r="BI790" s="3">
        <v>2</v>
      </c>
      <c r="BJ790" s="3">
        <v>0.9</v>
      </c>
      <c r="BK790" s="3">
        <v>2</v>
      </c>
      <c r="BL790" s="3">
        <v>82.98</v>
      </c>
      <c r="BM790" s="3">
        <v>12.45</v>
      </c>
      <c r="BN790" s="3">
        <v>95.43</v>
      </c>
      <c r="BO790" s="3">
        <v>95.43</v>
      </c>
      <c r="BQ790" s="3" t="s">
        <v>89</v>
      </c>
      <c r="BR790" s="3" t="s">
        <v>84</v>
      </c>
      <c r="BS790" s="4">
        <v>44578</v>
      </c>
      <c r="BT790" s="5">
        <v>0.39444444444444443</v>
      </c>
      <c r="BU790" s="3" t="s">
        <v>1184</v>
      </c>
      <c r="BV790" s="3" t="s">
        <v>105</v>
      </c>
      <c r="BY790" s="3">
        <v>4455</v>
      </c>
      <c r="BZ790" s="3" t="s">
        <v>165</v>
      </c>
      <c r="CA790" s="3" t="s">
        <v>803</v>
      </c>
      <c r="CC790" s="3" t="s">
        <v>800</v>
      </c>
      <c r="CD790" s="3">
        <v>2210</v>
      </c>
      <c r="CE790" s="3" t="s">
        <v>86</v>
      </c>
      <c r="CF790" s="4">
        <v>44579</v>
      </c>
      <c r="CI790" s="3">
        <v>1</v>
      </c>
      <c r="CJ790" s="3">
        <v>1</v>
      </c>
      <c r="CK790" s="3">
        <v>24</v>
      </c>
      <c r="CL790" s="3" t="s">
        <v>87</v>
      </c>
    </row>
    <row r="791" spans="1:90" x14ac:dyDescent="0.2">
      <c r="A791" s="3" t="s">
        <v>72</v>
      </c>
      <c r="B791" s="3" t="s">
        <v>73</v>
      </c>
      <c r="C791" s="3" t="s">
        <v>74</v>
      </c>
      <c r="E791" s="3" t="str">
        <f>"FES1162845106"</f>
        <v>FES1162845106</v>
      </c>
      <c r="F791" s="4">
        <v>44575</v>
      </c>
      <c r="G791" s="3">
        <v>202207</v>
      </c>
      <c r="H791" s="3" t="s">
        <v>75</v>
      </c>
      <c r="I791" s="3" t="s">
        <v>76</v>
      </c>
      <c r="J791" s="3" t="s">
        <v>77</v>
      </c>
      <c r="K791" s="3" t="s">
        <v>78</v>
      </c>
      <c r="L791" s="3" t="s">
        <v>162</v>
      </c>
      <c r="M791" s="3" t="s">
        <v>163</v>
      </c>
      <c r="N791" s="3" t="s">
        <v>1185</v>
      </c>
      <c r="O791" s="3" t="s">
        <v>148</v>
      </c>
      <c r="P791" s="3" t="str">
        <f>"2170816673                    "</f>
        <v xml:space="preserve">2170816673                    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23.06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1</v>
      </c>
      <c r="BI791" s="3">
        <v>14</v>
      </c>
      <c r="BJ791" s="3">
        <v>12</v>
      </c>
      <c r="BK791" s="3">
        <v>14</v>
      </c>
      <c r="BL791" s="3">
        <v>93.28</v>
      </c>
      <c r="BM791" s="3">
        <v>13.99</v>
      </c>
      <c r="BN791" s="3">
        <v>107.27</v>
      </c>
      <c r="BO791" s="3">
        <v>107.27</v>
      </c>
      <c r="BQ791" s="3" t="s">
        <v>126</v>
      </c>
      <c r="BR791" s="3" t="s">
        <v>84</v>
      </c>
      <c r="BS791" s="4">
        <v>44578</v>
      </c>
      <c r="BT791" s="5">
        <v>0.54861111111111105</v>
      </c>
      <c r="BU791" s="3" t="s">
        <v>1186</v>
      </c>
      <c r="BV791" s="3" t="s">
        <v>105</v>
      </c>
      <c r="BY791" s="3">
        <v>60000</v>
      </c>
      <c r="BZ791" s="3" t="s">
        <v>327</v>
      </c>
      <c r="CA791" s="3" t="s">
        <v>1080</v>
      </c>
      <c r="CC791" s="3" t="s">
        <v>163</v>
      </c>
      <c r="CD791" s="3">
        <v>1401</v>
      </c>
      <c r="CE791" s="3" t="s">
        <v>86</v>
      </c>
      <c r="CF791" s="4">
        <v>44579</v>
      </c>
      <c r="CI791" s="3">
        <v>1</v>
      </c>
      <c r="CJ791" s="3">
        <v>1</v>
      </c>
      <c r="CK791" s="3">
        <v>42</v>
      </c>
      <c r="CL791" s="3" t="s">
        <v>87</v>
      </c>
    </row>
    <row r="792" spans="1:90" x14ac:dyDescent="0.2">
      <c r="A792" s="3" t="s">
        <v>72</v>
      </c>
      <c r="B792" s="3" t="s">
        <v>73</v>
      </c>
      <c r="C792" s="3" t="s">
        <v>74</v>
      </c>
      <c r="E792" s="3" t="str">
        <f>"FES1162844597"</f>
        <v>FES1162844597</v>
      </c>
      <c r="F792" s="4">
        <v>44575</v>
      </c>
      <c r="G792" s="3">
        <v>202207</v>
      </c>
      <c r="H792" s="3" t="s">
        <v>75</v>
      </c>
      <c r="I792" s="3" t="s">
        <v>76</v>
      </c>
      <c r="J792" s="3" t="s">
        <v>77</v>
      </c>
      <c r="K792" s="3" t="s">
        <v>78</v>
      </c>
      <c r="L792" s="3" t="s">
        <v>171</v>
      </c>
      <c r="M792" s="3" t="s">
        <v>172</v>
      </c>
      <c r="N792" s="3" t="s">
        <v>249</v>
      </c>
      <c r="O792" s="3" t="s">
        <v>82</v>
      </c>
      <c r="P792" s="3" t="str">
        <f>"2170815183                    "</f>
        <v xml:space="preserve">2170815183                    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30.91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  <c r="BH792" s="3">
        <v>1</v>
      </c>
      <c r="BI792" s="3">
        <v>4</v>
      </c>
      <c r="BJ792" s="3">
        <v>2</v>
      </c>
      <c r="BK792" s="3">
        <v>4</v>
      </c>
      <c r="BL792" s="3">
        <v>117.97</v>
      </c>
      <c r="BM792" s="3">
        <v>17.7</v>
      </c>
      <c r="BN792" s="3">
        <v>135.66999999999999</v>
      </c>
      <c r="BO792" s="3">
        <v>135.66999999999999</v>
      </c>
      <c r="BQ792" s="3" t="s">
        <v>89</v>
      </c>
      <c r="BR792" s="3" t="s">
        <v>84</v>
      </c>
      <c r="BS792" s="4">
        <v>44578</v>
      </c>
      <c r="BT792" s="5">
        <v>0.39166666666666666</v>
      </c>
      <c r="BU792" s="3" t="s">
        <v>1106</v>
      </c>
      <c r="BV792" s="3" t="s">
        <v>105</v>
      </c>
      <c r="BY792" s="3">
        <v>9918</v>
      </c>
      <c r="BZ792" s="3" t="s">
        <v>165</v>
      </c>
      <c r="CA792" s="3" t="s">
        <v>509</v>
      </c>
      <c r="CC792" s="3" t="s">
        <v>172</v>
      </c>
      <c r="CD792" s="3">
        <v>6001</v>
      </c>
      <c r="CE792" s="3" t="s">
        <v>86</v>
      </c>
      <c r="CF792" s="4">
        <v>44578</v>
      </c>
      <c r="CI792" s="3">
        <v>1</v>
      </c>
      <c r="CJ792" s="3">
        <v>1</v>
      </c>
      <c r="CK792" s="3">
        <v>21</v>
      </c>
      <c r="CL792" s="3" t="s">
        <v>87</v>
      </c>
    </row>
    <row r="793" spans="1:90" x14ac:dyDescent="0.2">
      <c r="A793" s="3" t="s">
        <v>72</v>
      </c>
      <c r="B793" s="3" t="s">
        <v>73</v>
      </c>
      <c r="C793" s="3" t="s">
        <v>74</v>
      </c>
      <c r="E793" s="3" t="str">
        <f>"FES1162845112"</f>
        <v>FES1162845112</v>
      </c>
      <c r="F793" s="4">
        <v>44575</v>
      </c>
      <c r="G793" s="3">
        <v>202207</v>
      </c>
      <c r="H793" s="3" t="s">
        <v>75</v>
      </c>
      <c r="I793" s="3" t="s">
        <v>76</v>
      </c>
      <c r="J793" s="3" t="s">
        <v>77</v>
      </c>
      <c r="K793" s="3" t="s">
        <v>78</v>
      </c>
      <c r="L793" s="3" t="s">
        <v>97</v>
      </c>
      <c r="M793" s="3" t="s">
        <v>98</v>
      </c>
      <c r="N793" s="3" t="s">
        <v>1187</v>
      </c>
      <c r="O793" s="3" t="s">
        <v>82</v>
      </c>
      <c r="P793" s="3" t="str">
        <f>"2170816697                    "</f>
        <v xml:space="preserve">2170816697                    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12.07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3">
        <v>1</v>
      </c>
      <c r="BI793" s="3">
        <v>1</v>
      </c>
      <c r="BJ793" s="3">
        <v>2</v>
      </c>
      <c r="BK793" s="3">
        <v>2</v>
      </c>
      <c r="BL793" s="3">
        <v>46.08</v>
      </c>
      <c r="BM793" s="3">
        <v>6.91</v>
      </c>
      <c r="BN793" s="3">
        <v>52.99</v>
      </c>
      <c r="BO793" s="3">
        <v>52.99</v>
      </c>
      <c r="BQ793" s="3" t="s">
        <v>83</v>
      </c>
      <c r="BR793" s="3" t="s">
        <v>84</v>
      </c>
      <c r="BS793" s="4">
        <v>44578</v>
      </c>
      <c r="BT793" s="5">
        <v>0.43194444444444446</v>
      </c>
      <c r="BU793" s="3" t="s">
        <v>1188</v>
      </c>
      <c r="BV793" s="3" t="s">
        <v>105</v>
      </c>
      <c r="BY793" s="3">
        <v>9918</v>
      </c>
      <c r="BZ793" s="3" t="s">
        <v>165</v>
      </c>
      <c r="CA793" s="3" t="s">
        <v>1189</v>
      </c>
      <c r="CC793" s="3" t="s">
        <v>98</v>
      </c>
      <c r="CD793" s="3">
        <v>2091</v>
      </c>
      <c r="CE793" s="3" t="s">
        <v>86</v>
      </c>
      <c r="CF793" s="4">
        <v>44578</v>
      </c>
      <c r="CI793" s="3">
        <v>1</v>
      </c>
      <c r="CJ793" s="3">
        <v>1</v>
      </c>
      <c r="CK793" s="3">
        <v>22</v>
      </c>
      <c r="CL793" s="3" t="s">
        <v>87</v>
      </c>
    </row>
    <row r="794" spans="1:90" x14ac:dyDescent="0.2">
      <c r="A794" s="3" t="s">
        <v>72</v>
      </c>
      <c r="B794" s="3" t="s">
        <v>73</v>
      </c>
      <c r="C794" s="3" t="s">
        <v>74</v>
      </c>
      <c r="E794" s="3" t="str">
        <f>"FES1162845104"</f>
        <v>FES1162845104</v>
      </c>
      <c r="F794" s="4">
        <v>44575</v>
      </c>
      <c r="G794" s="3">
        <v>202207</v>
      </c>
      <c r="H794" s="3" t="s">
        <v>75</v>
      </c>
      <c r="I794" s="3" t="s">
        <v>76</v>
      </c>
      <c r="J794" s="3" t="s">
        <v>77</v>
      </c>
      <c r="K794" s="3" t="s">
        <v>78</v>
      </c>
      <c r="L794" s="3" t="s">
        <v>97</v>
      </c>
      <c r="M794" s="3" t="s">
        <v>98</v>
      </c>
      <c r="N794" s="3" t="s">
        <v>232</v>
      </c>
      <c r="O794" s="3" t="s">
        <v>82</v>
      </c>
      <c r="P794" s="3" t="str">
        <f>"2170814283                    "</f>
        <v xml:space="preserve">2170814283                    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12.07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  <c r="BH794" s="3">
        <v>1</v>
      </c>
      <c r="BI794" s="3">
        <v>2</v>
      </c>
      <c r="BJ794" s="3">
        <v>4.0999999999999996</v>
      </c>
      <c r="BK794" s="3">
        <v>4.5</v>
      </c>
      <c r="BL794" s="3">
        <v>46.08</v>
      </c>
      <c r="BM794" s="3">
        <v>6.91</v>
      </c>
      <c r="BN794" s="3">
        <v>52.99</v>
      </c>
      <c r="BO794" s="3">
        <v>52.99</v>
      </c>
      <c r="BQ794" s="3" t="s">
        <v>83</v>
      </c>
      <c r="BR794" s="3" t="s">
        <v>84</v>
      </c>
      <c r="BS794" s="4">
        <v>44578</v>
      </c>
      <c r="BT794" s="5">
        <v>0.36388888888888887</v>
      </c>
      <c r="BU794" s="3" t="s">
        <v>1190</v>
      </c>
      <c r="BV794" s="3" t="s">
        <v>105</v>
      </c>
      <c r="BY794" s="3">
        <v>20358</v>
      </c>
      <c r="BZ794" s="3" t="s">
        <v>165</v>
      </c>
      <c r="CA794" s="3" t="s">
        <v>297</v>
      </c>
      <c r="CC794" s="3" t="s">
        <v>98</v>
      </c>
      <c r="CD794" s="3">
        <v>2091</v>
      </c>
      <c r="CE794" s="3" t="s">
        <v>86</v>
      </c>
      <c r="CF794" s="4">
        <v>44579</v>
      </c>
      <c r="CI794" s="3">
        <v>1</v>
      </c>
      <c r="CJ794" s="3">
        <v>1</v>
      </c>
      <c r="CK794" s="3">
        <v>22</v>
      </c>
      <c r="CL794" s="3" t="s">
        <v>87</v>
      </c>
    </row>
    <row r="795" spans="1:90" x14ac:dyDescent="0.2">
      <c r="A795" s="3" t="s">
        <v>72</v>
      </c>
      <c r="B795" s="3" t="s">
        <v>73</v>
      </c>
      <c r="C795" s="3" t="s">
        <v>74</v>
      </c>
      <c r="E795" s="3" t="str">
        <f>"FES1162845158"</f>
        <v>FES1162845158</v>
      </c>
      <c r="F795" s="4">
        <v>44575</v>
      </c>
      <c r="G795" s="3">
        <v>202207</v>
      </c>
      <c r="H795" s="3" t="s">
        <v>75</v>
      </c>
      <c r="I795" s="3" t="s">
        <v>76</v>
      </c>
      <c r="J795" s="3" t="s">
        <v>77</v>
      </c>
      <c r="K795" s="3" t="s">
        <v>78</v>
      </c>
      <c r="L795" s="3" t="s">
        <v>250</v>
      </c>
      <c r="M795" s="3" t="s">
        <v>251</v>
      </c>
      <c r="N795" s="3" t="s">
        <v>252</v>
      </c>
      <c r="O795" s="3" t="s">
        <v>82</v>
      </c>
      <c r="P795" s="3" t="str">
        <f>"2170815410                    "</f>
        <v xml:space="preserve">2170815410                    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43.47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0</v>
      </c>
      <c r="BF795" s="3">
        <v>0</v>
      </c>
      <c r="BG795" s="3">
        <v>0</v>
      </c>
      <c r="BH795" s="3">
        <v>1</v>
      </c>
      <c r="BI795" s="3">
        <v>3</v>
      </c>
      <c r="BJ795" s="3">
        <v>1.1000000000000001</v>
      </c>
      <c r="BK795" s="3">
        <v>3</v>
      </c>
      <c r="BL795" s="3">
        <v>165.93</v>
      </c>
      <c r="BM795" s="3">
        <v>24.89</v>
      </c>
      <c r="BN795" s="3">
        <v>190.82</v>
      </c>
      <c r="BO795" s="3">
        <v>190.82</v>
      </c>
      <c r="BQ795" s="3" t="s">
        <v>253</v>
      </c>
      <c r="BR795" s="3" t="s">
        <v>84</v>
      </c>
      <c r="BS795" s="4">
        <v>44578</v>
      </c>
      <c r="BT795" s="5">
        <v>0.67361111111111116</v>
      </c>
      <c r="BU795" s="3" t="s">
        <v>1176</v>
      </c>
      <c r="BV795" s="3" t="s">
        <v>105</v>
      </c>
      <c r="BY795" s="3">
        <v>5320</v>
      </c>
      <c r="BZ795" s="3" t="s">
        <v>165</v>
      </c>
      <c r="CA795" s="3" t="s">
        <v>368</v>
      </c>
      <c r="CC795" s="3" t="s">
        <v>251</v>
      </c>
      <c r="CD795" s="3">
        <v>6300</v>
      </c>
      <c r="CE795" s="3" t="s">
        <v>86</v>
      </c>
      <c r="CF795" s="4">
        <v>44579</v>
      </c>
      <c r="CI795" s="3">
        <v>2</v>
      </c>
      <c r="CJ795" s="3">
        <v>1</v>
      </c>
      <c r="CK795" s="3">
        <v>23</v>
      </c>
      <c r="CL795" s="3" t="s">
        <v>87</v>
      </c>
    </row>
    <row r="796" spans="1:90" x14ac:dyDescent="0.2">
      <c r="A796" s="3" t="s">
        <v>72</v>
      </c>
      <c r="B796" s="3" t="s">
        <v>73</v>
      </c>
      <c r="C796" s="3" t="s">
        <v>74</v>
      </c>
      <c r="E796" s="3" t="str">
        <f>"FES1162845100"</f>
        <v>FES1162845100</v>
      </c>
      <c r="F796" s="4">
        <v>44575</v>
      </c>
      <c r="G796" s="3">
        <v>202207</v>
      </c>
      <c r="H796" s="3" t="s">
        <v>75</v>
      </c>
      <c r="I796" s="3" t="s">
        <v>76</v>
      </c>
      <c r="J796" s="3" t="s">
        <v>77</v>
      </c>
      <c r="K796" s="3" t="s">
        <v>78</v>
      </c>
      <c r="L796" s="3" t="s">
        <v>211</v>
      </c>
      <c r="M796" s="3" t="s">
        <v>212</v>
      </c>
      <c r="N796" s="3" t="s">
        <v>213</v>
      </c>
      <c r="O796" s="3" t="s">
        <v>148</v>
      </c>
      <c r="P796" s="3" t="str">
        <f>"2170816676                    "</f>
        <v xml:space="preserve">2170816676                    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31.16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0</v>
      </c>
      <c r="BF796" s="3">
        <v>0</v>
      </c>
      <c r="BG796" s="3">
        <v>0</v>
      </c>
      <c r="BH796" s="3">
        <v>1</v>
      </c>
      <c r="BI796" s="3">
        <v>27</v>
      </c>
      <c r="BJ796" s="3">
        <v>9.1</v>
      </c>
      <c r="BK796" s="3">
        <v>27</v>
      </c>
      <c r="BL796" s="3">
        <v>124.18</v>
      </c>
      <c r="BM796" s="3">
        <v>18.63</v>
      </c>
      <c r="BN796" s="3">
        <v>142.81</v>
      </c>
      <c r="BO796" s="3">
        <v>142.81</v>
      </c>
      <c r="BQ796" s="3" t="s">
        <v>126</v>
      </c>
      <c r="BR796" s="3" t="s">
        <v>84</v>
      </c>
      <c r="BS796" s="4">
        <v>44578</v>
      </c>
      <c r="BT796" s="5">
        <v>0.33333333333333331</v>
      </c>
      <c r="BU796" s="3" t="s">
        <v>1191</v>
      </c>
      <c r="BV796" s="3" t="s">
        <v>105</v>
      </c>
      <c r="BY796" s="3">
        <v>45632</v>
      </c>
      <c r="BZ796" s="3" t="s">
        <v>327</v>
      </c>
      <c r="CA796" s="3" t="s">
        <v>345</v>
      </c>
      <c r="CC796" s="3" t="s">
        <v>212</v>
      </c>
      <c r="CD796" s="3">
        <v>2162</v>
      </c>
      <c r="CE796" s="3" t="s">
        <v>86</v>
      </c>
      <c r="CF796" s="4">
        <v>44578</v>
      </c>
      <c r="CI796" s="3">
        <v>1</v>
      </c>
      <c r="CJ796" s="3">
        <v>1</v>
      </c>
      <c r="CK796" s="3">
        <v>42</v>
      </c>
      <c r="CL796" s="3" t="s">
        <v>87</v>
      </c>
    </row>
    <row r="797" spans="1:90" x14ac:dyDescent="0.2">
      <c r="A797" s="3" t="s">
        <v>72</v>
      </c>
      <c r="B797" s="3" t="s">
        <v>73</v>
      </c>
      <c r="C797" s="3" t="s">
        <v>74</v>
      </c>
      <c r="E797" s="3" t="str">
        <f>"FES1162845114"</f>
        <v>FES1162845114</v>
      </c>
      <c r="F797" s="4">
        <v>44575</v>
      </c>
      <c r="G797" s="3">
        <v>202207</v>
      </c>
      <c r="H797" s="3" t="s">
        <v>75</v>
      </c>
      <c r="I797" s="3" t="s">
        <v>76</v>
      </c>
      <c r="J797" s="3" t="s">
        <v>77</v>
      </c>
      <c r="K797" s="3" t="s">
        <v>78</v>
      </c>
      <c r="L797" s="3" t="s">
        <v>464</v>
      </c>
      <c r="M797" s="3" t="s">
        <v>465</v>
      </c>
      <c r="N797" s="3" t="s">
        <v>676</v>
      </c>
      <c r="O797" s="3" t="s">
        <v>82</v>
      </c>
      <c r="P797" s="3" t="str">
        <f>"2170816704                    "</f>
        <v xml:space="preserve">2170816704                    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0</v>
      </c>
      <c r="AJ797" s="3">
        <v>0</v>
      </c>
      <c r="AK797" s="3">
        <v>16.420000000000002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0</v>
      </c>
      <c r="BA797" s="3">
        <v>0</v>
      </c>
      <c r="BB797" s="3">
        <v>0</v>
      </c>
      <c r="BC797" s="3">
        <v>0</v>
      </c>
      <c r="BD797" s="3">
        <v>0</v>
      </c>
      <c r="BE797" s="3">
        <v>0</v>
      </c>
      <c r="BF797" s="3">
        <v>0</v>
      </c>
      <c r="BG797" s="3">
        <v>0</v>
      </c>
      <c r="BH797" s="3">
        <v>1</v>
      </c>
      <c r="BI797" s="3">
        <v>5</v>
      </c>
      <c r="BJ797" s="3">
        <v>9.1</v>
      </c>
      <c r="BK797" s="3">
        <v>9.5</v>
      </c>
      <c r="BL797" s="3">
        <v>62.67</v>
      </c>
      <c r="BM797" s="3">
        <v>9.4</v>
      </c>
      <c r="BN797" s="3">
        <v>72.069999999999993</v>
      </c>
      <c r="BO797" s="3">
        <v>72.069999999999993</v>
      </c>
      <c r="BQ797" s="3" t="s">
        <v>83</v>
      </c>
      <c r="BR797" s="3" t="s">
        <v>84</v>
      </c>
      <c r="BS797" s="4">
        <v>44578</v>
      </c>
      <c r="BT797" s="5">
        <v>0.28402777777777777</v>
      </c>
      <c r="BU797" s="3" t="s">
        <v>1192</v>
      </c>
      <c r="BV797" s="3" t="s">
        <v>105</v>
      </c>
      <c r="BY797" s="3">
        <v>45632</v>
      </c>
      <c r="BZ797" s="3" t="s">
        <v>165</v>
      </c>
      <c r="CA797" s="3" t="s">
        <v>763</v>
      </c>
      <c r="CC797" s="3" t="s">
        <v>465</v>
      </c>
      <c r="CD797" s="3">
        <v>1501</v>
      </c>
      <c r="CE797" s="3" t="s">
        <v>86</v>
      </c>
      <c r="CF797" s="4">
        <v>44578</v>
      </c>
      <c r="CI797" s="3">
        <v>1</v>
      </c>
      <c r="CJ797" s="3">
        <v>1</v>
      </c>
      <c r="CK797" s="3">
        <v>22</v>
      </c>
      <c r="CL797" s="3" t="s">
        <v>87</v>
      </c>
    </row>
    <row r="798" spans="1:90" x14ac:dyDescent="0.2">
      <c r="A798" s="3" t="s">
        <v>72</v>
      </c>
      <c r="B798" s="3" t="s">
        <v>73</v>
      </c>
      <c r="C798" s="3" t="s">
        <v>74</v>
      </c>
      <c r="E798" s="3" t="str">
        <f>"FES1162845107"</f>
        <v>FES1162845107</v>
      </c>
      <c r="F798" s="4">
        <v>44575</v>
      </c>
      <c r="G798" s="3">
        <v>202207</v>
      </c>
      <c r="H798" s="3" t="s">
        <v>75</v>
      </c>
      <c r="I798" s="3" t="s">
        <v>76</v>
      </c>
      <c r="J798" s="3" t="s">
        <v>77</v>
      </c>
      <c r="K798" s="3" t="s">
        <v>78</v>
      </c>
      <c r="L798" s="3" t="s">
        <v>171</v>
      </c>
      <c r="M798" s="3" t="s">
        <v>172</v>
      </c>
      <c r="N798" s="3" t="s">
        <v>539</v>
      </c>
      <c r="O798" s="3" t="s">
        <v>82</v>
      </c>
      <c r="P798" s="3" t="str">
        <f>"2170816685                    "</f>
        <v xml:space="preserve">2170816685                    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15.46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1</v>
      </c>
      <c r="BI798" s="3">
        <v>1</v>
      </c>
      <c r="BJ798" s="3">
        <v>0.2</v>
      </c>
      <c r="BK798" s="3">
        <v>1</v>
      </c>
      <c r="BL798" s="3">
        <v>59</v>
      </c>
      <c r="BM798" s="3">
        <v>8.85</v>
      </c>
      <c r="BN798" s="3">
        <v>67.849999999999994</v>
      </c>
      <c r="BO798" s="3">
        <v>67.849999999999994</v>
      </c>
      <c r="BQ798" s="3" t="s">
        <v>83</v>
      </c>
      <c r="BR798" s="3" t="s">
        <v>84</v>
      </c>
      <c r="BS798" s="4">
        <v>44578</v>
      </c>
      <c r="BT798" s="5">
        <v>0.3979166666666667</v>
      </c>
      <c r="BU798" s="3" t="s">
        <v>1193</v>
      </c>
      <c r="BV798" s="3" t="s">
        <v>105</v>
      </c>
      <c r="BY798" s="3">
        <v>1200</v>
      </c>
      <c r="BZ798" s="3" t="s">
        <v>165</v>
      </c>
      <c r="CA798" s="3" t="s">
        <v>263</v>
      </c>
      <c r="CC798" s="3" t="s">
        <v>172</v>
      </c>
      <c r="CD798" s="3">
        <v>6012</v>
      </c>
      <c r="CE798" s="3" t="s">
        <v>93</v>
      </c>
      <c r="CF798" s="4">
        <v>44579</v>
      </c>
      <c r="CI798" s="3">
        <v>1</v>
      </c>
      <c r="CJ798" s="3">
        <v>1</v>
      </c>
      <c r="CK798" s="3">
        <v>21</v>
      </c>
      <c r="CL798" s="3" t="s">
        <v>87</v>
      </c>
    </row>
    <row r="799" spans="1:90" x14ac:dyDescent="0.2">
      <c r="A799" s="3" t="s">
        <v>72</v>
      </c>
      <c r="B799" s="3" t="s">
        <v>73</v>
      </c>
      <c r="C799" s="3" t="s">
        <v>74</v>
      </c>
      <c r="E799" s="3" t="str">
        <f>"FES1162845119"</f>
        <v>FES1162845119</v>
      </c>
      <c r="F799" s="4">
        <v>44575</v>
      </c>
      <c r="G799" s="3">
        <v>202207</v>
      </c>
      <c r="H799" s="3" t="s">
        <v>75</v>
      </c>
      <c r="I799" s="3" t="s">
        <v>76</v>
      </c>
      <c r="J799" s="3" t="s">
        <v>77</v>
      </c>
      <c r="K799" s="3" t="s">
        <v>78</v>
      </c>
      <c r="L799" s="3" t="s">
        <v>171</v>
      </c>
      <c r="M799" s="3" t="s">
        <v>172</v>
      </c>
      <c r="N799" s="3" t="s">
        <v>249</v>
      </c>
      <c r="O799" s="3" t="s">
        <v>82</v>
      </c>
      <c r="P799" s="3" t="str">
        <f>"2170816709                    "</f>
        <v xml:space="preserve">2170816709                    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15.46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1</v>
      </c>
      <c r="BI799" s="3">
        <v>1</v>
      </c>
      <c r="BJ799" s="3">
        <v>0.2</v>
      </c>
      <c r="BK799" s="3">
        <v>1</v>
      </c>
      <c r="BL799" s="3">
        <v>59</v>
      </c>
      <c r="BM799" s="3">
        <v>8.85</v>
      </c>
      <c r="BN799" s="3">
        <v>67.849999999999994</v>
      </c>
      <c r="BO799" s="3">
        <v>67.849999999999994</v>
      </c>
      <c r="BQ799" s="3" t="s">
        <v>89</v>
      </c>
      <c r="BR799" s="3" t="s">
        <v>84</v>
      </c>
      <c r="BS799" s="4">
        <v>44578</v>
      </c>
      <c r="BT799" s="5">
        <v>0.40486111111111112</v>
      </c>
      <c r="BU799" s="3" t="s">
        <v>1106</v>
      </c>
      <c r="BV799" s="3" t="s">
        <v>105</v>
      </c>
      <c r="BY799" s="3">
        <v>1200</v>
      </c>
      <c r="BZ799" s="3" t="s">
        <v>165</v>
      </c>
      <c r="CA799" s="3" t="s">
        <v>509</v>
      </c>
      <c r="CC799" s="3" t="s">
        <v>172</v>
      </c>
      <c r="CD799" s="3">
        <v>6001</v>
      </c>
      <c r="CE799" s="3" t="s">
        <v>93</v>
      </c>
      <c r="CF799" s="4">
        <v>44578</v>
      </c>
      <c r="CI799" s="3">
        <v>1</v>
      </c>
      <c r="CJ799" s="3">
        <v>1</v>
      </c>
      <c r="CK799" s="3">
        <v>21</v>
      </c>
      <c r="CL799" s="3" t="s">
        <v>87</v>
      </c>
    </row>
    <row r="800" spans="1:90" x14ac:dyDescent="0.2">
      <c r="A800" s="3" t="s">
        <v>72</v>
      </c>
      <c r="B800" s="3" t="s">
        <v>73</v>
      </c>
      <c r="C800" s="3" t="s">
        <v>74</v>
      </c>
      <c r="E800" s="3" t="str">
        <f>"FES1162845146"</f>
        <v>FES1162845146</v>
      </c>
      <c r="F800" s="4">
        <v>44575</v>
      </c>
      <c r="G800" s="3">
        <v>202207</v>
      </c>
      <c r="H800" s="3" t="s">
        <v>75</v>
      </c>
      <c r="I800" s="3" t="s">
        <v>76</v>
      </c>
      <c r="J800" s="3" t="s">
        <v>77</v>
      </c>
      <c r="K800" s="3" t="s">
        <v>78</v>
      </c>
      <c r="L800" s="3" t="s">
        <v>75</v>
      </c>
      <c r="M800" s="3" t="s">
        <v>76</v>
      </c>
      <c r="N800" s="3" t="s">
        <v>1162</v>
      </c>
      <c r="O800" s="3" t="s">
        <v>82</v>
      </c>
      <c r="P800" s="3" t="str">
        <f>"2170815311                    "</f>
        <v xml:space="preserve">2170815311                    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12.07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3">
        <v>1</v>
      </c>
      <c r="BI800" s="3">
        <v>1</v>
      </c>
      <c r="BJ800" s="3">
        <v>0.2</v>
      </c>
      <c r="BK800" s="3">
        <v>1</v>
      </c>
      <c r="BL800" s="3">
        <v>46.08</v>
      </c>
      <c r="BM800" s="3">
        <v>6.91</v>
      </c>
      <c r="BN800" s="3">
        <v>52.99</v>
      </c>
      <c r="BO800" s="3">
        <v>52.99</v>
      </c>
      <c r="BQ800" s="3" t="s">
        <v>83</v>
      </c>
      <c r="BR800" s="3" t="s">
        <v>84</v>
      </c>
      <c r="BS800" s="4">
        <v>44578</v>
      </c>
      <c r="BT800" s="5">
        <v>0.47152777777777777</v>
      </c>
      <c r="BU800" s="3" t="s">
        <v>1163</v>
      </c>
      <c r="BV800" s="3" t="s">
        <v>87</v>
      </c>
      <c r="BW800" s="3" t="s">
        <v>353</v>
      </c>
      <c r="BX800" s="3" t="s">
        <v>1118</v>
      </c>
      <c r="BY800" s="3">
        <v>1200</v>
      </c>
      <c r="BZ800" s="3" t="s">
        <v>165</v>
      </c>
      <c r="CA800" s="3" t="s">
        <v>227</v>
      </c>
      <c r="CC800" s="3" t="s">
        <v>76</v>
      </c>
      <c r="CD800" s="3">
        <v>1625</v>
      </c>
      <c r="CE800" s="3" t="s">
        <v>93</v>
      </c>
      <c r="CF800" s="4">
        <v>44578</v>
      </c>
      <c r="CI800" s="3">
        <v>1</v>
      </c>
      <c r="CJ800" s="3">
        <v>1</v>
      </c>
      <c r="CK800" s="3">
        <v>22</v>
      </c>
      <c r="CL800" s="3" t="s">
        <v>87</v>
      </c>
    </row>
    <row r="801" spans="1:90" x14ac:dyDescent="0.2">
      <c r="A801" s="3" t="s">
        <v>72</v>
      </c>
      <c r="B801" s="3" t="s">
        <v>73</v>
      </c>
      <c r="C801" s="3" t="s">
        <v>74</v>
      </c>
      <c r="E801" s="3" t="str">
        <f>"FES1162845186"</f>
        <v>FES1162845186</v>
      </c>
      <c r="F801" s="4">
        <v>44575</v>
      </c>
      <c r="G801" s="3">
        <v>202207</v>
      </c>
      <c r="H801" s="3" t="s">
        <v>75</v>
      </c>
      <c r="I801" s="3" t="s">
        <v>76</v>
      </c>
      <c r="J801" s="3" t="s">
        <v>77</v>
      </c>
      <c r="K801" s="3" t="s">
        <v>78</v>
      </c>
      <c r="L801" s="3" t="s">
        <v>171</v>
      </c>
      <c r="M801" s="3" t="s">
        <v>172</v>
      </c>
      <c r="N801" s="3" t="s">
        <v>329</v>
      </c>
      <c r="O801" s="3" t="s">
        <v>82</v>
      </c>
      <c r="P801" s="3" t="str">
        <f>"2170808096                    "</f>
        <v xml:space="preserve">2170808096                    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30.91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3">
        <v>1</v>
      </c>
      <c r="BI801" s="3">
        <v>4</v>
      </c>
      <c r="BJ801" s="3">
        <v>2</v>
      </c>
      <c r="BK801" s="3">
        <v>4</v>
      </c>
      <c r="BL801" s="3">
        <v>117.97</v>
      </c>
      <c r="BM801" s="3">
        <v>17.7</v>
      </c>
      <c r="BN801" s="3">
        <v>135.66999999999999</v>
      </c>
      <c r="BO801" s="3">
        <v>135.66999999999999</v>
      </c>
      <c r="BQ801" s="3" t="s">
        <v>83</v>
      </c>
      <c r="BR801" s="3" t="s">
        <v>84</v>
      </c>
      <c r="BS801" s="4">
        <v>44578</v>
      </c>
      <c r="BT801" s="5">
        <v>0.43055555555555558</v>
      </c>
      <c r="BU801" s="3" t="s">
        <v>330</v>
      </c>
      <c r="BV801" s="3" t="s">
        <v>105</v>
      </c>
      <c r="BY801" s="3">
        <v>9918</v>
      </c>
      <c r="BZ801" s="3" t="s">
        <v>165</v>
      </c>
      <c r="CA801" s="3" t="s">
        <v>509</v>
      </c>
      <c r="CC801" s="3" t="s">
        <v>172</v>
      </c>
      <c r="CD801" s="3">
        <v>6001</v>
      </c>
      <c r="CE801" s="3" t="s">
        <v>86</v>
      </c>
      <c r="CF801" s="4">
        <v>44578</v>
      </c>
      <c r="CI801" s="3">
        <v>1</v>
      </c>
      <c r="CJ801" s="3">
        <v>1</v>
      </c>
      <c r="CK801" s="3">
        <v>21</v>
      </c>
      <c r="CL801" s="3" t="s">
        <v>87</v>
      </c>
    </row>
    <row r="802" spans="1:90" x14ac:dyDescent="0.2">
      <c r="A802" s="3" t="s">
        <v>72</v>
      </c>
      <c r="B802" s="3" t="s">
        <v>73</v>
      </c>
      <c r="C802" s="3" t="s">
        <v>74</v>
      </c>
      <c r="E802" s="3" t="str">
        <f>"FES1162845136"</f>
        <v>FES1162845136</v>
      </c>
      <c r="F802" s="4">
        <v>44575</v>
      </c>
      <c r="G802" s="3">
        <v>202207</v>
      </c>
      <c r="H802" s="3" t="s">
        <v>75</v>
      </c>
      <c r="I802" s="3" t="s">
        <v>76</v>
      </c>
      <c r="J802" s="3" t="s">
        <v>77</v>
      </c>
      <c r="K802" s="3" t="s">
        <v>78</v>
      </c>
      <c r="L802" s="3" t="s">
        <v>120</v>
      </c>
      <c r="M802" s="3" t="s">
        <v>121</v>
      </c>
      <c r="N802" s="3" t="s">
        <v>1194</v>
      </c>
      <c r="O802" s="3" t="s">
        <v>82</v>
      </c>
      <c r="P802" s="3" t="str">
        <f>"2170813502                    "</f>
        <v xml:space="preserve">2170813502                    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15.46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1</v>
      </c>
      <c r="BI802" s="3">
        <v>2</v>
      </c>
      <c r="BJ802" s="3">
        <v>1</v>
      </c>
      <c r="BK802" s="3">
        <v>2</v>
      </c>
      <c r="BL802" s="3">
        <v>59</v>
      </c>
      <c r="BM802" s="3">
        <v>8.85</v>
      </c>
      <c r="BN802" s="3">
        <v>67.849999999999994</v>
      </c>
      <c r="BO802" s="3">
        <v>67.849999999999994</v>
      </c>
      <c r="BQ802" s="3" t="s">
        <v>89</v>
      </c>
      <c r="BR802" s="3" t="s">
        <v>84</v>
      </c>
      <c r="BS802" s="4">
        <v>44578</v>
      </c>
      <c r="BT802" s="5">
        <v>0.35902777777777778</v>
      </c>
      <c r="BU802" s="3" t="s">
        <v>1195</v>
      </c>
      <c r="BV802" s="3" t="s">
        <v>105</v>
      </c>
      <c r="BY802" s="3">
        <v>5130</v>
      </c>
      <c r="BZ802" s="3" t="s">
        <v>165</v>
      </c>
      <c r="CA802" s="3" t="s">
        <v>1196</v>
      </c>
      <c r="CC802" s="3" t="s">
        <v>121</v>
      </c>
      <c r="CD802" s="3">
        <v>6230</v>
      </c>
      <c r="CE802" s="3" t="s">
        <v>86</v>
      </c>
      <c r="CF802" s="4">
        <v>44579</v>
      </c>
      <c r="CI802" s="3">
        <v>1</v>
      </c>
      <c r="CJ802" s="3">
        <v>1</v>
      </c>
      <c r="CK802" s="3">
        <v>21</v>
      </c>
      <c r="CL802" s="3" t="s">
        <v>87</v>
      </c>
    </row>
    <row r="803" spans="1:90" x14ac:dyDescent="0.2">
      <c r="A803" s="3" t="s">
        <v>72</v>
      </c>
      <c r="B803" s="3" t="s">
        <v>73</v>
      </c>
      <c r="C803" s="3" t="s">
        <v>74</v>
      </c>
      <c r="E803" s="3" t="str">
        <f>"FES1162845138"</f>
        <v>FES1162845138</v>
      </c>
      <c r="F803" s="4">
        <v>44575</v>
      </c>
      <c r="G803" s="3">
        <v>202207</v>
      </c>
      <c r="H803" s="3" t="s">
        <v>75</v>
      </c>
      <c r="I803" s="3" t="s">
        <v>76</v>
      </c>
      <c r="J803" s="3" t="s">
        <v>77</v>
      </c>
      <c r="K803" s="3" t="s">
        <v>78</v>
      </c>
      <c r="L803" s="3" t="s">
        <v>187</v>
      </c>
      <c r="M803" s="3" t="s">
        <v>188</v>
      </c>
      <c r="N803" s="3" t="s">
        <v>189</v>
      </c>
      <c r="O803" s="3" t="s">
        <v>82</v>
      </c>
      <c r="P803" s="3" t="str">
        <f>"2170814807                    "</f>
        <v xml:space="preserve">2170814807                    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57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1</v>
      </c>
      <c r="BI803" s="3">
        <v>4</v>
      </c>
      <c r="BJ803" s="3">
        <v>1.4</v>
      </c>
      <c r="BK803" s="3">
        <v>4</v>
      </c>
      <c r="BL803" s="3">
        <v>217.56</v>
      </c>
      <c r="BM803" s="3">
        <v>32.630000000000003</v>
      </c>
      <c r="BN803" s="3">
        <v>250.19</v>
      </c>
      <c r="BO803" s="3">
        <v>250.19</v>
      </c>
      <c r="BQ803" s="3" t="s">
        <v>83</v>
      </c>
      <c r="BR803" s="3" t="s">
        <v>84</v>
      </c>
      <c r="BS803" s="4">
        <v>44578</v>
      </c>
      <c r="BT803" s="5">
        <v>0.55347222222222225</v>
      </c>
      <c r="BU803" s="3" t="s">
        <v>854</v>
      </c>
      <c r="BV803" s="3" t="s">
        <v>87</v>
      </c>
      <c r="BW803" s="3" t="s">
        <v>353</v>
      </c>
      <c r="BX803" s="3" t="s">
        <v>602</v>
      </c>
      <c r="BY803" s="3">
        <v>6800</v>
      </c>
      <c r="BZ803" s="3" t="s">
        <v>165</v>
      </c>
      <c r="CA803" s="3" t="s">
        <v>268</v>
      </c>
      <c r="CC803" s="3" t="s">
        <v>188</v>
      </c>
      <c r="CD803" s="3">
        <v>7300</v>
      </c>
      <c r="CE803" s="3" t="s">
        <v>86</v>
      </c>
      <c r="CF803" s="4">
        <v>44579</v>
      </c>
      <c r="CI803" s="3">
        <v>1</v>
      </c>
      <c r="CJ803" s="3">
        <v>1</v>
      </c>
      <c r="CK803" s="3">
        <v>23</v>
      </c>
      <c r="CL803" s="3" t="s">
        <v>87</v>
      </c>
    </row>
    <row r="804" spans="1:90" x14ac:dyDescent="0.2">
      <c r="A804" s="3" t="s">
        <v>72</v>
      </c>
      <c r="B804" s="3" t="s">
        <v>73</v>
      </c>
      <c r="C804" s="3" t="s">
        <v>74</v>
      </c>
      <c r="E804" s="3" t="str">
        <f>"FES1162845207"</f>
        <v>FES1162845207</v>
      </c>
      <c r="F804" s="4">
        <v>44575</v>
      </c>
      <c r="G804" s="3">
        <v>202207</v>
      </c>
      <c r="H804" s="3" t="s">
        <v>75</v>
      </c>
      <c r="I804" s="3" t="s">
        <v>76</v>
      </c>
      <c r="J804" s="3" t="s">
        <v>77</v>
      </c>
      <c r="K804" s="3" t="s">
        <v>78</v>
      </c>
      <c r="L804" s="3" t="s">
        <v>101</v>
      </c>
      <c r="M804" s="3" t="s">
        <v>102</v>
      </c>
      <c r="N804" s="3" t="s">
        <v>272</v>
      </c>
      <c r="O804" s="3" t="s">
        <v>82</v>
      </c>
      <c r="P804" s="3" t="str">
        <f>"2170816743                    "</f>
        <v xml:space="preserve">2170816743                    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15.46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1</v>
      </c>
      <c r="BI804" s="3">
        <v>1</v>
      </c>
      <c r="BJ804" s="3">
        <v>0.2</v>
      </c>
      <c r="BK804" s="3">
        <v>1</v>
      </c>
      <c r="BL804" s="3">
        <v>59</v>
      </c>
      <c r="BM804" s="3">
        <v>8.85</v>
      </c>
      <c r="BN804" s="3">
        <v>67.849999999999994</v>
      </c>
      <c r="BO804" s="3">
        <v>67.849999999999994</v>
      </c>
      <c r="BQ804" s="3" t="s">
        <v>273</v>
      </c>
      <c r="BR804" s="3" t="s">
        <v>84</v>
      </c>
      <c r="BS804" s="4">
        <v>44578</v>
      </c>
      <c r="BT804" s="5">
        <v>0.3888888888888889</v>
      </c>
      <c r="BU804" s="3" t="s">
        <v>274</v>
      </c>
      <c r="BV804" s="3" t="s">
        <v>105</v>
      </c>
      <c r="BY804" s="3">
        <v>1200</v>
      </c>
      <c r="BZ804" s="3" t="s">
        <v>165</v>
      </c>
      <c r="CA804" s="3" t="s">
        <v>275</v>
      </c>
      <c r="CC804" s="3" t="s">
        <v>102</v>
      </c>
      <c r="CD804" s="3">
        <v>4000</v>
      </c>
      <c r="CE804" s="3" t="s">
        <v>93</v>
      </c>
      <c r="CF804" s="4">
        <v>44579</v>
      </c>
      <c r="CI804" s="3">
        <v>1</v>
      </c>
      <c r="CJ804" s="3">
        <v>1</v>
      </c>
      <c r="CK804" s="3">
        <v>21</v>
      </c>
      <c r="CL804" s="3" t="s">
        <v>87</v>
      </c>
    </row>
    <row r="805" spans="1:90" x14ac:dyDescent="0.2">
      <c r="A805" s="3" t="s">
        <v>72</v>
      </c>
      <c r="B805" s="3" t="s">
        <v>73</v>
      </c>
      <c r="C805" s="3" t="s">
        <v>74</v>
      </c>
      <c r="E805" s="3" t="str">
        <f>"FES1162845178"</f>
        <v>FES1162845178</v>
      </c>
      <c r="F805" s="4">
        <v>44575</v>
      </c>
      <c r="G805" s="3">
        <v>202207</v>
      </c>
      <c r="H805" s="3" t="s">
        <v>75</v>
      </c>
      <c r="I805" s="3" t="s">
        <v>76</v>
      </c>
      <c r="J805" s="3" t="s">
        <v>77</v>
      </c>
      <c r="K805" s="3" t="s">
        <v>78</v>
      </c>
      <c r="L805" s="3" t="s">
        <v>101</v>
      </c>
      <c r="M805" s="3" t="s">
        <v>102</v>
      </c>
      <c r="N805" s="3" t="s">
        <v>272</v>
      </c>
      <c r="O805" s="3" t="s">
        <v>82</v>
      </c>
      <c r="P805" s="3" t="str">
        <f>"2170816430                    "</f>
        <v xml:space="preserve">2170816430                    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15.46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1</v>
      </c>
      <c r="BI805" s="3">
        <v>1</v>
      </c>
      <c r="BJ805" s="3">
        <v>0.2</v>
      </c>
      <c r="BK805" s="3">
        <v>1</v>
      </c>
      <c r="BL805" s="3">
        <v>59</v>
      </c>
      <c r="BM805" s="3">
        <v>8.85</v>
      </c>
      <c r="BN805" s="3">
        <v>67.849999999999994</v>
      </c>
      <c r="BO805" s="3">
        <v>67.849999999999994</v>
      </c>
      <c r="BQ805" s="3" t="s">
        <v>273</v>
      </c>
      <c r="BR805" s="3" t="s">
        <v>84</v>
      </c>
      <c r="BS805" s="4">
        <v>44578</v>
      </c>
      <c r="BT805" s="5">
        <v>0.3888888888888889</v>
      </c>
      <c r="BU805" s="3" t="s">
        <v>274</v>
      </c>
      <c r="BV805" s="3" t="s">
        <v>105</v>
      </c>
      <c r="BY805" s="3">
        <v>1200</v>
      </c>
      <c r="BZ805" s="3" t="s">
        <v>165</v>
      </c>
      <c r="CA805" s="3" t="s">
        <v>275</v>
      </c>
      <c r="CC805" s="3" t="s">
        <v>102</v>
      </c>
      <c r="CD805" s="3">
        <v>4000</v>
      </c>
      <c r="CE805" s="3" t="s">
        <v>93</v>
      </c>
      <c r="CF805" s="4">
        <v>44579</v>
      </c>
      <c r="CI805" s="3">
        <v>1</v>
      </c>
      <c r="CJ805" s="3">
        <v>1</v>
      </c>
      <c r="CK805" s="3">
        <v>21</v>
      </c>
      <c r="CL805" s="3" t="s">
        <v>87</v>
      </c>
    </row>
    <row r="806" spans="1:90" x14ac:dyDescent="0.2">
      <c r="A806" s="3" t="s">
        <v>72</v>
      </c>
      <c r="B806" s="3" t="s">
        <v>73</v>
      </c>
      <c r="C806" s="3" t="s">
        <v>74</v>
      </c>
      <c r="E806" s="3" t="str">
        <f>"FES1162845224"</f>
        <v>FES1162845224</v>
      </c>
      <c r="F806" s="4">
        <v>44575</v>
      </c>
      <c r="G806" s="3">
        <v>202207</v>
      </c>
      <c r="H806" s="3" t="s">
        <v>75</v>
      </c>
      <c r="I806" s="3" t="s">
        <v>76</v>
      </c>
      <c r="J806" s="3" t="s">
        <v>77</v>
      </c>
      <c r="K806" s="3" t="s">
        <v>78</v>
      </c>
      <c r="L806" s="3" t="s">
        <v>75</v>
      </c>
      <c r="M806" s="3" t="s">
        <v>76</v>
      </c>
      <c r="N806" s="3" t="s">
        <v>147</v>
      </c>
      <c r="O806" s="3" t="s">
        <v>82</v>
      </c>
      <c r="P806" s="3" t="str">
        <f>"2170816762                    "</f>
        <v xml:space="preserve">2170816762                    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12.07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3">
        <v>1</v>
      </c>
      <c r="BI806" s="3">
        <v>1</v>
      </c>
      <c r="BJ806" s="3">
        <v>0.2</v>
      </c>
      <c r="BK806" s="3">
        <v>1</v>
      </c>
      <c r="BL806" s="3">
        <v>46.08</v>
      </c>
      <c r="BM806" s="3">
        <v>6.91</v>
      </c>
      <c r="BN806" s="3">
        <v>52.99</v>
      </c>
      <c r="BO806" s="3">
        <v>52.99</v>
      </c>
      <c r="BQ806" s="3" t="s">
        <v>89</v>
      </c>
      <c r="BR806" s="3" t="s">
        <v>84</v>
      </c>
      <c r="BS806" s="4">
        <v>44578</v>
      </c>
      <c r="BT806" s="5">
        <v>0.39652777777777781</v>
      </c>
      <c r="BU806" s="3" t="s">
        <v>476</v>
      </c>
      <c r="BV806" s="3" t="s">
        <v>105</v>
      </c>
      <c r="BY806" s="3">
        <v>1200</v>
      </c>
      <c r="BZ806" s="3" t="s">
        <v>165</v>
      </c>
      <c r="CA806" s="3" t="s">
        <v>477</v>
      </c>
      <c r="CC806" s="3" t="s">
        <v>76</v>
      </c>
      <c r="CD806" s="3">
        <v>1645</v>
      </c>
      <c r="CE806" s="3" t="s">
        <v>93</v>
      </c>
      <c r="CF806" s="4">
        <v>44579</v>
      </c>
      <c r="CI806" s="3">
        <v>1</v>
      </c>
      <c r="CJ806" s="3">
        <v>1</v>
      </c>
      <c r="CK806" s="3">
        <v>22</v>
      </c>
      <c r="CL806" s="3" t="s">
        <v>87</v>
      </c>
    </row>
    <row r="807" spans="1:90" x14ac:dyDescent="0.2">
      <c r="A807" s="3" t="s">
        <v>72</v>
      </c>
      <c r="B807" s="3" t="s">
        <v>73</v>
      </c>
      <c r="C807" s="3" t="s">
        <v>74</v>
      </c>
      <c r="E807" s="3" t="str">
        <f>"FES1162845214"</f>
        <v>FES1162845214</v>
      </c>
      <c r="F807" s="4">
        <v>44575</v>
      </c>
      <c r="G807" s="3">
        <v>202207</v>
      </c>
      <c r="H807" s="3" t="s">
        <v>75</v>
      </c>
      <c r="I807" s="3" t="s">
        <v>76</v>
      </c>
      <c r="J807" s="3" t="s">
        <v>77</v>
      </c>
      <c r="K807" s="3" t="s">
        <v>78</v>
      </c>
      <c r="L807" s="3" t="s">
        <v>335</v>
      </c>
      <c r="M807" s="3" t="s">
        <v>336</v>
      </c>
      <c r="N807" s="3" t="s">
        <v>1197</v>
      </c>
      <c r="O807" s="3" t="s">
        <v>82</v>
      </c>
      <c r="P807" s="3" t="str">
        <f>"2170816750                    "</f>
        <v xml:space="preserve">2170816750                    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15.46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0</v>
      </c>
      <c r="BA807" s="3">
        <v>0</v>
      </c>
      <c r="BB807" s="3">
        <v>0</v>
      </c>
      <c r="BC807" s="3">
        <v>0</v>
      </c>
      <c r="BD807" s="3">
        <v>0</v>
      </c>
      <c r="BE807" s="3">
        <v>0</v>
      </c>
      <c r="BF807" s="3">
        <v>0</v>
      </c>
      <c r="BG807" s="3">
        <v>0</v>
      </c>
      <c r="BH807" s="3">
        <v>1</v>
      </c>
      <c r="BI807" s="3">
        <v>1</v>
      </c>
      <c r="BJ807" s="3">
        <v>0.2</v>
      </c>
      <c r="BK807" s="3">
        <v>1</v>
      </c>
      <c r="BL807" s="3">
        <v>59</v>
      </c>
      <c r="BM807" s="3">
        <v>8.85</v>
      </c>
      <c r="BN807" s="3">
        <v>67.849999999999994</v>
      </c>
      <c r="BO807" s="3">
        <v>67.849999999999994</v>
      </c>
      <c r="BR807" s="3" t="s">
        <v>84</v>
      </c>
      <c r="BS807" s="4">
        <v>44578</v>
      </c>
      <c r="BT807" s="5">
        <v>0.4055555555555555</v>
      </c>
      <c r="BU807" s="3" t="s">
        <v>1198</v>
      </c>
      <c r="BV807" s="3" t="s">
        <v>105</v>
      </c>
      <c r="BY807" s="3">
        <v>1200</v>
      </c>
      <c r="BZ807" s="3" t="s">
        <v>165</v>
      </c>
      <c r="CA807" s="3" t="s">
        <v>528</v>
      </c>
      <c r="CC807" s="3" t="s">
        <v>336</v>
      </c>
      <c r="CD807" s="3">
        <v>4133</v>
      </c>
      <c r="CE807" s="3" t="s">
        <v>93</v>
      </c>
      <c r="CF807" s="4">
        <v>44579</v>
      </c>
      <c r="CI807" s="3">
        <v>1</v>
      </c>
      <c r="CJ807" s="3">
        <v>1</v>
      </c>
      <c r="CK807" s="3">
        <v>21</v>
      </c>
      <c r="CL807" s="3" t="s">
        <v>87</v>
      </c>
    </row>
    <row r="808" spans="1:90" x14ac:dyDescent="0.2">
      <c r="A808" s="3" t="s">
        <v>72</v>
      </c>
      <c r="B808" s="3" t="s">
        <v>73</v>
      </c>
      <c r="C808" s="3" t="s">
        <v>74</v>
      </c>
      <c r="E808" s="3" t="str">
        <f>"FES1162845170"</f>
        <v>FES1162845170</v>
      </c>
      <c r="F808" s="4">
        <v>44575</v>
      </c>
      <c r="G808" s="3">
        <v>202207</v>
      </c>
      <c r="H808" s="3" t="s">
        <v>75</v>
      </c>
      <c r="I808" s="3" t="s">
        <v>76</v>
      </c>
      <c r="J808" s="3" t="s">
        <v>77</v>
      </c>
      <c r="K808" s="3" t="s">
        <v>78</v>
      </c>
      <c r="L808" s="3" t="s">
        <v>90</v>
      </c>
      <c r="M808" s="3" t="s">
        <v>91</v>
      </c>
      <c r="N808" s="3" t="s">
        <v>132</v>
      </c>
      <c r="O808" s="3" t="s">
        <v>82</v>
      </c>
      <c r="P808" s="3" t="str">
        <f>"2170815520                    "</f>
        <v xml:space="preserve">2170815520                    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15.46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3">
        <v>1</v>
      </c>
      <c r="BI808" s="3">
        <v>1</v>
      </c>
      <c r="BJ808" s="3">
        <v>0.2</v>
      </c>
      <c r="BK808" s="3">
        <v>1</v>
      </c>
      <c r="BL808" s="3">
        <v>59</v>
      </c>
      <c r="BM808" s="3">
        <v>8.85</v>
      </c>
      <c r="BN808" s="3">
        <v>67.849999999999994</v>
      </c>
      <c r="BO808" s="3">
        <v>67.849999999999994</v>
      </c>
      <c r="BQ808" s="3" t="s">
        <v>83</v>
      </c>
      <c r="BR808" s="3" t="s">
        <v>84</v>
      </c>
      <c r="BS808" s="4">
        <v>44578</v>
      </c>
      <c r="BT808" s="5">
        <v>0.4236111111111111</v>
      </c>
      <c r="BU808" s="3" t="s">
        <v>595</v>
      </c>
      <c r="BV808" s="3" t="s">
        <v>105</v>
      </c>
      <c r="BY808" s="3">
        <v>1200</v>
      </c>
      <c r="BZ808" s="3" t="s">
        <v>165</v>
      </c>
      <c r="CA808" s="3" t="s">
        <v>596</v>
      </c>
      <c r="CC808" s="3" t="s">
        <v>91</v>
      </c>
      <c r="CD808" s="3">
        <v>7530</v>
      </c>
      <c r="CE808" s="3" t="s">
        <v>93</v>
      </c>
      <c r="CF808" s="4">
        <v>44579</v>
      </c>
      <c r="CI808" s="3">
        <v>1</v>
      </c>
      <c r="CJ808" s="3">
        <v>1</v>
      </c>
      <c r="CK808" s="3">
        <v>21</v>
      </c>
      <c r="CL808" s="3" t="s">
        <v>87</v>
      </c>
    </row>
    <row r="809" spans="1:90" x14ac:dyDescent="0.2">
      <c r="A809" s="3" t="s">
        <v>72</v>
      </c>
      <c r="B809" s="3" t="s">
        <v>73</v>
      </c>
      <c r="C809" s="3" t="s">
        <v>74</v>
      </c>
      <c r="E809" s="3" t="str">
        <f>"FES1162845244"</f>
        <v>FES1162845244</v>
      </c>
      <c r="F809" s="4">
        <v>44575</v>
      </c>
      <c r="G809" s="3">
        <v>202207</v>
      </c>
      <c r="H809" s="3" t="s">
        <v>75</v>
      </c>
      <c r="I809" s="3" t="s">
        <v>76</v>
      </c>
      <c r="J809" s="3" t="s">
        <v>77</v>
      </c>
      <c r="K809" s="3" t="s">
        <v>78</v>
      </c>
      <c r="L809" s="3" t="s">
        <v>138</v>
      </c>
      <c r="M809" s="3" t="s">
        <v>139</v>
      </c>
      <c r="N809" s="3" t="s">
        <v>1199</v>
      </c>
      <c r="O809" s="3" t="s">
        <v>82</v>
      </c>
      <c r="P809" s="3" t="str">
        <f>"2170816792                    "</f>
        <v xml:space="preserve">2170816792                    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15.46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1</v>
      </c>
      <c r="BI809" s="3">
        <v>1</v>
      </c>
      <c r="BJ809" s="3">
        <v>0.2</v>
      </c>
      <c r="BK809" s="3">
        <v>1</v>
      </c>
      <c r="BL809" s="3">
        <v>59</v>
      </c>
      <c r="BM809" s="3">
        <v>8.85</v>
      </c>
      <c r="BN809" s="3">
        <v>67.849999999999994</v>
      </c>
      <c r="BO809" s="3">
        <v>67.849999999999994</v>
      </c>
      <c r="BQ809" s="3" t="s">
        <v>83</v>
      </c>
      <c r="BR809" s="3" t="s">
        <v>84</v>
      </c>
      <c r="BS809" s="4">
        <v>44578</v>
      </c>
      <c r="BT809" s="5">
        <v>0.43124999999999997</v>
      </c>
      <c r="BU809" s="3" t="s">
        <v>690</v>
      </c>
      <c r="BV809" s="3" t="s">
        <v>105</v>
      </c>
      <c r="BY809" s="3">
        <v>1200</v>
      </c>
      <c r="BZ809" s="3" t="s">
        <v>165</v>
      </c>
      <c r="CA809" s="3" t="s">
        <v>303</v>
      </c>
      <c r="CC809" s="3" t="s">
        <v>139</v>
      </c>
      <c r="CD809" s="3">
        <v>3610</v>
      </c>
      <c r="CE809" s="3" t="s">
        <v>93</v>
      </c>
      <c r="CF809" s="4">
        <v>44579</v>
      </c>
      <c r="CI809" s="3">
        <v>1</v>
      </c>
      <c r="CJ809" s="3">
        <v>1</v>
      </c>
      <c r="CK809" s="3">
        <v>21</v>
      </c>
      <c r="CL809" s="3" t="s">
        <v>87</v>
      </c>
    </row>
    <row r="810" spans="1:90" x14ac:dyDescent="0.2">
      <c r="A810" s="3" t="s">
        <v>72</v>
      </c>
      <c r="B810" s="3" t="s">
        <v>73</v>
      </c>
      <c r="C810" s="3" t="s">
        <v>74</v>
      </c>
      <c r="E810" s="3" t="str">
        <f>"FES1162845236"</f>
        <v>FES1162845236</v>
      </c>
      <c r="F810" s="4">
        <v>44575</v>
      </c>
      <c r="G810" s="3">
        <v>202207</v>
      </c>
      <c r="H810" s="3" t="s">
        <v>75</v>
      </c>
      <c r="I810" s="3" t="s">
        <v>76</v>
      </c>
      <c r="J810" s="3" t="s">
        <v>77</v>
      </c>
      <c r="K810" s="3" t="s">
        <v>78</v>
      </c>
      <c r="L810" s="3" t="s">
        <v>90</v>
      </c>
      <c r="M810" s="3" t="s">
        <v>91</v>
      </c>
      <c r="N810" s="3" t="s">
        <v>749</v>
      </c>
      <c r="O810" s="3" t="s">
        <v>82</v>
      </c>
      <c r="P810" s="3" t="str">
        <f>"2170816777                    "</f>
        <v xml:space="preserve">2170816777                    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15.46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1</v>
      </c>
      <c r="BI810" s="3">
        <v>1</v>
      </c>
      <c r="BJ810" s="3">
        <v>0.2</v>
      </c>
      <c r="BK810" s="3">
        <v>1</v>
      </c>
      <c r="BL810" s="3">
        <v>59</v>
      </c>
      <c r="BM810" s="3">
        <v>8.85</v>
      </c>
      <c r="BN810" s="3">
        <v>67.849999999999994</v>
      </c>
      <c r="BO810" s="3">
        <v>67.849999999999994</v>
      </c>
      <c r="BQ810" s="3" t="s">
        <v>1110</v>
      </c>
      <c r="BR810" s="3" t="s">
        <v>84</v>
      </c>
      <c r="BS810" s="4">
        <v>44578</v>
      </c>
      <c r="BT810" s="5">
        <v>0.39374999999999999</v>
      </c>
      <c r="BU810" s="3" t="s">
        <v>1111</v>
      </c>
      <c r="BV810" s="3" t="s">
        <v>105</v>
      </c>
      <c r="BY810" s="3">
        <v>1200</v>
      </c>
      <c r="BZ810" s="3" t="s">
        <v>165</v>
      </c>
      <c r="CA810" s="3" t="s">
        <v>1112</v>
      </c>
      <c r="CC810" s="3" t="s">
        <v>91</v>
      </c>
      <c r="CD810" s="3">
        <v>7405</v>
      </c>
      <c r="CE810" s="3" t="s">
        <v>93</v>
      </c>
      <c r="CF810" s="4">
        <v>44579</v>
      </c>
      <c r="CI810" s="3">
        <v>1</v>
      </c>
      <c r="CJ810" s="3">
        <v>1</v>
      </c>
      <c r="CK810" s="3">
        <v>21</v>
      </c>
      <c r="CL810" s="3" t="s">
        <v>87</v>
      </c>
    </row>
    <row r="811" spans="1:90" x14ac:dyDescent="0.2">
      <c r="A811" s="3" t="s">
        <v>72</v>
      </c>
      <c r="B811" s="3" t="s">
        <v>73</v>
      </c>
      <c r="C811" s="3" t="s">
        <v>74</v>
      </c>
      <c r="E811" s="3" t="str">
        <f>"FES1162845201"</f>
        <v>FES1162845201</v>
      </c>
      <c r="F811" s="4">
        <v>44575</v>
      </c>
      <c r="G811" s="3">
        <v>202207</v>
      </c>
      <c r="H811" s="3" t="s">
        <v>75</v>
      </c>
      <c r="I811" s="3" t="s">
        <v>76</v>
      </c>
      <c r="J811" s="3" t="s">
        <v>77</v>
      </c>
      <c r="K811" s="3" t="s">
        <v>78</v>
      </c>
      <c r="L811" s="3" t="s">
        <v>211</v>
      </c>
      <c r="M811" s="3" t="s">
        <v>212</v>
      </c>
      <c r="N811" s="3" t="s">
        <v>642</v>
      </c>
      <c r="O811" s="3" t="s">
        <v>148</v>
      </c>
      <c r="P811" s="3" t="str">
        <f>"2170816739                    "</f>
        <v xml:space="preserve">2170816739                    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30.48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1</v>
      </c>
      <c r="BI811" s="3">
        <v>26</v>
      </c>
      <c r="BJ811" s="3">
        <v>9.1</v>
      </c>
      <c r="BK811" s="3">
        <v>26</v>
      </c>
      <c r="BL811" s="3">
        <v>121.6</v>
      </c>
      <c r="BM811" s="3">
        <v>18.239999999999998</v>
      </c>
      <c r="BN811" s="3">
        <v>139.84</v>
      </c>
      <c r="BO811" s="3">
        <v>139.84</v>
      </c>
      <c r="BQ811" s="3" t="s">
        <v>89</v>
      </c>
      <c r="BR811" s="3" t="s">
        <v>84</v>
      </c>
      <c r="BS811" s="4">
        <v>44578</v>
      </c>
      <c r="BT811" s="5">
        <v>0.375</v>
      </c>
      <c r="BU811" s="3" t="s">
        <v>1200</v>
      </c>
      <c r="BV811" s="3" t="s">
        <v>105</v>
      </c>
      <c r="BY811" s="3">
        <v>45632</v>
      </c>
      <c r="BZ811" s="3" t="s">
        <v>327</v>
      </c>
      <c r="CA811" s="3" t="s">
        <v>345</v>
      </c>
      <c r="CC811" s="3" t="s">
        <v>212</v>
      </c>
      <c r="CD811" s="3">
        <v>2163</v>
      </c>
      <c r="CE811" s="3" t="s">
        <v>86</v>
      </c>
      <c r="CF811" s="4">
        <v>44578</v>
      </c>
      <c r="CI811" s="3">
        <v>1</v>
      </c>
      <c r="CJ811" s="3">
        <v>1</v>
      </c>
      <c r="CK811" s="3">
        <v>42</v>
      </c>
      <c r="CL811" s="3" t="s">
        <v>87</v>
      </c>
    </row>
    <row r="812" spans="1:90" x14ac:dyDescent="0.2">
      <c r="A812" s="3" t="s">
        <v>72</v>
      </c>
      <c r="B812" s="3" t="s">
        <v>73</v>
      </c>
      <c r="C812" s="3" t="s">
        <v>74</v>
      </c>
      <c r="E812" s="3" t="str">
        <f>"FES1162845211"</f>
        <v>FES1162845211</v>
      </c>
      <c r="F812" s="4">
        <v>44575</v>
      </c>
      <c r="G812" s="3">
        <v>202207</v>
      </c>
      <c r="H812" s="3" t="s">
        <v>75</v>
      </c>
      <c r="I812" s="3" t="s">
        <v>76</v>
      </c>
      <c r="J812" s="3" t="s">
        <v>77</v>
      </c>
      <c r="K812" s="3" t="s">
        <v>78</v>
      </c>
      <c r="L812" s="3" t="s">
        <v>1201</v>
      </c>
      <c r="M812" s="3" t="s">
        <v>1202</v>
      </c>
      <c r="N812" s="3" t="s">
        <v>321</v>
      </c>
      <c r="O812" s="3" t="s">
        <v>82</v>
      </c>
      <c r="P812" s="3" t="str">
        <f>"2170816745                    "</f>
        <v xml:space="preserve">2170816745                    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84.05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0</v>
      </c>
      <c r="AZ812" s="3">
        <v>0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1</v>
      </c>
      <c r="BI812" s="3">
        <v>6</v>
      </c>
      <c r="BJ812" s="3">
        <v>4.4000000000000004</v>
      </c>
      <c r="BK812" s="3">
        <v>6</v>
      </c>
      <c r="BL812" s="3">
        <v>320.81</v>
      </c>
      <c r="BM812" s="3">
        <v>48.12</v>
      </c>
      <c r="BN812" s="3">
        <v>368.93</v>
      </c>
      <c r="BO812" s="3">
        <v>368.93</v>
      </c>
      <c r="BQ812" s="3" t="s">
        <v>83</v>
      </c>
      <c r="BR812" s="3" t="s">
        <v>84</v>
      </c>
      <c r="BS812" s="4">
        <v>44578</v>
      </c>
      <c r="BT812" s="5">
        <v>0.50972222222222219</v>
      </c>
      <c r="BU812" s="3" t="s">
        <v>1203</v>
      </c>
      <c r="BV812" s="3" t="s">
        <v>105</v>
      </c>
      <c r="BY812" s="3">
        <v>21904</v>
      </c>
      <c r="BZ812" s="3" t="s">
        <v>165</v>
      </c>
      <c r="CA812" s="3" t="s">
        <v>1204</v>
      </c>
      <c r="CC812" s="3" t="s">
        <v>1202</v>
      </c>
      <c r="CD812" s="3">
        <v>9880</v>
      </c>
      <c r="CE812" s="3" t="s">
        <v>86</v>
      </c>
      <c r="CF812" s="4">
        <v>44579</v>
      </c>
      <c r="CI812" s="3">
        <v>1</v>
      </c>
      <c r="CJ812" s="3">
        <v>1</v>
      </c>
      <c r="CK812" s="3">
        <v>23</v>
      </c>
      <c r="CL812" s="3" t="s">
        <v>87</v>
      </c>
    </row>
    <row r="813" spans="1:90" x14ac:dyDescent="0.2">
      <c r="A813" s="3" t="s">
        <v>72</v>
      </c>
      <c r="B813" s="3" t="s">
        <v>73</v>
      </c>
      <c r="C813" s="3" t="s">
        <v>74</v>
      </c>
      <c r="E813" s="3" t="str">
        <f>"FES1162845208"</f>
        <v>FES1162845208</v>
      </c>
      <c r="F813" s="4">
        <v>44575</v>
      </c>
      <c r="G813" s="3">
        <v>202207</v>
      </c>
      <c r="H813" s="3" t="s">
        <v>75</v>
      </c>
      <c r="I813" s="3" t="s">
        <v>76</v>
      </c>
      <c r="J813" s="3" t="s">
        <v>77</v>
      </c>
      <c r="K813" s="3" t="s">
        <v>78</v>
      </c>
      <c r="L813" s="3" t="s">
        <v>90</v>
      </c>
      <c r="M813" s="3" t="s">
        <v>91</v>
      </c>
      <c r="N813" s="3" t="s">
        <v>114</v>
      </c>
      <c r="O813" s="3" t="s">
        <v>82</v>
      </c>
      <c r="P813" s="3" t="str">
        <f>"2170816744                    "</f>
        <v xml:space="preserve">2170816744                    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61.81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3">
        <v>1</v>
      </c>
      <c r="BI813" s="3">
        <v>8</v>
      </c>
      <c r="BJ813" s="3">
        <v>4.0999999999999996</v>
      </c>
      <c r="BK813" s="3">
        <v>8</v>
      </c>
      <c r="BL813" s="3">
        <v>235.91</v>
      </c>
      <c r="BM813" s="3">
        <v>35.39</v>
      </c>
      <c r="BN813" s="3">
        <v>271.3</v>
      </c>
      <c r="BO813" s="3">
        <v>271.3</v>
      </c>
      <c r="BQ813" s="3" t="s">
        <v>89</v>
      </c>
      <c r="BR813" s="3" t="s">
        <v>84</v>
      </c>
      <c r="BS813" s="4">
        <v>44578</v>
      </c>
      <c r="BT813" s="5">
        <v>0.37222222222222223</v>
      </c>
      <c r="BU813" s="3" t="s">
        <v>1205</v>
      </c>
      <c r="BV813" s="3" t="s">
        <v>105</v>
      </c>
      <c r="BY813" s="3">
        <v>20358</v>
      </c>
      <c r="BZ813" s="3" t="s">
        <v>165</v>
      </c>
      <c r="CA813" s="3" t="s">
        <v>289</v>
      </c>
      <c r="CC813" s="3" t="s">
        <v>91</v>
      </c>
      <c r="CD813" s="3">
        <v>7441</v>
      </c>
      <c r="CE813" s="3" t="s">
        <v>86</v>
      </c>
      <c r="CF813" s="4">
        <v>44579</v>
      </c>
      <c r="CI813" s="3">
        <v>1</v>
      </c>
      <c r="CJ813" s="3">
        <v>1</v>
      </c>
      <c r="CK813" s="3">
        <v>21</v>
      </c>
      <c r="CL813" s="3" t="s">
        <v>87</v>
      </c>
    </row>
    <row r="814" spans="1:90" x14ac:dyDescent="0.2">
      <c r="A814" s="3" t="s">
        <v>72</v>
      </c>
      <c r="B814" s="3" t="s">
        <v>73</v>
      </c>
      <c r="C814" s="3" t="s">
        <v>74</v>
      </c>
      <c r="E814" s="3" t="str">
        <f>"FES1162845152"</f>
        <v>FES1162845152</v>
      </c>
      <c r="F814" s="4">
        <v>44575</v>
      </c>
      <c r="G814" s="3">
        <v>202207</v>
      </c>
      <c r="H814" s="3" t="s">
        <v>75</v>
      </c>
      <c r="I814" s="3" t="s">
        <v>76</v>
      </c>
      <c r="J814" s="3" t="s">
        <v>77</v>
      </c>
      <c r="K814" s="3" t="s">
        <v>78</v>
      </c>
      <c r="L814" s="3" t="s">
        <v>101</v>
      </c>
      <c r="M814" s="3" t="s">
        <v>102</v>
      </c>
      <c r="N814" s="3" t="s">
        <v>1206</v>
      </c>
      <c r="O814" s="3" t="s">
        <v>82</v>
      </c>
      <c r="P814" s="3" t="str">
        <f>"2170815360                    "</f>
        <v xml:space="preserve">2170815360                    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15.46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1</v>
      </c>
      <c r="BI814" s="3">
        <v>2</v>
      </c>
      <c r="BJ814" s="3">
        <v>1.1000000000000001</v>
      </c>
      <c r="BK814" s="3">
        <v>2</v>
      </c>
      <c r="BL814" s="3">
        <v>59</v>
      </c>
      <c r="BM814" s="3">
        <v>8.85</v>
      </c>
      <c r="BN814" s="3">
        <v>67.849999999999994</v>
      </c>
      <c r="BO814" s="3">
        <v>67.849999999999994</v>
      </c>
      <c r="BR814" s="3" t="s">
        <v>84</v>
      </c>
      <c r="BS814" s="4">
        <v>44578</v>
      </c>
      <c r="BT814" s="5">
        <v>0.40069444444444446</v>
      </c>
      <c r="BU814" s="3" t="s">
        <v>1207</v>
      </c>
      <c r="BV814" s="3" t="s">
        <v>105</v>
      </c>
      <c r="BY814" s="3">
        <v>5320</v>
      </c>
      <c r="BZ814" s="3" t="s">
        <v>165</v>
      </c>
      <c r="CA814" s="3" t="s">
        <v>303</v>
      </c>
      <c r="CC814" s="3" t="s">
        <v>102</v>
      </c>
      <c r="CD814" s="3">
        <v>4000</v>
      </c>
      <c r="CE814" s="3" t="s">
        <v>86</v>
      </c>
      <c r="CF814" s="4">
        <v>44579</v>
      </c>
      <c r="CI814" s="3">
        <v>1</v>
      </c>
      <c r="CJ814" s="3">
        <v>1</v>
      </c>
      <c r="CK814" s="3">
        <v>21</v>
      </c>
      <c r="CL814" s="3" t="s">
        <v>87</v>
      </c>
    </row>
    <row r="815" spans="1:90" x14ac:dyDescent="0.2">
      <c r="A815" s="3" t="s">
        <v>72</v>
      </c>
      <c r="B815" s="3" t="s">
        <v>73</v>
      </c>
      <c r="C815" s="3" t="s">
        <v>74</v>
      </c>
      <c r="E815" s="3" t="str">
        <f>"FES1162845162"</f>
        <v>FES1162845162</v>
      </c>
      <c r="F815" s="4">
        <v>44575</v>
      </c>
      <c r="G815" s="3">
        <v>202207</v>
      </c>
      <c r="H815" s="3" t="s">
        <v>75</v>
      </c>
      <c r="I815" s="3" t="s">
        <v>76</v>
      </c>
      <c r="J815" s="3" t="s">
        <v>77</v>
      </c>
      <c r="K815" s="3" t="s">
        <v>78</v>
      </c>
      <c r="L815" s="3" t="s">
        <v>250</v>
      </c>
      <c r="M815" s="3" t="s">
        <v>251</v>
      </c>
      <c r="N815" s="3" t="s">
        <v>252</v>
      </c>
      <c r="O815" s="3" t="s">
        <v>148</v>
      </c>
      <c r="P815" s="3" t="str">
        <f>"2170815435                    "</f>
        <v xml:space="preserve">2170815435                    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50.78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1</v>
      </c>
      <c r="BI815" s="3">
        <v>7</v>
      </c>
      <c r="BJ815" s="3">
        <v>18.3</v>
      </c>
      <c r="BK815" s="3">
        <v>19</v>
      </c>
      <c r="BL815" s="3">
        <v>199.06</v>
      </c>
      <c r="BM815" s="3">
        <v>29.86</v>
      </c>
      <c r="BN815" s="3">
        <v>228.92</v>
      </c>
      <c r="BO815" s="3">
        <v>228.92</v>
      </c>
      <c r="BQ815" s="3" t="s">
        <v>253</v>
      </c>
      <c r="BR815" s="3" t="s">
        <v>84</v>
      </c>
      <c r="BS815" s="4">
        <v>44578</v>
      </c>
      <c r="BT815" s="5">
        <v>0.6743055555555556</v>
      </c>
      <c r="BU815" s="3" t="s">
        <v>1176</v>
      </c>
      <c r="BV815" s="3" t="s">
        <v>105</v>
      </c>
      <c r="BY815" s="3">
        <v>91264</v>
      </c>
      <c r="BZ815" s="3" t="s">
        <v>327</v>
      </c>
      <c r="CA815" s="3" t="s">
        <v>368</v>
      </c>
      <c r="CC815" s="3" t="s">
        <v>251</v>
      </c>
      <c r="CD815" s="3">
        <v>6300</v>
      </c>
      <c r="CE815" s="3" t="s">
        <v>86</v>
      </c>
      <c r="CF815" s="4">
        <v>44579</v>
      </c>
      <c r="CI815" s="3">
        <v>3</v>
      </c>
      <c r="CJ815" s="3">
        <v>1</v>
      </c>
      <c r="CK815" s="3">
        <v>43</v>
      </c>
      <c r="CL815" s="3" t="s">
        <v>87</v>
      </c>
    </row>
    <row r="816" spans="1:90" x14ac:dyDescent="0.2">
      <c r="A816" s="3" t="s">
        <v>72</v>
      </c>
      <c r="B816" s="3" t="s">
        <v>73</v>
      </c>
      <c r="C816" s="3" t="s">
        <v>74</v>
      </c>
      <c r="E816" s="3" t="str">
        <f>"FES1162845167"</f>
        <v>FES1162845167</v>
      </c>
      <c r="F816" s="4">
        <v>44575</v>
      </c>
      <c r="G816" s="3">
        <v>202207</v>
      </c>
      <c r="H816" s="3" t="s">
        <v>75</v>
      </c>
      <c r="I816" s="3" t="s">
        <v>76</v>
      </c>
      <c r="J816" s="3" t="s">
        <v>77</v>
      </c>
      <c r="K816" s="3" t="s">
        <v>78</v>
      </c>
      <c r="L816" s="3" t="s">
        <v>176</v>
      </c>
      <c r="M816" s="3" t="s">
        <v>177</v>
      </c>
      <c r="N816" s="3" t="s">
        <v>178</v>
      </c>
      <c r="O816" s="3" t="s">
        <v>82</v>
      </c>
      <c r="P816" s="3" t="str">
        <f>"2170815458                    "</f>
        <v xml:space="preserve">2170815458                    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15.46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1</v>
      </c>
      <c r="BI816" s="3">
        <v>2</v>
      </c>
      <c r="BJ816" s="3">
        <v>1.1000000000000001</v>
      </c>
      <c r="BK816" s="3">
        <v>2</v>
      </c>
      <c r="BL816" s="3">
        <v>59</v>
      </c>
      <c r="BM816" s="3">
        <v>8.85</v>
      </c>
      <c r="BN816" s="3">
        <v>67.849999999999994</v>
      </c>
      <c r="BO816" s="3">
        <v>67.849999999999994</v>
      </c>
      <c r="BQ816" s="3" t="s">
        <v>83</v>
      </c>
      <c r="BR816" s="3" t="s">
        <v>84</v>
      </c>
      <c r="BS816" s="4">
        <v>44578</v>
      </c>
      <c r="BT816" s="5">
        <v>0.41805555555555557</v>
      </c>
      <c r="BU816" s="3" t="s">
        <v>1135</v>
      </c>
      <c r="BV816" s="3" t="s">
        <v>105</v>
      </c>
      <c r="BY816" s="3">
        <v>5320</v>
      </c>
      <c r="BZ816" s="3" t="s">
        <v>165</v>
      </c>
      <c r="CA816" s="3" t="s">
        <v>1040</v>
      </c>
      <c r="CC816" s="3" t="s">
        <v>177</v>
      </c>
      <c r="CD816" s="3">
        <v>4026</v>
      </c>
      <c r="CE816" s="3" t="s">
        <v>86</v>
      </c>
      <c r="CF816" s="4">
        <v>44579</v>
      </c>
      <c r="CI816" s="3">
        <v>1</v>
      </c>
      <c r="CJ816" s="3">
        <v>1</v>
      </c>
      <c r="CK816" s="3">
        <v>21</v>
      </c>
      <c r="CL816" s="3" t="s">
        <v>87</v>
      </c>
    </row>
    <row r="817" spans="1:90" x14ac:dyDescent="0.2">
      <c r="A817" s="3" t="s">
        <v>72</v>
      </c>
      <c r="B817" s="3" t="s">
        <v>73</v>
      </c>
      <c r="C817" s="3" t="s">
        <v>74</v>
      </c>
      <c r="E817" s="3" t="str">
        <f>"FES1162845135"</f>
        <v>FES1162845135</v>
      </c>
      <c r="F817" s="4">
        <v>44575</v>
      </c>
      <c r="G817" s="3">
        <v>202207</v>
      </c>
      <c r="H817" s="3" t="s">
        <v>75</v>
      </c>
      <c r="I817" s="3" t="s">
        <v>76</v>
      </c>
      <c r="J817" s="3" t="s">
        <v>77</v>
      </c>
      <c r="K817" s="3" t="s">
        <v>78</v>
      </c>
      <c r="L817" s="3" t="s">
        <v>107</v>
      </c>
      <c r="M817" s="3" t="s">
        <v>108</v>
      </c>
      <c r="N817" s="3" t="s">
        <v>392</v>
      </c>
      <c r="O817" s="3" t="s">
        <v>82</v>
      </c>
      <c r="P817" s="3" t="str">
        <f>"2170813193                    "</f>
        <v xml:space="preserve">2170813193                    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43.47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1</v>
      </c>
      <c r="BI817" s="3">
        <v>3</v>
      </c>
      <c r="BJ817" s="3">
        <v>1.1000000000000001</v>
      </c>
      <c r="BK817" s="3">
        <v>3</v>
      </c>
      <c r="BL817" s="3">
        <v>165.93</v>
      </c>
      <c r="BM817" s="3">
        <v>24.89</v>
      </c>
      <c r="BN817" s="3">
        <v>190.82</v>
      </c>
      <c r="BO817" s="3">
        <v>190.82</v>
      </c>
      <c r="BQ817" s="3" t="s">
        <v>83</v>
      </c>
      <c r="BR817" s="3" t="s">
        <v>84</v>
      </c>
      <c r="BS817" s="4">
        <v>44578</v>
      </c>
      <c r="BT817" s="5">
        <v>0.49027777777777781</v>
      </c>
      <c r="BU817" s="3" t="s">
        <v>592</v>
      </c>
      <c r="BV817" s="3" t="s">
        <v>105</v>
      </c>
      <c r="BY817" s="3">
        <v>5320</v>
      </c>
      <c r="BZ817" s="3" t="s">
        <v>165</v>
      </c>
      <c r="CA817" s="3" t="s">
        <v>394</v>
      </c>
      <c r="CC817" s="3" t="s">
        <v>108</v>
      </c>
      <c r="CD817" s="3">
        <v>6849</v>
      </c>
      <c r="CE817" s="3" t="s">
        <v>86</v>
      </c>
      <c r="CF817" s="4">
        <v>44579</v>
      </c>
      <c r="CI817" s="3">
        <v>2</v>
      </c>
      <c r="CJ817" s="3">
        <v>1</v>
      </c>
      <c r="CK817" s="3">
        <v>23</v>
      </c>
      <c r="CL817" s="3" t="s">
        <v>87</v>
      </c>
    </row>
    <row r="818" spans="1:90" x14ac:dyDescent="0.2">
      <c r="A818" s="3" t="s">
        <v>72</v>
      </c>
      <c r="B818" s="3" t="s">
        <v>73</v>
      </c>
      <c r="C818" s="3" t="s">
        <v>74</v>
      </c>
      <c r="E818" s="3" t="str">
        <f>"FES1162845134"</f>
        <v>FES1162845134</v>
      </c>
      <c r="F818" s="4">
        <v>44575</v>
      </c>
      <c r="G818" s="3">
        <v>202207</v>
      </c>
      <c r="H818" s="3" t="s">
        <v>75</v>
      </c>
      <c r="I818" s="3" t="s">
        <v>76</v>
      </c>
      <c r="J818" s="3" t="s">
        <v>77</v>
      </c>
      <c r="K818" s="3" t="s">
        <v>78</v>
      </c>
      <c r="L818" s="3" t="s">
        <v>79</v>
      </c>
      <c r="M818" s="3" t="s">
        <v>80</v>
      </c>
      <c r="N818" s="3" t="s">
        <v>740</v>
      </c>
      <c r="O818" s="3" t="s">
        <v>82</v>
      </c>
      <c r="P818" s="3" t="str">
        <f>"2170813031                    "</f>
        <v xml:space="preserve">2170813031                    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15.46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1</v>
      </c>
      <c r="BI818" s="3">
        <v>2</v>
      </c>
      <c r="BJ818" s="3">
        <v>0.9</v>
      </c>
      <c r="BK818" s="3">
        <v>2</v>
      </c>
      <c r="BL818" s="3">
        <v>59</v>
      </c>
      <c r="BM818" s="3">
        <v>8.85</v>
      </c>
      <c r="BN818" s="3">
        <v>67.849999999999994</v>
      </c>
      <c r="BO818" s="3">
        <v>67.849999999999994</v>
      </c>
      <c r="BQ818" s="3" t="s">
        <v>126</v>
      </c>
      <c r="BR818" s="3" t="s">
        <v>84</v>
      </c>
      <c r="BS818" s="4">
        <v>44578</v>
      </c>
      <c r="BT818" s="5">
        <v>0.40277777777777773</v>
      </c>
      <c r="BU818" s="3" t="s">
        <v>741</v>
      </c>
      <c r="BV818" s="3" t="s">
        <v>105</v>
      </c>
      <c r="BY818" s="3">
        <v>4275</v>
      </c>
      <c r="BZ818" s="3" t="s">
        <v>165</v>
      </c>
      <c r="CA818" s="3" t="s">
        <v>742</v>
      </c>
      <c r="CC818" s="3" t="s">
        <v>80</v>
      </c>
      <c r="CD818" s="3">
        <v>200</v>
      </c>
      <c r="CE818" s="3" t="s">
        <v>86</v>
      </c>
      <c r="CF818" s="4">
        <v>44578</v>
      </c>
      <c r="CI818" s="3">
        <v>1</v>
      </c>
      <c r="CJ818" s="3">
        <v>1</v>
      </c>
      <c r="CK818" s="3">
        <v>21</v>
      </c>
      <c r="CL818" s="3" t="s">
        <v>87</v>
      </c>
    </row>
    <row r="819" spans="1:90" x14ac:dyDescent="0.2">
      <c r="A819" s="3" t="s">
        <v>72</v>
      </c>
      <c r="B819" s="3" t="s">
        <v>73</v>
      </c>
      <c r="C819" s="3" t="s">
        <v>74</v>
      </c>
      <c r="E819" s="3" t="str">
        <f>"FES1162845147"</f>
        <v>FES1162845147</v>
      </c>
      <c r="F819" s="4">
        <v>44575</v>
      </c>
      <c r="G819" s="3">
        <v>202207</v>
      </c>
      <c r="H819" s="3" t="s">
        <v>75</v>
      </c>
      <c r="I819" s="3" t="s">
        <v>76</v>
      </c>
      <c r="J819" s="3" t="s">
        <v>77</v>
      </c>
      <c r="K819" s="3" t="s">
        <v>78</v>
      </c>
      <c r="L819" s="3" t="s">
        <v>184</v>
      </c>
      <c r="M819" s="3" t="s">
        <v>185</v>
      </c>
      <c r="N819" s="3" t="s">
        <v>503</v>
      </c>
      <c r="O819" s="3" t="s">
        <v>82</v>
      </c>
      <c r="P819" s="3" t="str">
        <f>"2170815316                    "</f>
        <v xml:space="preserve">2170815316                    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34.770000000000003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0</v>
      </c>
      <c r="BH819" s="3">
        <v>1</v>
      </c>
      <c r="BI819" s="3">
        <v>3</v>
      </c>
      <c r="BJ819" s="3">
        <v>4.0999999999999996</v>
      </c>
      <c r="BK819" s="3">
        <v>4.5</v>
      </c>
      <c r="BL819" s="3">
        <v>132.71</v>
      </c>
      <c r="BM819" s="3">
        <v>19.91</v>
      </c>
      <c r="BN819" s="3">
        <v>152.62</v>
      </c>
      <c r="BO819" s="3">
        <v>152.62</v>
      </c>
      <c r="BQ819" s="3" t="s">
        <v>89</v>
      </c>
      <c r="BR819" s="3" t="s">
        <v>84</v>
      </c>
      <c r="BS819" s="4">
        <v>44578</v>
      </c>
      <c r="BT819" s="5">
        <v>0.4777777777777778</v>
      </c>
      <c r="BU819" s="3" t="s">
        <v>1012</v>
      </c>
      <c r="BV819" s="3" t="s">
        <v>87</v>
      </c>
      <c r="BW819" s="3" t="s">
        <v>353</v>
      </c>
      <c r="BX819" s="3" t="s">
        <v>605</v>
      </c>
      <c r="BY819" s="3">
        <v>20358</v>
      </c>
      <c r="BZ819" s="3" t="s">
        <v>165</v>
      </c>
      <c r="CA819" s="3" t="s">
        <v>1013</v>
      </c>
      <c r="CC819" s="3" t="s">
        <v>185</v>
      </c>
      <c r="CD819" s="3">
        <v>5201</v>
      </c>
      <c r="CE819" s="3" t="s">
        <v>86</v>
      </c>
      <c r="CF819" s="4">
        <v>44578</v>
      </c>
      <c r="CI819" s="3">
        <v>1</v>
      </c>
      <c r="CJ819" s="3">
        <v>1</v>
      </c>
      <c r="CK819" s="3">
        <v>21</v>
      </c>
      <c r="CL819" s="3" t="s">
        <v>87</v>
      </c>
    </row>
    <row r="820" spans="1:90" x14ac:dyDescent="0.2">
      <c r="A820" s="3" t="s">
        <v>72</v>
      </c>
      <c r="B820" s="3" t="s">
        <v>73</v>
      </c>
      <c r="C820" s="3" t="s">
        <v>74</v>
      </c>
      <c r="E820" s="3" t="str">
        <f>"FES1162845168"</f>
        <v>FES1162845168</v>
      </c>
      <c r="F820" s="4">
        <v>44575</v>
      </c>
      <c r="G820" s="3">
        <v>202207</v>
      </c>
      <c r="H820" s="3" t="s">
        <v>75</v>
      </c>
      <c r="I820" s="3" t="s">
        <v>76</v>
      </c>
      <c r="J820" s="3" t="s">
        <v>77</v>
      </c>
      <c r="K820" s="3" t="s">
        <v>78</v>
      </c>
      <c r="L820" s="3" t="s">
        <v>90</v>
      </c>
      <c r="M820" s="3" t="s">
        <v>91</v>
      </c>
      <c r="N820" s="3" t="s">
        <v>577</v>
      </c>
      <c r="O820" s="3" t="s">
        <v>82</v>
      </c>
      <c r="P820" s="3" t="str">
        <f>"2170815461                    "</f>
        <v xml:space="preserve">2170815461                    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15.46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0</v>
      </c>
      <c r="BH820" s="3">
        <v>1</v>
      </c>
      <c r="BI820" s="3">
        <v>1</v>
      </c>
      <c r="BJ820" s="3">
        <v>0.2</v>
      </c>
      <c r="BK820" s="3">
        <v>1</v>
      </c>
      <c r="BL820" s="3">
        <v>59</v>
      </c>
      <c r="BM820" s="3">
        <v>8.85</v>
      </c>
      <c r="BN820" s="3">
        <v>67.849999999999994</v>
      </c>
      <c r="BO820" s="3">
        <v>67.849999999999994</v>
      </c>
      <c r="BQ820" s="3" t="s">
        <v>126</v>
      </c>
      <c r="BR820" s="3" t="s">
        <v>84</v>
      </c>
      <c r="BS820" s="4">
        <v>44578</v>
      </c>
      <c r="BT820" s="5">
        <v>0.35694444444444445</v>
      </c>
      <c r="BU820" s="3" t="s">
        <v>1208</v>
      </c>
      <c r="BV820" s="3" t="s">
        <v>105</v>
      </c>
      <c r="BY820" s="3">
        <v>1200</v>
      </c>
      <c r="BZ820" s="3" t="s">
        <v>165</v>
      </c>
      <c r="CA820" s="3" t="s">
        <v>271</v>
      </c>
      <c r="CC820" s="3" t="s">
        <v>91</v>
      </c>
      <c r="CD820" s="3">
        <v>7441</v>
      </c>
      <c r="CE820" s="3" t="s">
        <v>93</v>
      </c>
      <c r="CF820" s="4">
        <v>44579</v>
      </c>
      <c r="CI820" s="3">
        <v>1</v>
      </c>
      <c r="CJ820" s="3">
        <v>1</v>
      </c>
      <c r="CK820" s="3">
        <v>21</v>
      </c>
      <c r="CL820" s="3" t="s">
        <v>87</v>
      </c>
    </row>
    <row r="821" spans="1:90" x14ac:dyDescent="0.2">
      <c r="A821" s="3" t="s">
        <v>72</v>
      </c>
      <c r="B821" s="3" t="s">
        <v>73</v>
      </c>
      <c r="C821" s="3" t="s">
        <v>74</v>
      </c>
      <c r="E821" s="3" t="str">
        <f>"FES1162845183"</f>
        <v>FES1162845183</v>
      </c>
      <c r="F821" s="4">
        <v>44575</v>
      </c>
      <c r="G821" s="3">
        <v>202207</v>
      </c>
      <c r="H821" s="3" t="s">
        <v>75</v>
      </c>
      <c r="I821" s="3" t="s">
        <v>76</v>
      </c>
      <c r="J821" s="3" t="s">
        <v>77</v>
      </c>
      <c r="K821" s="3" t="s">
        <v>78</v>
      </c>
      <c r="L821" s="3" t="s">
        <v>129</v>
      </c>
      <c r="M821" s="3" t="s">
        <v>130</v>
      </c>
      <c r="N821" s="3" t="s">
        <v>404</v>
      </c>
      <c r="O821" s="3" t="s">
        <v>82</v>
      </c>
      <c r="P821" s="3" t="str">
        <f>"2170816722                    "</f>
        <v xml:space="preserve">2170816722                    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29.95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1</v>
      </c>
      <c r="BI821" s="3">
        <v>1</v>
      </c>
      <c r="BJ821" s="3">
        <v>0.2</v>
      </c>
      <c r="BK821" s="3">
        <v>1</v>
      </c>
      <c r="BL821" s="3">
        <v>114.31</v>
      </c>
      <c r="BM821" s="3">
        <v>17.149999999999999</v>
      </c>
      <c r="BN821" s="3">
        <v>131.46</v>
      </c>
      <c r="BO821" s="3">
        <v>131.46</v>
      </c>
      <c r="BQ821" s="3" t="s">
        <v>83</v>
      </c>
      <c r="BR821" s="3" t="s">
        <v>84</v>
      </c>
      <c r="BS821" s="4">
        <v>44578</v>
      </c>
      <c r="BT821" s="5">
        <v>0.4375</v>
      </c>
      <c r="BU821" s="3" t="s">
        <v>1209</v>
      </c>
      <c r="BV821" s="3" t="s">
        <v>105</v>
      </c>
      <c r="BY821" s="3">
        <v>1200</v>
      </c>
      <c r="BZ821" s="3" t="s">
        <v>165</v>
      </c>
      <c r="CA821" s="3" t="s">
        <v>1210</v>
      </c>
      <c r="CC821" s="3" t="s">
        <v>130</v>
      </c>
      <c r="CD821" s="3">
        <v>3370</v>
      </c>
      <c r="CE821" s="3" t="s">
        <v>93</v>
      </c>
      <c r="CF821" s="4">
        <v>44579</v>
      </c>
      <c r="CI821" s="3">
        <v>2</v>
      </c>
      <c r="CJ821" s="3">
        <v>1</v>
      </c>
      <c r="CK821" s="3">
        <v>23</v>
      </c>
      <c r="CL821" s="3" t="s">
        <v>87</v>
      </c>
    </row>
    <row r="822" spans="1:90" x14ac:dyDescent="0.2">
      <c r="A822" s="3" t="s">
        <v>72</v>
      </c>
      <c r="B822" s="3" t="s">
        <v>73</v>
      </c>
      <c r="C822" s="3" t="s">
        <v>74</v>
      </c>
      <c r="E822" s="3" t="str">
        <f>"FES1162845181"</f>
        <v>FES1162845181</v>
      </c>
      <c r="F822" s="4">
        <v>44575</v>
      </c>
      <c r="G822" s="3">
        <v>202207</v>
      </c>
      <c r="H822" s="3" t="s">
        <v>75</v>
      </c>
      <c r="I822" s="3" t="s">
        <v>76</v>
      </c>
      <c r="J822" s="3" t="s">
        <v>77</v>
      </c>
      <c r="K822" s="3" t="s">
        <v>78</v>
      </c>
      <c r="L822" s="3" t="s">
        <v>101</v>
      </c>
      <c r="M822" s="3" t="s">
        <v>102</v>
      </c>
      <c r="N822" s="3" t="s">
        <v>526</v>
      </c>
      <c r="O822" s="3" t="s">
        <v>82</v>
      </c>
      <c r="P822" s="3" t="str">
        <f>"2170816719                    "</f>
        <v xml:space="preserve">2170816719                    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15.46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0</v>
      </c>
      <c r="BF822" s="3">
        <v>0</v>
      </c>
      <c r="BG822" s="3">
        <v>0</v>
      </c>
      <c r="BH822" s="3">
        <v>1</v>
      </c>
      <c r="BI822" s="3">
        <v>1</v>
      </c>
      <c r="BJ822" s="3">
        <v>0.2</v>
      </c>
      <c r="BK822" s="3">
        <v>1</v>
      </c>
      <c r="BL822" s="3">
        <v>59</v>
      </c>
      <c r="BM822" s="3">
        <v>8.85</v>
      </c>
      <c r="BN822" s="3">
        <v>67.849999999999994</v>
      </c>
      <c r="BO822" s="3">
        <v>67.849999999999994</v>
      </c>
      <c r="BQ822" s="3" t="s">
        <v>89</v>
      </c>
      <c r="BR822" s="3" t="s">
        <v>84</v>
      </c>
      <c r="BS822" s="4">
        <v>44578</v>
      </c>
      <c r="BT822" s="5">
        <v>0.36874999999999997</v>
      </c>
      <c r="BU822" s="3" t="s">
        <v>1211</v>
      </c>
      <c r="BV822" s="3" t="s">
        <v>105</v>
      </c>
      <c r="BY822" s="3">
        <v>1200</v>
      </c>
      <c r="BZ822" s="3" t="s">
        <v>165</v>
      </c>
      <c r="CA822" s="3" t="s">
        <v>528</v>
      </c>
      <c r="CC822" s="3" t="s">
        <v>102</v>
      </c>
      <c r="CD822" s="3">
        <v>4001</v>
      </c>
      <c r="CE822" s="3" t="s">
        <v>93</v>
      </c>
      <c r="CF822" s="4">
        <v>44579</v>
      </c>
      <c r="CI822" s="3">
        <v>1</v>
      </c>
      <c r="CJ822" s="3">
        <v>1</v>
      </c>
      <c r="CK822" s="3">
        <v>21</v>
      </c>
      <c r="CL822" s="3" t="s">
        <v>87</v>
      </c>
    </row>
    <row r="823" spans="1:90" x14ac:dyDescent="0.2">
      <c r="A823" s="3" t="s">
        <v>72</v>
      </c>
      <c r="B823" s="3" t="s">
        <v>73</v>
      </c>
      <c r="C823" s="3" t="s">
        <v>74</v>
      </c>
      <c r="E823" s="3" t="str">
        <f>"FES1162845142"</f>
        <v>FES1162845142</v>
      </c>
      <c r="F823" s="4">
        <v>44575</v>
      </c>
      <c r="G823" s="3">
        <v>202207</v>
      </c>
      <c r="H823" s="3" t="s">
        <v>75</v>
      </c>
      <c r="I823" s="3" t="s">
        <v>76</v>
      </c>
      <c r="J823" s="3" t="s">
        <v>77</v>
      </c>
      <c r="K823" s="3" t="s">
        <v>78</v>
      </c>
      <c r="L823" s="3" t="s">
        <v>138</v>
      </c>
      <c r="M823" s="3" t="s">
        <v>139</v>
      </c>
      <c r="N823" s="3" t="s">
        <v>558</v>
      </c>
      <c r="O823" s="3" t="s">
        <v>82</v>
      </c>
      <c r="P823" s="3" t="str">
        <f>"2170815263                    "</f>
        <v xml:space="preserve">2170815263                    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15.46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  <c r="BH823" s="3">
        <v>1</v>
      </c>
      <c r="BI823" s="3">
        <v>1</v>
      </c>
      <c r="BJ823" s="3">
        <v>0.2</v>
      </c>
      <c r="BK823" s="3">
        <v>1</v>
      </c>
      <c r="BL823" s="3">
        <v>59</v>
      </c>
      <c r="BM823" s="3">
        <v>8.85</v>
      </c>
      <c r="BN823" s="3">
        <v>67.849999999999994</v>
      </c>
      <c r="BO823" s="3">
        <v>67.849999999999994</v>
      </c>
      <c r="BR823" s="3" t="s">
        <v>84</v>
      </c>
      <c r="BS823" s="4">
        <v>44578</v>
      </c>
      <c r="BT823" s="5">
        <v>0.58124999999999993</v>
      </c>
      <c r="BU823" s="3" t="s">
        <v>1212</v>
      </c>
      <c r="BV823" s="3" t="s">
        <v>87</v>
      </c>
      <c r="BW823" s="3" t="s">
        <v>278</v>
      </c>
      <c r="BX823" s="3" t="s">
        <v>871</v>
      </c>
      <c r="BY823" s="3">
        <v>1200</v>
      </c>
      <c r="BZ823" s="3" t="s">
        <v>165</v>
      </c>
      <c r="CA823" s="3" t="s">
        <v>303</v>
      </c>
      <c r="CC823" s="3" t="s">
        <v>139</v>
      </c>
      <c r="CD823" s="3">
        <v>3610</v>
      </c>
      <c r="CE823" s="3" t="s">
        <v>93</v>
      </c>
      <c r="CF823" s="4">
        <v>44579</v>
      </c>
      <c r="CI823" s="3">
        <v>1</v>
      </c>
      <c r="CJ823" s="3">
        <v>1</v>
      </c>
      <c r="CK823" s="3">
        <v>21</v>
      </c>
      <c r="CL823" s="3" t="s">
        <v>87</v>
      </c>
    </row>
    <row r="824" spans="1:90" x14ac:dyDescent="0.2">
      <c r="A824" s="3" t="s">
        <v>72</v>
      </c>
      <c r="B824" s="3" t="s">
        <v>73</v>
      </c>
      <c r="C824" s="3" t="s">
        <v>74</v>
      </c>
      <c r="E824" s="3" t="str">
        <f>"FES1162845149"</f>
        <v>FES1162845149</v>
      </c>
      <c r="F824" s="4">
        <v>44575</v>
      </c>
      <c r="G824" s="3">
        <v>202207</v>
      </c>
      <c r="H824" s="3" t="s">
        <v>75</v>
      </c>
      <c r="I824" s="3" t="s">
        <v>76</v>
      </c>
      <c r="J824" s="3" t="s">
        <v>77</v>
      </c>
      <c r="K824" s="3" t="s">
        <v>78</v>
      </c>
      <c r="L824" s="3" t="s">
        <v>79</v>
      </c>
      <c r="M824" s="3" t="s">
        <v>80</v>
      </c>
      <c r="N824" s="3" t="s">
        <v>237</v>
      </c>
      <c r="O824" s="3" t="s">
        <v>82</v>
      </c>
      <c r="P824" s="3" t="str">
        <f>"2170815338                    "</f>
        <v xml:space="preserve">2170815338                    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15.46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0</v>
      </c>
      <c r="BG824" s="3">
        <v>0</v>
      </c>
      <c r="BH824" s="3">
        <v>1</v>
      </c>
      <c r="BI824" s="3">
        <v>1</v>
      </c>
      <c r="BJ824" s="3">
        <v>0.2</v>
      </c>
      <c r="BK824" s="3">
        <v>1</v>
      </c>
      <c r="BL824" s="3">
        <v>59</v>
      </c>
      <c r="BM824" s="3">
        <v>8.85</v>
      </c>
      <c r="BN824" s="3">
        <v>67.849999999999994</v>
      </c>
      <c r="BO824" s="3">
        <v>67.849999999999994</v>
      </c>
      <c r="BQ824" s="3" t="s">
        <v>83</v>
      </c>
      <c r="BR824" s="3" t="s">
        <v>84</v>
      </c>
      <c r="BS824" s="4">
        <v>44578</v>
      </c>
      <c r="BT824" s="5">
        <v>0.33611111111111108</v>
      </c>
      <c r="BU824" s="3" t="s">
        <v>1154</v>
      </c>
      <c r="BV824" s="3" t="s">
        <v>105</v>
      </c>
      <c r="BY824" s="3">
        <v>1200</v>
      </c>
      <c r="BZ824" s="3" t="s">
        <v>165</v>
      </c>
      <c r="CA824" s="3" t="s">
        <v>481</v>
      </c>
      <c r="CC824" s="3" t="s">
        <v>80</v>
      </c>
      <c r="CD824" s="3">
        <v>1</v>
      </c>
      <c r="CE824" s="3" t="s">
        <v>93</v>
      </c>
      <c r="CF824" s="4">
        <v>44578</v>
      </c>
      <c r="CI824" s="3">
        <v>1</v>
      </c>
      <c r="CJ824" s="3">
        <v>1</v>
      </c>
      <c r="CK824" s="3">
        <v>21</v>
      </c>
      <c r="CL824" s="3" t="s">
        <v>87</v>
      </c>
    </row>
    <row r="825" spans="1:90" x14ac:dyDescent="0.2">
      <c r="A825" s="3" t="s">
        <v>72</v>
      </c>
      <c r="B825" s="3" t="s">
        <v>73</v>
      </c>
      <c r="C825" s="3" t="s">
        <v>74</v>
      </c>
      <c r="E825" s="3" t="str">
        <f>"FES1162845132"</f>
        <v>FES1162845132</v>
      </c>
      <c r="F825" s="4">
        <v>44575</v>
      </c>
      <c r="G825" s="3">
        <v>202207</v>
      </c>
      <c r="H825" s="3" t="s">
        <v>75</v>
      </c>
      <c r="I825" s="3" t="s">
        <v>76</v>
      </c>
      <c r="J825" s="3" t="s">
        <v>77</v>
      </c>
      <c r="K825" s="3" t="s">
        <v>78</v>
      </c>
      <c r="L825" s="3" t="s">
        <v>171</v>
      </c>
      <c r="M825" s="3" t="s">
        <v>172</v>
      </c>
      <c r="N825" s="3" t="s">
        <v>454</v>
      </c>
      <c r="O825" s="3" t="s">
        <v>82</v>
      </c>
      <c r="P825" s="3" t="str">
        <f>"2170812347                    "</f>
        <v xml:space="preserve">2170812347                    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15.46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0</v>
      </c>
      <c r="BG825" s="3">
        <v>0</v>
      </c>
      <c r="BH825" s="3">
        <v>1</v>
      </c>
      <c r="BI825" s="3">
        <v>1</v>
      </c>
      <c r="BJ825" s="3">
        <v>0.2</v>
      </c>
      <c r="BK825" s="3">
        <v>1</v>
      </c>
      <c r="BL825" s="3">
        <v>59</v>
      </c>
      <c r="BM825" s="3">
        <v>8.85</v>
      </c>
      <c r="BN825" s="3">
        <v>67.849999999999994</v>
      </c>
      <c r="BO825" s="3">
        <v>67.849999999999994</v>
      </c>
      <c r="BQ825" s="3" t="s">
        <v>89</v>
      </c>
      <c r="BR825" s="3" t="s">
        <v>84</v>
      </c>
      <c r="BS825" s="4">
        <v>44578</v>
      </c>
      <c r="BT825" s="5">
        <v>0.3888888888888889</v>
      </c>
      <c r="BU825" s="3" t="s">
        <v>1155</v>
      </c>
      <c r="BV825" s="3" t="s">
        <v>105</v>
      </c>
      <c r="BY825" s="3">
        <v>1200</v>
      </c>
      <c r="BZ825" s="3" t="s">
        <v>165</v>
      </c>
      <c r="CA825" s="3" t="s">
        <v>509</v>
      </c>
      <c r="CC825" s="3" t="s">
        <v>172</v>
      </c>
      <c r="CD825" s="3">
        <v>6001</v>
      </c>
      <c r="CE825" s="3" t="s">
        <v>93</v>
      </c>
      <c r="CF825" s="4">
        <v>44578</v>
      </c>
      <c r="CI825" s="3">
        <v>1</v>
      </c>
      <c r="CJ825" s="3">
        <v>1</v>
      </c>
      <c r="CK825" s="3">
        <v>21</v>
      </c>
      <c r="CL825" s="3" t="s">
        <v>87</v>
      </c>
    </row>
    <row r="826" spans="1:90" x14ac:dyDescent="0.2">
      <c r="A826" s="3" t="s">
        <v>72</v>
      </c>
      <c r="B826" s="3" t="s">
        <v>73</v>
      </c>
      <c r="C826" s="3" t="s">
        <v>74</v>
      </c>
      <c r="E826" s="3" t="str">
        <f>"FES1162845156"</f>
        <v>FES1162845156</v>
      </c>
      <c r="F826" s="4">
        <v>44575</v>
      </c>
      <c r="G826" s="3">
        <v>202207</v>
      </c>
      <c r="H826" s="3" t="s">
        <v>75</v>
      </c>
      <c r="I826" s="3" t="s">
        <v>76</v>
      </c>
      <c r="J826" s="3" t="s">
        <v>77</v>
      </c>
      <c r="K826" s="3" t="s">
        <v>78</v>
      </c>
      <c r="L826" s="3" t="s">
        <v>90</v>
      </c>
      <c r="M826" s="3" t="s">
        <v>91</v>
      </c>
      <c r="N826" s="3" t="s">
        <v>436</v>
      </c>
      <c r="O826" s="3" t="s">
        <v>82</v>
      </c>
      <c r="P826" s="3" t="str">
        <f>"2170815404                    "</f>
        <v xml:space="preserve">2170815404                    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15.46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3">
        <v>1</v>
      </c>
      <c r="BI826" s="3">
        <v>1</v>
      </c>
      <c r="BJ826" s="3">
        <v>0.2</v>
      </c>
      <c r="BK826" s="3">
        <v>1</v>
      </c>
      <c r="BL826" s="3">
        <v>59</v>
      </c>
      <c r="BM826" s="3">
        <v>8.85</v>
      </c>
      <c r="BN826" s="3">
        <v>67.849999999999994</v>
      </c>
      <c r="BO826" s="3">
        <v>67.849999999999994</v>
      </c>
      <c r="BQ826" s="3" t="s">
        <v>83</v>
      </c>
      <c r="BR826" s="3" t="s">
        <v>84</v>
      </c>
      <c r="BS826" s="4">
        <v>44578</v>
      </c>
      <c r="BT826" s="5">
        <v>0.3430555555555555</v>
      </c>
      <c r="BU826" s="3" t="s">
        <v>1213</v>
      </c>
      <c r="BV826" s="3" t="s">
        <v>105</v>
      </c>
      <c r="BY826" s="3">
        <v>1200</v>
      </c>
      <c r="BZ826" s="3" t="s">
        <v>165</v>
      </c>
      <c r="CA826" s="3" t="s">
        <v>623</v>
      </c>
      <c r="CC826" s="3" t="s">
        <v>91</v>
      </c>
      <c r="CD826" s="3">
        <v>7800</v>
      </c>
      <c r="CE826" s="3" t="s">
        <v>93</v>
      </c>
      <c r="CF826" s="4">
        <v>44579</v>
      </c>
      <c r="CI826" s="3">
        <v>1</v>
      </c>
      <c r="CJ826" s="3">
        <v>1</v>
      </c>
      <c r="CK826" s="3">
        <v>21</v>
      </c>
      <c r="CL826" s="3" t="s">
        <v>87</v>
      </c>
    </row>
    <row r="827" spans="1:90" x14ac:dyDescent="0.2">
      <c r="A827" s="3" t="s">
        <v>72</v>
      </c>
      <c r="B827" s="3" t="s">
        <v>73</v>
      </c>
      <c r="C827" s="3" t="s">
        <v>74</v>
      </c>
      <c r="E827" s="3" t="str">
        <f>"FES1162845124"</f>
        <v>FES1162845124</v>
      </c>
      <c r="F827" s="4">
        <v>44575</v>
      </c>
      <c r="G827" s="3">
        <v>202207</v>
      </c>
      <c r="H827" s="3" t="s">
        <v>75</v>
      </c>
      <c r="I827" s="3" t="s">
        <v>76</v>
      </c>
      <c r="J827" s="3" t="s">
        <v>77</v>
      </c>
      <c r="K827" s="3" t="s">
        <v>78</v>
      </c>
      <c r="L827" s="3" t="s">
        <v>184</v>
      </c>
      <c r="M827" s="3" t="s">
        <v>185</v>
      </c>
      <c r="N827" s="3" t="s">
        <v>355</v>
      </c>
      <c r="O827" s="3" t="s">
        <v>82</v>
      </c>
      <c r="P827" s="3" t="str">
        <f>"2170800812                    "</f>
        <v xml:space="preserve">2170800812                    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15.46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1</v>
      </c>
      <c r="BI827" s="3">
        <v>1</v>
      </c>
      <c r="BJ827" s="3">
        <v>0.2</v>
      </c>
      <c r="BK827" s="3">
        <v>1</v>
      </c>
      <c r="BL827" s="3">
        <v>59</v>
      </c>
      <c r="BM827" s="3">
        <v>8.85</v>
      </c>
      <c r="BN827" s="3">
        <v>67.849999999999994</v>
      </c>
      <c r="BO827" s="3">
        <v>67.849999999999994</v>
      </c>
      <c r="BQ827" s="3" t="s">
        <v>89</v>
      </c>
      <c r="BR827" s="3" t="s">
        <v>84</v>
      </c>
      <c r="BS827" s="4">
        <v>44578</v>
      </c>
      <c r="BT827" s="5">
        <v>0.5</v>
      </c>
      <c r="BU827" s="3" t="s">
        <v>1214</v>
      </c>
      <c r="BV827" s="3" t="s">
        <v>87</v>
      </c>
      <c r="BW827" s="3" t="s">
        <v>353</v>
      </c>
      <c r="BX827" s="3" t="s">
        <v>605</v>
      </c>
      <c r="BY827" s="3">
        <v>1200</v>
      </c>
      <c r="BZ827" s="3" t="s">
        <v>165</v>
      </c>
      <c r="CA827" s="3" t="s">
        <v>1013</v>
      </c>
      <c r="CC827" s="3" t="s">
        <v>185</v>
      </c>
      <c r="CD827" s="3">
        <v>5201</v>
      </c>
      <c r="CE827" s="3" t="s">
        <v>93</v>
      </c>
      <c r="CF827" s="4">
        <v>44578</v>
      </c>
      <c r="CI827" s="3">
        <v>1</v>
      </c>
      <c r="CJ827" s="3">
        <v>1</v>
      </c>
      <c r="CK827" s="3">
        <v>21</v>
      </c>
      <c r="CL827" s="3" t="s">
        <v>87</v>
      </c>
    </row>
    <row r="828" spans="1:90" x14ac:dyDescent="0.2">
      <c r="A828" s="3" t="s">
        <v>72</v>
      </c>
      <c r="B828" s="3" t="s">
        <v>73</v>
      </c>
      <c r="C828" s="3" t="s">
        <v>74</v>
      </c>
      <c r="E828" s="3" t="str">
        <f>"FES1162845140"</f>
        <v>FES1162845140</v>
      </c>
      <c r="F828" s="4">
        <v>44575</v>
      </c>
      <c r="G828" s="3">
        <v>202207</v>
      </c>
      <c r="H828" s="3" t="s">
        <v>75</v>
      </c>
      <c r="I828" s="3" t="s">
        <v>76</v>
      </c>
      <c r="J828" s="3" t="s">
        <v>77</v>
      </c>
      <c r="K828" s="3" t="s">
        <v>78</v>
      </c>
      <c r="L828" s="3" t="s">
        <v>90</v>
      </c>
      <c r="M828" s="3" t="s">
        <v>91</v>
      </c>
      <c r="N828" s="3" t="s">
        <v>1215</v>
      </c>
      <c r="O828" s="3" t="s">
        <v>82</v>
      </c>
      <c r="P828" s="3" t="str">
        <f>"2170815082                    "</f>
        <v xml:space="preserve">2170815082                    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15.46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0</v>
      </c>
      <c r="BF828" s="3">
        <v>0</v>
      </c>
      <c r="BG828" s="3">
        <v>0</v>
      </c>
      <c r="BH828" s="3">
        <v>1</v>
      </c>
      <c r="BI828" s="3">
        <v>1</v>
      </c>
      <c r="BJ828" s="3">
        <v>0.2</v>
      </c>
      <c r="BK828" s="3">
        <v>1</v>
      </c>
      <c r="BL828" s="3">
        <v>59</v>
      </c>
      <c r="BM828" s="3">
        <v>8.85</v>
      </c>
      <c r="BN828" s="3">
        <v>67.849999999999994</v>
      </c>
      <c r="BO828" s="3">
        <v>67.849999999999994</v>
      </c>
      <c r="BQ828" s="3" t="s">
        <v>1216</v>
      </c>
      <c r="BR828" s="3" t="s">
        <v>84</v>
      </c>
      <c r="BS828" s="4">
        <v>44578</v>
      </c>
      <c r="BT828" s="5">
        <v>0.41666666666666669</v>
      </c>
      <c r="BU828" s="3" t="s">
        <v>1217</v>
      </c>
      <c r="BV828" s="3" t="s">
        <v>105</v>
      </c>
      <c r="BY828" s="3">
        <v>1200</v>
      </c>
      <c r="BZ828" s="3" t="s">
        <v>165</v>
      </c>
      <c r="CC828" s="3" t="s">
        <v>91</v>
      </c>
      <c r="CD828" s="3">
        <v>7780</v>
      </c>
      <c r="CE828" s="3" t="s">
        <v>93</v>
      </c>
      <c r="CF828" s="4">
        <v>44579</v>
      </c>
      <c r="CI828" s="3">
        <v>1</v>
      </c>
      <c r="CJ828" s="3">
        <v>1</v>
      </c>
      <c r="CK828" s="3">
        <v>21</v>
      </c>
      <c r="CL828" s="3" t="s">
        <v>87</v>
      </c>
    </row>
    <row r="829" spans="1:90" x14ac:dyDescent="0.2">
      <c r="A829" s="3" t="s">
        <v>72</v>
      </c>
      <c r="B829" s="3" t="s">
        <v>73</v>
      </c>
      <c r="C829" s="3" t="s">
        <v>74</v>
      </c>
      <c r="E829" s="3" t="str">
        <f>"FES1162845160"</f>
        <v>FES1162845160</v>
      </c>
      <c r="F829" s="4">
        <v>44575</v>
      </c>
      <c r="G829" s="3">
        <v>202207</v>
      </c>
      <c r="H829" s="3" t="s">
        <v>75</v>
      </c>
      <c r="I829" s="3" t="s">
        <v>76</v>
      </c>
      <c r="J829" s="3" t="s">
        <v>77</v>
      </c>
      <c r="K829" s="3" t="s">
        <v>78</v>
      </c>
      <c r="L829" s="3" t="s">
        <v>716</v>
      </c>
      <c r="M829" s="3" t="s">
        <v>717</v>
      </c>
      <c r="N829" s="3" t="s">
        <v>718</v>
      </c>
      <c r="O829" s="3" t="s">
        <v>82</v>
      </c>
      <c r="P829" s="3" t="str">
        <f>"2170815421                    "</f>
        <v xml:space="preserve">2170815421                    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29.95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0</v>
      </c>
      <c r="BF829" s="3">
        <v>0</v>
      </c>
      <c r="BG829" s="3">
        <v>0</v>
      </c>
      <c r="BH829" s="3">
        <v>1</v>
      </c>
      <c r="BI829" s="3">
        <v>1</v>
      </c>
      <c r="BJ829" s="3">
        <v>0.2</v>
      </c>
      <c r="BK829" s="3">
        <v>1</v>
      </c>
      <c r="BL829" s="3">
        <v>114.31</v>
      </c>
      <c r="BM829" s="3">
        <v>17.149999999999999</v>
      </c>
      <c r="BN829" s="3">
        <v>131.46</v>
      </c>
      <c r="BO829" s="3">
        <v>131.46</v>
      </c>
      <c r="BQ829" s="3" t="s">
        <v>89</v>
      </c>
      <c r="BR829" s="3" t="s">
        <v>84</v>
      </c>
      <c r="BS829" s="4">
        <v>44578</v>
      </c>
      <c r="BT829" s="5">
        <v>0.5708333333333333</v>
      </c>
      <c r="BU829" s="3" t="s">
        <v>1218</v>
      </c>
      <c r="BV829" s="3" t="s">
        <v>105</v>
      </c>
      <c r="BY829" s="3">
        <v>1200</v>
      </c>
      <c r="BZ829" s="3" t="s">
        <v>165</v>
      </c>
      <c r="CA829" s="3" t="s">
        <v>720</v>
      </c>
      <c r="CC829" s="3" t="s">
        <v>717</v>
      </c>
      <c r="CD829" s="3">
        <v>1028</v>
      </c>
      <c r="CE829" s="3" t="s">
        <v>93</v>
      </c>
      <c r="CF829" s="4">
        <v>44578</v>
      </c>
      <c r="CI829" s="3">
        <v>1</v>
      </c>
      <c r="CJ829" s="3">
        <v>1</v>
      </c>
      <c r="CK829" s="3">
        <v>23</v>
      </c>
      <c r="CL829" s="3" t="s">
        <v>87</v>
      </c>
    </row>
    <row r="830" spans="1:90" x14ac:dyDescent="0.2">
      <c r="A830" s="3" t="s">
        <v>72</v>
      </c>
      <c r="B830" s="3" t="s">
        <v>73</v>
      </c>
      <c r="C830" s="3" t="s">
        <v>74</v>
      </c>
      <c r="E830" s="3" t="str">
        <f>"FES1162845193"</f>
        <v>FES1162845193</v>
      </c>
      <c r="F830" s="4">
        <v>44575</v>
      </c>
      <c r="G830" s="3">
        <v>202207</v>
      </c>
      <c r="H830" s="3" t="s">
        <v>75</v>
      </c>
      <c r="I830" s="3" t="s">
        <v>76</v>
      </c>
      <c r="J830" s="3" t="s">
        <v>77</v>
      </c>
      <c r="K830" s="3" t="s">
        <v>78</v>
      </c>
      <c r="L830" s="3" t="s">
        <v>90</v>
      </c>
      <c r="M830" s="3" t="s">
        <v>91</v>
      </c>
      <c r="N830" s="3" t="s">
        <v>1159</v>
      </c>
      <c r="O830" s="3" t="s">
        <v>82</v>
      </c>
      <c r="P830" s="3" t="str">
        <f>"2170816727                    "</f>
        <v xml:space="preserve">2170816727                    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15.46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1</v>
      </c>
      <c r="BI830" s="3">
        <v>1</v>
      </c>
      <c r="BJ830" s="3">
        <v>0.2</v>
      </c>
      <c r="BK830" s="3">
        <v>1</v>
      </c>
      <c r="BL830" s="3">
        <v>59</v>
      </c>
      <c r="BM830" s="3">
        <v>8.85</v>
      </c>
      <c r="BN830" s="3">
        <v>67.849999999999994</v>
      </c>
      <c r="BO830" s="3">
        <v>67.849999999999994</v>
      </c>
      <c r="BQ830" s="3" t="s">
        <v>89</v>
      </c>
      <c r="BR830" s="3" t="s">
        <v>84</v>
      </c>
      <c r="BS830" s="4">
        <v>44578</v>
      </c>
      <c r="BT830" s="5">
        <v>0.44097222222222227</v>
      </c>
      <c r="BU830" s="3" t="s">
        <v>1160</v>
      </c>
      <c r="BV830" s="3" t="s">
        <v>87</v>
      </c>
      <c r="BW830" s="3" t="s">
        <v>353</v>
      </c>
      <c r="BX830" s="3" t="s">
        <v>602</v>
      </c>
      <c r="BY830" s="3">
        <v>1200</v>
      </c>
      <c r="BZ830" s="3" t="s">
        <v>165</v>
      </c>
      <c r="CA830" s="3" t="s">
        <v>289</v>
      </c>
      <c r="CC830" s="3" t="s">
        <v>91</v>
      </c>
      <c r="CD830" s="3">
        <v>7441</v>
      </c>
      <c r="CE830" s="3" t="s">
        <v>93</v>
      </c>
      <c r="CF830" s="4">
        <v>44579</v>
      </c>
      <c r="CI830" s="3">
        <v>1</v>
      </c>
      <c r="CJ830" s="3">
        <v>1</v>
      </c>
      <c r="CK830" s="3">
        <v>21</v>
      </c>
      <c r="CL830" s="3" t="s">
        <v>87</v>
      </c>
    </row>
    <row r="831" spans="1:90" x14ac:dyDescent="0.2">
      <c r="A831" s="3" t="s">
        <v>72</v>
      </c>
      <c r="B831" s="3" t="s">
        <v>73</v>
      </c>
      <c r="C831" s="3" t="s">
        <v>74</v>
      </c>
      <c r="E831" s="3" t="str">
        <f>"FES1162845137"</f>
        <v>FES1162845137</v>
      </c>
      <c r="F831" s="4">
        <v>44575</v>
      </c>
      <c r="G831" s="3">
        <v>202207</v>
      </c>
      <c r="H831" s="3" t="s">
        <v>75</v>
      </c>
      <c r="I831" s="3" t="s">
        <v>76</v>
      </c>
      <c r="J831" s="3" t="s">
        <v>77</v>
      </c>
      <c r="K831" s="3" t="s">
        <v>78</v>
      </c>
      <c r="L831" s="3" t="s">
        <v>1219</v>
      </c>
      <c r="M831" s="3" t="s">
        <v>1220</v>
      </c>
      <c r="N831" s="3" t="s">
        <v>1221</v>
      </c>
      <c r="O831" s="3" t="s">
        <v>82</v>
      </c>
      <c r="P831" s="3" t="str">
        <f>"2170814788                    "</f>
        <v xml:space="preserve">2170814788                    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36.71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3">
        <v>1</v>
      </c>
      <c r="BI831" s="3">
        <v>1</v>
      </c>
      <c r="BJ831" s="3">
        <v>2.4</v>
      </c>
      <c r="BK831" s="3">
        <v>2.5</v>
      </c>
      <c r="BL831" s="3">
        <v>140.12</v>
      </c>
      <c r="BM831" s="3">
        <v>21.02</v>
      </c>
      <c r="BN831" s="3">
        <v>161.13999999999999</v>
      </c>
      <c r="BO831" s="3">
        <v>161.13999999999999</v>
      </c>
      <c r="BQ831" s="3" t="s">
        <v>83</v>
      </c>
      <c r="BR831" s="3" t="s">
        <v>84</v>
      </c>
      <c r="BS831" s="4">
        <v>44578</v>
      </c>
      <c r="BT831" s="5">
        <v>0.41944444444444445</v>
      </c>
      <c r="BU831" s="3" t="s">
        <v>1222</v>
      </c>
      <c r="BV831" s="3" t="s">
        <v>105</v>
      </c>
      <c r="BY831" s="3">
        <v>12240</v>
      </c>
      <c r="BZ831" s="3" t="s">
        <v>165</v>
      </c>
      <c r="CC831" s="3" t="s">
        <v>1220</v>
      </c>
      <c r="CD831" s="3">
        <v>4490</v>
      </c>
      <c r="CE831" s="3" t="s">
        <v>93</v>
      </c>
      <c r="CF831" s="4">
        <v>44579</v>
      </c>
      <c r="CI831" s="3">
        <v>1</v>
      </c>
      <c r="CJ831" s="3">
        <v>1</v>
      </c>
      <c r="CK831" s="3">
        <v>23</v>
      </c>
      <c r="CL831" s="3" t="s">
        <v>87</v>
      </c>
    </row>
    <row r="832" spans="1:90" x14ac:dyDescent="0.2">
      <c r="A832" s="3" t="s">
        <v>72</v>
      </c>
      <c r="B832" s="3" t="s">
        <v>73</v>
      </c>
      <c r="C832" s="3" t="s">
        <v>74</v>
      </c>
      <c r="E832" s="3" t="str">
        <f>"FES1162845169"</f>
        <v>FES1162845169</v>
      </c>
      <c r="F832" s="4">
        <v>44575</v>
      </c>
      <c r="G832" s="3">
        <v>202207</v>
      </c>
      <c r="H832" s="3" t="s">
        <v>75</v>
      </c>
      <c r="I832" s="3" t="s">
        <v>76</v>
      </c>
      <c r="J832" s="3" t="s">
        <v>77</v>
      </c>
      <c r="K832" s="3" t="s">
        <v>78</v>
      </c>
      <c r="L832" s="3" t="s">
        <v>90</v>
      </c>
      <c r="M832" s="3" t="s">
        <v>91</v>
      </c>
      <c r="N832" s="3" t="s">
        <v>157</v>
      </c>
      <c r="O832" s="3" t="s">
        <v>82</v>
      </c>
      <c r="P832" s="3" t="str">
        <f>"2170815474                    "</f>
        <v xml:space="preserve">2170815474                    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15.46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  <c r="BH832" s="3">
        <v>1</v>
      </c>
      <c r="BI832" s="3">
        <v>1</v>
      </c>
      <c r="BJ832" s="3">
        <v>0.2</v>
      </c>
      <c r="BK832" s="3">
        <v>1</v>
      </c>
      <c r="BL832" s="3">
        <v>59</v>
      </c>
      <c r="BM832" s="3">
        <v>8.85</v>
      </c>
      <c r="BN832" s="3">
        <v>67.849999999999994</v>
      </c>
      <c r="BO832" s="3">
        <v>67.849999999999994</v>
      </c>
      <c r="BQ832" s="3" t="s">
        <v>89</v>
      </c>
      <c r="BR832" s="3" t="s">
        <v>84</v>
      </c>
      <c r="BS832" s="4">
        <v>44578</v>
      </c>
      <c r="BT832" s="5">
        <v>0.36319444444444443</v>
      </c>
      <c r="BU832" s="3" t="s">
        <v>693</v>
      </c>
      <c r="BV832" s="3" t="s">
        <v>105</v>
      </c>
      <c r="BY832" s="3">
        <v>1200</v>
      </c>
      <c r="BZ832" s="3" t="s">
        <v>165</v>
      </c>
      <c r="CA832" s="3" t="s">
        <v>289</v>
      </c>
      <c r="CC832" s="3" t="s">
        <v>91</v>
      </c>
      <c r="CD832" s="3">
        <v>7441</v>
      </c>
      <c r="CE832" s="3" t="s">
        <v>93</v>
      </c>
      <c r="CF832" s="4">
        <v>44579</v>
      </c>
      <c r="CI832" s="3">
        <v>1</v>
      </c>
      <c r="CJ832" s="3">
        <v>1</v>
      </c>
      <c r="CK832" s="3">
        <v>21</v>
      </c>
      <c r="CL832" s="3" t="s">
        <v>87</v>
      </c>
    </row>
    <row r="833" spans="1:90" x14ac:dyDescent="0.2">
      <c r="A833" s="3" t="s">
        <v>72</v>
      </c>
      <c r="B833" s="3" t="s">
        <v>73</v>
      </c>
      <c r="C833" s="3" t="s">
        <v>74</v>
      </c>
      <c r="E833" s="3" t="str">
        <f>"FES1162845151"</f>
        <v>FES1162845151</v>
      </c>
      <c r="F833" s="4">
        <v>44575</v>
      </c>
      <c r="G833" s="3">
        <v>202207</v>
      </c>
      <c r="H833" s="3" t="s">
        <v>75</v>
      </c>
      <c r="I833" s="3" t="s">
        <v>76</v>
      </c>
      <c r="J833" s="3" t="s">
        <v>77</v>
      </c>
      <c r="K833" s="3" t="s">
        <v>78</v>
      </c>
      <c r="L833" s="3" t="s">
        <v>90</v>
      </c>
      <c r="M833" s="3" t="s">
        <v>91</v>
      </c>
      <c r="N833" s="3" t="s">
        <v>1223</v>
      </c>
      <c r="O833" s="3" t="s">
        <v>82</v>
      </c>
      <c r="P833" s="3" t="str">
        <f>"2170815348                    "</f>
        <v xml:space="preserve">2170815348                    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15.46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1</v>
      </c>
      <c r="BI833" s="3">
        <v>1</v>
      </c>
      <c r="BJ833" s="3">
        <v>0.2</v>
      </c>
      <c r="BK833" s="3">
        <v>1</v>
      </c>
      <c r="BL833" s="3">
        <v>59</v>
      </c>
      <c r="BM833" s="3">
        <v>8.85</v>
      </c>
      <c r="BN833" s="3">
        <v>67.849999999999994</v>
      </c>
      <c r="BO833" s="3">
        <v>67.849999999999994</v>
      </c>
      <c r="BQ833" s="3" t="s">
        <v>83</v>
      </c>
      <c r="BR833" s="3" t="s">
        <v>84</v>
      </c>
      <c r="BS833" s="4">
        <v>44589</v>
      </c>
      <c r="BT833" s="5">
        <v>0.39513888888888887</v>
      </c>
      <c r="BU833" s="3" t="s">
        <v>1205</v>
      </c>
      <c r="BV833" s="3" t="s">
        <v>87</v>
      </c>
      <c r="BW833" s="3" t="s">
        <v>376</v>
      </c>
      <c r="BX833" s="3" t="s">
        <v>758</v>
      </c>
      <c r="BY833" s="3">
        <v>1200</v>
      </c>
      <c r="BZ833" s="3" t="s">
        <v>165</v>
      </c>
      <c r="CA833" s="3" t="s">
        <v>289</v>
      </c>
      <c r="CC833" s="3" t="s">
        <v>91</v>
      </c>
      <c r="CD833" s="3">
        <v>7500</v>
      </c>
      <c r="CE833" s="3" t="s">
        <v>93</v>
      </c>
      <c r="CI833" s="3">
        <v>1</v>
      </c>
      <c r="CJ833" s="3">
        <v>10</v>
      </c>
      <c r="CK833" s="3">
        <v>21</v>
      </c>
      <c r="CL833" s="3" t="s">
        <v>87</v>
      </c>
    </row>
    <row r="834" spans="1:90" x14ac:dyDescent="0.2">
      <c r="A834" s="3" t="s">
        <v>72</v>
      </c>
      <c r="B834" s="3" t="s">
        <v>73</v>
      </c>
      <c r="C834" s="3" t="s">
        <v>74</v>
      </c>
      <c r="E834" s="3" t="str">
        <f>"FES1162845210"</f>
        <v>FES1162845210</v>
      </c>
      <c r="F834" s="4">
        <v>44575</v>
      </c>
      <c r="G834" s="3">
        <v>202207</v>
      </c>
      <c r="H834" s="3" t="s">
        <v>75</v>
      </c>
      <c r="I834" s="3" t="s">
        <v>76</v>
      </c>
      <c r="J834" s="3" t="s">
        <v>77</v>
      </c>
      <c r="K834" s="3" t="s">
        <v>78</v>
      </c>
      <c r="L834" s="3" t="s">
        <v>94</v>
      </c>
      <c r="M834" s="3" t="s">
        <v>95</v>
      </c>
      <c r="N834" s="3" t="s">
        <v>96</v>
      </c>
      <c r="O834" s="3" t="s">
        <v>82</v>
      </c>
      <c r="P834" s="3" t="str">
        <f>"2170812800                    "</f>
        <v xml:space="preserve">2170812800                    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15.46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1</v>
      </c>
      <c r="BI834" s="3">
        <v>1</v>
      </c>
      <c r="BJ834" s="3">
        <v>0.2</v>
      </c>
      <c r="BK834" s="3">
        <v>1</v>
      </c>
      <c r="BL834" s="3">
        <v>59</v>
      </c>
      <c r="BM834" s="3">
        <v>8.85</v>
      </c>
      <c r="BN834" s="3">
        <v>67.849999999999994</v>
      </c>
      <c r="BO834" s="3">
        <v>67.849999999999994</v>
      </c>
      <c r="BQ834" s="3" t="s">
        <v>89</v>
      </c>
      <c r="BR834" s="3" t="s">
        <v>84</v>
      </c>
      <c r="BS834" s="4">
        <v>44578</v>
      </c>
      <c r="BT834" s="5">
        <v>0.53402777777777777</v>
      </c>
      <c r="BU834" s="3" t="s">
        <v>884</v>
      </c>
      <c r="BV834" s="3" t="s">
        <v>87</v>
      </c>
      <c r="BW834" s="3" t="s">
        <v>453</v>
      </c>
      <c r="BX834" s="3" t="s">
        <v>279</v>
      </c>
      <c r="BY834" s="3">
        <v>1200</v>
      </c>
      <c r="BZ834" s="3" t="s">
        <v>165</v>
      </c>
      <c r="CC834" s="3" t="s">
        <v>95</v>
      </c>
      <c r="CD834" s="3">
        <v>3201</v>
      </c>
      <c r="CE834" s="3" t="s">
        <v>93</v>
      </c>
      <c r="CF834" s="4">
        <v>44581</v>
      </c>
      <c r="CI834" s="3">
        <v>1</v>
      </c>
      <c r="CJ834" s="3">
        <v>1</v>
      </c>
      <c r="CK834" s="3">
        <v>21</v>
      </c>
      <c r="CL834" s="3" t="s">
        <v>87</v>
      </c>
    </row>
    <row r="835" spans="1:90" x14ac:dyDescent="0.2">
      <c r="A835" s="3" t="s">
        <v>72</v>
      </c>
      <c r="B835" s="3" t="s">
        <v>73</v>
      </c>
      <c r="C835" s="3" t="s">
        <v>74</v>
      </c>
      <c r="E835" s="3" t="str">
        <f>"FES1162845250"</f>
        <v>FES1162845250</v>
      </c>
      <c r="F835" s="4">
        <v>44575</v>
      </c>
      <c r="G835" s="3">
        <v>202207</v>
      </c>
      <c r="H835" s="3" t="s">
        <v>75</v>
      </c>
      <c r="I835" s="3" t="s">
        <v>76</v>
      </c>
      <c r="J835" s="3" t="s">
        <v>77</v>
      </c>
      <c r="K835" s="3" t="s">
        <v>78</v>
      </c>
      <c r="L835" s="3" t="s">
        <v>97</v>
      </c>
      <c r="M835" s="3" t="s">
        <v>98</v>
      </c>
      <c r="N835" s="3" t="s">
        <v>1224</v>
      </c>
      <c r="O835" s="3" t="s">
        <v>82</v>
      </c>
      <c r="P835" s="3" t="str">
        <f>"2170816798                    "</f>
        <v xml:space="preserve">2170816798                    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12.07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1</v>
      </c>
      <c r="BI835" s="3">
        <v>1</v>
      </c>
      <c r="BJ835" s="3">
        <v>0.2</v>
      </c>
      <c r="BK835" s="3">
        <v>1</v>
      </c>
      <c r="BL835" s="3">
        <v>46.08</v>
      </c>
      <c r="BM835" s="3">
        <v>6.91</v>
      </c>
      <c r="BN835" s="3">
        <v>52.99</v>
      </c>
      <c r="BO835" s="3">
        <v>52.99</v>
      </c>
      <c r="BR835" s="3" t="s">
        <v>84</v>
      </c>
      <c r="BS835" s="4">
        <v>44578</v>
      </c>
      <c r="BT835" s="5">
        <v>0.32500000000000001</v>
      </c>
      <c r="BU835" s="3" t="s">
        <v>462</v>
      </c>
      <c r="BV835" s="3" t="s">
        <v>105</v>
      </c>
      <c r="BY835" s="3">
        <v>1200</v>
      </c>
      <c r="BZ835" s="3" t="s">
        <v>165</v>
      </c>
      <c r="CA835" s="3" t="s">
        <v>320</v>
      </c>
      <c r="CC835" s="3" t="s">
        <v>98</v>
      </c>
      <c r="CD835" s="3">
        <v>2093</v>
      </c>
      <c r="CE835" s="3" t="s">
        <v>93</v>
      </c>
      <c r="CF835" s="4">
        <v>44579</v>
      </c>
      <c r="CI835" s="3">
        <v>1</v>
      </c>
      <c r="CJ835" s="3">
        <v>1</v>
      </c>
      <c r="CK835" s="3">
        <v>22</v>
      </c>
      <c r="CL835" s="3" t="s">
        <v>87</v>
      </c>
    </row>
    <row r="836" spans="1:90" x14ac:dyDescent="0.2">
      <c r="A836" s="3" t="s">
        <v>72</v>
      </c>
      <c r="B836" s="3" t="s">
        <v>73</v>
      </c>
      <c r="C836" s="3" t="s">
        <v>74</v>
      </c>
      <c r="E836" s="3" t="str">
        <f>"FES1162845262"</f>
        <v>FES1162845262</v>
      </c>
      <c r="F836" s="4">
        <v>44575</v>
      </c>
      <c r="G836" s="3">
        <v>202207</v>
      </c>
      <c r="H836" s="3" t="s">
        <v>75</v>
      </c>
      <c r="I836" s="3" t="s">
        <v>76</v>
      </c>
      <c r="J836" s="3" t="s">
        <v>77</v>
      </c>
      <c r="K836" s="3" t="s">
        <v>78</v>
      </c>
      <c r="L836" s="3" t="s">
        <v>94</v>
      </c>
      <c r="M836" s="3" t="s">
        <v>95</v>
      </c>
      <c r="N836" s="3" t="s">
        <v>96</v>
      </c>
      <c r="O836" s="3" t="s">
        <v>82</v>
      </c>
      <c r="P836" s="3" t="str">
        <f>"2170814505                    "</f>
        <v xml:space="preserve">2170814505                    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15.46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1</v>
      </c>
      <c r="BI836" s="3">
        <v>1</v>
      </c>
      <c r="BJ836" s="3">
        <v>0.2</v>
      </c>
      <c r="BK836" s="3">
        <v>1</v>
      </c>
      <c r="BL836" s="3">
        <v>59</v>
      </c>
      <c r="BM836" s="3">
        <v>8.85</v>
      </c>
      <c r="BN836" s="3">
        <v>67.849999999999994</v>
      </c>
      <c r="BO836" s="3">
        <v>67.849999999999994</v>
      </c>
      <c r="BQ836" s="3" t="s">
        <v>89</v>
      </c>
      <c r="BR836" s="3" t="s">
        <v>84</v>
      </c>
      <c r="BS836" s="4">
        <v>44578</v>
      </c>
      <c r="BT836" s="5">
        <v>0.48819444444444443</v>
      </c>
      <c r="BU836" s="3" t="s">
        <v>1225</v>
      </c>
      <c r="BV836" s="3" t="s">
        <v>87</v>
      </c>
      <c r="BW836" s="3" t="s">
        <v>453</v>
      </c>
      <c r="BX836" s="3" t="s">
        <v>279</v>
      </c>
      <c r="BY836" s="3">
        <v>1200</v>
      </c>
      <c r="BZ836" s="3" t="s">
        <v>165</v>
      </c>
      <c r="CC836" s="3" t="s">
        <v>95</v>
      </c>
      <c r="CD836" s="3">
        <v>3201</v>
      </c>
      <c r="CE836" s="3" t="s">
        <v>93</v>
      </c>
      <c r="CF836" s="4">
        <v>44581</v>
      </c>
      <c r="CI836" s="3">
        <v>1</v>
      </c>
      <c r="CJ836" s="3">
        <v>1</v>
      </c>
      <c r="CK836" s="3">
        <v>21</v>
      </c>
      <c r="CL836" s="3" t="s">
        <v>87</v>
      </c>
    </row>
    <row r="837" spans="1:90" x14ac:dyDescent="0.2">
      <c r="A837" s="3" t="s">
        <v>72</v>
      </c>
      <c r="B837" s="3" t="s">
        <v>73</v>
      </c>
      <c r="C837" s="3" t="s">
        <v>74</v>
      </c>
      <c r="E837" s="3" t="str">
        <f>"FES1162845271"</f>
        <v>FES1162845271</v>
      </c>
      <c r="F837" s="4">
        <v>44575</v>
      </c>
      <c r="G837" s="3">
        <v>202207</v>
      </c>
      <c r="H837" s="3" t="s">
        <v>75</v>
      </c>
      <c r="I837" s="3" t="s">
        <v>76</v>
      </c>
      <c r="J837" s="3" t="s">
        <v>77</v>
      </c>
      <c r="K837" s="3" t="s">
        <v>78</v>
      </c>
      <c r="L837" s="3" t="s">
        <v>123</v>
      </c>
      <c r="M837" s="3" t="s">
        <v>124</v>
      </c>
      <c r="N837" s="3" t="s">
        <v>264</v>
      </c>
      <c r="O837" s="3" t="s">
        <v>82</v>
      </c>
      <c r="P837" s="3" t="str">
        <f>"2170816826                    "</f>
        <v xml:space="preserve">2170816826                    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12.07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1</v>
      </c>
      <c r="BI837" s="3">
        <v>1</v>
      </c>
      <c r="BJ837" s="3">
        <v>0.2</v>
      </c>
      <c r="BK837" s="3">
        <v>1</v>
      </c>
      <c r="BL837" s="3">
        <v>46.08</v>
      </c>
      <c r="BM837" s="3">
        <v>6.91</v>
      </c>
      <c r="BN837" s="3">
        <v>52.99</v>
      </c>
      <c r="BO837" s="3">
        <v>52.99</v>
      </c>
      <c r="BQ837" s="3" t="s">
        <v>89</v>
      </c>
      <c r="BR837" s="3" t="s">
        <v>84</v>
      </c>
      <c r="BS837" s="4">
        <v>44578</v>
      </c>
      <c r="BT837" s="5">
        <v>0.3298611111111111</v>
      </c>
      <c r="BU837" s="3" t="s">
        <v>865</v>
      </c>
      <c r="BV837" s="3" t="s">
        <v>105</v>
      </c>
      <c r="BY837" s="3">
        <v>1200</v>
      </c>
      <c r="BZ837" s="3" t="s">
        <v>165</v>
      </c>
      <c r="CC837" s="3" t="s">
        <v>124</v>
      </c>
      <c r="CD837" s="3">
        <v>1724</v>
      </c>
      <c r="CE837" s="3" t="s">
        <v>93</v>
      </c>
      <c r="CF837" s="4">
        <v>44579</v>
      </c>
      <c r="CI837" s="3">
        <v>1</v>
      </c>
      <c r="CJ837" s="3">
        <v>1</v>
      </c>
      <c r="CK837" s="3">
        <v>22</v>
      </c>
      <c r="CL837" s="3" t="s">
        <v>87</v>
      </c>
    </row>
    <row r="838" spans="1:90" x14ac:dyDescent="0.2">
      <c r="A838" s="3" t="s">
        <v>72</v>
      </c>
      <c r="B838" s="3" t="s">
        <v>73</v>
      </c>
      <c r="C838" s="3" t="s">
        <v>74</v>
      </c>
      <c r="E838" s="3" t="str">
        <f>"FES1162845273"</f>
        <v>FES1162845273</v>
      </c>
      <c r="F838" s="4">
        <v>44575</v>
      </c>
      <c r="G838" s="3">
        <v>202207</v>
      </c>
      <c r="H838" s="3" t="s">
        <v>75</v>
      </c>
      <c r="I838" s="3" t="s">
        <v>76</v>
      </c>
      <c r="J838" s="3" t="s">
        <v>77</v>
      </c>
      <c r="K838" s="3" t="s">
        <v>78</v>
      </c>
      <c r="L838" s="3" t="s">
        <v>101</v>
      </c>
      <c r="M838" s="3" t="s">
        <v>102</v>
      </c>
      <c r="N838" s="3" t="s">
        <v>272</v>
      </c>
      <c r="O838" s="3" t="s">
        <v>82</v>
      </c>
      <c r="P838" s="3" t="str">
        <f>"2170816830                    "</f>
        <v xml:space="preserve">2170816830                    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15.46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3">
        <v>1</v>
      </c>
      <c r="BI838" s="3">
        <v>1</v>
      </c>
      <c r="BJ838" s="3">
        <v>0.2</v>
      </c>
      <c r="BK838" s="3">
        <v>1</v>
      </c>
      <c r="BL838" s="3">
        <v>59</v>
      </c>
      <c r="BM838" s="3">
        <v>8.85</v>
      </c>
      <c r="BN838" s="3">
        <v>67.849999999999994</v>
      </c>
      <c r="BO838" s="3">
        <v>67.849999999999994</v>
      </c>
      <c r="BQ838" s="3" t="s">
        <v>273</v>
      </c>
      <c r="BR838" s="3" t="s">
        <v>84</v>
      </c>
      <c r="BS838" s="4">
        <v>44578</v>
      </c>
      <c r="BT838" s="5">
        <v>0.3888888888888889</v>
      </c>
      <c r="BU838" s="3" t="s">
        <v>274</v>
      </c>
      <c r="BV838" s="3" t="s">
        <v>105</v>
      </c>
      <c r="BY838" s="3">
        <v>1200</v>
      </c>
      <c r="BZ838" s="3" t="s">
        <v>165</v>
      </c>
      <c r="CA838" s="3" t="s">
        <v>275</v>
      </c>
      <c r="CC838" s="3" t="s">
        <v>102</v>
      </c>
      <c r="CD838" s="3">
        <v>4000</v>
      </c>
      <c r="CE838" s="3" t="s">
        <v>93</v>
      </c>
      <c r="CF838" s="4">
        <v>44579</v>
      </c>
      <c r="CI838" s="3">
        <v>1</v>
      </c>
      <c r="CJ838" s="3">
        <v>1</v>
      </c>
      <c r="CK838" s="3">
        <v>21</v>
      </c>
      <c r="CL838" s="3" t="s">
        <v>87</v>
      </c>
    </row>
    <row r="839" spans="1:90" x14ac:dyDescent="0.2">
      <c r="A839" s="3" t="s">
        <v>72</v>
      </c>
      <c r="B839" s="3" t="s">
        <v>73</v>
      </c>
      <c r="C839" s="3" t="s">
        <v>74</v>
      </c>
      <c r="E839" s="3" t="str">
        <f>"FES1162845256"</f>
        <v>FES1162845256</v>
      </c>
      <c r="F839" s="4">
        <v>44575</v>
      </c>
      <c r="G839" s="3">
        <v>202207</v>
      </c>
      <c r="H839" s="3" t="s">
        <v>75</v>
      </c>
      <c r="I839" s="3" t="s">
        <v>76</v>
      </c>
      <c r="J839" s="3" t="s">
        <v>77</v>
      </c>
      <c r="K839" s="3" t="s">
        <v>78</v>
      </c>
      <c r="L839" s="3" t="s">
        <v>101</v>
      </c>
      <c r="M839" s="3" t="s">
        <v>102</v>
      </c>
      <c r="N839" s="3" t="s">
        <v>272</v>
      </c>
      <c r="O839" s="3" t="s">
        <v>82</v>
      </c>
      <c r="P839" s="3" t="str">
        <f>"2170816808                    "</f>
        <v xml:space="preserve">2170816808                    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15.46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1</v>
      </c>
      <c r="BI839" s="3">
        <v>1</v>
      </c>
      <c r="BJ839" s="3">
        <v>0.2</v>
      </c>
      <c r="BK839" s="3">
        <v>1</v>
      </c>
      <c r="BL839" s="3">
        <v>59</v>
      </c>
      <c r="BM839" s="3">
        <v>8.85</v>
      </c>
      <c r="BN839" s="3">
        <v>67.849999999999994</v>
      </c>
      <c r="BO839" s="3">
        <v>67.849999999999994</v>
      </c>
      <c r="BQ839" s="3" t="s">
        <v>273</v>
      </c>
      <c r="BR839" s="3" t="s">
        <v>84</v>
      </c>
      <c r="BS839" s="4">
        <v>44578</v>
      </c>
      <c r="BT839" s="5">
        <v>0.3888888888888889</v>
      </c>
      <c r="BU839" s="3" t="s">
        <v>274</v>
      </c>
      <c r="BV839" s="3" t="s">
        <v>105</v>
      </c>
      <c r="BY839" s="3">
        <v>1200</v>
      </c>
      <c r="BZ839" s="3" t="s">
        <v>165</v>
      </c>
      <c r="CA839" s="3" t="s">
        <v>275</v>
      </c>
      <c r="CC839" s="3" t="s">
        <v>102</v>
      </c>
      <c r="CD839" s="3">
        <v>4000</v>
      </c>
      <c r="CE839" s="3" t="s">
        <v>93</v>
      </c>
      <c r="CF839" s="4">
        <v>44579</v>
      </c>
      <c r="CI839" s="3">
        <v>1</v>
      </c>
      <c r="CJ839" s="3">
        <v>1</v>
      </c>
      <c r="CK839" s="3">
        <v>21</v>
      </c>
      <c r="CL839" s="3" t="s">
        <v>87</v>
      </c>
    </row>
    <row r="840" spans="1:90" x14ac:dyDescent="0.2">
      <c r="A840" s="3" t="s">
        <v>72</v>
      </c>
      <c r="B840" s="3" t="s">
        <v>73</v>
      </c>
      <c r="C840" s="3" t="s">
        <v>74</v>
      </c>
      <c r="E840" s="3" t="str">
        <f>"FES1162845265"</f>
        <v>FES1162845265</v>
      </c>
      <c r="F840" s="4">
        <v>44575</v>
      </c>
      <c r="G840" s="3">
        <v>202207</v>
      </c>
      <c r="H840" s="3" t="s">
        <v>75</v>
      </c>
      <c r="I840" s="3" t="s">
        <v>76</v>
      </c>
      <c r="J840" s="3" t="s">
        <v>77</v>
      </c>
      <c r="K840" s="3" t="s">
        <v>78</v>
      </c>
      <c r="L840" s="3" t="s">
        <v>90</v>
      </c>
      <c r="M840" s="3" t="s">
        <v>91</v>
      </c>
      <c r="N840" s="3" t="s">
        <v>157</v>
      </c>
      <c r="O840" s="3" t="s">
        <v>82</v>
      </c>
      <c r="P840" s="3" t="str">
        <f>"2170816819                    "</f>
        <v xml:space="preserve">2170816819                    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15.46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3">
        <v>1</v>
      </c>
      <c r="BI840" s="3">
        <v>1</v>
      </c>
      <c r="BJ840" s="3">
        <v>0.2</v>
      </c>
      <c r="BK840" s="3">
        <v>1</v>
      </c>
      <c r="BL840" s="3">
        <v>59</v>
      </c>
      <c r="BM840" s="3">
        <v>8.85</v>
      </c>
      <c r="BN840" s="3">
        <v>67.849999999999994</v>
      </c>
      <c r="BO840" s="3">
        <v>67.849999999999994</v>
      </c>
      <c r="BQ840" s="3" t="s">
        <v>89</v>
      </c>
      <c r="BR840" s="3" t="s">
        <v>84</v>
      </c>
      <c r="BS840" s="4">
        <v>44578</v>
      </c>
      <c r="BT840" s="5">
        <v>0.36319444444444443</v>
      </c>
      <c r="BU840" s="3" t="s">
        <v>693</v>
      </c>
      <c r="BV840" s="3" t="s">
        <v>105</v>
      </c>
      <c r="BY840" s="3">
        <v>1200</v>
      </c>
      <c r="BZ840" s="3" t="s">
        <v>165</v>
      </c>
      <c r="CA840" s="3" t="s">
        <v>289</v>
      </c>
      <c r="CC840" s="3" t="s">
        <v>91</v>
      </c>
      <c r="CD840" s="3">
        <v>7441</v>
      </c>
      <c r="CE840" s="3" t="s">
        <v>93</v>
      </c>
      <c r="CF840" s="4">
        <v>44579</v>
      </c>
      <c r="CI840" s="3">
        <v>1</v>
      </c>
      <c r="CJ840" s="3">
        <v>1</v>
      </c>
      <c r="CK840" s="3">
        <v>21</v>
      </c>
      <c r="CL840" s="3" t="s">
        <v>87</v>
      </c>
    </row>
    <row r="841" spans="1:90" x14ac:dyDescent="0.2">
      <c r="A841" s="3" t="s">
        <v>72</v>
      </c>
      <c r="B841" s="3" t="s">
        <v>73</v>
      </c>
      <c r="C841" s="3" t="s">
        <v>74</v>
      </c>
      <c r="E841" s="3" t="str">
        <f>"FES1162845253"</f>
        <v>FES1162845253</v>
      </c>
      <c r="F841" s="4">
        <v>44575</v>
      </c>
      <c r="G841" s="3">
        <v>202207</v>
      </c>
      <c r="H841" s="3" t="s">
        <v>75</v>
      </c>
      <c r="I841" s="3" t="s">
        <v>76</v>
      </c>
      <c r="J841" s="3" t="s">
        <v>77</v>
      </c>
      <c r="K841" s="3" t="s">
        <v>78</v>
      </c>
      <c r="L841" s="3" t="s">
        <v>176</v>
      </c>
      <c r="M841" s="3" t="s">
        <v>177</v>
      </c>
      <c r="N841" s="3" t="s">
        <v>178</v>
      </c>
      <c r="O841" s="3" t="s">
        <v>82</v>
      </c>
      <c r="P841" s="3" t="str">
        <f>"2170816805                    "</f>
        <v xml:space="preserve">2170816805                    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15.46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1</v>
      </c>
      <c r="BI841" s="3">
        <v>1</v>
      </c>
      <c r="BJ841" s="3">
        <v>0.2</v>
      </c>
      <c r="BK841" s="3">
        <v>1</v>
      </c>
      <c r="BL841" s="3">
        <v>59</v>
      </c>
      <c r="BM841" s="3">
        <v>8.85</v>
      </c>
      <c r="BN841" s="3">
        <v>67.849999999999994</v>
      </c>
      <c r="BO841" s="3">
        <v>67.849999999999994</v>
      </c>
      <c r="BQ841" s="3" t="s">
        <v>83</v>
      </c>
      <c r="BR841" s="3" t="s">
        <v>84</v>
      </c>
      <c r="BS841" s="4">
        <v>44578</v>
      </c>
      <c r="BT841" s="5">
        <v>0.41875000000000001</v>
      </c>
      <c r="BU841" s="3" t="s">
        <v>1135</v>
      </c>
      <c r="BV841" s="3" t="s">
        <v>105</v>
      </c>
      <c r="BY841" s="3">
        <v>1200</v>
      </c>
      <c r="BZ841" s="3" t="s">
        <v>165</v>
      </c>
      <c r="CA841" s="3" t="s">
        <v>1040</v>
      </c>
      <c r="CC841" s="3" t="s">
        <v>177</v>
      </c>
      <c r="CD841" s="3">
        <v>4026</v>
      </c>
      <c r="CE841" s="3" t="s">
        <v>93</v>
      </c>
      <c r="CF841" s="4">
        <v>44579</v>
      </c>
      <c r="CI841" s="3">
        <v>1</v>
      </c>
      <c r="CJ841" s="3">
        <v>1</v>
      </c>
      <c r="CK841" s="3">
        <v>21</v>
      </c>
      <c r="CL841" s="3" t="s">
        <v>87</v>
      </c>
    </row>
    <row r="842" spans="1:90" x14ac:dyDescent="0.2">
      <c r="A842" s="3" t="s">
        <v>72</v>
      </c>
      <c r="B842" s="3" t="s">
        <v>73</v>
      </c>
      <c r="C842" s="3" t="s">
        <v>74</v>
      </c>
      <c r="E842" s="3" t="str">
        <f>"FES1162845254"</f>
        <v>FES1162845254</v>
      </c>
      <c r="F842" s="4">
        <v>44575</v>
      </c>
      <c r="G842" s="3">
        <v>202207</v>
      </c>
      <c r="H842" s="3" t="s">
        <v>75</v>
      </c>
      <c r="I842" s="3" t="s">
        <v>76</v>
      </c>
      <c r="J842" s="3" t="s">
        <v>77</v>
      </c>
      <c r="K842" s="3" t="s">
        <v>78</v>
      </c>
      <c r="L842" s="3" t="s">
        <v>90</v>
      </c>
      <c r="M842" s="3" t="s">
        <v>91</v>
      </c>
      <c r="N842" s="3" t="s">
        <v>1095</v>
      </c>
      <c r="O842" s="3" t="s">
        <v>82</v>
      </c>
      <c r="P842" s="3" t="str">
        <f>"2170816806                    "</f>
        <v xml:space="preserve">2170816806                    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15.46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1</v>
      </c>
      <c r="BI842" s="3">
        <v>1</v>
      </c>
      <c r="BJ842" s="3">
        <v>0.2</v>
      </c>
      <c r="BK842" s="3">
        <v>1</v>
      </c>
      <c r="BL842" s="3">
        <v>59</v>
      </c>
      <c r="BM842" s="3">
        <v>8.85</v>
      </c>
      <c r="BN842" s="3">
        <v>67.849999999999994</v>
      </c>
      <c r="BO842" s="3">
        <v>67.849999999999994</v>
      </c>
      <c r="BQ842" s="3" t="s">
        <v>83</v>
      </c>
      <c r="BR842" s="3" t="s">
        <v>84</v>
      </c>
      <c r="BS842" s="4">
        <v>44578</v>
      </c>
      <c r="BT842" s="5">
        <v>0.41111111111111115</v>
      </c>
      <c r="BU842" s="3" t="s">
        <v>538</v>
      </c>
      <c r="BV842" s="3" t="s">
        <v>105</v>
      </c>
      <c r="BY842" s="3">
        <v>1200</v>
      </c>
      <c r="BZ842" s="3" t="s">
        <v>165</v>
      </c>
      <c r="CA842" s="3" t="s">
        <v>289</v>
      </c>
      <c r="CC842" s="3" t="s">
        <v>91</v>
      </c>
      <c r="CD842" s="3">
        <v>7441</v>
      </c>
      <c r="CE842" s="3" t="s">
        <v>93</v>
      </c>
      <c r="CF842" s="4">
        <v>44579</v>
      </c>
      <c r="CI842" s="3">
        <v>1</v>
      </c>
      <c r="CJ842" s="3">
        <v>1</v>
      </c>
      <c r="CK842" s="3">
        <v>21</v>
      </c>
      <c r="CL842" s="3" t="s">
        <v>87</v>
      </c>
    </row>
    <row r="843" spans="1:90" x14ac:dyDescent="0.2">
      <c r="A843" s="3" t="s">
        <v>72</v>
      </c>
      <c r="B843" s="3" t="s">
        <v>73</v>
      </c>
      <c r="C843" s="3" t="s">
        <v>74</v>
      </c>
      <c r="E843" s="3" t="str">
        <f>"FES1162844931"</f>
        <v>FES1162844931</v>
      </c>
      <c r="F843" s="4">
        <v>44574</v>
      </c>
      <c r="G843" s="3">
        <v>202207</v>
      </c>
      <c r="H843" s="3" t="s">
        <v>75</v>
      </c>
      <c r="I843" s="3" t="s">
        <v>76</v>
      </c>
      <c r="J843" s="3" t="s">
        <v>77</v>
      </c>
      <c r="K843" s="3" t="s">
        <v>78</v>
      </c>
      <c r="L843" s="3" t="s">
        <v>97</v>
      </c>
      <c r="M843" s="3" t="s">
        <v>98</v>
      </c>
      <c r="N843" s="3" t="s">
        <v>1068</v>
      </c>
      <c r="O843" s="3" t="s">
        <v>82</v>
      </c>
      <c r="P843" s="3" t="str">
        <f>"2170816499                    "</f>
        <v xml:space="preserve">2170816499                    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12.07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1</v>
      </c>
      <c r="BI843" s="3">
        <v>1</v>
      </c>
      <c r="BJ843" s="3">
        <v>0.2</v>
      </c>
      <c r="BK843" s="3">
        <v>1</v>
      </c>
      <c r="BL843" s="3">
        <v>46.08</v>
      </c>
      <c r="BM843" s="3">
        <v>6.91</v>
      </c>
      <c r="BN843" s="3">
        <v>52.99</v>
      </c>
      <c r="BO843" s="3">
        <v>52.99</v>
      </c>
      <c r="BR843" s="3" t="s">
        <v>84</v>
      </c>
      <c r="BS843" s="4">
        <v>44575</v>
      </c>
      <c r="BT843" s="5">
        <v>0.34930555555555554</v>
      </c>
      <c r="BU843" s="3" t="s">
        <v>1069</v>
      </c>
      <c r="BV843" s="3" t="s">
        <v>105</v>
      </c>
      <c r="BY843" s="3">
        <v>1200</v>
      </c>
      <c r="BZ843" s="3" t="s">
        <v>165</v>
      </c>
      <c r="CA843" s="3" t="s">
        <v>297</v>
      </c>
      <c r="CC843" s="3" t="s">
        <v>98</v>
      </c>
      <c r="CD843" s="3">
        <v>2013</v>
      </c>
      <c r="CE843" s="3" t="s">
        <v>93</v>
      </c>
      <c r="CF843" s="4">
        <v>44576</v>
      </c>
      <c r="CI843" s="3">
        <v>1</v>
      </c>
      <c r="CJ843" s="3">
        <v>1</v>
      </c>
      <c r="CK843" s="3">
        <v>22</v>
      </c>
      <c r="CL843" s="3" t="s">
        <v>87</v>
      </c>
    </row>
    <row r="844" spans="1:90" x14ac:dyDescent="0.2">
      <c r="A844" s="3" t="s">
        <v>72</v>
      </c>
      <c r="B844" s="3" t="s">
        <v>73</v>
      </c>
      <c r="C844" s="3" t="s">
        <v>74</v>
      </c>
      <c r="E844" s="3" t="str">
        <f>"FES1162845003"</f>
        <v>FES1162845003</v>
      </c>
      <c r="F844" s="4">
        <v>44574</v>
      </c>
      <c r="G844" s="3">
        <v>202207</v>
      </c>
      <c r="H844" s="3" t="s">
        <v>75</v>
      </c>
      <c r="I844" s="3" t="s">
        <v>76</v>
      </c>
      <c r="J844" s="3" t="s">
        <v>77</v>
      </c>
      <c r="K844" s="3" t="s">
        <v>78</v>
      </c>
      <c r="L844" s="3" t="s">
        <v>90</v>
      </c>
      <c r="M844" s="3" t="s">
        <v>91</v>
      </c>
      <c r="N844" s="3" t="s">
        <v>541</v>
      </c>
      <c r="O844" s="3" t="s">
        <v>82</v>
      </c>
      <c r="P844" s="3" t="str">
        <f>"2170816559                    "</f>
        <v xml:space="preserve">2170816559                    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15.46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1</v>
      </c>
      <c r="BI844" s="3">
        <v>1</v>
      </c>
      <c r="BJ844" s="3">
        <v>0.2</v>
      </c>
      <c r="BK844" s="3">
        <v>1</v>
      </c>
      <c r="BL844" s="3">
        <v>59</v>
      </c>
      <c r="BM844" s="3">
        <v>8.85</v>
      </c>
      <c r="BN844" s="3">
        <v>67.849999999999994</v>
      </c>
      <c r="BO844" s="3">
        <v>67.849999999999994</v>
      </c>
      <c r="BQ844" s="3" t="s">
        <v>89</v>
      </c>
      <c r="BR844" s="3" t="s">
        <v>84</v>
      </c>
      <c r="BS844" s="4">
        <v>44575</v>
      </c>
      <c r="BT844" s="5">
        <v>0.4368055555555555</v>
      </c>
      <c r="BU844" s="3" t="s">
        <v>542</v>
      </c>
      <c r="BV844" s="3" t="s">
        <v>105</v>
      </c>
      <c r="BY844" s="3">
        <v>1200</v>
      </c>
      <c r="BZ844" s="3" t="s">
        <v>165</v>
      </c>
      <c r="CA844" s="3" t="s">
        <v>543</v>
      </c>
      <c r="CC844" s="3" t="s">
        <v>91</v>
      </c>
      <c r="CD844" s="3">
        <v>7561</v>
      </c>
      <c r="CE844" s="3" t="s">
        <v>93</v>
      </c>
      <c r="CF844" s="4">
        <v>44578</v>
      </c>
      <c r="CI844" s="3">
        <v>1</v>
      </c>
      <c r="CJ844" s="3">
        <v>1</v>
      </c>
      <c r="CK844" s="3">
        <v>21</v>
      </c>
      <c r="CL844" s="3" t="s">
        <v>87</v>
      </c>
    </row>
    <row r="845" spans="1:90" x14ac:dyDescent="0.2">
      <c r="A845" s="3" t="s">
        <v>72</v>
      </c>
      <c r="B845" s="3" t="s">
        <v>73</v>
      </c>
      <c r="C845" s="3" t="s">
        <v>74</v>
      </c>
      <c r="E845" s="3" t="str">
        <f>"FES1162845000"</f>
        <v>FES1162845000</v>
      </c>
      <c r="F845" s="4">
        <v>44574</v>
      </c>
      <c r="G845" s="3">
        <v>202207</v>
      </c>
      <c r="H845" s="3" t="s">
        <v>75</v>
      </c>
      <c r="I845" s="3" t="s">
        <v>76</v>
      </c>
      <c r="J845" s="3" t="s">
        <v>77</v>
      </c>
      <c r="K845" s="3" t="s">
        <v>78</v>
      </c>
      <c r="L845" s="3" t="s">
        <v>90</v>
      </c>
      <c r="M845" s="3" t="s">
        <v>91</v>
      </c>
      <c r="N845" s="3" t="s">
        <v>1226</v>
      </c>
      <c r="O845" s="3" t="s">
        <v>82</v>
      </c>
      <c r="P845" s="3" t="str">
        <f>"2170816562                    "</f>
        <v xml:space="preserve">2170816562                    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15.46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1</v>
      </c>
      <c r="BI845" s="3">
        <v>1</v>
      </c>
      <c r="BJ845" s="3">
        <v>0.2</v>
      </c>
      <c r="BK845" s="3">
        <v>1</v>
      </c>
      <c r="BL845" s="3">
        <v>59</v>
      </c>
      <c r="BM845" s="3">
        <v>8.85</v>
      </c>
      <c r="BN845" s="3">
        <v>67.849999999999994</v>
      </c>
      <c r="BO845" s="3">
        <v>67.849999999999994</v>
      </c>
      <c r="BQ845" s="3" t="s">
        <v>83</v>
      </c>
      <c r="BR845" s="3" t="s">
        <v>84</v>
      </c>
      <c r="BS845" s="4">
        <v>44575</v>
      </c>
      <c r="BT845" s="5">
        <v>0.46527777777777773</v>
      </c>
      <c r="BU845" s="3" t="s">
        <v>1227</v>
      </c>
      <c r="BV845" s="3" t="s">
        <v>87</v>
      </c>
      <c r="BW845" s="3" t="s">
        <v>353</v>
      </c>
      <c r="BX845" s="3" t="s">
        <v>354</v>
      </c>
      <c r="BY845" s="3">
        <v>1200</v>
      </c>
      <c r="BZ845" s="3" t="s">
        <v>165</v>
      </c>
      <c r="CA845" s="3" t="s">
        <v>1228</v>
      </c>
      <c r="CC845" s="3" t="s">
        <v>91</v>
      </c>
      <c r="CD845" s="3">
        <v>8000</v>
      </c>
      <c r="CE845" s="3" t="s">
        <v>93</v>
      </c>
      <c r="CF845" s="4">
        <v>44578</v>
      </c>
      <c r="CI845" s="3">
        <v>1</v>
      </c>
      <c r="CJ845" s="3">
        <v>1</v>
      </c>
      <c r="CK845" s="3">
        <v>21</v>
      </c>
      <c r="CL845" s="3" t="s">
        <v>87</v>
      </c>
    </row>
    <row r="846" spans="1:90" x14ac:dyDescent="0.2">
      <c r="A846" s="3" t="s">
        <v>72</v>
      </c>
      <c r="B846" s="3" t="s">
        <v>73</v>
      </c>
      <c r="C846" s="3" t="s">
        <v>74</v>
      </c>
      <c r="E846" s="3" t="str">
        <f>"FES1162844954"</f>
        <v>FES1162844954</v>
      </c>
      <c r="F846" s="4">
        <v>44574</v>
      </c>
      <c r="G846" s="3">
        <v>202207</v>
      </c>
      <c r="H846" s="3" t="s">
        <v>75</v>
      </c>
      <c r="I846" s="3" t="s">
        <v>76</v>
      </c>
      <c r="J846" s="3" t="s">
        <v>77</v>
      </c>
      <c r="K846" s="3" t="s">
        <v>78</v>
      </c>
      <c r="L846" s="3" t="s">
        <v>138</v>
      </c>
      <c r="M846" s="3" t="s">
        <v>139</v>
      </c>
      <c r="N846" s="3" t="s">
        <v>140</v>
      </c>
      <c r="O846" s="3" t="s">
        <v>82</v>
      </c>
      <c r="P846" s="3" t="str">
        <f>"2170815699                    "</f>
        <v xml:space="preserve">2170815699                    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46.36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3">
        <v>1</v>
      </c>
      <c r="BI846" s="3">
        <v>6</v>
      </c>
      <c r="BJ846" s="3">
        <v>2.2000000000000002</v>
      </c>
      <c r="BK846" s="3">
        <v>6</v>
      </c>
      <c r="BL846" s="3">
        <v>176.94</v>
      </c>
      <c r="BM846" s="3">
        <v>26.54</v>
      </c>
      <c r="BN846" s="3">
        <v>203.48</v>
      </c>
      <c r="BO846" s="3">
        <v>203.48</v>
      </c>
      <c r="BQ846" s="3" t="s">
        <v>126</v>
      </c>
      <c r="BR846" s="3" t="s">
        <v>84</v>
      </c>
      <c r="BS846" s="4">
        <v>44575</v>
      </c>
      <c r="BT846" s="5">
        <v>0.35625000000000001</v>
      </c>
      <c r="BU846" s="3" t="s">
        <v>819</v>
      </c>
      <c r="BV846" s="3" t="s">
        <v>105</v>
      </c>
      <c r="BY846" s="3">
        <v>10800</v>
      </c>
      <c r="BZ846" s="3" t="s">
        <v>165</v>
      </c>
      <c r="CA846" s="3" t="s">
        <v>334</v>
      </c>
      <c r="CC846" s="3" t="s">
        <v>139</v>
      </c>
      <c r="CD846" s="3">
        <v>3610</v>
      </c>
      <c r="CE846" s="3" t="s">
        <v>86</v>
      </c>
      <c r="CF846" s="4">
        <v>44578</v>
      </c>
      <c r="CI846" s="3">
        <v>1</v>
      </c>
      <c r="CJ846" s="3">
        <v>1</v>
      </c>
      <c r="CK846" s="3">
        <v>21</v>
      </c>
      <c r="CL846" s="3" t="s">
        <v>87</v>
      </c>
    </row>
    <row r="847" spans="1:90" x14ac:dyDescent="0.2">
      <c r="A847" s="3" t="s">
        <v>72</v>
      </c>
      <c r="B847" s="3" t="s">
        <v>73</v>
      </c>
      <c r="C847" s="3" t="s">
        <v>74</v>
      </c>
      <c r="E847" s="3" t="str">
        <f>"FES1162844998"</f>
        <v>FES1162844998</v>
      </c>
      <c r="F847" s="4">
        <v>44574</v>
      </c>
      <c r="G847" s="3">
        <v>202207</v>
      </c>
      <c r="H847" s="3" t="s">
        <v>75</v>
      </c>
      <c r="I847" s="3" t="s">
        <v>76</v>
      </c>
      <c r="J847" s="3" t="s">
        <v>77</v>
      </c>
      <c r="K847" s="3" t="s">
        <v>78</v>
      </c>
      <c r="L847" s="3" t="s">
        <v>133</v>
      </c>
      <c r="M847" s="3" t="s">
        <v>134</v>
      </c>
      <c r="N847" s="3" t="s">
        <v>1115</v>
      </c>
      <c r="O847" s="3" t="s">
        <v>82</v>
      </c>
      <c r="P847" s="3" t="str">
        <f>"2170816549                    "</f>
        <v xml:space="preserve">2170816549                    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32.33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v>0</v>
      </c>
      <c r="BA847" s="3">
        <v>0</v>
      </c>
      <c r="BB847" s="3">
        <v>0</v>
      </c>
      <c r="BC847" s="3">
        <v>0</v>
      </c>
      <c r="BD847" s="3">
        <v>0</v>
      </c>
      <c r="BE847" s="3">
        <v>0</v>
      </c>
      <c r="BF847" s="3">
        <v>0</v>
      </c>
      <c r="BG847" s="3">
        <v>0</v>
      </c>
      <c r="BH847" s="3">
        <v>1</v>
      </c>
      <c r="BI847" s="3">
        <v>3</v>
      </c>
      <c r="BJ847" s="3">
        <v>1.1000000000000001</v>
      </c>
      <c r="BK847" s="3">
        <v>3</v>
      </c>
      <c r="BL847" s="3">
        <v>123.39</v>
      </c>
      <c r="BM847" s="3">
        <v>18.510000000000002</v>
      </c>
      <c r="BN847" s="3">
        <v>141.9</v>
      </c>
      <c r="BO847" s="3">
        <v>141.9</v>
      </c>
      <c r="BQ847" s="3" t="s">
        <v>89</v>
      </c>
      <c r="BR847" s="3" t="s">
        <v>84</v>
      </c>
      <c r="BS847" s="4">
        <v>44575</v>
      </c>
      <c r="BT847" s="5">
        <v>0.41250000000000003</v>
      </c>
      <c r="BU847" s="3" t="s">
        <v>1229</v>
      </c>
      <c r="BV847" s="3" t="s">
        <v>105</v>
      </c>
      <c r="BY847" s="3">
        <v>5320</v>
      </c>
      <c r="BZ847" s="3" t="s">
        <v>165</v>
      </c>
      <c r="CA847" s="3" t="s">
        <v>1015</v>
      </c>
      <c r="CC847" s="3" t="s">
        <v>134</v>
      </c>
      <c r="CD847" s="3">
        <v>1900</v>
      </c>
      <c r="CE847" s="3" t="s">
        <v>86</v>
      </c>
      <c r="CF847" s="4">
        <v>44576</v>
      </c>
      <c r="CI847" s="3">
        <v>1</v>
      </c>
      <c r="CJ847" s="3">
        <v>1</v>
      </c>
      <c r="CK847" s="3">
        <v>24</v>
      </c>
      <c r="CL847" s="3" t="s">
        <v>87</v>
      </c>
    </row>
    <row r="848" spans="1:90" x14ac:dyDescent="0.2">
      <c r="A848" s="3" t="s">
        <v>72</v>
      </c>
      <c r="B848" s="3" t="s">
        <v>73</v>
      </c>
      <c r="C848" s="3" t="s">
        <v>74</v>
      </c>
      <c r="E848" s="3" t="str">
        <f>"FES1162844923"</f>
        <v>FES1162844923</v>
      </c>
      <c r="F848" s="4">
        <v>44574</v>
      </c>
      <c r="G848" s="3">
        <v>202207</v>
      </c>
      <c r="H848" s="3" t="s">
        <v>75</v>
      </c>
      <c r="I848" s="3" t="s">
        <v>76</v>
      </c>
      <c r="J848" s="3" t="s">
        <v>77</v>
      </c>
      <c r="K848" s="3" t="s">
        <v>78</v>
      </c>
      <c r="L848" s="3" t="s">
        <v>133</v>
      </c>
      <c r="M848" s="3" t="s">
        <v>134</v>
      </c>
      <c r="N848" s="3" t="s">
        <v>135</v>
      </c>
      <c r="O848" s="3" t="s">
        <v>82</v>
      </c>
      <c r="P848" s="3" t="str">
        <f>"2170816486                    "</f>
        <v xml:space="preserve">2170816486                    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32.33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3">
        <v>1</v>
      </c>
      <c r="BI848" s="3">
        <v>2</v>
      </c>
      <c r="BJ848" s="3">
        <v>2.6</v>
      </c>
      <c r="BK848" s="3">
        <v>3</v>
      </c>
      <c r="BL848" s="3">
        <v>123.39</v>
      </c>
      <c r="BM848" s="3">
        <v>18.510000000000002</v>
      </c>
      <c r="BN848" s="3">
        <v>141.9</v>
      </c>
      <c r="BO848" s="3">
        <v>141.9</v>
      </c>
      <c r="BQ848" s="3" t="s">
        <v>83</v>
      </c>
      <c r="BR848" s="3" t="s">
        <v>84</v>
      </c>
      <c r="BS848" s="4">
        <v>44575</v>
      </c>
      <c r="BT848" s="5">
        <v>0.40625</v>
      </c>
      <c r="BU848" s="3" t="s">
        <v>1014</v>
      </c>
      <c r="BV848" s="3" t="s">
        <v>105</v>
      </c>
      <c r="BY848" s="3">
        <v>13068</v>
      </c>
      <c r="BZ848" s="3" t="s">
        <v>165</v>
      </c>
      <c r="CA848" s="3" t="s">
        <v>1015</v>
      </c>
      <c r="CC848" s="3" t="s">
        <v>134</v>
      </c>
      <c r="CD848" s="3">
        <v>1911</v>
      </c>
      <c r="CE848" s="3" t="s">
        <v>86</v>
      </c>
      <c r="CF848" s="4">
        <v>44582</v>
      </c>
      <c r="CI848" s="3">
        <v>1</v>
      </c>
      <c r="CJ848" s="3">
        <v>1</v>
      </c>
      <c r="CK848" s="3">
        <v>24</v>
      </c>
      <c r="CL848" s="3" t="s">
        <v>87</v>
      </c>
    </row>
    <row r="849" spans="1:90" x14ac:dyDescent="0.2">
      <c r="A849" s="3" t="s">
        <v>72</v>
      </c>
      <c r="B849" s="3" t="s">
        <v>73</v>
      </c>
      <c r="C849" s="3" t="s">
        <v>74</v>
      </c>
      <c r="E849" s="3" t="str">
        <f>"FES1162844972"</f>
        <v>FES1162844972</v>
      </c>
      <c r="F849" s="4">
        <v>44574</v>
      </c>
      <c r="G849" s="3">
        <v>202207</v>
      </c>
      <c r="H849" s="3" t="s">
        <v>75</v>
      </c>
      <c r="I849" s="3" t="s">
        <v>76</v>
      </c>
      <c r="J849" s="3" t="s">
        <v>77</v>
      </c>
      <c r="K849" s="3" t="s">
        <v>78</v>
      </c>
      <c r="L849" s="3" t="s">
        <v>97</v>
      </c>
      <c r="M849" s="3" t="s">
        <v>98</v>
      </c>
      <c r="N849" s="3" t="s">
        <v>845</v>
      </c>
      <c r="O849" s="3" t="s">
        <v>82</v>
      </c>
      <c r="P849" s="3" t="str">
        <f>"2170816528                    "</f>
        <v xml:space="preserve">2170816528                    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12.07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v>0</v>
      </c>
      <c r="BA849" s="3">
        <v>0</v>
      </c>
      <c r="BB849" s="3">
        <v>0</v>
      </c>
      <c r="BC849" s="3">
        <v>0</v>
      </c>
      <c r="BD849" s="3">
        <v>0</v>
      </c>
      <c r="BE849" s="3">
        <v>0</v>
      </c>
      <c r="BF849" s="3">
        <v>0</v>
      </c>
      <c r="BG849" s="3">
        <v>0</v>
      </c>
      <c r="BH849" s="3">
        <v>1</v>
      </c>
      <c r="BI849" s="3">
        <v>1</v>
      </c>
      <c r="BJ849" s="3">
        <v>0.2</v>
      </c>
      <c r="BK849" s="3">
        <v>1</v>
      </c>
      <c r="BL849" s="3">
        <v>46.08</v>
      </c>
      <c r="BM849" s="3">
        <v>6.91</v>
      </c>
      <c r="BN849" s="3">
        <v>52.99</v>
      </c>
      <c r="BO849" s="3">
        <v>52.99</v>
      </c>
      <c r="BQ849" s="3" t="s">
        <v>83</v>
      </c>
      <c r="BR849" s="3" t="s">
        <v>84</v>
      </c>
      <c r="BS849" s="4">
        <v>44575</v>
      </c>
      <c r="BT849" s="5">
        <v>0.37708333333333338</v>
      </c>
      <c r="BU849" s="3" t="s">
        <v>1230</v>
      </c>
      <c r="BV849" s="3" t="s">
        <v>105</v>
      </c>
      <c r="BY849" s="3">
        <v>1200</v>
      </c>
      <c r="BZ849" s="3" t="s">
        <v>165</v>
      </c>
      <c r="CA849" s="3" t="s">
        <v>1189</v>
      </c>
      <c r="CC849" s="3" t="s">
        <v>98</v>
      </c>
      <c r="CD849" s="3">
        <v>2091</v>
      </c>
      <c r="CE849" s="3" t="s">
        <v>93</v>
      </c>
      <c r="CF849" s="4">
        <v>44575</v>
      </c>
      <c r="CI849" s="3">
        <v>1</v>
      </c>
      <c r="CJ849" s="3">
        <v>1</v>
      </c>
      <c r="CK849" s="3">
        <v>22</v>
      </c>
      <c r="CL849" s="3" t="s">
        <v>87</v>
      </c>
    </row>
    <row r="850" spans="1:90" x14ac:dyDescent="0.2">
      <c r="A850" s="3" t="s">
        <v>72</v>
      </c>
      <c r="B850" s="3" t="s">
        <v>73</v>
      </c>
      <c r="C850" s="3" t="s">
        <v>74</v>
      </c>
      <c r="E850" s="3" t="str">
        <f>"FES1162844958"</f>
        <v>FES1162844958</v>
      </c>
      <c r="F850" s="4">
        <v>44574</v>
      </c>
      <c r="G850" s="3">
        <v>202207</v>
      </c>
      <c r="H850" s="3" t="s">
        <v>75</v>
      </c>
      <c r="I850" s="3" t="s">
        <v>76</v>
      </c>
      <c r="J850" s="3" t="s">
        <v>77</v>
      </c>
      <c r="K850" s="3" t="s">
        <v>78</v>
      </c>
      <c r="L850" s="3" t="s">
        <v>101</v>
      </c>
      <c r="M850" s="3" t="s">
        <v>102</v>
      </c>
      <c r="N850" s="3" t="s">
        <v>699</v>
      </c>
      <c r="O850" s="3" t="s">
        <v>82</v>
      </c>
      <c r="P850" s="3" t="str">
        <f>"2170814365                    "</f>
        <v xml:space="preserve">2170814365                    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15.46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1</v>
      </c>
      <c r="BI850" s="3">
        <v>1</v>
      </c>
      <c r="BJ850" s="3">
        <v>2</v>
      </c>
      <c r="BK850" s="3">
        <v>2</v>
      </c>
      <c r="BL850" s="3">
        <v>59</v>
      </c>
      <c r="BM850" s="3">
        <v>8.85</v>
      </c>
      <c r="BN850" s="3">
        <v>67.849999999999994</v>
      </c>
      <c r="BO850" s="3">
        <v>67.849999999999994</v>
      </c>
      <c r="BQ850" s="3" t="s">
        <v>89</v>
      </c>
      <c r="BR850" s="3" t="s">
        <v>84</v>
      </c>
      <c r="BS850" s="4">
        <v>44578</v>
      </c>
      <c r="BT850" s="5">
        <v>0.46736111111111112</v>
      </c>
      <c r="BU850" s="3" t="s">
        <v>1231</v>
      </c>
      <c r="BV850" s="3" t="s">
        <v>87</v>
      </c>
      <c r="BW850" s="3" t="s">
        <v>453</v>
      </c>
      <c r="BX850" s="3" t="s">
        <v>841</v>
      </c>
      <c r="BY850" s="3">
        <v>10240</v>
      </c>
      <c r="BZ850" s="3" t="s">
        <v>165</v>
      </c>
      <c r="CC850" s="3" t="s">
        <v>102</v>
      </c>
      <c r="CD850" s="3">
        <v>4001</v>
      </c>
      <c r="CE850" s="3" t="s">
        <v>93</v>
      </c>
      <c r="CF850" s="4">
        <v>44579</v>
      </c>
      <c r="CI850" s="3">
        <v>1</v>
      </c>
      <c r="CJ850" s="3">
        <v>2</v>
      </c>
      <c r="CK850" s="3">
        <v>21</v>
      </c>
      <c r="CL850" s="3" t="s">
        <v>87</v>
      </c>
    </row>
    <row r="851" spans="1:90" x14ac:dyDescent="0.2">
      <c r="A851" s="3" t="s">
        <v>72</v>
      </c>
      <c r="B851" s="3" t="s">
        <v>73</v>
      </c>
      <c r="C851" s="3" t="s">
        <v>74</v>
      </c>
      <c r="E851" s="3" t="str">
        <f>"FES1162845019"</f>
        <v>FES1162845019</v>
      </c>
      <c r="F851" s="4">
        <v>44574</v>
      </c>
      <c r="G851" s="3">
        <v>202207</v>
      </c>
      <c r="H851" s="3" t="s">
        <v>75</v>
      </c>
      <c r="I851" s="3" t="s">
        <v>76</v>
      </c>
      <c r="J851" s="3" t="s">
        <v>77</v>
      </c>
      <c r="K851" s="3" t="s">
        <v>78</v>
      </c>
      <c r="L851" s="3" t="s">
        <v>110</v>
      </c>
      <c r="M851" s="3" t="s">
        <v>110</v>
      </c>
      <c r="N851" s="3" t="s">
        <v>111</v>
      </c>
      <c r="O851" s="3" t="s">
        <v>82</v>
      </c>
      <c r="P851" s="3" t="str">
        <f>"2170816585                    "</f>
        <v xml:space="preserve">2170816585                    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43.47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3">
        <v>1</v>
      </c>
      <c r="BI851" s="3">
        <v>2</v>
      </c>
      <c r="BJ851" s="3">
        <v>2.9</v>
      </c>
      <c r="BK851" s="3">
        <v>3</v>
      </c>
      <c r="BL851" s="3">
        <v>165.93</v>
      </c>
      <c r="BM851" s="3">
        <v>24.89</v>
      </c>
      <c r="BN851" s="3">
        <v>190.82</v>
      </c>
      <c r="BO851" s="3">
        <v>190.82</v>
      </c>
      <c r="BQ851" s="3" t="s">
        <v>89</v>
      </c>
      <c r="BR851" s="3" t="s">
        <v>84</v>
      </c>
      <c r="BS851" s="4">
        <v>44575</v>
      </c>
      <c r="BT851" s="5">
        <v>0.52083333333333337</v>
      </c>
      <c r="BU851" s="3" t="s">
        <v>1097</v>
      </c>
      <c r="BV851" s="3" t="s">
        <v>105</v>
      </c>
      <c r="BY851" s="3">
        <v>14400</v>
      </c>
      <c r="BZ851" s="3" t="s">
        <v>165</v>
      </c>
      <c r="CA851" s="3" t="s">
        <v>1011</v>
      </c>
      <c r="CC851" s="3" t="s">
        <v>110</v>
      </c>
      <c r="CD851" s="3">
        <v>7646</v>
      </c>
      <c r="CE851" s="3" t="s">
        <v>86</v>
      </c>
      <c r="CF851" s="4">
        <v>44578</v>
      </c>
      <c r="CI851" s="3">
        <v>1</v>
      </c>
      <c r="CJ851" s="3">
        <v>1</v>
      </c>
      <c r="CK851" s="3">
        <v>23</v>
      </c>
      <c r="CL851" s="3" t="s">
        <v>87</v>
      </c>
    </row>
    <row r="852" spans="1:90" x14ac:dyDescent="0.2">
      <c r="A852" s="3" t="s">
        <v>72</v>
      </c>
      <c r="B852" s="3" t="s">
        <v>73</v>
      </c>
      <c r="C852" s="3" t="s">
        <v>74</v>
      </c>
      <c r="E852" s="3" t="str">
        <f>"FES1162844995"</f>
        <v>FES1162844995</v>
      </c>
      <c r="F852" s="4">
        <v>44574</v>
      </c>
      <c r="G852" s="3">
        <v>202207</v>
      </c>
      <c r="H852" s="3" t="s">
        <v>75</v>
      </c>
      <c r="I852" s="3" t="s">
        <v>76</v>
      </c>
      <c r="J852" s="3" t="s">
        <v>77</v>
      </c>
      <c r="K852" s="3" t="s">
        <v>78</v>
      </c>
      <c r="L852" s="3" t="s">
        <v>75</v>
      </c>
      <c r="M852" s="3" t="s">
        <v>76</v>
      </c>
      <c r="N852" s="3" t="s">
        <v>1232</v>
      </c>
      <c r="O852" s="3" t="s">
        <v>82</v>
      </c>
      <c r="P852" s="3" t="str">
        <f>"2170816557                    "</f>
        <v xml:space="preserve">2170816557                    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12.07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0</v>
      </c>
      <c r="BF852" s="3">
        <v>0</v>
      </c>
      <c r="BG852" s="3">
        <v>0</v>
      </c>
      <c r="BH852" s="3">
        <v>1</v>
      </c>
      <c r="BI852" s="3">
        <v>1</v>
      </c>
      <c r="BJ852" s="3">
        <v>0.2</v>
      </c>
      <c r="BK852" s="3">
        <v>1</v>
      </c>
      <c r="BL852" s="3">
        <v>46.08</v>
      </c>
      <c r="BM852" s="3">
        <v>6.91</v>
      </c>
      <c r="BN852" s="3">
        <v>52.99</v>
      </c>
      <c r="BO852" s="3">
        <v>52.99</v>
      </c>
      <c r="BQ852" s="3" t="s">
        <v>1233</v>
      </c>
      <c r="BR852" s="3" t="s">
        <v>84</v>
      </c>
      <c r="BS852" s="4">
        <v>44575</v>
      </c>
      <c r="BT852" s="5">
        <v>0.40625</v>
      </c>
      <c r="BU852" s="3" t="s">
        <v>1234</v>
      </c>
      <c r="BV852" s="3" t="s">
        <v>105</v>
      </c>
      <c r="BY852" s="3">
        <v>1200</v>
      </c>
      <c r="BZ852" s="3" t="s">
        <v>165</v>
      </c>
      <c r="CA852" s="3" t="s">
        <v>227</v>
      </c>
      <c r="CC852" s="3" t="s">
        <v>76</v>
      </c>
      <c r="CD852" s="3">
        <v>1624</v>
      </c>
      <c r="CE852" s="3" t="s">
        <v>93</v>
      </c>
      <c r="CF852" s="4">
        <v>44575</v>
      </c>
      <c r="CI852" s="3">
        <v>1</v>
      </c>
      <c r="CJ852" s="3">
        <v>1</v>
      </c>
      <c r="CK852" s="3">
        <v>22</v>
      </c>
      <c r="CL852" s="3" t="s">
        <v>87</v>
      </c>
    </row>
    <row r="853" spans="1:90" x14ac:dyDescent="0.2">
      <c r="A853" s="3" t="s">
        <v>72</v>
      </c>
      <c r="B853" s="3" t="s">
        <v>73</v>
      </c>
      <c r="C853" s="3" t="s">
        <v>74</v>
      </c>
      <c r="E853" s="3" t="str">
        <f>"FES1162845001"</f>
        <v>FES1162845001</v>
      </c>
      <c r="F853" s="4">
        <v>44574</v>
      </c>
      <c r="G853" s="3">
        <v>202207</v>
      </c>
      <c r="H853" s="3" t="s">
        <v>75</v>
      </c>
      <c r="I853" s="3" t="s">
        <v>76</v>
      </c>
      <c r="J853" s="3" t="s">
        <v>77</v>
      </c>
      <c r="K853" s="3" t="s">
        <v>78</v>
      </c>
      <c r="L853" s="3" t="s">
        <v>94</v>
      </c>
      <c r="M853" s="3" t="s">
        <v>95</v>
      </c>
      <c r="N853" s="3" t="s">
        <v>179</v>
      </c>
      <c r="O853" s="3" t="s">
        <v>82</v>
      </c>
      <c r="P853" s="3" t="str">
        <f>"2170816564                    "</f>
        <v xml:space="preserve">2170816564                    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15.46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3">
        <v>1</v>
      </c>
      <c r="BI853" s="3">
        <v>1</v>
      </c>
      <c r="BJ853" s="3">
        <v>0.2</v>
      </c>
      <c r="BK853" s="3">
        <v>1</v>
      </c>
      <c r="BL853" s="3">
        <v>59</v>
      </c>
      <c r="BM853" s="3">
        <v>8.85</v>
      </c>
      <c r="BN853" s="3">
        <v>67.849999999999994</v>
      </c>
      <c r="BO853" s="3">
        <v>67.849999999999994</v>
      </c>
      <c r="BQ853" s="3" t="s">
        <v>83</v>
      </c>
      <c r="BR853" s="3" t="s">
        <v>84</v>
      </c>
      <c r="BS853" s="4">
        <v>44575</v>
      </c>
      <c r="BT853" s="5">
        <v>0.46875</v>
      </c>
      <c r="BU853" s="3" t="s">
        <v>1235</v>
      </c>
      <c r="BV853" s="3" t="s">
        <v>87</v>
      </c>
      <c r="BW853" s="3" t="s">
        <v>453</v>
      </c>
      <c r="BX853" s="3" t="s">
        <v>279</v>
      </c>
      <c r="BY853" s="3">
        <v>1200</v>
      </c>
      <c r="BZ853" s="3" t="s">
        <v>165</v>
      </c>
      <c r="CC853" s="3" t="s">
        <v>95</v>
      </c>
      <c r="CD853" s="3">
        <v>3201</v>
      </c>
      <c r="CE853" s="3" t="s">
        <v>93</v>
      </c>
      <c r="CF853" s="4">
        <v>44581</v>
      </c>
      <c r="CI853" s="3">
        <v>1</v>
      </c>
      <c r="CJ853" s="3">
        <v>1</v>
      </c>
      <c r="CK853" s="3">
        <v>21</v>
      </c>
      <c r="CL853" s="3" t="s">
        <v>87</v>
      </c>
    </row>
    <row r="854" spans="1:90" x14ac:dyDescent="0.2">
      <c r="A854" s="3" t="s">
        <v>72</v>
      </c>
      <c r="B854" s="3" t="s">
        <v>73</v>
      </c>
      <c r="C854" s="3" t="s">
        <v>74</v>
      </c>
      <c r="E854" s="3" t="str">
        <f>"FES1162843408"</f>
        <v>FES1162843408</v>
      </c>
      <c r="F854" s="4">
        <v>44565</v>
      </c>
      <c r="G854" s="3">
        <v>202207</v>
      </c>
      <c r="H854" s="3" t="s">
        <v>75</v>
      </c>
      <c r="I854" s="3" t="s">
        <v>76</v>
      </c>
      <c r="J854" s="3" t="s">
        <v>966</v>
      </c>
      <c r="K854" s="3" t="s">
        <v>78</v>
      </c>
      <c r="L854" s="3" t="s">
        <v>79</v>
      </c>
      <c r="M854" s="3" t="s">
        <v>80</v>
      </c>
      <c r="N854" s="3" t="s">
        <v>337</v>
      </c>
      <c r="O854" s="3" t="s">
        <v>148</v>
      </c>
      <c r="P854" s="3" t="str">
        <f>"2170806488                    "</f>
        <v xml:space="preserve">2170806488                    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32.840000000000003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3">
        <v>1</v>
      </c>
      <c r="BI854" s="3">
        <v>3</v>
      </c>
      <c r="BJ854" s="3">
        <v>9.1</v>
      </c>
      <c r="BK854" s="3">
        <v>10</v>
      </c>
      <c r="BL854" s="3">
        <v>122.29</v>
      </c>
      <c r="BM854" s="3">
        <v>18.34</v>
      </c>
      <c r="BN854" s="3">
        <v>140.63</v>
      </c>
      <c r="BO854" s="3">
        <v>140.63</v>
      </c>
      <c r="BQ854" s="3" t="s">
        <v>83</v>
      </c>
      <c r="BR854" s="3" t="s">
        <v>308</v>
      </c>
      <c r="BS854" s="4">
        <v>44566</v>
      </c>
      <c r="BT854" s="5">
        <v>0.43055555555555558</v>
      </c>
      <c r="BU854" s="3" t="s">
        <v>1236</v>
      </c>
      <c r="BV854" s="3" t="s">
        <v>105</v>
      </c>
      <c r="BY854" s="3">
        <v>45632</v>
      </c>
      <c r="BZ854" s="3" t="s">
        <v>1076</v>
      </c>
      <c r="CA854" s="3" t="s">
        <v>366</v>
      </c>
      <c r="CC854" s="3" t="s">
        <v>80</v>
      </c>
      <c r="CD854" s="3">
        <v>200</v>
      </c>
      <c r="CE854" s="3" t="s">
        <v>86</v>
      </c>
      <c r="CF854" s="4">
        <v>44566</v>
      </c>
      <c r="CI854" s="3">
        <v>1</v>
      </c>
      <c r="CJ854" s="3">
        <v>1</v>
      </c>
      <c r="CK854" s="3">
        <v>41</v>
      </c>
      <c r="CL854" s="3" t="s">
        <v>87</v>
      </c>
    </row>
    <row r="855" spans="1:90" x14ac:dyDescent="0.2">
      <c r="A855" s="3" t="s">
        <v>72</v>
      </c>
      <c r="B855" s="3" t="s">
        <v>73</v>
      </c>
      <c r="C855" s="3" t="s">
        <v>74</v>
      </c>
      <c r="E855" s="3" t="str">
        <f>"FES1162843373"</f>
        <v>FES1162843373</v>
      </c>
      <c r="F855" s="4">
        <v>44565</v>
      </c>
      <c r="G855" s="3">
        <v>202207</v>
      </c>
      <c r="H855" s="3" t="s">
        <v>75</v>
      </c>
      <c r="I855" s="3" t="s">
        <v>76</v>
      </c>
      <c r="J855" s="3" t="s">
        <v>966</v>
      </c>
      <c r="K855" s="3" t="s">
        <v>78</v>
      </c>
      <c r="L855" s="3" t="s">
        <v>115</v>
      </c>
      <c r="M855" s="3" t="s">
        <v>116</v>
      </c>
      <c r="N855" s="3" t="s">
        <v>419</v>
      </c>
      <c r="O855" s="3" t="s">
        <v>1237</v>
      </c>
      <c r="P855" s="3" t="str">
        <f>"2170812984                    "</f>
        <v xml:space="preserve">2170812984                    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28.17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2</v>
      </c>
      <c r="BI855" s="3">
        <v>10</v>
      </c>
      <c r="BJ855" s="3">
        <v>17.100000000000001</v>
      </c>
      <c r="BK855" s="3">
        <v>18</v>
      </c>
      <c r="BL855" s="3">
        <v>100.39</v>
      </c>
      <c r="BM855" s="3">
        <v>15.06</v>
      </c>
      <c r="BN855" s="3">
        <v>115.45</v>
      </c>
      <c r="BO855" s="3">
        <v>115.45</v>
      </c>
      <c r="BQ855" s="3" t="s">
        <v>83</v>
      </c>
      <c r="BR855" s="3" t="s">
        <v>308</v>
      </c>
      <c r="BS855" s="4">
        <v>44567</v>
      </c>
      <c r="BT855" s="5">
        <v>0.40833333333333338</v>
      </c>
      <c r="BU855" s="3" t="s">
        <v>1238</v>
      </c>
      <c r="BV855" s="3" t="s">
        <v>87</v>
      </c>
      <c r="BW855" s="3" t="s">
        <v>617</v>
      </c>
      <c r="BX855" s="3" t="s">
        <v>618</v>
      </c>
      <c r="BY855" s="3">
        <v>85320</v>
      </c>
      <c r="BZ855" s="3" t="s">
        <v>1076</v>
      </c>
      <c r="CA855" s="3" t="s">
        <v>119</v>
      </c>
      <c r="CC855" s="3" t="s">
        <v>116</v>
      </c>
      <c r="CD855" s="3">
        <v>1559</v>
      </c>
      <c r="CE855" s="3" t="s">
        <v>221</v>
      </c>
      <c r="CF855" s="4">
        <v>44567</v>
      </c>
      <c r="CI855" s="3">
        <v>1</v>
      </c>
      <c r="CJ855" s="3">
        <v>2</v>
      </c>
      <c r="CK855" s="3">
        <v>32</v>
      </c>
      <c r="CL855" s="3" t="s">
        <v>87</v>
      </c>
    </row>
    <row r="856" spans="1:90" x14ac:dyDescent="0.2">
      <c r="A856" s="3" t="s">
        <v>72</v>
      </c>
      <c r="B856" s="3" t="s">
        <v>73</v>
      </c>
      <c r="C856" s="3" t="s">
        <v>74</v>
      </c>
      <c r="E856" s="3" t="str">
        <f>"FES1162843323"</f>
        <v>FES1162843323</v>
      </c>
      <c r="F856" s="4">
        <v>44565</v>
      </c>
      <c r="G856" s="3">
        <v>202207</v>
      </c>
      <c r="H856" s="3" t="s">
        <v>75</v>
      </c>
      <c r="I856" s="3" t="s">
        <v>76</v>
      </c>
      <c r="J856" s="3" t="s">
        <v>966</v>
      </c>
      <c r="K856" s="3" t="s">
        <v>78</v>
      </c>
      <c r="L856" s="3" t="s">
        <v>79</v>
      </c>
      <c r="M856" s="3" t="s">
        <v>80</v>
      </c>
      <c r="N856" s="3" t="s">
        <v>1239</v>
      </c>
      <c r="O856" s="3" t="s">
        <v>148</v>
      </c>
      <c r="P856" s="3" t="str">
        <f>"2170811766                    "</f>
        <v xml:space="preserve">2170811766                    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0</v>
      </c>
      <c r="AJ856" s="3">
        <v>0</v>
      </c>
      <c r="AK856" s="3">
        <v>32.840000000000003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0</v>
      </c>
      <c r="BF856" s="3">
        <v>0</v>
      </c>
      <c r="BG856" s="3">
        <v>0</v>
      </c>
      <c r="BH856" s="3">
        <v>1</v>
      </c>
      <c r="BI856" s="3">
        <v>4</v>
      </c>
      <c r="BJ856" s="3">
        <v>2.2999999999999998</v>
      </c>
      <c r="BK856" s="3">
        <v>4</v>
      </c>
      <c r="BL856" s="3">
        <v>122.29</v>
      </c>
      <c r="BM856" s="3">
        <v>18.34</v>
      </c>
      <c r="BN856" s="3">
        <v>140.63</v>
      </c>
      <c r="BO856" s="3">
        <v>140.63</v>
      </c>
      <c r="BQ856" s="3" t="s">
        <v>126</v>
      </c>
      <c r="BR856" s="3" t="s">
        <v>308</v>
      </c>
      <c r="BS856" s="4">
        <v>44566</v>
      </c>
      <c r="BT856" s="5">
        <v>0.43402777777777773</v>
      </c>
      <c r="BU856" s="3" t="s">
        <v>1240</v>
      </c>
      <c r="BV856" s="3" t="s">
        <v>105</v>
      </c>
      <c r="BY856" s="3">
        <v>11250</v>
      </c>
      <c r="BZ856" s="3" t="s">
        <v>1076</v>
      </c>
      <c r="CC856" s="3" t="s">
        <v>80</v>
      </c>
      <c r="CD856" s="3">
        <v>200</v>
      </c>
      <c r="CE856" s="3" t="s">
        <v>86</v>
      </c>
      <c r="CF856" s="4">
        <v>44566</v>
      </c>
      <c r="CI856" s="3">
        <v>1</v>
      </c>
      <c r="CJ856" s="3">
        <v>1</v>
      </c>
      <c r="CK856" s="3">
        <v>41</v>
      </c>
      <c r="CL856" s="3" t="s">
        <v>87</v>
      </c>
    </row>
    <row r="857" spans="1:90" x14ac:dyDescent="0.2">
      <c r="A857" s="3" t="s">
        <v>72</v>
      </c>
      <c r="B857" s="3" t="s">
        <v>73</v>
      </c>
      <c r="C857" s="3" t="s">
        <v>74</v>
      </c>
      <c r="E857" s="3" t="str">
        <f>"FES1162843341"</f>
        <v>FES1162843341</v>
      </c>
      <c r="F857" s="4">
        <v>44565</v>
      </c>
      <c r="G857" s="3">
        <v>202207</v>
      </c>
      <c r="H857" s="3" t="s">
        <v>75</v>
      </c>
      <c r="I857" s="3" t="s">
        <v>76</v>
      </c>
      <c r="J857" s="3" t="s">
        <v>966</v>
      </c>
      <c r="K857" s="3" t="s">
        <v>78</v>
      </c>
      <c r="L857" s="3" t="s">
        <v>1241</v>
      </c>
      <c r="M857" s="3" t="s">
        <v>1242</v>
      </c>
      <c r="N857" s="3" t="s">
        <v>1243</v>
      </c>
      <c r="O857" s="3" t="s">
        <v>1237</v>
      </c>
      <c r="P857" s="3" t="str">
        <f>"2170815105                    "</f>
        <v xml:space="preserve">2170815105                    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0</v>
      </c>
      <c r="AJ857" s="3">
        <v>0</v>
      </c>
      <c r="AK857" s="3">
        <v>50.15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0</v>
      </c>
      <c r="BC857" s="3">
        <v>0</v>
      </c>
      <c r="BD857" s="3">
        <v>0</v>
      </c>
      <c r="BE857" s="3">
        <v>0</v>
      </c>
      <c r="BF857" s="3">
        <v>0</v>
      </c>
      <c r="BG857" s="3">
        <v>0</v>
      </c>
      <c r="BH857" s="3">
        <v>1</v>
      </c>
      <c r="BI857" s="3">
        <v>3</v>
      </c>
      <c r="BJ857" s="3">
        <v>5.6</v>
      </c>
      <c r="BK857" s="3">
        <v>6</v>
      </c>
      <c r="BL857" s="3">
        <v>178.73</v>
      </c>
      <c r="BM857" s="3">
        <v>26.81</v>
      </c>
      <c r="BN857" s="3">
        <v>205.54</v>
      </c>
      <c r="BO857" s="3">
        <v>205.54</v>
      </c>
      <c r="BQ857" s="3" t="s">
        <v>1244</v>
      </c>
      <c r="BR857" s="3" t="s">
        <v>308</v>
      </c>
      <c r="BS857" s="4">
        <v>44566</v>
      </c>
      <c r="BT857" s="5">
        <v>0.36458333333333331</v>
      </c>
      <c r="BU857" s="3" t="s">
        <v>1245</v>
      </c>
      <c r="BV857" s="3" t="s">
        <v>105</v>
      </c>
      <c r="BY857" s="3">
        <v>28072</v>
      </c>
      <c r="BZ857" s="3" t="s">
        <v>1076</v>
      </c>
      <c r="CA857" s="3" t="s">
        <v>1246</v>
      </c>
      <c r="CC857" s="3" t="s">
        <v>1242</v>
      </c>
      <c r="CD857" s="3">
        <v>299</v>
      </c>
      <c r="CE857" s="3" t="s">
        <v>86</v>
      </c>
      <c r="CF857" s="4">
        <v>44566</v>
      </c>
      <c r="CI857" s="3">
        <v>1</v>
      </c>
      <c r="CJ857" s="3">
        <v>1</v>
      </c>
      <c r="CK857" s="3">
        <v>33</v>
      </c>
      <c r="CL857" s="3" t="s">
        <v>87</v>
      </c>
    </row>
    <row r="858" spans="1:90" x14ac:dyDescent="0.2">
      <c r="A858" s="3" t="s">
        <v>72</v>
      </c>
      <c r="B858" s="3" t="s">
        <v>73</v>
      </c>
      <c r="C858" s="3" t="s">
        <v>74</v>
      </c>
      <c r="E858" s="3" t="str">
        <f>"FES1162843401"</f>
        <v>FES1162843401</v>
      </c>
      <c r="F858" s="4">
        <v>44565</v>
      </c>
      <c r="G858" s="3">
        <v>202207</v>
      </c>
      <c r="H858" s="3" t="s">
        <v>75</v>
      </c>
      <c r="I858" s="3" t="s">
        <v>76</v>
      </c>
      <c r="J858" s="3" t="s">
        <v>966</v>
      </c>
      <c r="K858" s="3" t="s">
        <v>78</v>
      </c>
      <c r="L858" s="3" t="s">
        <v>218</v>
      </c>
      <c r="M858" s="3" t="s">
        <v>219</v>
      </c>
      <c r="N858" s="3" t="s">
        <v>1247</v>
      </c>
      <c r="O858" s="3" t="s">
        <v>148</v>
      </c>
      <c r="P858" s="3" t="str">
        <f>"2170815018                    "</f>
        <v xml:space="preserve">2170815018                    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0</v>
      </c>
      <c r="AJ858" s="3">
        <v>0</v>
      </c>
      <c r="AK858" s="3">
        <v>32.840000000000003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0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3">
        <v>1</v>
      </c>
      <c r="BI858" s="3">
        <v>7</v>
      </c>
      <c r="BJ858" s="3">
        <v>12</v>
      </c>
      <c r="BK858" s="3">
        <v>12</v>
      </c>
      <c r="BL858" s="3">
        <v>122.29</v>
      </c>
      <c r="BM858" s="3">
        <v>18.34</v>
      </c>
      <c r="BN858" s="3">
        <v>140.63</v>
      </c>
      <c r="BO858" s="3">
        <v>140.63</v>
      </c>
      <c r="BR858" s="3" t="s">
        <v>308</v>
      </c>
      <c r="BS858" s="4">
        <v>44566</v>
      </c>
      <c r="BT858" s="5">
        <v>0.40833333333333338</v>
      </c>
      <c r="BU858" s="3" t="s">
        <v>1248</v>
      </c>
      <c r="BV858" s="3" t="s">
        <v>105</v>
      </c>
      <c r="BY858" s="3">
        <v>60025</v>
      </c>
      <c r="BZ858" s="3" t="s">
        <v>1076</v>
      </c>
      <c r="CA858" s="3" t="s">
        <v>1249</v>
      </c>
      <c r="CC858" s="3" t="s">
        <v>219</v>
      </c>
      <c r="CD858" s="3">
        <v>157</v>
      </c>
      <c r="CE858" s="3" t="s">
        <v>86</v>
      </c>
      <c r="CF858" s="4">
        <v>44566</v>
      </c>
      <c r="CI858" s="3">
        <v>1</v>
      </c>
      <c r="CJ858" s="3">
        <v>1</v>
      </c>
      <c r="CK858" s="3">
        <v>41</v>
      </c>
      <c r="CL858" s="3" t="s">
        <v>87</v>
      </c>
    </row>
    <row r="859" spans="1:90" x14ac:dyDescent="0.2">
      <c r="A859" s="3" t="s">
        <v>72</v>
      </c>
      <c r="B859" s="3" t="s">
        <v>73</v>
      </c>
      <c r="C859" s="3" t="s">
        <v>74</v>
      </c>
      <c r="E859" s="3" t="str">
        <f>"FES1162843372"</f>
        <v>FES1162843372</v>
      </c>
      <c r="F859" s="4">
        <v>44565</v>
      </c>
      <c r="G859" s="3">
        <v>202207</v>
      </c>
      <c r="H859" s="3" t="s">
        <v>75</v>
      </c>
      <c r="I859" s="3" t="s">
        <v>76</v>
      </c>
      <c r="J859" s="3" t="s">
        <v>966</v>
      </c>
      <c r="K859" s="3" t="s">
        <v>78</v>
      </c>
      <c r="L859" s="3" t="s">
        <v>75</v>
      </c>
      <c r="M859" s="3" t="s">
        <v>76</v>
      </c>
      <c r="N859" s="3" t="s">
        <v>560</v>
      </c>
      <c r="O859" s="3" t="s">
        <v>82</v>
      </c>
      <c r="P859" s="3" t="str">
        <f>"2170812939                    "</f>
        <v xml:space="preserve">2170812939                    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0</v>
      </c>
      <c r="AJ859" s="3">
        <v>0</v>
      </c>
      <c r="AK859" s="3">
        <v>13.26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1</v>
      </c>
      <c r="BI859" s="3">
        <v>8</v>
      </c>
      <c r="BJ859" s="3">
        <v>4.8</v>
      </c>
      <c r="BK859" s="3">
        <v>8</v>
      </c>
      <c r="BL859" s="3">
        <v>47.27</v>
      </c>
      <c r="BM859" s="3">
        <v>7.09</v>
      </c>
      <c r="BN859" s="3">
        <v>54.36</v>
      </c>
      <c r="BO859" s="3">
        <v>54.36</v>
      </c>
      <c r="BQ859" s="3" t="s">
        <v>83</v>
      </c>
      <c r="BR859" s="3" t="s">
        <v>308</v>
      </c>
      <c r="BS859" s="4">
        <v>44566</v>
      </c>
      <c r="BT859" s="5">
        <v>0.40902777777777777</v>
      </c>
      <c r="BU859" s="3" t="s">
        <v>1158</v>
      </c>
      <c r="BV859" s="3" t="s">
        <v>105</v>
      </c>
      <c r="BY859" s="3">
        <v>24000</v>
      </c>
      <c r="BZ859" s="3" t="s">
        <v>1076</v>
      </c>
      <c r="CA859" s="3" t="s">
        <v>378</v>
      </c>
      <c r="CC859" s="3" t="s">
        <v>76</v>
      </c>
      <c r="CD859" s="3">
        <v>1601</v>
      </c>
      <c r="CE859" s="3" t="s">
        <v>86</v>
      </c>
      <c r="CF859" s="4">
        <v>44567</v>
      </c>
      <c r="CI859" s="3">
        <v>1</v>
      </c>
      <c r="CJ859" s="3">
        <v>1</v>
      </c>
      <c r="CK859" s="3">
        <v>22</v>
      </c>
      <c r="CL859" s="3" t="s">
        <v>87</v>
      </c>
    </row>
    <row r="860" spans="1:90" x14ac:dyDescent="0.2">
      <c r="A860" s="3" t="s">
        <v>72</v>
      </c>
      <c r="B860" s="3" t="s">
        <v>73</v>
      </c>
      <c r="C860" s="3" t="s">
        <v>74</v>
      </c>
      <c r="E860" s="3" t="str">
        <f>"FES1162843448"</f>
        <v>FES1162843448</v>
      </c>
      <c r="F860" s="4">
        <v>44565</v>
      </c>
      <c r="G860" s="3">
        <v>202207</v>
      </c>
      <c r="H860" s="3" t="s">
        <v>75</v>
      </c>
      <c r="I860" s="3" t="s">
        <v>76</v>
      </c>
      <c r="J860" s="3" t="s">
        <v>966</v>
      </c>
      <c r="K860" s="3" t="s">
        <v>78</v>
      </c>
      <c r="L860" s="3" t="s">
        <v>180</v>
      </c>
      <c r="M860" s="3" t="s">
        <v>181</v>
      </c>
      <c r="N860" s="3" t="s">
        <v>1250</v>
      </c>
      <c r="O860" s="3" t="s">
        <v>1237</v>
      </c>
      <c r="P860" s="3" t="str">
        <f>"2170813744                    "</f>
        <v xml:space="preserve">2170813744                    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0</v>
      </c>
      <c r="AJ860" s="3">
        <v>0</v>
      </c>
      <c r="AK860" s="3">
        <v>38.22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1</v>
      </c>
      <c r="BI860" s="3">
        <v>6</v>
      </c>
      <c r="BJ860" s="3">
        <v>1</v>
      </c>
      <c r="BK860" s="3">
        <v>6</v>
      </c>
      <c r="BL860" s="3">
        <v>136.22</v>
      </c>
      <c r="BM860" s="3">
        <v>20.43</v>
      </c>
      <c r="BN860" s="3">
        <v>156.65</v>
      </c>
      <c r="BO860" s="3">
        <v>156.65</v>
      </c>
      <c r="BQ860" s="3" t="s">
        <v>83</v>
      </c>
      <c r="BR860" s="3" t="s">
        <v>308</v>
      </c>
      <c r="BS860" s="4">
        <v>44566</v>
      </c>
      <c r="BT860" s="5">
        <v>0.43611111111111112</v>
      </c>
      <c r="BU860" s="3" t="s">
        <v>1251</v>
      </c>
      <c r="BV860" s="3" t="s">
        <v>105</v>
      </c>
      <c r="BY860" s="3">
        <v>5070</v>
      </c>
      <c r="BZ860" s="3" t="s">
        <v>1076</v>
      </c>
      <c r="CA860" s="3" t="s">
        <v>373</v>
      </c>
      <c r="CC860" s="3" t="s">
        <v>181</v>
      </c>
      <c r="CD860" s="3">
        <v>1961</v>
      </c>
      <c r="CE860" s="3" t="s">
        <v>86</v>
      </c>
      <c r="CF860" s="4">
        <v>44567</v>
      </c>
      <c r="CI860" s="3">
        <v>1</v>
      </c>
      <c r="CJ860" s="3">
        <v>1</v>
      </c>
      <c r="CK860" s="3">
        <v>34</v>
      </c>
      <c r="CL860" s="3" t="s">
        <v>87</v>
      </c>
    </row>
    <row r="861" spans="1:90" x14ac:dyDescent="0.2">
      <c r="A861" s="3" t="s">
        <v>72</v>
      </c>
      <c r="B861" s="3" t="s">
        <v>73</v>
      </c>
      <c r="C861" s="3" t="s">
        <v>74</v>
      </c>
      <c r="E861" s="3" t="str">
        <f>"FES1162844029"</f>
        <v>FES1162844029</v>
      </c>
      <c r="F861" s="4">
        <v>44568</v>
      </c>
      <c r="G861" s="3">
        <v>202207</v>
      </c>
      <c r="H861" s="3" t="s">
        <v>75</v>
      </c>
      <c r="I861" s="3" t="s">
        <v>76</v>
      </c>
      <c r="J861" s="3" t="s">
        <v>966</v>
      </c>
      <c r="K861" s="3" t="s">
        <v>78</v>
      </c>
      <c r="L861" s="3" t="s">
        <v>211</v>
      </c>
      <c r="M861" s="3" t="s">
        <v>212</v>
      </c>
      <c r="N861" s="3" t="s">
        <v>213</v>
      </c>
      <c r="O861" s="3" t="s">
        <v>82</v>
      </c>
      <c r="P861" s="3" t="str">
        <f>"2170815837                    "</f>
        <v xml:space="preserve">2170815837                    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0</v>
      </c>
      <c r="AJ861" s="3">
        <v>0</v>
      </c>
      <c r="AK861" s="3">
        <v>16.420000000000002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0</v>
      </c>
      <c r="AZ861" s="3">
        <v>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1</v>
      </c>
      <c r="BI861" s="3">
        <v>8</v>
      </c>
      <c r="BJ861" s="3">
        <v>9.1</v>
      </c>
      <c r="BK861" s="3">
        <v>9.5</v>
      </c>
      <c r="BL861" s="3">
        <v>62.67</v>
      </c>
      <c r="BM861" s="3">
        <v>9.4</v>
      </c>
      <c r="BN861" s="3">
        <v>72.069999999999993</v>
      </c>
      <c r="BO861" s="3">
        <v>72.069999999999993</v>
      </c>
      <c r="BQ861" s="3" t="s">
        <v>126</v>
      </c>
      <c r="BR861" s="3" t="s">
        <v>364</v>
      </c>
      <c r="BS861" s="4">
        <v>44571</v>
      </c>
      <c r="BT861" s="5">
        <v>0.34375</v>
      </c>
      <c r="BU861" s="3" t="s">
        <v>1252</v>
      </c>
      <c r="BV861" s="3" t="s">
        <v>105</v>
      </c>
      <c r="BY861" s="3">
        <v>45632</v>
      </c>
      <c r="BZ861" s="3" t="s">
        <v>1076</v>
      </c>
      <c r="CA861" s="3" t="s">
        <v>345</v>
      </c>
      <c r="CC861" s="3" t="s">
        <v>212</v>
      </c>
      <c r="CD861" s="3">
        <v>2162</v>
      </c>
      <c r="CE861" s="3" t="s">
        <v>86</v>
      </c>
      <c r="CF861" s="4">
        <v>44571</v>
      </c>
      <c r="CI861" s="3">
        <v>1</v>
      </c>
      <c r="CJ861" s="3">
        <v>1</v>
      </c>
      <c r="CK861" s="3">
        <v>22</v>
      </c>
      <c r="CL861" s="3" t="s">
        <v>87</v>
      </c>
    </row>
    <row r="862" spans="1:90" x14ac:dyDescent="0.2">
      <c r="A862" s="3" t="s">
        <v>72</v>
      </c>
      <c r="B862" s="3" t="s">
        <v>73</v>
      </c>
      <c r="C862" s="3" t="s">
        <v>74</v>
      </c>
      <c r="E862" s="3" t="str">
        <f>"FES1162843470"</f>
        <v>FES1162843470</v>
      </c>
      <c r="F862" s="4">
        <v>44565</v>
      </c>
      <c r="G862" s="3">
        <v>202207</v>
      </c>
      <c r="H862" s="3" t="s">
        <v>75</v>
      </c>
      <c r="I862" s="3" t="s">
        <v>76</v>
      </c>
      <c r="J862" s="3" t="s">
        <v>966</v>
      </c>
      <c r="K862" s="3" t="s">
        <v>78</v>
      </c>
      <c r="L862" s="3" t="s">
        <v>158</v>
      </c>
      <c r="M862" s="3" t="s">
        <v>159</v>
      </c>
      <c r="N862" s="3" t="s">
        <v>1253</v>
      </c>
      <c r="O862" s="3" t="s">
        <v>82</v>
      </c>
      <c r="P862" s="3" t="str">
        <f>"2170814168                    "</f>
        <v xml:space="preserve">2170814168                    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0</v>
      </c>
      <c r="AJ862" s="3">
        <v>0</v>
      </c>
      <c r="AK862" s="3">
        <v>16.45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0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1</v>
      </c>
      <c r="BI862" s="3">
        <v>9</v>
      </c>
      <c r="BJ862" s="3">
        <v>4.0999999999999996</v>
      </c>
      <c r="BK862" s="3">
        <v>9</v>
      </c>
      <c r="BL862" s="3">
        <v>58.62</v>
      </c>
      <c r="BM862" s="3">
        <v>8.7899999999999991</v>
      </c>
      <c r="BN862" s="3">
        <v>67.41</v>
      </c>
      <c r="BO862" s="3">
        <v>67.41</v>
      </c>
      <c r="BQ862" s="3" t="s">
        <v>83</v>
      </c>
      <c r="BR862" s="3" t="s">
        <v>308</v>
      </c>
      <c r="BS862" s="4">
        <v>44566</v>
      </c>
      <c r="BT862" s="5">
        <v>0.32291666666666669</v>
      </c>
      <c r="BU862" s="3" t="s">
        <v>1254</v>
      </c>
      <c r="BV862" s="3" t="s">
        <v>105</v>
      </c>
      <c r="BY862" s="3">
        <v>20358</v>
      </c>
      <c r="BZ862" s="3" t="s">
        <v>1076</v>
      </c>
      <c r="CA862" s="3" t="s">
        <v>653</v>
      </c>
      <c r="CC862" s="3" t="s">
        <v>159</v>
      </c>
      <c r="CD862" s="3">
        <v>1459</v>
      </c>
      <c r="CE862" s="3" t="s">
        <v>86</v>
      </c>
      <c r="CF862" s="4">
        <v>44566</v>
      </c>
      <c r="CI862" s="3">
        <v>1</v>
      </c>
      <c r="CJ862" s="3">
        <v>1</v>
      </c>
      <c r="CK862" s="3">
        <v>22</v>
      </c>
      <c r="CL862" s="3" t="s">
        <v>87</v>
      </c>
    </row>
    <row r="863" spans="1:90" x14ac:dyDescent="0.2">
      <c r="A863" s="3" t="s">
        <v>72</v>
      </c>
      <c r="B863" s="3" t="s">
        <v>73</v>
      </c>
      <c r="C863" s="3" t="s">
        <v>74</v>
      </c>
      <c r="E863" s="3" t="str">
        <f>"FES1162843306"</f>
        <v>FES1162843306</v>
      </c>
      <c r="F863" s="4">
        <v>44564</v>
      </c>
      <c r="G863" s="3">
        <v>202207</v>
      </c>
      <c r="H863" s="3" t="s">
        <v>75</v>
      </c>
      <c r="I863" s="3" t="s">
        <v>76</v>
      </c>
      <c r="J863" s="3" t="s">
        <v>966</v>
      </c>
      <c r="K863" s="3" t="s">
        <v>78</v>
      </c>
      <c r="L863" s="3" t="s">
        <v>244</v>
      </c>
      <c r="M863" s="3" t="s">
        <v>245</v>
      </c>
      <c r="N863" s="3" t="s">
        <v>1255</v>
      </c>
      <c r="O863" s="3" t="s">
        <v>148</v>
      </c>
      <c r="P863" s="3" t="str">
        <f>"2170815555                    "</f>
        <v xml:space="preserve">2170815555                    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0</v>
      </c>
      <c r="AJ863" s="3">
        <v>0</v>
      </c>
      <c r="AK863" s="3">
        <v>46.31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1</v>
      </c>
      <c r="BI863" s="3">
        <v>2</v>
      </c>
      <c r="BJ863" s="3">
        <v>4.0999999999999996</v>
      </c>
      <c r="BK863" s="3">
        <v>5</v>
      </c>
      <c r="BL863" s="3">
        <v>170.31</v>
      </c>
      <c r="BM863" s="3">
        <v>25.55</v>
      </c>
      <c r="BN863" s="3">
        <v>195.86</v>
      </c>
      <c r="BO863" s="3">
        <v>195.86</v>
      </c>
      <c r="BQ863" s="3" t="s">
        <v>83</v>
      </c>
      <c r="BR863" s="3" t="s">
        <v>308</v>
      </c>
      <c r="BS863" s="4">
        <v>44565</v>
      </c>
      <c r="BT863" s="5">
        <v>0.53749999999999998</v>
      </c>
      <c r="BU863" s="3" t="s">
        <v>1256</v>
      </c>
      <c r="BV863" s="3" t="s">
        <v>105</v>
      </c>
      <c r="BY863" s="3">
        <v>20358</v>
      </c>
      <c r="BZ863" s="3" t="s">
        <v>1076</v>
      </c>
      <c r="CA863" s="3" t="s">
        <v>402</v>
      </c>
      <c r="CC863" s="3" t="s">
        <v>245</v>
      </c>
      <c r="CD863" s="3">
        <v>1947</v>
      </c>
      <c r="CE863" s="3" t="s">
        <v>86</v>
      </c>
      <c r="CF863" s="4">
        <v>44565</v>
      </c>
      <c r="CI863" s="3">
        <v>1</v>
      </c>
      <c r="CJ863" s="3">
        <v>1</v>
      </c>
      <c r="CK863" s="3">
        <v>43</v>
      </c>
      <c r="CL863" s="3" t="s">
        <v>87</v>
      </c>
    </row>
    <row r="864" spans="1:90" x14ac:dyDescent="0.2">
      <c r="A864" s="3" t="s">
        <v>72</v>
      </c>
      <c r="B864" s="3" t="s">
        <v>73</v>
      </c>
      <c r="C864" s="3" t="s">
        <v>74</v>
      </c>
      <c r="E864" s="3" t="str">
        <f>"FES1162843648"</f>
        <v>FES1162843648</v>
      </c>
      <c r="F864" s="4">
        <v>44566</v>
      </c>
      <c r="G864" s="3">
        <v>202207</v>
      </c>
      <c r="H864" s="3" t="s">
        <v>75</v>
      </c>
      <c r="I864" s="3" t="s">
        <v>76</v>
      </c>
      <c r="J864" s="3" t="s">
        <v>966</v>
      </c>
      <c r="K864" s="3" t="s">
        <v>78</v>
      </c>
      <c r="L864" s="3" t="s">
        <v>158</v>
      </c>
      <c r="M864" s="3" t="s">
        <v>159</v>
      </c>
      <c r="N864" s="3" t="s">
        <v>417</v>
      </c>
      <c r="O864" s="3" t="s">
        <v>82</v>
      </c>
      <c r="P864" s="3" t="str">
        <f>"2170811819                    "</f>
        <v xml:space="preserve">2170811819                    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0</v>
      </c>
      <c r="AJ864" s="3">
        <v>0</v>
      </c>
      <c r="AK864" s="3">
        <v>16.420000000000002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0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3">
        <v>1</v>
      </c>
      <c r="BI864" s="3">
        <v>4</v>
      </c>
      <c r="BJ864" s="3">
        <v>9.1</v>
      </c>
      <c r="BK864" s="3">
        <v>9.5</v>
      </c>
      <c r="BL864" s="3">
        <v>62.67</v>
      </c>
      <c r="BM864" s="3">
        <v>9.4</v>
      </c>
      <c r="BN864" s="3">
        <v>72.069999999999993</v>
      </c>
      <c r="BO864" s="3">
        <v>72.069999999999993</v>
      </c>
      <c r="BQ864" s="3" t="s">
        <v>83</v>
      </c>
      <c r="BR864" s="3" t="s">
        <v>308</v>
      </c>
      <c r="BS864" s="4">
        <v>44567</v>
      </c>
      <c r="BT864" s="5">
        <v>0.31666666666666665</v>
      </c>
      <c r="BU864" s="3" t="s">
        <v>1257</v>
      </c>
      <c r="BV864" s="3" t="s">
        <v>105</v>
      </c>
      <c r="BY864" s="3">
        <v>45632</v>
      </c>
      <c r="BZ864" s="3" t="s">
        <v>1076</v>
      </c>
      <c r="CA864" s="3" t="s">
        <v>763</v>
      </c>
      <c r="CC864" s="3" t="s">
        <v>159</v>
      </c>
      <c r="CD864" s="3">
        <v>1459</v>
      </c>
      <c r="CE864" s="3" t="s">
        <v>86</v>
      </c>
      <c r="CF864" s="4">
        <v>44567</v>
      </c>
      <c r="CI864" s="3">
        <v>1</v>
      </c>
      <c r="CJ864" s="3">
        <v>1</v>
      </c>
      <c r="CK864" s="3">
        <v>22</v>
      </c>
      <c r="CL864" s="3" t="s">
        <v>87</v>
      </c>
    </row>
    <row r="865" spans="1:90" x14ac:dyDescent="0.2">
      <c r="A865" s="3" t="s">
        <v>72</v>
      </c>
      <c r="B865" s="3" t="s">
        <v>73</v>
      </c>
      <c r="C865" s="3" t="s">
        <v>74</v>
      </c>
      <c r="E865" s="3" t="str">
        <f>"FES1162843570"</f>
        <v>FES1162843570</v>
      </c>
      <c r="F865" s="4">
        <v>44566</v>
      </c>
      <c r="G865" s="3">
        <v>202207</v>
      </c>
      <c r="H865" s="3" t="s">
        <v>75</v>
      </c>
      <c r="I865" s="3" t="s">
        <v>76</v>
      </c>
      <c r="J865" s="3" t="s">
        <v>966</v>
      </c>
      <c r="K865" s="3" t="s">
        <v>78</v>
      </c>
      <c r="L865" s="3" t="s">
        <v>786</v>
      </c>
      <c r="M865" s="3" t="s">
        <v>787</v>
      </c>
      <c r="N865" s="3" t="s">
        <v>788</v>
      </c>
      <c r="O865" s="3" t="s">
        <v>1237</v>
      </c>
      <c r="P865" s="3" t="str">
        <f>"2170813203                    "</f>
        <v xml:space="preserve">2170813203                    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47.84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1</v>
      </c>
      <c r="BI865" s="3">
        <v>8</v>
      </c>
      <c r="BJ865" s="3">
        <v>4.0999999999999996</v>
      </c>
      <c r="BK865" s="3">
        <v>8</v>
      </c>
      <c r="BL865" s="3">
        <v>182.6</v>
      </c>
      <c r="BM865" s="3">
        <v>27.39</v>
      </c>
      <c r="BN865" s="3">
        <v>209.99</v>
      </c>
      <c r="BO865" s="3">
        <v>209.99</v>
      </c>
      <c r="BQ865" s="3" t="s">
        <v>83</v>
      </c>
      <c r="BR865" s="3" t="s">
        <v>364</v>
      </c>
      <c r="BS865" s="4">
        <v>44567</v>
      </c>
      <c r="BT865" s="5">
        <v>0.375</v>
      </c>
      <c r="BU865" s="3" t="s">
        <v>658</v>
      </c>
      <c r="BV865" s="3" t="s">
        <v>105</v>
      </c>
      <c r="BY865" s="3">
        <v>20358</v>
      </c>
      <c r="BZ865" s="3" t="s">
        <v>1076</v>
      </c>
      <c r="CC865" s="3" t="s">
        <v>787</v>
      </c>
      <c r="CD865" s="3">
        <v>2410</v>
      </c>
      <c r="CE865" s="3" t="s">
        <v>86</v>
      </c>
      <c r="CF865" s="4">
        <v>44568</v>
      </c>
      <c r="CI865" s="3">
        <v>1</v>
      </c>
      <c r="CJ865" s="3">
        <v>1</v>
      </c>
      <c r="CK865" s="3">
        <v>34</v>
      </c>
      <c r="CL865" s="3" t="s">
        <v>87</v>
      </c>
    </row>
    <row r="866" spans="1:90" x14ac:dyDescent="0.2">
      <c r="A866" s="3" t="s">
        <v>72</v>
      </c>
      <c r="B866" s="3" t="s">
        <v>73</v>
      </c>
      <c r="C866" s="3" t="s">
        <v>74</v>
      </c>
      <c r="E866" s="3" t="str">
        <f>"FES1162843774"</f>
        <v>FES1162843774</v>
      </c>
      <c r="F866" s="4">
        <v>44566</v>
      </c>
      <c r="G866" s="3">
        <v>202207</v>
      </c>
      <c r="H866" s="3" t="s">
        <v>75</v>
      </c>
      <c r="I866" s="3" t="s">
        <v>76</v>
      </c>
      <c r="J866" s="3" t="s">
        <v>966</v>
      </c>
      <c r="K866" s="3" t="s">
        <v>78</v>
      </c>
      <c r="L866" s="3" t="s">
        <v>799</v>
      </c>
      <c r="M866" s="3" t="s">
        <v>800</v>
      </c>
      <c r="N866" s="3" t="s">
        <v>801</v>
      </c>
      <c r="O866" s="3" t="s">
        <v>1237</v>
      </c>
      <c r="P866" s="3" t="str">
        <f>"2170815483                    "</f>
        <v xml:space="preserve">2170815483                    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0</v>
      </c>
      <c r="AJ866" s="3">
        <v>0</v>
      </c>
      <c r="AK866" s="3">
        <v>21.74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0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3">
        <v>1</v>
      </c>
      <c r="BI866" s="3">
        <v>4</v>
      </c>
      <c r="BJ866" s="3">
        <v>1.5</v>
      </c>
      <c r="BK866" s="3">
        <v>4</v>
      </c>
      <c r="BL866" s="3">
        <v>82.98</v>
      </c>
      <c r="BM866" s="3">
        <v>12.45</v>
      </c>
      <c r="BN866" s="3">
        <v>95.43</v>
      </c>
      <c r="BO866" s="3">
        <v>95.43</v>
      </c>
      <c r="BQ866" s="3" t="s">
        <v>83</v>
      </c>
      <c r="BR866" s="3" t="s">
        <v>364</v>
      </c>
      <c r="BS866" s="4">
        <v>44567</v>
      </c>
      <c r="BT866" s="5">
        <v>0.37152777777777773</v>
      </c>
      <c r="BU866" s="3" t="s">
        <v>1258</v>
      </c>
      <c r="BV866" s="3" t="s">
        <v>105</v>
      </c>
      <c r="BY866" s="3">
        <v>7280</v>
      </c>
      <c r="BZ866" s="3" t="s">
        <v>1076</v>
      </c>
      <c r="CA866" s="3" t="s">
        <v>803</v>
      </c>
      <c r="CC866" s="3" t="s">
        <v>800</v>
      </c>
      <c r="CD866" s="3">
        <v>2210</v>
      </c>
      <c r="CE866" s="3" t="s">
        <v>86</v>
      </c>
      <c r="CF866" s="4">
        <v>44568</v>
      </c>
      <c r="CI866" s="3">
        <v>1</v>
      </c>
      <c r="CJ866" s="3">
        <v>1</v>
      </c>
      <c r="CK866" s="3">
        <v>34</v>
      </c>
      <c r="CL866" s="3" t="s">
        <v>87</v>
      </c>
    </row>
    <row r="867" spans="1:90" x14ac:dyDescent="0.2">
      <c r="A867" s="3" t="s">
        <v>72</v>
      </c>
      <c r="B867" s="3" t="s">
        <v>73</v>
      </c>
      <c r="C867" s="3" t="s">
        <v>74</v>
      </c>
      <c r="E867" s="3" t="str">
        <f>"FES1162843635"</f>
        <v>FES1162843635</v>
      </c>
      <c r="F867" s="4">
        <v>44566</v>
      </c>
      <c r="G867" s="3">
        <v>202207</v>
      </c>
      <c r="H867" s="3" t="s">
        <v>75</v>
      </c>
      <c r="I867" s="3" t="s">
        <v>76</v>
      </c>
      <c r="J867" s="3" t="s">
        <v>966</v>
      </c>
      <c r="K867" s="3" t="s">
        <v>78</v>
      </c>
      <c r="L867" s="3" t="s">
        <v>79</v>
      </c>
      <c r="M867" s="3" t="s">
        <v>80</v>
      </c>
      <c r="N867" s="3" t="s">
        <v>1259</v>
      </c>
      <c r="O867" s="3" t="s">
        <v>148</v>
      </c>
      <c r="P867" s="3" t="str">
        <f>"2170803562                    "</f>
        <v xml:space="preserve">2170803562                    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29.89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0</v>
      </c>
      <c r="BA867" s="3">
        <v>0</v>
      </c>
      <c r="BB867" s="3">
        <v>0</v>
      </c>
      <c r="BC867" s="3">
        <v>0</v>
      </c>
      <c r="BD867" s="3">
        <v>0</v>
      </c>
      <c r="BE867" s="3">
        <v>0</v>
      </c>
      <c r="BF867" s="3">
        <v>0</v>
      </c>
      <c r="BG867" s="3">
        <v>0</v>
      </c>
      <c r="BH867" s="3">
        <v>1</v>
      </c>
      <c r="BI867" s="3">
        <v>6</v>
      </c>
      <c r="BJ867" s="3">
        <v>9.1</v>
      </c>
      <c r="BK867" s="3">
        <v>10</v>
      </c>
      <c r="BL867" s="3">
        <v>119.34</v>
      </c>
      <c r="BM867" s="3">
        <v>17.899999999999999</v>
      </c>
      <c r="BN867" s="3">
        <v>137.24</v>
      </c>
      <c r="BO867" s="3">
        <v>137.24</v>
      </c>
      <c r="BR867" s="3" t="s">
        <v>364</v>
      </c>
      <c r="BS867" s="4">
        <v>44567</v>
      </c>
      <c r="BT867" s="5">
        <v>0.37222222222222223</v>
      </c>
      <c r="BU867" s="3" t="s">
        <v>1260</v>
      </c>
      <c r="BV867" s="3" t="s">
        <v>105</v>
      </c>
      <c r="BY867" s="3">
        <v>45632</v>
      </c>
      <c r="BZ867" s="3" t="s">
        <v>1076</v>
      </c>
      <c r="CA867" s="3" t="s">
        <v>1261</v>
      </c>
      <c r="CC867" s="3" t="s">
        <v>80</v>
      </c>
      <c r="CD867" s="3">
        <v>2</v>
      </c>
      <c r="CE867" s="3" t="s">
        <v>86</v>
      </c>
      <c r="CF867" s="4">
        <v>44567</v>
      </c>
      <c r="CI867" s="3">
        <v>1</v>
      </c>
      <c r="CJ867" s="3">
        <v>1</v>
      </c>
      <c r="CK867" s="3">
        <v>41</v>
      </c>
      <c r="CL867" s="3" t="s">
        <v>87</v>
      </c>
    </row>
    <row r="868" spans="1:90" x14ac:dyDescent="0.2">
      <c r="A868" s="3" t="s">
        <v>72</v>
      </c>
      <c r="B868" s="3" t="s">
        <v>73</v>
      </c>
      <c r="C868" s="3" t="s">
        <v>74</v>
      </c>
      <c r="E868" s="3" t="str">
        <f>"FES1162843663"</f>
        <v>FES1162843663</v>
      </c>
      <c r="F868" s="4">
        <v>44566</v>
      </c>
      <c r="G868" s="3">
        <v>202207</v>
      </c>
      <c r="H868" s="3" t="s">
        <v>75</v>
      </c>
      <c r="I868" s="3" t="s">
        <v>76</v>
      </c>
      <c r="J868" s="3" t="s">
        <v>966</v>
      </c>
      <c r="K868" s="3" t="s">
        <v>78</v>
      </c>
      <c r="L868" s="3" t="s">
        <v>79</v>
      </c>
      <c r="M868" s="3" t="s">
        <v>80</v>
      </c>
      <c r="N868" s="3" t="s">
        <v>215</v>
      </c>
      <c r="O868" s="3" t="s">
        <v>148</v>
      </c>
      <c r="P868" s="3" t="str">
        <f>"2170814020                    "</f>
        <v xml:space="preserve">2170814020                    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0</v>
      </c>
      <c r="AJ868" s="3">
        <v>0</v>
      </c>
      <c r="AK868" s="3">
        <v>29.89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1</v>
      </c>
      <c r="BI868" s="3">
        <v>9</v>
      </c>
      <c r="BJ868" s="3">
        <v>2.9</v>
      </c>
      <c r="BK868" s="3">
        <v>9</v>
      </c>
      <c r="BL868" s="3">
        <v>119.34</v>
      </c>
      <c r="BM868" s="3">
        <v>17.899999999999999</v>
      </c>
      <c r="BN868" s="3">
        <v>137.24</v>
      </c>
      <c r="BO868" s="3">
        <v>137.24</v>
      </c>
      <c r="BQ868" s="3" t="s">
        <v>216</v>
      </c>
      <c r="BR868" s="3" t="s">
        <v>364</v>
      </c>
      <c r="BS868" s="4">
        <v>44567</v>
      </c>
      <c r="BT868" s="5">
        <v>0.41666666666666669</v>
      </c>
      <c r="BU868" s="3" t="s">
        <v>1262</v>
      </c>
      <c r="BV868" s="3" t="s">
        <v>105</v>
      </c>
      <c r="BY868" s="3">
        <v>14592</v>
      </c>
      <c r="BZ868" s="3" t="s">
        <v>1076</v>
      </c>
      <c r="CA868" s="3" t="s">
        <v>1263</v>
      </c>
      <c r="CC868" s="3" t="s">
        <v>80</v>
      </c>
      <c r="CD868" s="3">
        <v>84</v>
      </c>
      <c r="CE868" s="3" t="s">
        <v>86</v>
      </c>
      <c r="CF868" s="4">
        <v>44567</v>
      </c>
      <c r="CI868" s="3">
        <v>1</v>
      </c>
      <c r="CJ868" s="3">
        <v>1</v>
      </c>
      <c r="CK868" s="3">
        <v>41</v>
      </c>
      <c r="CL868" s="3" t="s">
        <v>87</v>
      </c>
    </row>
    <row r="869" spans="1:90" x14ac:dyDescent="0.2">
      <c r="A869" s="3" t="s">
        <v>72</v>
      </c>
      <c r="B869" s="3" t="s">
        <v>73</v>
      </c>
      <c r="C869" s="3" t="s">
        <v>74</v>
      </c>
      <c r="E869" s="3" t="str">
        <f>"FES1162843524"</f>
        <v>FES1162843524</v>
      </c>
      <c r="F869" s="4">
        <v>44566</v>
      </c>
      <c r="G869" s="3">
        <v>202207</v>
      </c>
      <c r="H869" s="3" t="s">
        <v>75</v>
      </c>
      <c r="I869" s="3" t="s">
        <v>76</v>
      </c>
      <c r="J869" s="3" t="s">
        <v>966</v>
      </c>
      <c r="K869" s="3" t="s">
        <v>78</v>
      </c>
      <c r="L869" s="3" t="s">
        <v>180</v>
      </c>
      <c r="M869" s="3" t="s">
        <v>181</v>
      </c>
      <c r="N869" s="3" t="s">
        <v>1264</v>
      </c>
      <c r="O869" s="3" t="s">
        <v>1237</v>
      </c>
      <c r="P869" s="3" t="str">
        <f>"2170813014                    "</f>
        <v xml:space="preserve">2170813014                    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28.27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1</v>
      </c>
      <c r="BI869" s="3">
        <v>2</v>
      </c>
      <c r="BJ869" s="3">
        <v>4.0999999999999996</v>
      </c>
      <c r="BK869" s="3">
        <v>5</v>
      </c>
      <c r="BL869" s="3">
        <v>107.89</v>
      </c>
      <c r="BM869" s="3">
        <v>16.18</v>
      </c>
      <c r="BN869" s="3">
        <v>124.07</v>
      </c>
      <c r="BO869" s="3">
        <v>124.07</v>
      </c>
      <c r="BQ869" s="3" t="s">
        <v>83</v>
      </c>
      <c r="BR869" s="3" t="s">
        <v>308</v>
      </c>
      <c r="BS869" s="4">
        <v>44567</v>
      </c>
      <c r="BT869" s="5">
        <v>0.40138888888888885</v>
      </c>
      <c r="BU869" s="3" t="s">
        <v>1265</v>
      </c>
      <c r="BV869" s="3" t="s">
        <v>105</v>
      </c>
      <c r="BY869" s="3">
        <v>20358</v>
      </c>
      <c r="BZ869" s="3" t="s">
        <v>1076</v>
      </c>
      <c r="CA869" s="3" t="s">
        <v>373</v>
      </c>
      <c r="CC869" s="3" t="s">
        <v>181</v>
      </c>
      <c r="CD869" s="3">
        <v>1960</v>
      </c>
      <c r="CE869" s="3" t="s">
        <v>86</v>
      </c>
      <c r="CF869" s="4">
        <v>44568</v>
      </c>
      <c r="CI869" s="3">
        <v>1</v>
      </c>
      <c r="CJ869" s="3">
        <v>1</v>
      </c>
      <c r="CK869" s="3">
        <v>34</v>
      </c>
      <c r="CL869" s="3" t="s">
        <v>87</v>
      </c>
    </row>
    <row r="870" spans="1:90" x14ac:dyDescent="0.2">
      <c r="A870" s="3" t="s">
        <v>72</v>
      </c>
      <c r="B870" s="3" t="s">
        <v>73</v>
      </c>
      <c r="C870" s="3" t="s">
        <v>74</v>
      </c>
      <c r="E870" s="3" t="str">
        <f>"FES1162843380"</f>
        <v>FES1162843380</v>
      </c>
      <c r="F870" s="4">
        <v>44565</v>
      </c>
      <c r="G870" s="3">
        <v>202207</v>
      </c>
      <c r="H870" s="3" t="s">
        <v>75</v>
      </c>
      <c r="I870" s="3" t="s">
        <v>76</v>
      </c>
      <c r="J870" s="3" t="s">
        <v>966</v>
      </c>
      <c r="K870" s="3" t="s">
        <v>78</v>
      </c>
      <c r="L870" s="3" t="s">
        <v>158</v>
      </c>
      <c r="M870" s="3" t="s">
        <v>159</v>
      </c>
      <c r="N870" s="3" t="s">
        <v>1266</v>
      </c>
      <c r="O870" s="3" t="s">
        <v>82</v>
      </c>
      <c r="P870" s="3" t="str">
        <f>"2170813992                    "</f>
        <v xml:space="preserve">2170813992                    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13.26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1</v>
      </c>
      <c r="BI870" s="3">
        <v>4</v>
      </c>
      <c r="BJ870" s="3">
        <v>7.4</v>
      </c>
      <c r="BK870" s="3">
        <v>7.5</v>
      </c>
      <c r="BL870" s="3">
        <v>47.27</v>
      </c>
      <c r="BM870" s="3">
        <v>7.09</v>
      </c>
      <c r="BN870" s="3">
        <v>54.36</v>
      </c>
      <c r="BO870" s="3">
        <v>54.36</v>
      </c>
      <c r="BQ870" s="3" t="s">
        <v>83</v>
      </c>
      <c r="BR870" s="3" t="s">
        <v>308</v>
      </c>
      <c r="BS870" s="4">
        <v>44566</v>
      </c>
      <c r="BT870" s="5">
        <v>0.34027777777777773</v>
      </c>
      <c r="BU870" s="3" t="s">
        <v>1267</v>
      </c>
      <c r="BV870" s="3" t="s">
        <v>105</v>
      </c>
      <c r="BY870" s="3">
        <v>37030</v>
      </c>
      <c r="BZ870" s="3" t="s">
        <v>1076</v>
      </c>
      <c r="CA870" s="3" t="s">
        <v>653</v>
      </c>
      <c r="CC870" s="3" t="s">
        <v>159</v>
      </c>
      <c r="CD870" s="3">
        <v>1459</v>
      </c>
      <c r="CE870" s="3" t="s">
        <v>86</v>
      </c>
      <c r="CF870" s="4">
        <v>44566</v>
      </c>
      <c r="CI870" s="3">
        <v>1</v>
      </c>
      <c r="CJ870" s="3">
        <v>1</v>
      </c>
      <c r="CK870" s="3">
        <v>22</v>
      </c>
      <c r="CL870" s="3" t="s">
        <v>87</v>
      </c>
    </row>
    <row r="871" spans="1:90" x14ac:dyDescent="0.2">
      <c r="A871" s="3" t="s">
        <v>72</v>
      </c>
      <c r="B871" s="3" t="s">
        <v>73</v>
      </c>
      <c r="C871" s="3" t="s">
        <v>74</v>
      </c>
      <c r="E871" s="3" t="str">
        <f>"FES1162844648"</f>
        <v>FES1162844648</v>
      </c>
      <c r="F871" s="4">
        <v>44573</v>
      </c>
      <c r="G871" s="3">
        <v>202207</v>
      </c>
      <c r="H871" s="3" t="s">
        <v>75</v>
      </c>
      <c r="I871" s="3" t="s">
        <v>76</v>
      </c>
      <c r="J871" s="3" t="s">
        <v>966</v>
      </c>
      <c r="K871" s="3" t="s">
        <v>78</v>
      </c>
      <c r="L871" s="3" t="s">
        <v>489</v>
      </c>
      <c r="M871" s="3" t="s">
        <v>490</v>
      </c>
      <c r="N871" s="3" t="s">
        <v>491</v>
      </c>
      <c r="O871" s="3" t="s">
        <v>1237</v>
      </c>
      <c r="P871" s="3" t="str">
        <f>"2170816102                    "</f>
        <v xml:space="preserve">2170816102                    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29.95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3">
        <v>1</v>
      </c>
      <c r="BI871" s="3">
        <v>4</v>
      </c>
      <c r="BJ871" s="3">
        <v>2</v>
      </c>
      <c r="BK871" s="3">
        <v>4</v>
      </c>
      <c r="BL871" s="3">
        <v>114.31</v>
      </c>
      <c r="BM871" s="3">
        <v>17.149999999999999</v>
      </c>
      <c r="BN871" s="3">
        <v>131.46</v>
      </c>
      <c r="BO871" s="3">
        <v>131.46</v>
      </c>
      <c r="BQ871" s="3" t="s">
        <v>83</v>
      </c>
      <c r="BR871" s="3" t="s">
        <v>1268</v>
      </c>
      <c r="BS871" s="4">
        <v>44574</v>
      </c>
      <c r="BT871" s="5">
        <v>0.63263888888888886</v>
      </c>
      <c r="BU871" s="3" t="s">
        <v>492</v>
      </c>
      <c r="BV871" s="3" t="s">
        <v>87</v>
      </c>
      <c r="BW871" s="3" t="s">
        <v>493</v>
      </c>
      <c r="BX871" s="3" t="s">
        <v>1269</v>
      </c>
      <c r="BY871" s="3">
        <v>9918</v>
      </c>
      <c r="BZ871" s="3" t="s">
        <v>1076</v>
      </c>
      <c r="CA871" s="3" t="s">
        <v>495</v>
      </c>
      <c r="CC871" s="3" t="s">
        <v>490</v>
      </c>
      <c r="CD871" s="3">
        <v>250</v>
      </c>
      <c r="CE871" s="3" t="s">
        <v>86</v>
      </c>
      <c r="CF871" s="4">
        <v>44575</v>
      </c>
      <c r="CI871" s="3">
        <v>1</v>
      </c>
      <c r="CJ871" s="3">
        <v>1</v>
      </c>
      <c r="CK871" s="3">
        <v>33</v>
      </c>
      <c r="CL871" s="3" t="s">
        <v>87</v>
      </c>
    </row>
    <row r="872" spans="1:90" x14ac:dyDescent="0.2">
      <c r="A872" s="3" t="s">
        <v>72</v>
      </c>
      <c r="B872" s="3" t="s">
        <v>73</v>
      </c>
      <c r="C872" s="3" t="s">
        <v>74</v>
      </c>
      <c r="E872" s="3" t="str">
        <f>"FES1162843724"</f>
        <v>FES1162843724</v>
      </c>
      <c r="F872" s="4">
        <v>44567</v>
      </c>
      <c r="G872" s="3">
        <v>202207</v>
      </c>
      <c r="H872" s="3" t="s">
        <v>75</v>
      </c>
      <c r="I872" s="3" t="s">
        <v>76</v>
      </c>
      <c r="J872" s="3" t="s">
        <v>966</v>
      </c>
      <c r="K872" s="3" t="s">
        <v>78</v>
      </c>
      <c r="L872" s="3" t="s">
        <v>158</v>
      </c>
      <c r="M872" s="3" t="s">
        <v>159</v>
      </c>
      <c r="N872" s="3" t="s">
        <v>1266</v>
      </c>
      <c r="O872" s="3" t="s">
        <v>1237</v>
      </c>
      <c r="P872" s="3" t="str">
        <f>"2170813131                    "</f>
        <v xml:space="preserve">2170813131                    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21.57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1</v>
      </c>
      <c r="BI872" s="3">
        <v>15</v>
      </c>
      <c r="BJ872" s="3">
        <v>4.0999999999999996</v>
      </c>
      <c r="BK872" s="3">
        <v>15</v>
      </c>
      <c r="BL872" s="3">
        <v>82.33</v>
      </c>
      <c r="BM872" s="3">
        <v>12.35</v>
      </c>
      <c r="BN872" s="3">
        <v>94.68</v>
      </c>
      <c r="BO872" s="3">
        <v>94.68</v>
      </c>
      <c r="BQ872" s="3" t="s">
        <v>83</v>
      </c>
      <c r="BR872" s="3" t="s">
        <v>364</v>
      </c>
      <c r="BS872" s="4">
        <v>44568</v>
      </c>
      <c r="BT872" s="5">
        <v>0.36180555555555555</v>
      </c>
      <c r="BU872" s="3" t="s">
        <v>1270</v>
      </c>
      <c r="BV872" s="3" t="s">
        <v>105</v>
      </c>
      <c r="BY872" s="3">
        <v>20358</v>
      </c>
      <c r="BZ872" s="3" t="s">
        <v>1076</v>
      </c>
      <c r="CA872" s="3" t="s">
        <v>825</v>
      </c>
      <c r="CC872" s="3" t="s">
        <v>159</v>
      </c>
      <c r="CD872" s="3">
        <v>1459</v>
      </c>
      <c r="CE872" s="3" t="s">
        <v>86</v>
      </c>
      <c r="CF872" s="4">
        <v>44568</v>
      </c>
      <c r="CI872" s="3">
        <v>1</v>
      </c>
      <c r="CJ872" s="3">
        <v>1</v>
      </c>
      <c r="CK872" s="3">
        <v>32</v>
      </c>
      <c r="CL872" s="3" t="s">
        <v>87</v>
      </c>
    </row>
    <row r="873" spans="1:90" x14ac:dyDescent="0.2">
      <c r="A873" s="3" t="s">
        <v>72</v>
      </c>
      <c r="B873" s="3" t="s">
        <v>73</v>
      </c>
      <c r="C873" s="3" t="s">
        <v>74</v>
      </c>
      <c r="E873" s="3" t="str">
        <f>"FES1162843806"</f>
        <v>FES1162843806</v>
      </c>
      <c r="F873" s="4">
        <v>44567</v>
      </c>
      <c r="G873" s="3">
        <v>202207</v>
      </c>
      <c r="H873" s="3" t="s">
        <v>75</v>
      </c>
      <c r="I873" s="3" t="s">
        <v>76</v>
      </c>
      <c r="J873" s="3" t="s">
        <v>966</v>
      </c>
      <c r="K873" s="3" t="s">
        <v>78</v>
      </c>
      <c r="L873" s="3" t="s">
        <v>1271</v>
      </c>
      <c r="M873" s="3" t="s">
        <v>1272</v>
      </c>
      <c r="N873" s="3" t="s">
        <v>1273</v>
      </c>
      <c r="O873" s="3" t="s">
        <v>1237</v>
      </c>
      <c r="P873" s="3" t="str">
        <f>"2170810166                    "</f>
        <v xml:space="preserve">2170810166                    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41.31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1</v>
      </c>
      <c r="BI873" s="3">
        <v>7</v>
      </c>
      <c r="BJ873" s="3">
        <v>2.2000000000000002</v>
      </c>
      <c r="BK873" s="3">
        <v>7</v>
      </c>
      <c r="BL873" s="3">
        <v>157.69</v>
      </c>
      <c r="BM873" s="3">
        <v>23.65</v>
      </c>
      <c r="BN873" s="3">
        <v>181.34</v>
      </c>
      <c r="BO873" s="3">
        <v>181.34</v>
      </c>
      <c r="BQ873" s="3" t="s">
        <v>83</v>
      </c>
      <c r="BR873" s="3" t="s">
        <v>364</v>
      </c>
      <c r="BS873" s="4">
        <v>44568</v>
      </c>
      <c r="BT873" s="5">
        <v>0.36874999999999997</v>
      </c>
      <c r="BU873" s="3" t="s">
        <v>1274</v>
      </c>
      <c r="BV873" s="3" t="s">
        <v>105</v>
      </c>
      <c r="BY873" s="3">
        <v>10800</v>
      </c>
      <c r="BZ873" s="3" t="s">
        <v>1076</v>
      </c>
      <c r="CA873" s="3" t="s">
        <v>1051</v>
      </c>
      <c r="CC873" s="3" t="s">
        <v>1272</v>
      </c>
      <c r="CD873" s="3">
        <v>1438</v>
      </c>
      <c r="CE873" s="3" t="s">
        <v>86</v>
      </c>
      <c r="CF873" s="4">
        <v>44568</v>
      </c>
      <c r="CI873" s="3">
        <v>1</v>
      </c>
      <c r="CJ873" s="3">
        <v>1</v>
      </c>
      <c r="CK873" s="3">
        <v>34</v>
      </c>
      <c r="CL873" s="3" t="s">
        <v>87</v>
      </c>
    </row>
    <row r="874" spans="1:90" x14ac:dyDescent="0.2">
      <c r="A874" s="3" t="s">
        <v>72</v>
      </c>
      <c r="B874" s="3" t="s">
        <v>73</v>
      </c>
      <c r="C874" s="3" t="s">
        <v>74</v>
      </c>
      <c r="E874" s="3" t="str">
        <f>"FES1162843949"</f>
        <v>FES1162843949</v>
      </c>
      <c r="F874" s="4">
        <v>44567</v>
      </c>
      <c r="G874" s="3">
        <v>202207</v>
      </c>
      <c r="H874" s="3" t="s">
        <v>75</v>
      </c>
      <c r="I874" s="3" t="s">
        <v>76</v>
      </c>
      <c r="J874" s="3" t="s">
        <v>966</v>
      </c>
      <c r="K874" s="3" t="s">
        <v>78</v>
      </c>
      <c r="L874" s="3" t="s">
        <v>206</v>
      </c>
      <c r="M874" s="3" t="s">
        <v>207</v>
      </c>
      <c r="N874" s="3" t="s">
        <v>1275</v>
      </c>
      <c r="O874" s="3" t="s">
        <v>1237</v>
      </c>
      <c r="P874" s="3" t="str">
        <f>"2170813865                    "</f>
        <v xml:space="preserve">2170813865                    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41.31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1</v>
      </c>
      <c r="BI874" s="3">
        <v>7</v>
      </c>
      <c r="BJ874" s="3">
        <v>3.9</v>
      </c>
      <c r="BK874" s="3">
        <v>7</v>
      </c>
      <c r="BL874" s="3">
        <v>157.69</v>
      </c>
      <c r="BM874" s="3">
        <v>23.65</v>
      </c>
      <c r="BN874" s="3">
        <v>181.34</v>
      </c>
      <c r="BO874" s="3">
        <v>181.34</v>
      </c>
      <c r="BR874" s="3" t="s">
        <v>364</v>
      </c>
      <c r="BS874" s="4">
        <v>44568</v>
      </c>
      <c r="BT874" s="5">
        <v>0.43055555555555558</v>
      </c>
      <c r="BU874" s="3" t="s">
        <v>1276</v>
      </c>
      <c r="BV874" s="3" t="s">
        <v>105</v>
      </c>
      <c r="BY874" s="3">
        <v>19440</v>
      </c>
      <c r="BZ874" s="3" t="s">
        <v>1076</v>
      </c>
      <c r="CC874" s="3" t="s">
        <v>207</v>
      </c>
      <c r="CD874" s="3">
        <v>1739</v>
      </c>
      <c r="CE874" s="3" t="s">
        <v>86</v>
      </c>
      <c r="CF874" s="4">
        <v>44569</v>
      </c>
      <c r="CI874" s="3">
        <v>1</v>
      </c>
      <c r="CJ874" s="3">
        <v>1</v>
      </c>
      <c r="CK874" s="3">
        <v>34</v>
      </c>
      <c r="CL874" s="3" t="s">
        <v>87</v>
      </c>
    </row>
    <row r="875" spans="1:90" x14ac:dyDescent="0.2">
      <c r="A875" s="3" t="s">
        <v>72</v>
      </c>
      <c r="B875" s="3" t="s">
        <v>73</v>
      </c>
      <c r="C875" s="3" t="s">
        <v>74</v>
      </c>
      <c r="E875" s="3" t="str">
        <f>"FES1162843650"</f>
        <v>FES1162843650</v>
      </c>
      <c r="F875" s="4">
        <v>44567</v>
      </c>
      <c r="G875" s="3">
        <v>202207</v>
      </c>
      <c r="H875" s="3" t="s">
        <v>75</v>
      </c>
      <c r="I875" s="3" t="s">
        <v>76</v>
      </c>
      <c r="J875" s="3" t="s">
        <v>966</v>
      </c>
      <c r="K875" s="3" t="s">
        <v>78</v>
      </c>
      <c r="L875" s="3" t="s">
        <v>180</v>
      </c>
      <c r="M875" s="3" t="s">
        <v>181</v>
      </c>
      <c r="N875" s="3" t="s">
        <v>1250</v>
      </c>
      <c r="O875" s="3" t="s">
        <v>1237</v>
      </c>
      <c r="P875" s="3" t="str">
        <f>"2170812051                    "</f>
        <v xml:space="preserve">2170812051                    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28.27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0</v>
      </c>
      <c r="AZ875" s="3">
        <v>0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1</v>
      </c>
      <c r="BI875" s="3">
        <v>4</v>
      </c>
      <c r="BJ875" s="3">
        <v>4.0999999999999996</v>
      </c>
      <c r="BK875" s="3">
        <v>5</v>
      </c>
      <c r="BL875" s="3">
        <v>107.89</v>
      </c>
      <c r="BM875" s="3">
        <v>16.18</v>
      </c>
      <c r="BN875" s="3">
        <v>124.07</v>
      </c>
      <c r="BO875" s="3">
        <v>124.07</v>
      </c>
      <c r="BQ875" s="3" t="s">
        <v>83</v>
      </c>
      <c r="BR875" s="3" t="s">
        <v>364</v>
      </c>
      <c r="BS875" s="4">
        <v>44568</v>
      </c>
      <c r="BT875" s="5">
        <v>0.37777777777777777</v>
      </c>
      <c r="BU875" s="3" t="s">
        <v>1277</v>
      </c>
      <c r="BV875" s="3" t="s">
        <v>105</v>
      </c>
      <c r="BY875" s="3">
        <v>20358</v>
      </c>
      <c r="BZ875" s="3" t="s">
        <v>1076</v>
      </c>
      <c r="CA875" s="3" t="s">
        <v>373</v>
      </c>
      <c r="CC875" s="3" t="s">
        <v>181</v>
      </c>
      <c r="CD875" s="3">
        <v>1961</v>
      </c>
      <c r="CE875" s="3" t="s">
        <v>86</v>
      </c>
      <c r="CF875" s="4">
        <v>44568</v>
      </c>
      <c r="CI875" s="3">
        <v>1</v>
      </c>
      <c r="CJ875" s="3">
        <v>1</v>
      </c>
      <c r="CK875" s="3">
        <v>34</v>
      </c>
      <c r="CL875" s="3" t="s">
        <v>87</v>
      </c>
    </row>
    <row r="876" spans="1:90" x14ac:dyDescent="0.2">
      <c r="A876" s="3" t="s">
        <v>72</v>
      </c>
      <c r="B876" s="3" t="s">
        <v>73</v>
      </c>
      <c r="C876" s="3" t="s">
        <v>74</v>
      </c>
      <c r="E876" s="3" t="str">
        <f>"FES1162843632"</f>
        <v>FES1162843632</v>
      </c>
      <c r="F876" s="4">
        <v>44567</v>
      </c>
      <c r="G876" s="3">
        <v>202207</v>
      </c>
      <c r="H876" s="3" t="s">
        <v>75</v>
      </c>
      <c r="I876" s="3" t="s">
        <v>76</v>
      </c>
      <c r="J876" s="3" t="s">
        <v>966</v>
      </c>
      <c r="K876" s="3" t="s">
        <v>78</v>
      </c>
      <c r="L876" s="3" t="s">
        <v>180</v>
      </c>
      <c r="M876" s="3" t="s">
        <v>181</v>
      </c>
      <c r="N876" s="3" t="s">
        <v>1250</v>
      </c>
      <c r="O876" s="3" t="s">
        <v>1237</v>
      </c>
      <c r="P876" s="3" t="str">
        <f>"2170797457                    "</f>
        <v xml:space="preserve">2170797457                    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28.27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3">
        <v>1</v>
      </c>
      <c r="BI876" s="3">
        <v>4</v>
      </c>
      <c r="BJ876" s="3">
        <v>4.0999999999999996</v>
      </c>
      <c r="BK876" s="3">
        <v>5</v>
      </c>
      <c r="BL876" s="3">
        <v>107.89</v>
      </c>
      <c r="BM876" s="3">
        <v>16.18</v>
      </c>
      <c r="BN876" s="3">
        <v>124.07</v>
      </c>
      <c r="BO876" s="3">
        <v>124.07</v>
      </c>
      <c r="BQ876" s="3" t="s">
        <v>83</v>
      </c>
      <c r="BR876" s="3" t="s">
        <v>364</v>
      </c>
      <c r="BS876" s="4">
        <v>44568</v>
      </c>
      <c r="BT876" s="5">
        <v>0.37777777777777777</v>
      </c>
      <c r="BU876" s="3" t="s">
        <v>1277</v>
      </c>
      <c r="BV876" s="3" t="s">
        <v>105</v>
      </c>
      <c r="BY876" s="3">
        <v>20358</v>
      </c>
      <c r="BZ876" s="3" t="s">
        <v>1076</v>
      </c>
      <c r="CA876" s="3" t="s">
        <v>373</v>
      </c>
      <c r="CC876" s="3" t="s">
        <v>181</v>
      </c>
      <c r="CD876" s="3">
        <v>1961</v>
      </c>
      <c r="CE876" s="3" t="s">
        <v>86</v>
      </c>
      <c r="CF876" s="4">
        <v>44568</v>
      </c>
      <c r="CI876" s="3">
        <v>1</v>
      </c>
      <c r="CJ876" s="3">
        <v>1</v>
      </c>
      <c r="CK876" s="3">
        <v>34</v>
      </c>
      <c r="CL876" s="3" t="s">
        <v>87</v>
      </c>
    </row>
    <row r="877" spans="1:90" x14ac:dyDescent="0.2">
      <c r="A877" s="3" t="s">
        <v>72</v>
      </c>
      <c r="B877" s="3" t="s">
        <v>73</v>
      </c>
      <c r="C877" s="3" t="s">
        <v>74</v>
      </c>
      <c r="E877" s="3" t="str">
        <f>"FES1162843831"</f>
        <v>FES1162843831</v>
      </c>
      <c r="F877" s="4">
        <v>44567</v>
      </c>
      <c r="G877" s="3">
        <v>202207</v>
      </c>
      <c r="H877" s="3" t="s">
        <v>75</v>
      </c>
      <c r="I877" s="3" t="s">
        <v>76</v>
      </c>
      <c r="J877" s="3" t="s">
        <v>966</v>
      </c>
      <c r="K877" s="3" t="s">
        <v>78</v>
      </c>
      <c r="L877" s="3" t="s">
        <v>123</v>
      </c>
      <c r="M877" s="3" t="s">
        <v>124</v>
      </c>
      <c r="N877" s="3" t="s">
        <v>1278</v>
      </c>
      <c r="O877" s="3" t="s">
        <v>82</v>
      </c>
      <c r="P877" s="3" t="str">
        <f>"2170815760                    "</f>
        <v xml:space="preserve">2170815760                    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0</v>
      </c>
      <c r="AJ877" s="3">
        <v>0</v>
      </c>
      <c r="AK877" s="3">
        <v>17.87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0</v>
      </c>
      <c r="BF877" s="3">
        <v>0</v>
      </c>
      <c r="BG877" s="3">
        <v>0</v>
      </c>
      <c r="BH877" s="3">
        <v>1</v>
      </c>
      <c r="BI877" s="3">
        <v>10</v>
      </c>
      <c r="BJ877" s="3">
        <v>3.8</v>
      </c>
      <c r="BK877" s="3">
        <v>10</v>
      </c>
      <c r="BL877" s="3">
        <v>68.2</v>
      </c>
      <c r="BM877" s="3">
        <v>10.23</v>
      </c>
      <c r="BN877" s="3">
        <v>78.430000000000007</v>
      </c>
      <c r="BO877" s="3">
        <v>78.430000000000007</v>
      </c>
      <c r="BQ877" s="3" t="s">
        <v>145</v>
      </c>
      <c r="BR877" s="3" t="s">
        <v>364</v>
      </c>
      <c r="BS877" s="4">
        <v>44568</v>
      </c>
      <c r="BT877" s="5">
        <v>0.34097222222222223</v>
      </c>
      <c r="BU877" s="3" t="s">
        <v>1279</v>
      </c>
      <c r="BV877" s="3" t="s">
        <v>105</v>
      </c>
      <c r="BY877" s="3">
        <v>18928</v>
      </c>
      <c r="BZ877" s="3" t="s">
        <v>1076</v>
      </c>
      <c r="CA877" s="3" t="s">
        <v>320</v>
      </c>
      <c r="CC877" s="3" t="s">
        <v>124</v>
      </c>
      <c r="CD877" s="3">
        <v>1709</v>
      </c>
      <c r="CE877" s="3" t="s">
        <v>86</v>
      </c>
      <c r="CF877" s="4">
        <v>44568</v>
      </c>
      <c r="CI877" s="3">
        <v>1</v>
      </c>
      <c r="CJ877" s="3">
        <v>1</v>
      </c>
      <c r="CK877" s="3">
        <v>22</v>
      </c>
      <c r="CL877" s="3" t="s">
        <v>87</v>
      </c>
    </row>
    <row r="878" spans="1:90" x14ac:dyDescent="0.2">
      <c r="A878" s="3" t="s">
        <v>72</v>
      </c>
      <c r="B878" s="3" t="s">
        <v>73</v>
      </c>
      <c r="C878" s="3" t="s">
        <v>74</v>
      </c>
      <c r="E878" s="3" t="str">
        <f>"FES1162843849"</f>
        <v>FES1162843849</v>
      </c>
      <c r="F878" s="4">
        <v>44567</v>
      </c>
      <c r="G878" s="3">
        <v>202207</v>
      </c>
      <c r="H878" s="3" t="s">
        <v>75</v>
      </c>
      <c r="I878" s="3" t="s">
        <v>76</v>
      </c>
      <c r="J878" s="3" t="s">
        <v>966</v>
      </c>
      <c r="K878" s="3" t="s">
        <v>78</v>
      </c>
      <c r="L878" s="3" t="s">
        <v>79</v>
      </c>
      <c r="M878" s="3" t="s">
        <v>80</v>
      </c>
      <c r="N878" s="3" t="s">
        <v>237</v>
      </c>
      <c r="O878" s="3" t="s">
        <v>148</v>
      </c>
      <c r="P878" s="3" t="str">
        <f>"2170815781                    "</f>
        <v xml:space="preserve">2170815781                    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0</v>
      </c>
      <c r="AJ878" s="3">
        <v>0</v>
      </c>
      <c r="AK878" s="3">
        <v>33.590000000000003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1</v>
      </c>
      <c r="BI878" s="3">
        <v>11</v>
      </c>
      <c r="BJ878" s="3">
        <v>18</v>
      </c>
      <c r="BK878" s="3">
        <v>18</v>
      </c>
      <c r="BL878" s="3">
        <v>133.44999999999999</v>
      </c>
      <c r="BM878" s="3">
        <v>20.02</v>
      </c>
      <c r="BN878" s="3">
        <v>153.47</v>
      </c>
      <c r="BO878" s="3">
        <v>153.47</v>
      </c>
      <c r="BQ878" s="3" t="s">
        <v>83</v>
      </c>
      <c r="BR878" s="3" t="s">
        <v>364</v>
      </c>
      <c r="BS878" s="4">
        <v>44568</v>
      </c>
      <c r="BT878" s="5">
        <v>0.43055555555555558</v>
      </c>
      <c r="BU878" s="3" t="s">
        <v>1280</v>
      </c>
      <c r="BV878" s="3" t="s">
        <v>105</v>
      </c>
      <c r="BY878" s="3">
        <v>89964</v>
      </c>
      <c r="BZ878" s="3" t="s">
        <v>1076</v>
      </c>
      <c r="CA878" s="3" t="s">
        <v>1281</v>
      </c>
      <c r="CC878" s="3" t="s">
        <v>80</v>
      </c>
      <c r="CD878" s="3">
        <v>1</v>
      </c>
      <c r="CE878" s="3" t="s">
        <v>86</v>
      </c>
      <c r="CF878" s="4">
        <v>44568</v>
      </c>
      <c r="CI878" s="3">
        <v>1</v>
      </c>
      <c r="CJ878" s="3">
        <v>1</v>
      </c>
      <c r="CK878" s="3">
        <v>41</v>
      </c>
      <c r="CL878" s="3" t="s">
        <v>87</v>
      </c>
    </row>
    <row r="879" spans="1:90" x14ac:dyDescent="0.2">
      <c r="A879" s="3" t="s">
        <v>72</v>
      </c>
      <c r="B879" s="3" t="s">
        <v>73</v>
      </c>
      <c r="C879" s="3" t="s">
        <v>74</v>
      </c>
      <c r="E879" s="3" t="str">
        <f>"FES1162843866"</f>
        <v>FES1162843866</v>
      </c>
      <c r="F879" s="4">
        <v>44567</v>
      </c>
      <c r="G879" s="3">
        <v>202207</v>
      </c>
      <c r="H879" s="3" t="s">
        <v>75</v>
      </c>
      <c r="I879" s="3" t="s">
        <v>76</v>
      </c>
      <c r="J879" s="3" t="s">
        <v>966</v>
      </c>
      <c r="K879" s="3" t="s">
        <v>78</v>
      </c>
      <c r="L879" s="3" t="s">
        <v>1179</v>
      </c>
      <c r="M879" s="3" t="s">
        <v>1180</v>
      </c>
      <c r="N879" s="3" t="s">
        <v>1282</v>
      </c>
      <c r="O879" s="3" t="s">
        <v>1237</v>
      </c>
      <c r="P879" s="3" t="str">
        <f>"2170815599                    "</f>
        <v xml:space="preserve">2170815599                    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0</v>
      </c>
      <c r="AJ879" s="3">
        <v>0</v>
      </c>
      <c r="AK879" s="3">
        <v>29.95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1</v>
      </c>
      <c r="BI879" s="3">
        <v>3</v>
      </c>
      <c r="BJ879" s="3">
        <v>2</v>
      </c>
      <c r="BK879" s="3">
        <v>3</v>
      </c>
      <c r="BL879" s="3">
        <v>114.31</v>
      </c>
      <c r="BM879" s="3">
        <v>17.149999999999999</v>
      </c>
      <c r="BN879" s="3">
        <v>131.46</v>
      </c>
      <c r="BO879" s="3">
        <v>131.46</v>
      </c>
      <c r="BQ879" s="3" t="s">
        <v>1283</v>
      </c>
      <c r="BR879" s="3" t="s">
        <v>364</v>
      </c>
      <c r="BS879" s="4">
        <v>44568</v>
      </c>
      <c r="BT879" s="5">
        <v>0.78888888888888886</v>
      </c>
      <c r="BU879" s="3" t="s">
        <v>1284</v>
      </c>
      <c r="BV879" s="3" t="s">
        <v>87</v>
      </c>
      <c r="BY879" s="3">
        <v>9918</v>
      </c>
      <c r="BZ879" s="3" t="s">
        <v>1076</v>
      </c>
      <c r="CA879" s="3" t="s">
        <v>1285</v>
      </c>
      <c r="CC879" s="3" t="s">
        <v>1180</v>
      </c>
      <c r="CD879" s="3">
        <v>208</v>
      </c>
      <c r="CE879" s="3" t="s">
        <v>86</v>
      </c>
      <c r="CF879" s="4">
        <v>44568</v>
      </c>
      <c r="CI879" s="3">
        <v>1</v>
      </c>
      <c r="CJ879" s="3">
        <v>1</v>
      </c>
      <c r="CK879" s="3">
        <v>33</v>
      </c>
      <c r="CL879" s="3" t="s">
        <v>87</v>
      </c>
    </row>
    <row r="880" spans="1:90" x14ac:dyDescent="0.2">
      <c r="A880" s="3" t="s">
        <v>72</v>
      </c>
      <c r="B880" s="3" t="s">
        <v>73</v>
      </c>
      <c r="C880" s="3" t="s">
        <v>74</v>
      </c>
      <c r="E880" s="3" t="str">
        <f>"FES1162843558"</f>
        <v>FES1162843558</v>
      </c>
      <c r="F880" s="4">
        <v>44566</v>
      </c>
      <c r="G880" s="3">
        <v>202207</v>
      </c>
      <c r="H880" s="3" t="s">
        <v>75</v>
      </c>
      <c r="I880" s="3" t="s">
        <v>76</v>
      </c>
      <c r="J880" s="3" t="s">
        <v>966</v>
      </c>
      <c r="K880" s="3" t="s">
        <v>78</v>
      </c>
      <c r="L880" s="3" t="s">
        <v>133</v>
      </c>
      <c r="M880" s="3" t="s">
        <v>134</v>
      </c>
      <c r="N880" s="3" t="s">
        <v>1115</v>
      </c>
      <c r="O880" s="3" t="s">
        <v>148</v>
      </c>
      <c r="P880" s="3" t="str">
        <f>"2170815650                    "</f>
        <v xml:space="preserve">2170815650                    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0</v>
      </c>
      <c r="AJ880" s="3">
        <v>0</v>
      </c>
      <c r="AK880" s="3">
        <v>33.01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3">
        <v>1</v>
      </c>
      <c r="BI880" s="3">
        <v>12</v>
      </c>
      <c r="BJ880" s="3">
        <v>9.1</v>
      </c>
      <c r="BK880" s="3">
        <v>12</v>
      </c>
      <c r="BL880" s="3">
        <v>131.25</v>
      </c>
      <c r="BM880" s="3">
        <v>19.690000000000001</v>
      </c>
      <c r="BN880" s="3">
        <v>150.94</v>
      </c>
      <c r="BO880" s="3">
        <v>150.94</v>
      </c>
      <c r="BQ880" s="3" t="s">
        <v>83</v>
      </c>
      <c r="BR880" s="3" t="s">
        <v>364</v>
      </c>
      <c r="BS880" s="4">
        <v>44567</v>
      </c>
      <c r="BT880" s="5">
        <v>0.43194444444444446</v>
      </c>
      <c r="BU880" s="3" t="s">
        <v>1286</v>
      </c>
      <c r="BV880" s="3" t="s">
        <v>105</v>
      </c>
      <c r="BY880" s="3">
        <v>45632</v>
      </c>
      <c r="BZ880" s="3" t="s">
        <v>1076</v>
      </c>
      <c r="CA880" s="3" t="s">
        <v>673</v>
      </c>
      <c r="CC880" s="3" t="s">
        <v>134</v>
      </c>
      <c r="CD880" s="3">
        <v>1900</v>
      </c>
      <c r="CE880" s="3" t="s">
        <v>86</v>
      </c>
      <c r="CF880" s="4">
        <v>44568</v>
      </c>
      <c r="CI880" s="3">
        <v>1</v>
      </c>
      <c r="CJ880" s="3">
        <v>1</v>
      </c>
      <c r="CK880" s="3">
        <v>44</v>
      </c>
      <c r="CL880" s="3" t="s">
        <v>87</v>
      </c>
    </row>
    <row r="881" spans="1:90" x14ac:dyDescent="0.2">
      <c r="A881" s="3" t="s">
        <v>72</v>
      </c>
      <c r="B881" s="3" t="s">
        <v>73</v>
      </c>
      <c r="C881" s="3" t="s">
        <v>74</v>
      </c>
      <c r="E881" s="3" t="str">
        <f>"FES1162843758"</f>
        <v>FES1162843758</v>
      </c>
      <c r="F881" s="4">
        <v>44567</v>
      </c>
      <c r="G881" s="3">
        <v>202207</v>
      </c>
      <c r="H881" s="3" t="s">
        <v>75</v>
      </c>
      <c r="I881" s="3" t="s">
        <v>76</v>
      </c>
      <c r="J881" s="3" t="s">
        <v>966</v>
      </c>
      <c r="K881" s="3" t="s">
        <v>78</v>
      </c>
      <c r="L881" s="3" t="s">
        <v>162</v>
      </c>
      <c r="M881" s="3" t="s">
        <v>163</v>
      </c>
      <c r="N881" s="3" t="s">
        <v>885</v>
      </c>
      <c r="O881" s="3" t="s">
        <v>82</v>
      </c>
      <c r="P881" s="3" t="str">
        <f>"2170814401                    "</f>
        <v xml:space="preserve">2170814401                    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0</v>
      </c>
      <c r="AJ881" s="3">
        <v>0</v>
      </c>
      <c r="AK881" s="3">
        <v>14.97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1</v>
      </c>
      <c r="BI881" s="3">
        <v>9</v>
      </c>
      <c r="BJ881" s="3">
        <v>4.0999999999999996</v>
      </c>
      <c r="BK881" s="3">
        <v>9</v>
      </c>
      <c r="BL881" s="3">
        <v>57.14</v>
      </c>
      <c r="BM881" s="3">
        <v>8.57</v>
      </c>
      <c r="BN881" s="3">
        <v>65.709999999999994</v>
      </c>
      <c r="BO881" s="3">
        <v>65.709999999999994</v>
      </c>
      <c r="BQ881" s="3" t="s">
        <v>83</v>
      </c>
      <c r="BR881" s="3" t="s">
        <v>364</v>
      </c>
      <c r="BS881" s="4">
        <v>44568</v>
      </c>
      <c r="BT881" s="5">
        <v>0.3743055555555555</v>
      </c>
      <c r="BU881" s="3" t="s">
        <v>1287</v>
      </c>
      <c r="BV881" s="3" t="s">
        <v>105</v>
      </c>
      <c r="BY881" s="3">
        <v>20358</v>
      </c>
      <c r="BZ881" s="3" t="s">
        <v>1076</v>
      </c>
      <c r="CA881" s="3" t="s">
        <v>591</v>
      </c>
      <c r="CC881" s="3" t="s">
        <v>163</v>
      </c>
      <c r="CD881" s="3">
        <v>1422</v>
      </c>
      <c r="CE881" s="3" t="s">
        <v>86</v>
      </c>
      <c r="CF881" s="4">
        <v>44568</v>
      </c>
      <c r="CI881" s="3">
        <v>1</v>
      </c>
      <c r="CJ881" s="3">
        <v>1</v>
      </c>
      <c r="CK881" s="3">
        <v>22</v>
      </c>
      <c r="CL881" s="3" t="s">
        <v>87</v>
      </c>
    </row>
    <row r="882" spans="1:90" x14ac:dyDescent="0.2">
      <c r="A882" s="3" t="s">
        <v>72</v>
      </c>
      <c r="B882" s="3" t="s">
        <v>73</v>
      </c>
      <c r="C882" s="3" t="s">
        <v>74</v>
      </c>
      <c r="E882" s="3" t="str">
        <f>"FES1162843518"</f>
        <v>FES1162843518</v>
      </c>
      <c r="F882" s="4">
        <v>44566</v>
      </c>
      <c r="G882" s="3">
        <v>202207</v>
      </c>
      <c r="H882" s="3" t="s">
        <v>75</v>
      </c>
      <c r="I882" s="3" t="s">
        <v>76</v>
      </c>
      <c r="J882" s="3" t="s">
        <v>966</v>
      </c>
      <c r="K882" s="3" t="s">
        <v>78</v>
      </c>
      <c r="L882" s="3" t="s">
        <v>180</v>
      </c>
      <c r="M882" s="3" t="s">
        <v>181</v>
      </c>
      <c r="N882" s="3" t="s">
        <v>1288</v>
      </c>
      <c r="O882" s="3" t="s">
        <v>148</v>
      </c>
      <c r="P882" s="3" t="str">
        <f>"2170812005                    "</f>
        <v xml:space="preserve">2170812005                    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0</v>
      </c>
      <c r="AJ882" s="3">
        <v>0</v>
      </c>
      <c r="AK882" s="3">
        <v>33.01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0</v>
      </c>
      <c r="BF882" s="3">
        <v>0</v>
      </c>
      <c r="BG882" s="3">
        <v>0</v>
      </c>
      <c r="BH882" s="3">
        <v>1</v>
      </c>
      <c r="BI882" s="3">
        <v>14</v>
      </c>
      <c r="BJ882" s="3">
        <v>1.7</v>
      </c>
      <c r="BK882" s="3">
        <v>14</v>
      </c>
      <c r="BL882" s="3">
        <v>131.25</v>
      </c>
      <c r="BM882" s="3">
        <v>19.690000000000001</v>
      </c>
      <c r="BN882" s="3">
        <v>150.94</v>
      </c>
      <c r="BO882" s="3">
        <v>150.94</v>
      </c>
      <c r="BQ882" s="3" t="s">
        <v>83</v>
      </c>
      <c r="BR882" s="3" t="s">
        <v>308</v>
      </c>
      <c r="BS882" s="4">
        <v>44567</v>
      </c>
      <c r="BT882" s="5">
        <v>0.43333333333333335</v>
      </c>
      <c r="BU882" s="3" t="s">
        <v>1289</v>
      </c>
      <c r="BV882" s="3" t="s">
        <v>105</v>
      </c>
      <c r="BY882" s="3">
        <v>8460</v>
      </c>
      <c r="BZ882" s="3" t="s">
        <v>1076</v>
      </c>
      <c r="CA882" s="3" t="s">
        <v>373</v>
      </c>
      <c r="CC882" s="3" t="s">
        <v>181</v>
      </c>
      <c r="CD882" s="3">
        <v>1873</v>
      </c>
      <c r="CE882" s="3" t="s">
        <v>86</v>
      </c>
      <c r="CF882" s="4">
        <v>44568</v>
      </c>
      <c r="CI882" s="3">
        <v>1</v>
      </c>
      <c r="CJ882" s="3">
        <v>1</v>
      </c>
      <c r="CK882" s="3">
        <v>44</v>
      </c>
      <c r="CL882" s="3" t="s">
        <v>87</v>
      </c>
    </row>
    <row r="883" spans="1:90" x14ac:dyDescent="0.2">
      <c r="A883" s="3" t="s">
        <v>72</v>
      </c>
      <c r="B883" s="3" t="s">
        <v>73</v>
      </c>
      <c r="C883" s="3" t="s">
        <v>74</v>
      </c>
      <c r="E883" s="3" t="str">
        <f>"FES1162843551"</f>
        <v>FES1162843551</v>
      </c>
      <c r="F883" s="4">
        <v>44566</v>
      </c>
      <c r="G883" s="3">
        <v>202207</v>
      </c>
      <c r="H883" s="3" t="s">
        <v>75</v>
      </c>
      <c r="I883" s="3" t="s">
        <v>76</v>
      </c>
      <c r="J883" s="3" t="s">
        <v>966</v>
      </c>
      <c r="K883" s="3" t="s">
        <v>78</v>
      </c>
      <c r="L883" s="3" t="s">
        <v>79</v>
      </c>
      <c r="M883" s="3" t="s">
        <v>80</v>
      </c>
      <c r="N883" s="3" t="s">
        <v>1290</v>
      </c>
      <c r="O883" s="3" t="s">
        <v>148</v>
      </c>
      <c r="P883" s="3" t="str">
        <f>"2170815638                    "</f>
        <v xml:space="preserve">2170815638                    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0</v>
      </c>
      <c r="AJ883" s="3">
        <v>0</v>
      </c>
      <c r="AK883" s="3">
        <v>29.89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1</v>
      </c>
      <c r="BI883" s="3">
        <v>7</v>
      </c>
      <c r="BJ883" s="3">
        <v>0.5</v>
      </c>
      <c r="BK883" s="3">
        <v>7</v>
      </c>
      <c r="BL883" s="3">
        <v>119.34</v>
      </c>
      <c r="BM883" s="3">
        <v>17.899999999999999</v>
      </c>
      <c r="BN883" s="3">
        <v>137.24</v>
      </c>
      <c r="BO883" s="3">
        <v>137.24</v>
      </c>
      <c r="BQ883" s="3" t="s">
        <v>83</v>
      </c>
      <c r="BR883" s="3" t="s">
        <v>364</v>
      </c>
      <c r="BS883" s="4">
        <v>44567</v>
      </c>
      <c r="BT883" s="5">
        <v>0.3611111111111111</v>
      </c>
      <c r="BU883" s="3" t="s">
        <v>1291</v>
      </c>
      <c r="BV883" s="3" t="s">
        <v>105</v>
      </c>
      <c r="BY883" s="3">
        <v>2303</v>
      </c>
      <c r="BZ883" s="3" t="s">
        <v>1076</v>
      </c>
      <c r="CA883" s="3" t="s">
        <v>366</v>
      </c>
      <c r="CC883" s="3" t="s">
        <v>80</v>
      </c>
      <c r="CD883" s="3">
        <v>200</v>
      </c>
      <c r="CE883" s="3" t="s">
        <v>86</v>
      </c>
      <c r="CF883" s="4">
        <v>44567</v>
      </c>
      <c r="CI883" s="3">
        <v>1</v>
      </c>
      <c r="CJ883" s="3">
        <v>1</v>
      </c>
      <c r="CK883" s="3">
        <v>41</v>
      </c>
      <c r="CL883" s="3" t="s">
        <v>87</v>
      </c>
    </row>
    <row r="884" spans="1:90" x14ac:dyDescent="0.2">
      <c r="A884" s="3" t="s">
        <v>72</v>
      </c>
      <c r="B884" s="3" t="s">
        <v>73</v>
      </c>
      <c r="C884" s="3" t="s">
        <v>74</v>
      </c>
      <c r="E884" s="3" t="str">
        <f>"FES1162843902"</f>
        <v>FES1162843902</v>
      </c>
      <c r="F884" s="4">
        <v>44568</v>
      </c>
      <c r="G884" s="3">
        <v>202207</v>
      </c>
      <c r="H884" s="3" t="s">
        <v>75</v>
      </c>
      <c r="I884" s="3" t="s">
        <v>76</v>
      </c>
      <c r="J884" s="3" t="s">
        <v>966</v>
      </c>
      <c r="K884" s="3" t="s">
        <v>78</v>
      </c>
      <c r="L884" s="3" t="s">
        <v>79</v>
      </c>
      <c r="M884" s="3" t="s">
        <v>80</v>
      </c>
      <c r="N884" s="3" t="s">
        <v>1259</v>
      </c>
      <c r="O884" s="3" t="s">
        <v>148</v>
      </c>
      <c r="P884" s="3" t="str">
        <f>"2170808306                    "</f>
        <v xml:space="preserve">2170808306                    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0</v>
      </c>
      <c r="AJ884" s="3">
        <v>0</v>
      </c>
      <c r="AK884" s="3">
        <v>29.89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1</v>
      </c>
      <c r="BI884" s="3">
        <v>5</v>
      </c>
      <c r="BJ884" s="3">
        <v>2.6</v>
      </c>
      <c r="BK884" s="3">
        <v>5</v>
      </c>
      <c r="BL884" s="3">
        <v>119.34</v>
      </c>
      <c r="BM884" s="3">
        <v>17.899999999999999</v>
      </c>
      <c r="BN884" s="3">
        <v>137.24</v>
      </c>
      <c r="BO884" s="3">
        <v>137.24</v>
      </c>
      <c r="BR884" s="3" t="s">
        <v>364</v>
      </c>
      <c r="BS884" s="4">
        <v>44571</v>
      </c>
      <c r="BT884" s="5">
        <v>0.32222222222222224</v>
      </c>
      <c r="BU884" s="3" t="s">
        <v>1260</v>
      </c>
      <c r="BV884" s="3" t="s">
        <v>105</v>
      </c>
      <c r="BY884" s="3">
        <v>12800</v>
      </c>
      <c r="BZ884" s="3" t="s">
        <v>1076</v>
      </c>
      <c r="CA884" s="3" t="s">
        <v>1261</v>
      </c>
      <c r="CC884" s="3" t="s">
        <v>80</v>
      </c>
      <c r="CD884" s="3">
        <v>2</v>
      </c>
      <c r="CE884" s="3" t="s">
        <v>86</v>
      </c>
      <c r="CF884" s="4">
        <v>44571</v>
      </c>
      <c r="CI884" s="3">
        <v>1</v>
      </c>
      <c r="CJ884" s="3">
        <v>1</v>
      </c>
      <c r="CK884" s="3">
        <v>41</v>
      </c>
      <c r="CL884" s="3" t="s">
        <v>87</v>
      </c>
    </row>
    <row r="885" spans="1:90" x14ac:dyDescent="0.2">
      <c r="A885" s="3" t="s">
        <v>72</v>
      </c>
      <c r="B885" s="3" t="s">
        <v>73</v>
      </c>
      <c r="C885" s="3" t="s">
        <v>74</v>
      </c>
      <c r="E885" s="3" t="str">
        <f>"FES1162844181"</f>
        <v>FES1162844181</v>
      </c>
      <c r="F885" s="4">
        <v>44568</v>
      </c>
      <c r="G885" s="3">
        <v>202207</v>
      </c>
      <c r="H885" s="3" t="s">
        <v>75</v>
      </c>
      <c r="I885" s="3" t="s">
        <v>76</v>
      </c>
      <c r="J885" s="3" t="s">
        <v>966</v>
      </c>
      <c r="K885" s="3" t="s">
        <v>78</v>
      </c>
      <c r="L885" s="3" t="s">
        <v>75</v>
      </c>
      <c r="M885" s="3" t="s">
        <v>76</v>
      </c>
      <c r="N885" s="3" t="s">
        <v>147</v>
      </c>
      <c r="O885" s="3" t="s">
        <v>82</v>
      </c>
      <c r="P885" s="3" t="str">
        <f>"2170815828                    "</f>
        <v xml:space="preserve">2170815828                    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0</v>
      </c>
      <c r="AJ885" s="3">
        <v>0</v>
      </c>
      <c r="AK885" s="3">
        <v>16.420000000000002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3">
        <v>1</v>
      </c>
      <c r="BI885" s="3">
        <v>4</v>
      </c>
      <c r="BJ885" s="3">
        <v>9.1</v>
      </c>
      <c r="BK885" s="3">
        <v>9.5</v>
      </c>
      <c r="BL885" s="3">
        <v>62.67</v>
      </c>
      <c r="BM885" s="3">
        <v>9.4</v>
      </c>
      <c r="BN885" s="3">
        <v>72.069999999999993</v>
      </c>
      <c r="BO885" s="3">
        <v>72.069999999999993</v>
      </c>
      <c r="BQ885" s="3" t="s">
        <v>83</v>
      </c>
      <c r="BR885" s="3" t="s">
        <v>364</v>
      </c>
      <c r="BS885" s="4">
        <v>44571</v>
      </c>
      <c r="BT885" s="5">
        <v>0.3833333333333333</v>
      </c>
      <c r="BU885" s="3" t="s">
        <v>1292</v>
      </c>
      <c r="BV885" s="3" t="s">
        <v>105</v>
      </c>
      <c r="BY885" s="3">
        <v>45632</v>
      </c>
      <c r="BZ885" s="3" t="s">
        <v>1076</v>
      </c>
      <c r="CA885" s="3" t="s">
        <v>1293</v>
      </c>
      <c r="CC885" s="3" t="s">
        <v>76</v>
      </c>
      <c r="CD885" s="3">
        <v>1645</v>
      </c>
      <c r="CE885" s="3" t="s">
        <v>86</v>
      </c>
      <c r="CF885" s="4">
        <v>44572</v>
      </c>
      <c r="CI885" s="3">
        <v>1</v>
      </c>
      <c r="CJ885" s="3">
        <v>1</v>
      </c>
      <c r="CK885" s="3">
        <v>22</v>
      </c>
      <c r="CL885" s="3" t="s">
        <v>87</v>
      </c>
    </row>
    <row r="886" spans="1:90" x14ac:dyDescent="0.2">
      <c r="A886" s="3" t="s">
        <v>72</v>
      </c>
      <c r="B886" s="3" t="s">
        <v>73</v>
      </c>
      <c r="C886" s="3" t="s">
        <v>74</v>
      </c>
      <c r="E886" s="3" t="str">
        <f>"FES1162844087"</f>
        <v>FES1162844087</v>
      </c>
      <c r="F886" s="4">
        <v>44568</v>
      </c>
      <c r="G886" s="3">
        <v>202207</v>
      </c>
      <c r="H886" s="3" t="s">
        <v>75</v>
      </c>
      <c r="I886" s="3" t="s">
        <v>76</v>
      </c>
      <c r="J886" s="3" t="s">
        <v>966</v>
      </c>
      <c r="K886" s="3" t="s">
        <v>78</v>
      </c>
      <c r="L886" s="3" t="s">
        <v>948</v>
      </c>
      <c r="M886" s="3" t="s">
        <v>949</v>
      </c>
      <c r="N886" s="3" t="s">
        <v>1294</v>
      </c>
      <c r="O886" s="3" t="s">
        <v>1237</v>
      </c>
      <c r="P886" s="3" t="str">
        <f>"2170815882                    "</f>
        <v xml:space="preserve">2170815882                    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0</v>
      </c>
      <c r="AJ886" s="3">
        <v>0</v>
      </c>
      <c r="AK886" s="3">
        <v>21.74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0</v>
      </c>
      <c r="AZ886" s="3">
        <v>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1</v>
      </c>
      <c r="BI886" s="3">
        <v>4</v>
      </c>
      <c r="BJ886" s="3">
        <v>1.1000000000000001</v>
      </c>
      <c r="BK886" s="3">
        <v>4</v>
      </c>
      <c r="BL886" s="3">
        <v>82.98</v>
      </c>
      <c r="BM886" s="3">
        <v>12.45</v>
      </c>
      <c r="BN886" s="3">
        <v>95.43</v>
      </c>
      <c r="BO886" s="3">
        <v>95.43</v>
      </c>
      <c r="BR886" s="3" t="s">
        <v>364</v>
      </c>
      <c r="BS886" s="4">
        <v>44571</v>
      </c>
      <c r="BT886" s="5">
        <v>0.57638888888888895</v>
      </c>
      <c r="BU886" s="3" t="s">
        <v>1186</v>
      </c>
      <c r="BV886" s="3" t="s">
        <v>105</v>
      </c>
      <c r="BY886" s="3">
        <v>5320</v>
      </c>
      <c r="BZ886" s="3" t="s">
        <v>1076</v>
      </c>
      <c r="CA886" s="3" t="s">
        <v>952</v>
      </c>
      <c r="CC886" s="3" t="s">
        <v>949</v>
      </c>
      <c r="CD886" s="3">
        <v>1759</v>
      </c>
      <c r="CE886" s="3" t="s">
        <v>86</v>
      </c>
      <c r="CF886" s="4">
        <v>44572</v>
      </c>
      <c r="CI886" s="3">
        <v>1</v>
      </c>
      <c r="CJ886" s="3">
        <v>1</v>
      </c>
      <c r="CK886" s="3">
        <v>34</v>
      </c>
      <c r="CL886" s="3" t="s">
        <v>87</v>
      </c>
    </row>
    <row r="887" spans="1:90" x14ac:dyDescent="0.2">
      <c r="A887" s="3" t="s">
        <v>72</v>
      </c>
      <c r="B887" s="3" t="s">
        <v>73</v>
      </c>
      <c r="C887" s="3" t="s">
        <v>74</v>
      </c>
      <c r="E887" s="3" t="str">
        <f>"FES1162843951"</f>
        <v>FES1162843951</v>
      </c>
      <c r="F887" s="4">
        <v>44568</v>
      </c>
      <c r="G887" s="3">
        <v>202207</v>
      </c>
      <c r="H887" s="3" t="s">
        <v>75</v>
      </c>
      <c r="I887" s="3" t="s">
        <v>76</v>
      </c>
      <c r="J887" s="3" t="s">
        <v>966</v>
      </c>
      <c r="K887" s="3" t="s">
        <v>78</v>
      </c>
      <c r="L887" s="3" t="s">
        <v>79</v>
      </c>
      <c r="M887" s="3" t="s">
        <v>80</v>
      </c>
      <c r="N887" s="3" t="s">
        <v>1290</v>
      </c>
      <c r="O887" s="3" t="s">
        <v>148</v>
      </c>
      <c r="P887" s="3" t="str">
        <f>"2170813906                    "</f>
        <v xml:space="preserve">2170813906                    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0</v>
      </c>
      <c r="AJ887" s="3">
        <v>0</v>
      </c>
      <c r="AK887" s="3">
        <v>29.89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0</v>
      </c>
      <c r="AZ887" s="3">
        <v>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1</v>
      </c>
      <c r="BI887" s="3">
        <v>4</v>
      </c>
      <c r="BJ887" s="3">
        <v>0.9</v>
      </c>
      <c r="BK887" s="3">
        <v>4</v>
      </c>
      <c r="BL887" s="3">
        <v>119.34</v>
      </c>
      <c r="BM887" s="3">
        <v>17.899999999999999</v>
      </c>
      <c r="BN887" s="3">
        <v>137.24</v>
      </c>
      <c r="BO887" s="3">
        <v>137.24</v>
      </c>
      <c r="BQ887" s="3" t="s">
        <v>83</v>
      </c>
      <c r="BR887" s="3" t="s">
        <v>364</v>
      </c>
      <c r="BS887" s="4">
        <v>44571</v>
      </c>
      <c r="BT887" s="5">
        <v>0.39583333333333331</v>
      </c>
      <c r="BU887" s="3" t="s">
        <v>1291</v>
      </c>
      <c r="BV887" s="3" t="s">
        <v>105</v>
      </c>
      <c r="BY887" s="3">
        <v>4608</v>
      </c>
      <c r="BZ887" s="3" t="s">
        <v>1076</v>
      </c>
      <c r="CA887" s="3" t="s">
        <v>366</v>
      </c>
      <c r="CC887" s="3" t="s">
        <v>80</v>
      </c>
      <c r="CD887" s="3">
        <v>200</v>
      </c>
      <c r="CE887" s="3" t="s">
        <v>86</v>
      </c>
      <c r="CF887" s="4">
        <v>44571</v>
      </c>
      <c r="CI887" s="3">
        <v>1</v>
      </c>
      <c r="CJ887" s="3">
        <v>1</v>
      </c>
      <c r="CK887" s="3">
        <v>41</v>
      </c>
      <c r="CL887" s="3" t="s">
        <v>87</v>
      </c>
    </row>
    <row r="888" spans="1:90" x14ac:dyDescent="0.2">
      <c r="A888" s="3" t="s">
        <v>72</v>
      </c>
      <c r="B888" s="3" t="s">
        <v>73</v>
      </c>
      <c r="C888" s="3" t="s">
        <v>74</v>
      </c>
      <c r="E888" s="3" t="str">
        <f>"FES1162844469"</f>
        <v>FES1162844469</v>
      </c>
      <c r="F888" s="4">
        <v>44572</v>
      </c>
      <c r="G888" s="3">
        <v>202207</v>
      </c>
      <c r="H888" s="3" t="s">
        <v>75</v>
      </c>
      <c r="I888" s="3" t="s">
        <v>76</v>
      </c>
      <c r="J888" s="3" t="s">
        <v>966</v>
      </c>
      <c r="K888" s="3" t="s">
        <v>78</v>
      </c>
      <c r="L888" s="3" t="s">
        <v>79</v>
      </c>
      <c r="M888" s="3" t="s">
        <v>80</v>
      </c>
      <c r="N888" s="3" t="s">
        <v>1295</v>
      </c>
      <c r="O888" s="3" t="s">
        <v>148</v>
      </c>
      <c r="P888" s="3" t="str">
        <f>"2170816115                    "</f>
        <v xml:space="preserve">2170816115                    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29.89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1</v>
      </c>
      <c r="BI888" s="3">
        <v>5</v>
      </c>
      <c r="BJ888" s="3">
        <v>1.3</v>
      </c>
      <c r="BK888" s="3">
        <v>5</v>
      </c>
      <c r="BL888" s="3">
        <v>119.34</v>
      </c>
      <c r="BM888" s="3">
        <v>17.899999999999999</v>
      </c>
      <c r="BN888" s="3">
        <v>137.24</v>
      </c>
      <c r="BO888" s="3">
        <v>137.24</v>
      </c>
      <c r="BQ888" s="3" t="s">
        <v>83</v>
      </c>
      <c r="BR888" s="3" t="s">
        <v>1268</v>
      </c>
      <c r="BS888" s="4">
        <v>44573</v>
      </c>
      <c r="BT888" s="5">
        <v>0.42152777777777778</v>
      </c>
      <c r="BU888" s="3" t="s">
        <v>1296</v>
      </c>
      <c r="BV888" s="3" t="s">
        <v>105</v>
      </c>
      <c r="BY888" s="3">
        <v>6336</v>
      </c>
      <c r="BZ888" s="3" t="s">
        <v>1076</v>
      </c>
      <c r="CA888" s="3" t="s">
        <v>703</v>
      </c>
      <c r="CC888" s="3" t="s">
        <v>80</v>
      </c>
      <c r="CD888" s="3">
        <v>181</v>
      </c>
      <c r="CE888" s="3" t="s">
        <v>86</v>
      </c>
      <c r="CF888" s="4">
        <v>44573</v>
      </c>
      <c r="CI888" s="3">
        <v>1</v>
      </c>
      <c r="CJ888" s="3">
        <v>1</v>
      </c>
      <c r="CK888" s="3">
        <v>41</v>
      </c>
      <c r="CL888" s="3" t="s">
        <v>87</v>
      </c>
    </row>
    <row r="889" spans="1:90" x14ac:dyDescent="0.2">
      <c r="A889" s="3" t="s">
        <v>72</v>
      </c>
      <c r="B889" s="3" t="s">
        <v>73</v>
      </c>
      <c r="C889" s="3" t="s">
        <v>74</v>
      </c>
      <c r="E889" s="3" t="str">
        <f>"FES1162844077"</f>
        <v>FES1162844077</v>
      </c>
      <c r="F889" s="4">
        <v>44568</v>
      </c>
      <c r="G889" s="3">
        <v>202207</v>
      </c>
      <c r="H889" s="3" t="s">
        <v>75</v>
      </c>
      <c r="I889" s="3" t="s">
        <v>76</v>
      </c>
      <c r="J889" s="3" t="s">
        <v>966</v>
      </c>
      <c r="K889" s="3" t="s">
        <v>78</v>
      </c>
      <c r="L889" s="3" t="s">
        <v>799</v>
      </c>
      <c r="M889" s="3" t="s">
        <v>800</v>
      </c>
      <c r="N889" s="3" t="s">
        <v>1297</v>
      </c>
      <c r="O889" s="3" t="s">
        <v>1237</v>
      </c>
      <c r="P889" s="3" t="str">
        <f>"2170812670                    "</f>
        <v xml:space="preserve">2170812670                    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28.27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0</v>
      </c>
      <c r="AZ889" s="3">
        <v>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1</v>
      </c>
      <c r="BI889" s="3">
        <v>5</v>
      </c>
      <c r="BJ889" s="3">
        <v>4.0999999999999996</v>
      </c>
      <c r="BK889" s="3">
        <v>5</v>
      </c>
      <c r="BL889" s="3">
        <v>107.89</v>
      </c>
      <c r="BM889" s="3">
        <v>16.18</v>
      </c>
      <c r="BN889" s="3">
        <v>124.07</v>
      </c>
      <c r="BO889" s="3">
        <v>124.07</v>
      </c>
      <c r="BQ889" s="3" t="s">
        <v>1298</v>
      </c>
      <c r="BR889" s="3" t="s">
        <v>364</v>
      </c>
      <c r="BS889" s="4">
        <v>44572</v>
      </c>
      <c r="BT889" s="5">
        <v>0.34930555555555554</v>
      </c>
      <c r="BU889" s="3" t="s">
        <v>658</v>
      </c>
      <c r="BV889" s="3" t="s">
        <v>87</v>
      </c>
      <c r="BW889" s="3" t="s">
        <v>376</v>
      </c>
      <c r="BX889" s="3" t="s">
        <v>723</v>
      </c>
      <c r="BY889" s="3">
        <v>20358</v>
      </c>
      <c r="BZ889" s="3" t="s">
        <v>1076</v>
      </c>
      <c r="CC889" s="3" t="s">
        <v>800</v>
      </c>
      <c r="CD889" s="3">
        <v>2200</v>
      </c>
      <c r="CE889" s="3" t="s">
        <v>86</v>
      </c>
      <c r="CF889" s="4">
        <v>44573</v>
      </c>
      <c r="CI889" s="3">
        <v>1</v>
      </c>
      <c r="CJ889" s="3">
        <v>2</v>
      </c>
      <c r="CK889" s="3">
        <v>34</v>
      </c>
      <c r="CL889" s="3" t="s">
        <v>87</v>
      </c>
    </row>
    <row r="890" spans="1:90" x14ac:dyDescent="0.2">
      <c r="A890" s="3" t="s">
        <v>72</v>
      </c>
      <c r="B890" s="3" t="s">
        <v>73</v>
      </c>
      <c r="C890" s="3" t="s">
        <v>74</v>
      </c>
      <c r="E890" s="3" t="str">
        <f>"FES1162844069"</f>
        <v>FES1162844069</v>
      </c>
      <c r="F890" s="4">
        <v>44568</v>
      </c>
      <c r="G890" s="3">
        <v>202207</v>
      </c>
      <c r="H890" s="3" t="s">
        <v>75</v>
      </c>
      <c r="I890" s="3" t="s">
        <v>76</v>
      </c>
      <c r="J890" s="3" t="s">
        <v>966</v>
      </c>
      <c r="K890" s="3" t="s">
        <v>78</v>
      </c>
      <c r="L890" s="3" t="s">
        <v>97</v>
      </c>
      <c r="M890" s="3" t="s">
        <v>98</v>
      </c>
      <c r="N890" s="3" t="s">
        <v>460</v>
      </c>
      <c r="O890" s="3" t="s">
        <v>82</v>
      </c>
      <c r="P890" s="3" t="str">
        <f>"2170811059                    "</f>
        <v xml:space="preserve">2170811059                    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20.76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0</v>
      </c>
      <c r="AZ890" s="3">
        <v>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1</v>
      </c>
      <c r="BI890" s="3">
        <v>11</v>
      </c>
      <c r="BJ890" s="3">
        <v>5</v>
      </c>
      <c r="BK890" s="3">
        <v>11</v>
      </c>
      <c r="BL890" s="3">
        <v>79.25</v>
      </c>
      <c r="BM890" s="3">
        <v>11.89</v>
      </c>
      <c r="BN890" s="3">
        <v>91.14</v>
      </c>
      <c r="BO890" s="3">
        <v>91.14</v>
      </c>
      <c r="BQ890" s="3" t="s">
        <v>461</v>
      </c>
      <c r="BR890" s="3" t="s">
        <v>364</v>
      </c>
      <c r="BS890" s="4">
        <v>44571</v>
      </c>
      <c r="BT890" s="5">
        <v>0.31944444444444448</v>
      </c>
      <c r="BU890" s="3" t="s">
        <v>462</v>
      </c>
      <c r="BV890" s="3" t="s">
        <v>105</v>
      </c>
      <c r="BY890" s="3">
        <v>24800</v>
      </c>
      <c r="BZ890" s="3" t="s">
        <v>1076</v>
      </c>
      <c r="CA890" s="3" t="s">
        <v>320</v>
      </c>
      <c r="CC890" s="3" t="s">
        <v>98</v>
      </c>
      <c r="CD890" s="3">
        <v>2093</v>
      </c>
      <c r="CE890" s="3" t="s">
        <v>86</v>
      </c>
      <c r="CF890" s="4">
        <v>44571</v>
      </c>
      <c r="CI890" s="3">
        <v>1</v>
      </c>
      <c r="CJ890" s="3">
        <v>1</v>
      </c>
      <c r="CK890" s="3">
        <v>22</v>
      </c>
      <c r="CL890" s="3" t="s">
        <v>87</v>
      </c>
    </row>
    <row r="891" spans="1:90" x14ac:dyDescent="0.2">
      <c r="A891" s="3" t="s">
        <v>72</v>
      </c>
      <c r="B891" s="3" t="s">
        <v>73</v>
      </c>
      <c r="C891" s="3" t="s">
        <v>74</v>
      </c>
      <c r="E891" s="3" t="str">
        <f>"FES1162844170"</f>
        <v>FES1162844170</v>
      </c>
      <c r="F891" s="4">
        <v>44568</v>
      </c>
      <c r="G891" s="3">
        <v>202207</v>
      </c>
      <c r="H891" s="3" t="s">
        <v>75</v>
      </c>
      <c r="I891" s="3" t="s">
        <v>76</v>
      </c>
      <c r="J891" s="3" t="s">
        <v>966</v>
      </c>
      <c r="K891" s="3" t="s">
        <v>78</v>
      </c>
      <c r="L891" s="3" t="s">
        <v>133</v>
      </c>
      <c r="M891" s="3" t="s">
        <v>134</v>
      </c>
      <c r="N891" s="3" t="s">
        <v>670</v>
      </c>
      <c r="O891" s="3" t="s">
        <v>148</v>
      </c>
      <c r="P891" s="3" t="str">
        <f>"2170812517                    "</f>
        <v xml:space="preserve">2170812517                    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33.01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0</v>
      </c>
      <c r="AZ891" s="3">
        <v>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1</v>
      </c>
      <c r="BI891" s="3">
        <v>3</v>
      </c>
      <c r="BJ891" s="3">
        <v>4.0999999999999996</v>
      </c>
      <c r="BK891" s="3">
        <v>5</v>
      </c>
      <c r="BL891" s="3">
        <v>131.25</v>
      </c>
      <c r="BM891" s="3">
        <v>19.690000000000001</v>
      </c>
      <c r="BN891" s="3">
        <v>150.94</v>
      </c>
      <c r="BO891" s="3">
        <v>150.94</v>
      </c>
      <c r="BQ891" s="3" t="s">
        <v>1299</v>
      </c>
      <c r="BR891" s="3" t="s">
        <v>364</v>
      </c>
      <c r="BS891" s="4">
        <v>44571</v>
      </c>
      <c r="BT891" s="5">
        <v>0.53819444444444442</v>
      </c>
      <c r="BU891" s="3" t="s">
        <v>1300</v>
      </c>
      <c r="BV891" s="3" t="s">
        <v>105</v>
      </c>
      <c r="BY891" s="3">
        <v>20358</v>
      </c>
      <c r="BZ891" s="3" t="s">
        <v>1076</v>
      </c>
      <c r="CA891" s="3" t="s">
        <v>673</v>
      </c>
      <c r="CC891" s="3" t="s">
        <v>134</v>
      </c>
      <c r="CD891" s="3">
        <v>1911</v>
      </c>
      <c r="CE891" s="3" t="s">
        <v>86</v>
      </c>
      <c r="CF891" s="4">
        <v>44572</v>
      </c>
      <c r="CI891" s="3">
        <v>1</v>
      </c>
      <c r="CJ891" s="3">
        <v>1</v>
      </c>
      <c r="CK891" s="3">
        <v>44</v>
      </c>
      <c r="CL891" s="3" t="s">
        <v>87</v>
      </c>
    </row>
    <row r="892" spans="1:90" x14ac:dyDescent="0.2">
      <c r="A892" s="3" t="s">
        <v>72</v>
      </c>
      <c r="B892" s="3" t="s">
        <v>73</v>
      </c>
      <c r="C892" s="3" t="s">
        <v>74</v>
      </c>
      <c r="E892" s="3" t="str">
        <f>"FES1162844065"</f>
        <v>FES1162844065</v>
      </c>
      <c r="F892" s="4">
        <v>44568</v>
      </c>
      <c r="G892" s="3">
        <v>202207</v>
      </c>
      <c r="H892" s="3" t="s">
        <v>75</v>
      </c>
      <c r="I892" s="3" t="s">
        <v>76</v>
      </c>
      <c r="J892" s="3" t="s">
        <v>966</v>
      </c>
      <c r="K892" s="3" t="s">
        <v>78</v>
      </c>
      <c r="L892" s="3" t="s">
        <v>180</v>
      </c>
      <c r="M892" s="3" t="s">
        <v>181</v>
      </c>
      <c r="N892" s="3" t="s">
        <v>1301</v>
      </c>
      <c r="O892" s="3" t="s">
        <v>1237</v>
      </c>
      <c r="P892" s="3" t="str">
        <f>"2170809790                    "</f>
        <v xml:space="preserve">2170809790                    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28.27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0</v>
      </c>
      <c r="AZ892" s="3">
        <v>0</v>
      </c>
      <c r="BA892" s="3">
        <v>0</v>
      </c>
      <c r="BB892" s="3">
        <v>0</v>
      </c>
      <c r="BC892" s="3">
        <v>0</v>
      </c>
      <c r="BD892" s="3">
        <v>0</v>
      </c>
      <c r="BE892" s="3">
        <v>0</v>
      </c>
      <c r="BF892" s="3">
        <v>0</v>
      </c>
      <c r="BG892" s="3">
        <v>0</v>
      </c>
      <c r="BH892" s="3">
        <v>1</v>
      </c>
      <c r="BI892" s="3">
        <v>2</v>
      </c>
      <c r="BJ892" s="3">
        <v>4.0999999999999996</v>
      </c>
      <c r="BK892" s="3">
        <v>5</v>
      </c>
      <c r="BL892" s="3">
        <v>107.89</v>
      </c>
      <c r="BM892" s="3">
        <v>16.18</v>
      </c>
      <c r="BN892" s="3">
        <v>124.07</v>
      </c>
      <c r="BO892" s="3">
        <v>124.07</v>
      </c>
      <c r="BQ892" s="3" t="s">
        <v>83</v>
      </c>
      <c r="BR892" s="3" t="s">
        <v>364</v>
      </c>
      <c r="BS892" s="4">
        <v>44571</v>
      </c>
      <c r="BT892" s="5">
        <v>0.49027777777777781</v>
      </c>
      <c r="BU892" s="3" t="s">
        <v>1302</v>
      </c>
      <c r="BV892" s="3" t="s">
        <v>105</v>
      </c>
      <c r="BY892" s="3">
        <v>20358</v>
      </c>
      <c r="BZ892" s="3" t="s">
        <v>1076</v>
      </c>
      <c r="CA892" s="3" t="s">
        <v>1303</v>
      </c>
      <c r="CC892" s="3" t="s">
        <v>181</v>
      </c>
      <c r="CD892" s="3">
        <v>1961</v>
      </c>
      <c r="CE892" s="3" t="s">
        <v>86</v>
      </c>
      <c r="CF892" s="4">
        <v>44572</v>
      </c>
      <c r="CI892" s="3">
        <v>1</v>
      </c>
      <c r="CJ892" s="3">
        <v>1</v>
      </c>
      <c r="CK892" s="3">
        <v>34</v>
      </c>
      <c r="CL892" s="3" t="s">
        <v>87</v>
      </c>
    </row>
    <row r="893" spans="1:90" x14ac:dyDescent="0.2">
      <c r="A893" s="3" t="s">
        <v>72</v>
      </c>
      <c r="B893" s="3" t="s">
        <v>73</v>
      </c>
      <c r="C893" s="3" t="s">
        <v>74</v>
      </c>
      <c r="E893" s="3" t="str">
        <f>"FES1162844094"</f>
        <v>FES1162844094</v>
      </c>
      <c r="F893" s="4">
        <v>44568</v>
      </c>
      <c r="G893" s="3">
        <v>202207</v>
      </c>
      <c r="H893" s="3" t="s">
        <v>75</v>
      </c>
      <c r="I893" s="3" t="s">
        <v>76</v>
      </c>
      <c r="J893" s="3" t="s">
        <v>966</v>
      </c>
      <c r="K893" s="3" t="s">
        <v>78</v>
      </c>
      <c r="L893" s="3" t="s">
        <v>158</v>
      </c>
      <c r="M893" s="3" t="s">
        <v>159</v>
      </c>
      <c r="N893" s="3" t="s">
        <v>795</v>
      </c>
      <c r="O893" s="3" t="s">
        <v>82</v>
      </c>
      <c r="P893" s="3" t="str">
        <f>"2170794777                    "</f>
        <v xml:space="preserve">2170794777                    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23.66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0</v>
      </c>
      <c r="AZ893" s="3">
        <v>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1</v>
      </c>
      <c r="BI893" s="3">
        <v>8</v>
      </c>
      <c r="BJ893" s="3">
        <v>12</v>
      </c>
      <c r="BK893" s="3">
        <v>12</v>
      </c>
      <c r="BL893" s="3">
        <v>90.31</v>
      </c>
      <c r="BM893" s="3">
        <v>13.55</v>
      </c>
      <c r="BN893" s="3">
        <v>103.86</v>
      </c>
      <c r="BO893" s="3">
        <v>103.86</v>
      </c>
      <c r="BQ893" s="3" t="s">
        <v>83</v>
      </c>
      <c r="BR893" s="3" t="s">
        <v>364</v>
      </c>
      <c r="BS893" s="4">
        <v>44573</v>
      </c>
      <c r="BT893" s="5">
        <v>0.47222222222222227</v>
      </c>
      <c r="BU893" s="3" t="s">
        <v>634</v>
      </c>
      <c r="BV893" s="3" t="s">
        <v>87</v>
      </c>
      <c r="BW893" s="3" t="s">
        <v>757</v>
      </c>
      <c r="BX893" s="3" t="s">
        <v>758</v>
      </c>
      <c r="BY893" s="3">
        <v>60000</v>
      </c>
      <c r="BZ893" s="3" t="s">
        <v>1076</v>
      </c>
      <c r="CA893" s="3" t="s">
        <v>635</v>
      </c>
      <c r="CC893" s="3" t="s">
        <v>159</v>
      </c>
      <c r="CD893" s="3">
        <v>1459</v>
      </c>
      <c r="CE893" s="3" t="s">
        <v>86</v>
      </c>
      <c r="CF893" s="4">
        <v>44575</v>
      </c>
      <c r="CI893" s="3">
        <v>1</v>
      </c>
      <c r="CJ893" s="3">
        <v>3</v>
      </c>
      <c r="CK893" s="3">
        <v>22</v>
      </c>
      <c r="CL893" s="3" t="s">
        <v>87</v>
      </c>
    </row>
    <row r="894" spans="1:90" x14ac:dyDescent="0.2">
      <c r="A894" s="3" t="s">
        <v>72</v>
      </c>
      <c r="B894" s="3" t="s">
        <v>73</v>
      </c>
      <c r="C894" s="3" t="s">
        <v>74</v>
      </c>
      <c r="E894" s="3" t="str">
        <f>"FES1162844503"</f>
        <v>FES1162844503</v>
      </c>
      <c r="F894" s="4">
        <v>44572</v>
      </c>
      <c r="G894" s="3">
        <v>202207</v>
      </c>
      <c r="H894" s="3" t="s">
        <v>75</v>
      </c>
      <c r="I894" s="3" t="s">
        <v>76</v>
      </c>
      <c r="J894" s="3" t="s">
        <v>966</v>
      </c>
      <c r="K894" s="3" t="s">
        <v>78</v>
      </c>
      <c r="L894" s="3" t="s">
        <v>158</v>
      </c>
      <c r="M894" s="3" t="s">
        <v>159</v>
      </c>
      <c r="N894" s="3" t="s">
        <v>417</v>
      </c>
      <c r="O894" s="3" t="s">
        <v>1237</v>
      </c>
      <c r="P894" s="3" t="str">
        <f>"2170813816                    "</f>
        <v xml:space="preserve">2170813816                    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0</v>
      </c>
      <c r="AJ894" s="3">
        <v>0</v>
      </c>
      <c r="AK894" s="3">
        <v>21.57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1</v>
      </c>
      <c r="BI894" s="3">
        <v>15</v>
      </c>
      <c r="BJ894" s="3">
        <v>9.1</v>
      </c>
      <c r="BK894" s="3">
        <v>15</v>
      </c>
      <c r="BL894" s="3">
        <v>82.33</v>
      </c>
      <c r="BM894" s="3">
        <v>12.35</v>
      </c>
      <c r="BN894" s="3">
        <v>94.68</v>
      </c>
      <c r="BO894" s="3">
        <v>94.68</v>
      </c>
      <c r="BQ894" s="3" t="s">
        <v>83</v>
      </c>
      <c r="BR894" s="3" t="s">
        <v>1268</v>
      </c>
      <c r="BS894" s="4">
        <v>44573</v>
      </c>
      <c r="BT894" s="5">
        <v>0.31736111111111115</v>
      </c>
      <c r="BU894" s="3" t="s">
        <v>1304</v>
      </c>
      <c r="BV894" s="3" t="s">
        <v>105</v>
      </c>
      <c r="BY894" s="3">
        <v>45632</v>
      </c>
      <c r="BZ894" s="3" t="s">
        <v>1076</v>
      </c>
      <c r="CA894" s="3" t="s">
        <v>1305</v>
      </c>
      <c r="CC894" s="3" t="s">
        <v>159</v>
      </c>
      <c r="CD894" s="3">
        <v>1459</v>
      </c>
      <c r="CE894" s="3" t="s">
        <v>86</v>
      </c>
      <c r="CF894" s="4">
        <v>44573</v>
      </c>
      <c r="CI894" s="3">
        <v>1</v>
      </c>
      <c r="CJ894" s="3">
        <v>1</v>
      </c>
      <c r="CK894" s="3">
        <v>32</v>
      </c>
      <c r="CL894" s="3" t="s">
        <v>87</v>
      </c>
    </row>
    <row r="895" spans="1:90" x14ac:dyDescent="0.2">
      <c r="A895" s="3" t="s">
        <v>72</v>
      </c>
      <c r="B895" s="3" t="s">
        <v>73</v>
      </c>
      <c r="C895" s="3" t="s">
        <v>74</v>
      </c>
      <c r="E895" s="3" t="str">
        <f>"FES1162844538"</f>
        <v>FES1162844538</v>
      </c>
      <c r="F895" s="4">
        <v>44572</v>
      </c>
      <c r="G895" s="3">
        <v>202207</v>
      </c>
      <c r="H895" s="3" t="s">
        <v>75</v>
      </c>
      <c r="I895" s="3" t="s">
        <v>76</v>
      </c>
      <c r="J895" s="3" t="s">
        <v>966</v>
      </c>
      <c r="K895" s="3" t="s">
        <v>78</v>
      </c>
      <c r="L895" s="3" t="s">
        <v>79</v>
      </c>
      <c r="M895" s="3" t="s">
        <v>80</v>
      </c>
      <c r="N895" s="3" t="s">
        <v>337</v>
      </c>
      <c r="O895" s="3" t="s">
        <v>148</v>
      </c>
      <c r="P895" s="3" t="str">
        <f>"2170816192                    "</f>
        <v xml:space="preserve">2170816192                    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29.89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v>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3">
        <v>1</v>
      </c>
      <c r="BI895" s="3">
        <v>13</v>
      </c>
      <c r="BJ895" s="3">
        <v>9.1</v>
      </c>
      <c r="BK895" s="3">
        <v>13</v>
      </c>
      <c r="BL895" s="3">
        <v>119.34</v>
      </c>
      <c r="BM895" s="3">
        <v>17.899999999999999</v>
      </c>
      <c r="BN895" s="3">
        <v>137.24</v>
      </c>
      <c r="BO895" s="3">
        <v>137.24</v>
      </c>
      <c r="BQ895" s="3" t="s">
        <v>83</v>
      </c>
      <c r="BR895" s="3" t="s">
        <v>1268</v>
      </c>
      <c r="BS895" s="4">
        <v>44573</v>
      </c>
      <c r="BT895" s="5">
        <v>0.40277777777777773</v>
      </c>
      <c r="BU895" s="3" t="s">
        <v>1306</v>
      </c>
      <c r="BV895" s="3" t="s">
        <v>105</v>
      </c>
      <c r="BY895" s="3">
        <v>45632</v>
      </c>
      <c r="BZ895" s="3" t="s">
        <v>1076</v>
      </c>
      <c r="CA895" s="3" t="s">
        <v>742</v>
      </c>
      <c r="CC895" s="3" t="s">
        <v>80</v>
      </c>
      <c r="CD895" s="3">
        <v>200</v>
      </c>
      <c r="CE895" s="3" t="s">
        <v>86</v>
      </c>
      <c r="CF895" s="4">
        <v>44573</v>
      </c>
      <c r="CI895" s="3">
        <v>1</v>
      </c>
      <c r="CJ895" s="3">
        <v>1</v>
      </c>
      <c r="CK895" s="3">
        <v>41</v>
      </c>
      <c r="CL895" s="3" t="s">
        <v>87</v>
      </c>
    </row>
    <row r="896" spans="1:90" x14ac:dyDescent="0.2">
      <c r="A896" s="3" t="s">
        <v>72</v>
      </c>
      <c r="B896" s="3" t="s">
        <v>73</v>
      </c>
      <c r="C896" s="3" t="s">
        <v>74</v>
      </c>
      <c r="E896" s="3" t="str">
        <f>"FES1162844745"</f>
        <v>FES1162844745</v>
      </c>
      <c r="F896" s="4">
        <v>44573</v>
      </c>
      <c r="G896" s="3">
        <v>202207</v>
      </c>
      <c r="H896" s="3" t="s">
        <v>75</v>
      </c>
      <c r="I896" s="3" t="s">
        <v>76</v>
      </c>
      <c r="J896" s="3" t="s">
        <v>966</v>
      </c>
      <c r="K896" s="3" t="s">
        <v>78</v>
      </c>
      <c r="L896" s="3" t="s">
        <v>79</v>
      </c>
      <c r="M896" s="3" t="s">
        <v>80</v>
      </c>
      <c r="N896" s="3" t="s">
        <v>248</v>
      </c>
      <c r="O896" s="3" t="s">
        <v>148</v>
      </c>
      <c r="P896" s="3" t="str">
        <f>"2170816193                    "</f>
        <v xml:space="preserve">2170816193                    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29.89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1</v>
      </c>
      <c r="BI896" s="3">
        <v>4</v>
      </c>
      <c r="BJ896" s="3">
        <v>1</v>
      </c>
      <c r="BK896" s="3">
        <v>4</v>
      </c>
      <c r="BL896" s="3">
        <v>119.34</v>
      </c>
      <c r="BM896" s="3">
        <v>17.899999999999999</v>
      </c>
      <c r="BN896" s="3">
        <v>137.24</v>
      </c>
      <c r="BO896" s="3">
        <v>137.24</v>
      </c>
      <c r="BQ896" s="3" t="s">
        <v>83</v>
      </c>
      <c r="BR896" s="3" t="s">
        <v>1268</v>
      </c>
      <c r="BS896" s="4">
        <v>44574</v>
      </c>
      <c r="BT896" s="5">
        <v>0.38263888888888892</v>
      </c>
      <c r="BU896" s="3" t="s">
        <v>507</v>
      </c>
      <c r="BV896" s="3" t="s">
        <v>105</v>
      </c>
      <c r="BY896" s="3">
        <v>4800</v>
      </c>
      <c r="BZ896" s="3" t="s">
        <v>1076</v>
      </c>
      <c r="CA896" s="3" t="s">
        <v>362</v>
      </c>
      <c r="CC896" s="3" t="s">
        <v>80</v>
      </c>
      <c r="CD896" s="3">
        <v>1</v>
      </c>
      <c r="CE896" s="3" t="s">
        <v>86</v>
      </c>
      <c r="CF896" s="4">
        <v>44575</v>
      </c>
      <c r="CI896" s="3">
        <v>1</v>
      </c>
      <c r="CJ896" s="3">
        <v>1</v>
      </c>
      <c r="CK896" s="3">
        <v>41</v>
      </c>
      <c r="CL896" s="3" t="s">
        <v>87</v>
      </c>
    </row>
    <row r="897" spans="1:90" x14ac:dyDescent="0.2">
      <c r="A897" s="3" t="s">
        <v>72</v>
      </c>
      <c r="B897" s="3" t="s">
        <v>73</v>
      </c>
      <c r="C897" s="3" t="s">
        <v>74</v>
      </c>
      <c r="E897" s="3" t="str">
        <f>"FES1162844710"</f>
        <v>FES1162844710</v>
      </c>
      <c r="F897" s="4">
        <v>44573</v>
      </c>
      <c r="G897" s="3">
        <v>202207</v>
      </c>
      <c r="H897" s="3" t="s">
        <v>75</v>
      </c>
      <c r="I897" s="3" t="s">
        <v>76</v>
      </c>
      <c r="J897" s="3" t="s">
        <v>966</v>
      </c>
      <c r="K897" s="3" t="s">
        <v>78</v>
      </c>
      <c r="L897" s="3" t="s">
        <v>79</v>
      </c>
      <c r="M897" s="3" t="s">
        <v>80</v>
      </c>
      <c r="N897" s="3" t="s">
        <v>237</v>
      </c>
      <c r="O897" s="3" t="s">
        <v>148</v>
      </c>
      <c r="P897" s="3" t="str">
        <f>"2170816014                    "</f>
        <v xml:space="preserve">2170816014                    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29.89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0</v>
      </c>
      <c r="BH897" s="3">
        <v>1</v>
      </c>
      <c r="BI897" s="3">
        <v>12</v>
      </c>
      <c r="BJ897" s="3">
        <v>3.7</v>
      </c>
      <c r="BK897" s="3">
        <v>12</v>
      </c>
      <c r="BL897" s="3">
        <v>119.34</v>
      </c>
      <c r="BM897" s="3">
        <v>17.899999999999999</v>
      </c>
      <c r="BN897" s="3">
        <v>137.24</v>
      </c>
      <c r="BO897" s="3">
        <v>137.24</v>
      </c>
      <c r="BQ897" s="3" t="s">
        <v>83</v>
      </c>
      <c r="BR897" s="3" t="s">
        <v>1268</v>
      </c>
      <c r="BS897" s="4">
        <v>44574</v>
      </c>
      <c r="BT897" s="5">
        <v>0.3444444444444445</v>
      </c>
      <c r="BU897" s="3" t="s">
        <v>480</v>
      </c>
      <c r="BV897" s="3" t="s">
        <v>105</v>
      </c>
      <c r="BY897" s="3">
        <v>18432</v>
      </c>
      <c r="BZ897" s="3" t="s">
        <v>1076</v>
      </c>
      <c r="CA897" s="3" t="s">
        <v>481</v>
      </c>
      <c r="CC897" s="3" t="s">
        <v>80</v>
      </c>
      <c r="CD897" s="3">
        <v>1</v>
      </c>
      <c r="CE897" s="3" t="s">
        <v>86</v>
      </c>
      <c r="CF897" s="4">
        <v>44574</v>
      </c>
      <c r="CI897" s="3">
        <v>1</v>
      </c>
      <c r="CJ897" s="3">
        <v>1</v>
      </c>
      <c r="CK897" s="3">
        <v>41</v>
      </c>
      <c r="CL897" s="3" t="s">
        <v>87</v>
      </c>
    </row>
    <row r="898" spans="1:90" x14ac:dyDescent="0.2">
      <c r="A898" s="3" t="s">
        <v>72</v>
      </c>
      <c r="B898" s="3" t="s">
        <v>73</v>
      </c>
      <c r="C898" s="3" t="s">
        <v>74</v>
      </c>
      <c r="E898" s="3" t="str">
        <f>"FES1162844714"</f>
        <v>FES1162844714</v>
      </c>
      <c r="F898" s="4">
        <v>44573</v>
      </c>
      <c r="G898" s="3">
        <v>202207</v>
      </c>
      <c r="H898" s="3" t="s">
        <v>75</v>
      </c>
      <c r="I898" s="3" t="s">
        <v>76</v>
      </c>
      <c r="J898" s="3" t="s">
        <v>966</v>
      </c>
      <c r="K898" s="3" t="s">
        <v>78</v>
      </c>
      <c r="L898" s="3" t="s">
        <v>1307</v>
      </c>
      <c r="M898" s="3" t="s">
        <v>1307</v>
      </c>
      <c r="N898" s="3" t="s">
        <v>1308</v>
      </c>
      <c r="O898" s="3" t="s">
        <v>1237</v>
      </c>
      <c r="P898" s="3" t="str">
        <f>"2170816057                    "</f>
        <v xml:space="preserve">2170816057                    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41.31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1</v>
      </c>
      <c r="BI898" s="3">
        <v>4</v>
      </c>
      <c r="BJ898" s="3">
        <v>6.6</v>
      </c>
      <c r="BK898" s="3">
        <v>7</v>
      </c>
      <c r="BL898" s="3">
        <v>157.69</v>
      </c>
      <c r="BM898" s="3">
        <v>23.65</v>
      </c>
      <c r="BN898" s="3">
        <v>181.34</v>
      </c>
      <c r="BO898" s="3">
        <v>181.34</v>
      </c>
      <c r="BQ898" s="3" t="s">
        <v>1309</v>
      </c>
      <c r="BR898" s="3" t="s">
        <v>1268</v>
      </c>
      <c r="BS898" s="4">
        <v>44574</v>
      </c>
      <c r="BT898" s="5">
        <v>0.35486111111111113</v>
      </c>
      <c r="BU898" s="3" t="s">
        <v>1310</v>
      </c>
      <c r="BV898" s="3" t="s">
        <v>105</v>
      </c>
      <c r="BY898" s="3">
        <v>32799</v>
      </c>
      <c r="BZ898" s="3" t="s">
        <v>1076</v>
      </c>
      <c r="CA898" s="3" t="s">
        <v>1311</v>
      </c>
      <c r="CC898" s="3" t="s">
        <v>1307</v>
      </c>
      <c r="CD898" s="3">
        <v>1491</v>
      </c>
      <c r="CE898" s="3" t="s">
        <v>86</v>
      </c>
      <c r="CF898" s="4">
        <v>44575</v>
      </c>
      <c r="CI898" s="3">
        <v>1</v>
      </c>
      <c r="CJ898" s="3">
        <v>1</v>
      </c>
      <c r="CK898" s="3">
        <v>34</v>
      </c>
      <c r="CL898" s="3" t="s">
        <v>87</v>
      </c>
    </row>
    <row r="899" spans="1:90" x14ac:dyDescent="0.2">
      <c r="A899" s="3" t="s">
        <v>72</v>
      </c>
      <c r="B899" s="3" t="s">
        <v>73</v>
      </c>
      <c r="C899" s="3" t="s">
        <v>74</v>
      </c>
      <c r="E899" s="3" t="str">
        <f>"FES1162844649"</f>
        <v>FES1162844649</v>
      </c>
      <c r="F899" s="4">
        <v>44573</v>
      </c>
      <c r="G899" s="3">
        <v>202207</v>
      </c>
      <c r="H899" s="3" t="s">
        <v>75</v>
      </c>
      <c r="I899" s="3" t="s">
        <v>76</v>
      </c>
      <c r="J899" s="3" t="s">
        <v>966</v>
      </c>
      <c r="K899" s="3" t="s">
        <v>78</v>
      </c>
      <c r="L899" s="3" t="s">
        <v>489</v>
      </c>
      <c r="M899" s="3" t="s">
        <v>490</v>
      </c>
      <c r="N899" s="3" t="s">
        <v>491</v>
      </c>
      <c r="O899" s="3" t="s">
        <v>1237</v>
      </c>
      <c r="P899" s="3" t="str">
        <f>"2170816223                    "</f>
        <v xml:space="preserve">2170816223                    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29.95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1</v>
      </c>
      <c r="BI899" s="3">
        <v>3</v>
      </c>
      <c r="BJ899" s="3">
        <v>2</v>
      </c>
      <c r="BK899" s="3">
        <v>3</v>
      </c>
      <c r="BL899" s="3">
        <v>114.31</v>
      </c>
      <c r="BM899" s="3">
        <v>17.149999999999999</v>
      </c>
      <c r="BN899" s="3">
        <v>131.46</v>
      </c>
      <c r="BO899" s="3">
        <v>131.46</v>
      </c>
      <c r="BQ899" s="3" t="s">
        <v>83</v>
      </c>
      <c r="BR899" s="3" t="s">
        <v>1268</v>
      </c>
      <c r="BS899" s="4">
        <v>44574</v>
      </c>
      <c r="BT899" s="5">
        <v>0.6333333333333333</v>
      </c>
      <c r="BU899" s="3" t="s">
        <v>492</v>
      </c>
      <c r="BV899" s="3" t="s">
        <v>87</v>
      </c>
      <c r="BW899" s="3" t="s">
        <v>493</v>
      </c>
      <c r="BX899" s="3" t="s">
        <v>1269</v>
      </c>
      <c r="BY899" s="3">
        <v>9918</v>
      </c>
      <c r="BZ899" s="3" t="s">
        <v>1076</v>
      </c>
      <c r="CA899" s="3" t="s">
        <v>495</v>
      </c>
      <c r="CC899" s="3" t="s">
        <v>490</v>
      </c>
      <c r="CD899" s="3">
        <v>250</v>
      </c>
      <c r="CE899" s="3" t="s">
        <v>86</v>
      </c>
      <c r="CF899" s="4">
        <v>44575</v>
      </c>
      <c r="CI899" s="3">
        <v>1</v>
      </c>
      <c r="CJ899" s="3">
        <v>1</v>
      </c>
      <c r="CK899" s="3">
        <v>33</v>
      </c>
      <c r="CL899" s="3" t="s">
        <v>87</v>
      </c>
    </row>
    <row r="900" spans="1:90" x14ac:dyDescent="0.2">
      <c r="A900" s="3" t="s">
        <v>72</v>
      </c>
      <c r="B900" s="3" t="s">
        <v>73</v>
      </c>
      <c r="C900" s="3" t="s">
        <v>74</v>
      </c>
      <c r="E900" s="3" t="str">
        <f>"FES1162844683"</f>
        <v>FES1162844683</v>
      </c>
      <c r="F900" s="4">
        <v>44573</v>
      </c>
      <c r="G900" s="3">
        <v>202207</v>
      </c>
      <c r="H900" s="3" t="s">
        <v>75</v>
      </c>
      <c r="I900" s="3" t="s">
        <v>76</v>
      </c>
      <c r="J900" s="3" t="s">
        <v>966</v>
      </c>
      <c r="K900" s="3" t="s">
        <v>78</v>
      </c>
      <c r="L900" s="3" t="s">
        <v>75</v>
      </c>
      <c r="M900" s="3" t="s">
        <v>76</v>
      </c>
      <c r="N900" s="3" t="s">
        <v>147</v>
      </c>
      <c r="O900" s="3" t="s">
        <v>82</v>
      </c>
      <c r="P900" s="3" t="str">
        <f>"2170816263                    "</f>
        <v xml:space="preserve">2170816263                    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20.76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3">
        <v>1</v>
      </c>
      <c r="BI900" s="3">
        <v>11</v>
      </c>
      <c r="BJ900" s="3">
        <v>4.0999999999999996</v>
      </c>
      <c r="BK900" s="3">
        <v>11</v>
      </c>
      <c r="BL900" s="3">
        <v>79.25</v>
      </c>
      <c r="BM900" s="3">
        <v>11.89</v>
      </c>
      <c r="BN900" s="3">
        <v>91.14</v>
      </c>
      <c r="BO900" s="3">
        <v>91.14</v>
      </c>
      <c r="BQ900" s="3" t="s">
        <v>83</v>
      </c>
      <c r="BR900" s="3" t="s">
        <v>1268</v>
      </c>
      <c r="BS900" s="4">
        <v>44574</v>
      </c>
      <c r="BT900" s="5">
        <v>0.39166666666666666</v>
      </c>
      <c r="BU900" s="3" t="s">
        <v>849</v>
      </c>
      <c r="BV900" s="3" t="s">
        <v>105</v>
      </c>
      <c r="BY900" s="3">
        <v>20358</v>
      </c>
      <c r="BZ900" s="3" t="s">
        <v>1076</v>
      </c>
      <c r="CA900" s="3" t="s">
        <v>477</v>
      </c>
      <c r="CC900" s="3" t="s">
        <v>76</v>
      </c>
      <c r="CD900" s="3">
        <v>1645</v>
      </c>
      <c r="CE900" s="3" t="s">
        <v>86</v>
      </c>
      <c r="CF900" s="4">
        <v>44575</v>
      </c>
      <c r="CI900" s="3">
        <v>1</v>
      </c>
      <c r="CJ900" s="3">
        <v>1</v>
      </c>
      <c r="CK900" s="3">
        <v>22</v>
      </c>
      <c r="CL900" s="3" t="s">
        <v>87</v>
      </c>
    </row>
    <row r="901" spans="1:90" x14ac:dyDescent="0.2">
      <c r="A901" s="3" t="s">
        <v>72</v>
      </c>
      <c r="B901" s="3" t="s">
        <v>73</v>
      </c>
      <c r="C901" s="3" t="s">
        <v>74</v>
      </c>
      <c r="E901" s="3" t="str">
        <f>"FES1162843568"</f>
        <v>FES1162843568</v>
      </c>
      <c r="F901" s="4">
        <v>44566</v>
      </c>
      <c r="G901" s="3">
        <v>202207</v>
      </c>
      <c r="H901" s="3" t="s">
        <v>75</v>
      </c>
      <c r="I901" s="3" t="s">
        <v>76</v>
      </c>
      <c r="J901" s="3" t="s">
        <v>966</v>
      </c>
      <c r="K901" s="3" t="s">
        <v>78</v>
      </c>
      <c r="L901" s="3" t="s">
        <v>115</v>
      </c>
      <c r="M901" s="3" t="s">
        <v>116</v>
      </c>
      <c r="N901" s="3" t="s">
        <v>419</v>
      </c>
      <c r="O901" s="3" t="s">
        <v>82</v>
      </c>
      <c r="P901" s="3" t="str">
        <f>"2170815274                    "</f>
        <v xml:space="preserve">2170815274                    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12.07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0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3">
        <v>1</v>
      </c>
      <c r="BI901" s="3">
        <v>2</v>
      </c>
      <c r="BJ901" s="3">
        <v>2</v>
      </c>
      <c r="BK901" s="3">
        <v>2</v>
      </c>
      <c r="BL901" s="3">
        <v>46.08</v>
      </c>
      <c r="BM901" s="3">
        <v>6.91</v>
      </c>
      <c r="BN901" s="3">
        <v>52.99</v>
      </c>
      <c r="BO901" s="3">
        <v>52.99</v>
      </c>
      <c r="BQ901" s="3" t="s">
        <v>83</v>
      </c>
      <c r="BR901" s="3" t="s">
        <v>364</v>
      </c>
      <c r="BS901" s="4">
        <v>44567</v>
      </c>
      <c r="BT901" s="5">
        <v>0.40416666666666662</v>
      </c>
      <c r="BU901" s="3" t="s">
        <v>836</v>
      </c>
      <c r="BV901" s="3" t="s">
        <v>105</v>
      </c>
      <c r="BY901" s="3">
        <v>10000</v>
      </c>
      <c r="BZ901" s="3" t="s">
        <v>1076</v>
      </c>
      <c r="CA901" s="3" t="s">
        <v>119</v>
      </c>
      <c r="CC901" s="3" t="s">
        <v>116</v>
      </c>
      <c r="CD901" s="3">
        <v>1559</v>
      </c>
      <c r="CE901" s="3" t="s">
        <v>86</v>
      </c>
      <c r="CF901" s="4">
        <v>44567</v>
      </c>
      <c r="CI901" s="3">
        <v>1</v>
      </c>
      <c r="CJ901" s="3">
        <v>1</v>
      </c>
      <c r="CK901" s="3">
        <v>22</v>
      </c>
      <c r="CL901" s="3" t="s">
        <v>87</v>
      </c>
    </row>
    <row r="902" spans="1:90" x14ac:dyDescent="0.2">
      <c r="A902" s="3" t="s">
        <v>72</v>
      </c>
      <c r="B902" s="3" t="s">
        <v>73</v>
      </c>
      <c r="C902" s="3" t="s">
        <v>74</v>
      </c>
      <c r="E902" s="3" t="str">
        <f>"FES1162844212"</f>
        <v>FES1162844212</v>
      </c>
      <c r="F902" s="4">
        <v>44568</v>
      </c>
      <c r="G902" s="3">
        <v>202207</v>
      </c>
      <c r="H902" s="3" t="s">
        <v>75</v>
      </c>
      <c r="I902" s="3" t="s">
        <v>76</v>
      </c>
      <c r="J902" s="3" t="s">
        <v>966</v>
      </c>
      <c r="K902" s="3" t="s">
        <v>78</v>
      </c>
      <c r="L902" s="3" t="s">
        <v>948</v>
      </c>
      <c r="M902" s="3" t="s">
        <v>949</v>
      </c>
      <c r="N902" s="3" t="s">
        <v>1294</v>
      </c>
      <c r="O902" s="3" t="s">
        <v>148</v>
      </c>
      <c r="P902" s="3" t="str">
        <f>"2170815968                    "</f>
        <v xml:space="preserve">2170815968                    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33.01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1</v>
      </c>
      <c r="BI902" s="3">
        <v>10</v>
      </c>
      <c r="BJ902" s="3">
        <v>6.3</v>
      </c>
      <c r="BK902" s="3">
        <v>10</v>
      </c>
      <c r="BL902" s="3">
        <v>131.25</v>
      </c>
      <c r="BM902" s="3">
        <v>19.690000000000001</v>
      </c>
      <c r="BN902" s="3">
        <v>150.94</v>
      </c>
      <c r="BO902" s="3">
        <v>150.94</v>
      </c>
      <c r="BR902" s="3" t="s">
        <v>364</v>
      </c>
      <c r="BS902" s="4">
        <v>44571</v>
      </c>
      <c r="BT902" s="5">
        <v>0.57708333333333328</v>
      </c>
      <c r="BU902" s="3" t="s">
        <v>1186</v>
      </c>
      <c r="BV902" s="3" t="s">
        <v>105</v>
      </c>
      <c r="BY902" s="3">
        <v>31635</v>
      </c>
      <c r="BZ902" s="3" t="s">
        <v>1076</v>
      </c>
      <c r="CA902" s="3" t="s">
        <v>952</v>
      </c>
      <c r="CC902" s="3" t="s">
        <v>949</v>
      </c>
      <c r="CD902" s="3">
        <v>1759</v>
      </c>
      <c r="CE902" s="3" t="s">
        <v>86</v>
      </c>
      <c r="CF902" s="4">
        <v>44572</v>
      </c>
      <c r="CI902" s="3">
        <v>1</v>
      </c>
      <c r="CJ902" s="3">
        <v>1</v>
      </c>
      <c r="CK902" s="3">
        <v>44</v>
      </c>
      <c r="CL902" s="3" t="s">
        <v>87</v>
      </c>
    </row>
    <row r="903" spans="1:90" x14ac:dyDescent="0.2">
      <c r="A903" s="3" t="s">
        <v>72</v>
      </c>
      <c r="B903" s="3" t="s">
        <v>73</v>
      </c>
      <c r="C903" s="3" t="s">
        <v>74</v>
      </c>
      <c r="E903" s="3" t="str">
        <f>"FES1162844650"</f>
        <v>FES1162844650</v>
      </c>
      <c r="F903" s="4">
        <v>44573</v>
      </c>
      <c r="G903" s="3">
        <v>202207</v>
      </c>
      <c r="H903" s="3" t="s">
        <v>75</v>
      </c>
      <c r="I903" s="3" t="s">
        <v>76</v>
      </c>
      <c r="J903" s="3" t="s">
        <v>966</v>
      </c>
      <c r="K903" s="3" t="s">
        <v>78</v>
      </c>
      <c r="L903" s="3" t="s">
        <v>79</v>
      </c>
      <c r="M903" s="3" t="s">
        <v>80</v>
      </c>
      <c r="N903" s="3" t="s">
        <v>1312</v>
      </c>
      <c r="O903" s="3" t="s">
        <v>148</v>
      </c>
      <c r="P903" s="3" t="str">
        <f>"2170816225                    "</f>
        <v xml:space="preserve">2170816225                    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29.89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3">
        <v>1</v>
      </c>
      <c r="BI903" s="3">
        <v>3</v>
      </c>
      <c r="BJ903" s="3">
        <v>3.6</v>
      </c>
      <c r="BK903" s="3">
        <v>4</v>
      </c>
      <c r="BL903" s="3">
        <v>119.34</v>
      </c>
      <c r="BM903" s="3">
        <v>17.899999999999999</v>
      </c>
      <c r="BN903" s="3">
        <v>137.24</v>
      </c>
      <c r="BO903" s="3">
        <v>137.24</v>
      </c>
      <c r="BR903" s="3" t="s">
        <v>1268</v>
      </c>
      <c r="BS903" s="4">
        <v>44578</v>
      </c>
      <c r="BT903" s="5">
        <v>0.43055555555555558</v>
      </c>
      <c r="BU903" s="3" t="s">
        <v>1313</v>
      </c>
      <c r="BV903" s="3" t="s">
        <v>87</v>
      </c>
      <c r="BY903" s="3">
        <v>18144</v>
      </c>
      <c r="BZ903" s="3" t="s">
        <v>1076</v>
      </c>
      <c r="CA903" s="3" t="s">
        <v>742</v>
      </c>
      <c r="CC903" s="3" t="s">
        <v>80</v>
      </c>
      <c r="CD903" s="3">
        <v>182</v>
      </c>
      <c r="CE903" s="3" t="s">
        <v>86</v>
      </c>
      <c r="CF903" s="4">
        <v>44578</v>
      </c>
      <c r="CI903" s="3">
        <v>1</v>
      </c>
      <c r="CJ903" s="3">
        <v>3</v>
      </c>
      <c r="CK903" s="3">
        <v>41</v>
      </c>
      <c r="CL903" s="3" t="s">
        <v>87</v>
      </c>
    </row>
    <row r="904" spans="1:90" x14ac:dyDescent="0.2">
      <c r="A904" s="3" t="s">
        <v>72</v>
      </c>
      <c r="B904" s="3" t="s">
        <v>73</v>
      </c>
      <c r="C904" s="3" t="s">
        <v>74</v>
      </c>
      <c r="E904" s="3" t="str">
        <f>"FES1162844811"</f>
        <v>FES1162844811</v>
      </c>
      <c r="F904" s="4">
        <v>44573</v>
      </c>
      <c r="G904" s="3">
        <v>202207</v>
      </c>
      <c r="H904" s="3" t="s">
        <v>75</v>
      </c>
      <c r="I904" s="3" t="s">
        <v>76</v>
      </c>
      <c r="J904" s="3" t="s">
        <v>966</v>
      </c>
      <c r="K904" s="3" t="s">
        <v>78</v>
      </c>
      <c r="L904" s="3" t="s">
        <v>97</v>
      </c>
      <c r="M904" s="3" t="s">
        <v>98</v>
      </c>
      <c r="N904" s="3" t="s">
        <v>413</v>
      </c>
      <c r="O904" s="3" t="s">
        <v>82</v>
      </c>
      <c r="P904" s="3" t="str">
        <f>"2170816369                    "</f>
        <v xml:space="preserve">2170816369                    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16.420000000000002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3">
        <v>1</v>
      </c>
      <c r="BI904" s="3">
        <v>8</v>
      </c>
      <c r="BJ904" s="3">
        <v>9.1</v>
      </c>
      <c r="BK904" s="3">
        <v>9.5</v>
      </c>
      <c r="BL904" s="3">
        <v>62.67</v>
      </c>
      <c r="BM904" s="3">
        <v>9.4</v>
      </c>
      <c r="BN904" s="3">
        <v>72.069999999999993</v>
      </c>
      <c r="BO904" s="3">
        <v>72.069999999999993</v>
      </c>
      <c r="BQ904" s="3" t="s">
        <v>83</v>
      </c>
      <c r="BR904" s="3" t="s">
        <v>1268</v>
      </c>
      <c r="BS904" s="4">
        <v>44574</v>
      </c>
      <c r="BT904" s="5">
        <v>0.38750000000000001</v>
      </c>
      <c r="BU904" s="3" t="s">
        <v>347</v>
      </c>
      <c r="BV904" s="3" t="s">
        <v>105</v>
      </c>
      <c r="BY904" s="3">
        <v>45632</v>
      </c>
      <c r="BZ904" s="3" t="s">
        <v>1076</v>
      </c>
      <c r="CA904" s="3" t="s">
        <v>1314</v>
      </c>
      <c r="CC904" s="3" t="s">
        <v>98</v>
      </c>
      <c r="CD904" s="3">
        <v>2094</v>
      </c>
      <c r="CE904" s="3" t="s">
        <v>86</v>
      </c>
      <c r="CF904" s="4">
        <v>44575</v>
      </c>
      <c r="CI904" s="3">
        <v>1</v>
      </c>
      <c r="CJ904" s="3">
        <v>1</v>
      </c>
      <c r="CK904" s="3">
        <v>22</v>
      </c>
      <c r="CL904" s="3" t="s">
        <v>87</v>
      </c>
    </row>
    <row r="905" spans="1:90" x14ac:dyDescent="0.2">
      <c r="A905" s="3" t="s">
        <v>72</v>
      </c>
      <c r="B905" s="3" t="s">
        <v>73</v>
      </c>
      <c r="C905" s="3" t="s">
        <v>74</v>
      </c>
      <c r="E905" s="3" t="str">
        <f>"FES1162845347"</f>
        <v>FES1162845347</v>
      </c>
      <c r="F905" s="4">
        <v>44578</v>
      </c>
      <c r="G905" s="3">
        <v>202207</v>
      </c>
      <c r="H905" s="3" t="s">
        <v>75</v>
      </c>
      <c r="I905" s="3" t="s">
        <v>76</v>
      </c>
      <c r="J905" s="3" t="s">
        <v>77</v>
      </c>
      <c r="K905" s="3" t="s">
        <v>78</v>
      </c>
      <c r="L905" s="3" t="s">
        <v>158</v>
      </c>
      <c r="M905" s="3" t="s">
        <v>159</v>
      </c>
      <c r="N905" s="3" t="s">
        <v>1315</v>
      </c>
      <c r="O905" s="3" t="s">
        <v>82</v>
      </c>
      <c r="P905" s="3" t="str">
        <f>"2170814799                    "</f>
        <v xml:space="preserve">2170814799                    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12.07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1</v>
      </c>
      <c r="BI905" s="3">
        <v>3</v>
      </c>
      <c r="BJ905" s="3">
        <v>2</v>
      </c>
      <c r="BK905" s="3">
        <v>3</v>
      </c>
      <c r="BL905" s="3">
        <v>46.08</v>
      </c>
      <c r="BM905" s="3">
        <v>6.91</v>
      </c>
      <c r="BN905" s="3">
        <v>52.99</v>
      </c>
      <c r="BO905" s="3">
        <v>52.99</v>
      </c>
      <c r="BQ905" s="3" t="s">
        <v>89</v>
      </c>
      <c r="BR905" s="3" t="s">
        <v>84</v>
      </c>
      <c r="BS905" s="4">
        <v>44579</v>
      </c>
      <c r="BT905" s="5">
        <v>0.29652777777777778</v>
      </c>
      <c r="BU905" s="3" t="s">
        <v>1316</v>
      </c>
      <c r="BV905" s="3" t="s">
        <v>105</v>
      </c>
      <c r="BY905" s="3">
        <v>9918</v>
      </c>
      <c r="CA905" s="3" t="s">
        <v>763</v>
      </c>
      <c r="CC905" s="3" t="s">
        <v>159</v>
      </c>
      <c r="CD905" s="3">
        <v>1459</v>
      </c>
      <c r="CE905" s="3" t="s">
        <v>86</v>
      </c>
      <c r="CF905" s="4">
        <v>44579</v>
      </c>
      <c r="CI905" s="3">
        <v>1</v>
      </c>
      <c r="CJ905" s="3">
        <v>1</v>
      </c>
      <c r="CK905" s="3">
        <v>22</v>
      </c>
      <c r="CL905" s="3" t="s">
        <v>87</v>
      </c>
    </row>
    <row r="906" spans="1:90" x14ac:dyDescent="0.2">
      <c r="A906" s="3" t="s">
        <v>72</v>
      </c>
      <c r="B906" s="3" t="s">
        <v>73</v>
      </c>
      <c r="C906" s="3" t="s">
        <v>74</v>
      </c>
      <c r="E906" s="3" t="str">
        <f>"FES1162845352"</f>
        <v>FES1162845352</v>
      </c>
      <c r="F906" s="4">
        <v>44578</v>
      </c>
      <c r="G906" s="3">
        <v>202207</v>
      </c>
      <c r="H906" s="3" t="s">
        <v>75</v>
      </c>
      <c r="I906" s="3" t="s">
        <v>76</v>
      </c>
      <c r="J906" s="3" t="s">
        <v>77</v>
      </c>
      <c r="K906" s="3" t="s">
        <v>78</v>
      </c>
      <c r="L906" s="3" t="s">
        <v>335</v>
      </c>
      <c r="M906" s="3" t="s">
        <v>336</v>
      </c>
      <c r="N906" s="3" t="s">
        <v>337</v>
      </c>
      <c r="O906" s="3" t="s">
        <v>82</v>
      </c>
      <c r="P906" s="3" t="str">
        <f>"2170815797                    "</f>
        <v xml:space="preserve">2170815797                    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15.46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1</v>
      </c>
      <c r="BI906" s="3">
        <v>1</v>
      </c>
      <c r="BJ906" s="3">
        <v>0.2</v>
      </c>
      <c r="BK906" s="3">
        <v>1</v>
      </c>
      <c r="BL906" s="3">
        <v>59</v>
      </c>
      <c r="BM906" s="3">
        <v>8.85</v>
      </c>
      <c r="BN906" s="3">
        <v>67.849999999999994</v>
      </c>
      <c r="BO906" s="3">
        <v>67.849999999999994</v>
      </c>
      <c r="BQ906" s="3" t="s">
        <v>89</v>
      </c>
      <c r="BR906" s="3" t="s">
        <v>84</v>
      </c>
      <c r="BS906" s="4">
        <v>44579</v>
      </c>
      <c r="BT906" s="5">
        <v>0.39861111111111108</v>
      </c>
      <c r="BU906" s="3" t="s">
        <v>1031</v>
      </c>
      <c r="BV906" s="3" t="s">
        <v>105</v>
      </c>
      <c r="BY906" s="3">
        <v>1200</v>
      </c>
      <c r="CA906" s="3" t="s">
        <v>528</v>
      </c>
      <c r="CC906" s="3" t="s">
        <v>336</v>
      </c>
      <c r="CD906" s="3">
        <v>4133</v>
      </c>
      <c r="CE906" s="3" t="s">
        <v>93</v>
      </c>
      <c r="CF906" s="4">
        <v>44580</v>
      </c>
      <c r="CI906" s="3">
        <v>1</v>
      </c>
      <c r="CJ906" s="3">
        <v>1</v>
      </c>
      <c r="CK906" s="3">
        <v>21</v>
      </c>
      <c r="CL906" s="3" t="s">
        <v>87</v>
      </c>
    </row>
    <row r="907" spans="1:90" x14ac:dyDescent="0.2">
      <c r="A907" s="3" t="s">
        <v>72</v>
      </c>
      <c r="B907" s="3" t="s">
        <v>73</v>
      </c>
      <c r="C907" s="3" t="s">
        <v>74</v>
      </c>
      <c r="E907" s="3" t="str">
        <f>"FES1162845315"</f>
        <v>FES1162845315</v>
      </c>
      <c r="F907" s="4">
        <v>44578</v>
      </c>
      <c r="G907" s="3">
        <v>202207</v>
      </c>
      <c r="H907" s="3" t="s">
        <v>75</v>
      </c>
      <c r="I907" s="3" t="s">
        <v>76</v>
      </c>
      <c r="J907" s="3" t="s">
        <v>77</v>
      </c>
      <c r="K907" s="3" t="s">
        <v>78</v>
      </c>
      <c r="L907" s="3" t="s">
        <v>101</v>
      </c>
      <c r="M907" s="3" t="s">
        <v>102</v>
      </c>
      <c r="N907" s="3" t="s">
        <v>340</v>
      </c>
      <c r="O907" s="3" t="s">
        <v>82</v>
      </c>
      <c r="P907" s="3" t="str">
        <f>"2170816868                    "</f>
        <v xml:space="preserve">2170816868                    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0</v>
      </c>
      <c r="AJ907" s="3">
        <v>0</v>
      </c>
      <c r="AK907" s="3">
        <v>15.46</v>
      </c>
      <c r="AL907" s="3">
        <v>0</v>
      </c>
      <c r="AM907" s="3">
        <v>0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3">
        <v>1</v>
      </c>
      <c r="BI907" s="3">
        <v>2</v>
      </c>
      <c r="BJ907" s="3">
        <v>2</v>
      </c>
      <c r="BK907" s="3">
        <v>2</v>
      </c>
      <c r="BL907" s="3">
        <v>59</v>
      </c>
      <c r="BM907" s="3">
        <v>8.85</v>
      </c>
      <c r="BN907" s="3">
        <v>67.849999999999994</v>
      </c>
      <c r="BO907" s="3">
        <v>67.849999999999994</v>
      </c>
      <c r="BQ907" s="3" t="s">
        <v>341</v>
      </c>
      <c r="BR907" s="3" t="s">
        <v>84</v>
      </c>
      <c r="BS907" s="4">
        <v>44579</v>
      </c>
      <c r="BT907" s="5">
        <v>0.39652777777777781</v>
      </c>
      <c r="BU907" s="3" t="s">
        <v>1317</v>
      </c>
      <c r="BV907" s="3" t="s">
        <v>105</v>
      </c>
      <c r="BY907" s="3">
        <v>9918</v>
      </c>
      <c r="CA907" s="3" t="s">
        <v>1318</v>
      </c>
      <c r="CC907" s="3" t="s">
        <v>102</v>
      </c>
      <c r="CD907" s="3">
        <v>4001</v>
      </c>
      <c r="CE907" s="3" t="s">
        <v>86</v>
      </c>
      <c r="CF907" s="4">
        <v>44580</v>
      </c>
      <c r="CI907" s="3">
        <v>1</v>
      </c>
      <c r="CJ907" s="3">
        <v>1</v>
      </c>
      <c r="CK907" s="3">
        <v>21</v>
      </c>
      <c r="CL907" s="3" t="s">
        <v>87</v>
      </c>
    </row>
    <row r="908" spans="1:90" x14ac:dyDescent="0.2">
      <c r="A908" s="3" t="s">
        <v>72</v>
      </c>
      <c r="B908" s="3" t="s">
        <v>73</v>
      </c>
      <c r="C908" s="3" t="s">
        <v>74</v>
      </c>
      <c r="E908" s="3" t="str">
        <f>"FES1162845407"</f>
        <v>FES1162845407</v>
      </c>
      <c r="F908" s="4">
        <v>44578</v>
      </c>
      <c r="G908" s="3">
        <v>202207</v>
      </c>
      <c r="H908" s="3" t="s">
        <v>75</v>
      </c>
      <c r="I908" s="3" t="s">
        <v>76</v>
      </c>
      <c r="J908" s="3" t="s">
        <v>77</v>
      </c>
      <c r="K908" s="3" t="s">
        <v>78</v>
      </c>
      <c r="L908" s="3" t="s">
        <v>195</v>
      </c>
      <c r="M908" s="3" t="s">
        <v>196</v>
      </c>
      <c r="N908" s="3" t="s">
        <v>1004</v>
      </c>
      <c r="O908" s="3" t="s">
        <v>82</v>
      </c>
      <c r="P908" s="3" t="str">
        <f>"2170816941                    "</f>
        <v xml:space="preserve">2170816941                    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15.46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1</v>
      </c>
      <c r="BI908" s="3">
        <v>1</v>
      </c>
      <c r="BJ908" s="3">
        <v>0.2</v>
      </c>
      <c r="BK908" s="3">
        <v>1</v>
      </c>
      <c r="BL908" s="3">
        <v>59</v>
      </c>
      <c r="BM908" s="3">
        <v>8.85</v>
      </c>
      <c r="BN908" s="3">
        <v>67.849999999999994</v>
      </c>
      <c r="BO908" s="3">
        <v>67.849999999999994</v>
      </c>
      <c r="BR908" s="3" t="s">
        <v>84</v>
      </c>
      <c r="BS908" s="4">
        <v>44579</v>
      </c>
      <c r="BT908" s="5">
        <v>0.48472222222222222</v>
      </c>
      <c r="BU908" s="3" t="s">
        <v>1005</v>
      </c>
      <c r="BV908" s="3" t="s">
        <v>105</v>
      </c>
      <c r="BY908" s="3">
        <v>1200</v>
      </c>
      <c r="CA908" s="3" t="s">
        <v>1006</v>
      </c>
      <c r="CC908" s="3" t="s">
        <v>196</v>
      </c>
      <c r="CD908" s="3">
        <v>4156</v>
      </c>
      <c r="CE908" s="3" t="s">
        <v>93</v>
      </c>
      <c r="CF908" s="4">
        <v>44580</v>
      </c>
      <c r="CI908" s="3">
        <v>1</v>
      </c>
      <c r="CJ908" s="3">
        <v>1</v>
      </c>
      <c r="CK908" s="3">
        <v>21</v>
      </c>
      <c r="CL908" s="3" t="s">
        <v>87</v>
      </c>
    </row>
    <row r="909" spans="1:90" x14ac:dyDescent="0.2">
      <c r="A909" s="3" t="s">
        <v>72</v>
      </c>
      <c r="B909" s="3" t="s">
        <v>73</v>
      </c>
      <c r="C909" s="3" t="s">
        <v>74</v>
      </c>
      <c r="E909" s="3" t="str">
        <f>"FES1162845324"</f>
        <v>FES1162845324</v>
      </c>
      <c r="F909" s="4">
        <v>44578</v>
      </c>
      <c r="G909" s="3">
        <v>202207</v>
      </c>
      <c r="H909" s="3" t="s">
        <v>75</v>
      </c>
      <c r="I909" s="3" t="s">
        <v>76</v>
      </c>
      <c r="J909" s="3" t="s">
        <v>77</v>
      </c>
      <c r="K909" s="3" t="s">
        <v>78</v>
      </c>
      <c r="L909" s="3" t="s">
        <v>90</v>
      </c>
      <c r="M909" s="3" t="s">
        <v>91</v>
      </c>
      <c r="N909" s="3" t="s">
        <v>92</v>
      </c>
      <c r="O909" s="3" t="s">
        <v>82</v>
      </c>
      <c r="P909" s="3" t="str">
        <f>"2170816881                    "</f>
        <v xml:space="preserve">2170816881                    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15.46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3">
        <v>1</v>
      </c>
      <c r="BI909" s="3">
        <v>1</v>
      </c>
      <c r="BJ909" s="3">
        <v>0.2</v>
      </c>
      <c r="BK909" s="3">
        <v>1</v>
      </c>
      <c r="BL909" s="3">
        <v>59</v>
      </c>
      <c r="BM909" s="3">
        <v>8.85</v>
      </c>
      <c r="BN909" s="3">
        <v>67.849999999999994</v>
      </c>
      <c r="BO909" s="3">
        <v>67.849999999999994</v>
      </c>
      <c r="BQ909" s="3" t="s">
        <v>83</v>
      </c>
      <c r="BR909" s="3" t="s">
        <v>84</v>
      </c>
      <c r="BS909" s="4">
        <v>44579</v>
      </c>
      <c r="BT909" s="5">
        <v>0.41666666666666669</v>
      </c>
      <c r="BU909" s="3" t="s">
        <v>1319</v>
      </c>
      <c r="BV909" s="3" t="s">
        <v>105</v>
      </c>
      <c r="BY909" s="3">
        <v>1200</v>
      </c>
      <c r="CC909" s="3" t="s">
        <v>91</v>
      </c>
      <c r="CD909" s="3">
        <v>7530</v>
      </c>
      <c r="CE909" s="3" t="s">
        <v>93</v>
      </c>
      <c r="CF909" s="4">
        <v>44580</v>
      </c>
      <c r="CI909" s="3">
        <v>1</v>
      </c>
      <c r="CJ909" s="3">
        <v>1</v>
      </c>
      <c r="CK909" s="3">
        <v>21</v>
      </c>
      <c r="CL909" s="3" t="s">
        <v>87</v>
      </c>
    </row>
    <row r="910" spans="1:90" x14ac:dyDescent="0.2">
      <c r="A910" s="3" t="s">
        <v>72</v>
      </c>
      <c r="B910" s="3" t="s">
        <v>73</v>
      </c>
      <c r="C910" s="3" t="s">
        <v>74</v>
      </c>
      <c r="E910" s="3" t="str">
        <f>"FES1162845340"</f>
        <v>FES1162845340</v>
      </c>
      <c r="F910" s="4">
        <v>44578</v>
      </c>
      <c r="G910" s="3">
        <v>202207</v>
      </c>
      <c r="H910" s="3" t="s">
        <v>75</v>
      </c>
      <c r="I910" s="3" t="s">
        <v>76</v>
      </c>
      <c r="J910" s="3" t="s">
        <v>77</v>
      </c>
      <c r="K910" s="3" t="s">
        <v>78</v>
      </c>
      <c r="L910" s="3" t="s">
        <v>110</v>
      </c>
      <c r="M910" s="3" t="s">
        <v>110</v>
      </c>
      <c r="N910" s="3" t="s">
        <v>146</v>
      </c>
      <c r="O910" s="3" t="s">
        <v>82</v>
      </c>
      <c r="P910" s="3" t="str">
        <f>"2170816894                    "</f>
        <v xml:space="preserve">2170816894                    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29.95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1</v>
      </c>
      <c r="BI910" s="3">
        <v>1</v>
      </c>
      <c r="BJ910" s="3">
        <v>0.2</v>
      </c>
      <c r="BK910" s="3">
        <v>1</v>
      </c>
      <c r="BL910" s="3">
        <v>114.31</v>
      </c>
      <c r="BM910" s="3">
        <v>17.149999999999999</v>
      </c>
      <c r="BN910" s="3">
        <v>131.46</v>
      </c>
      <c r="BO910" s="3">
        <v>131.46</v>
      </c>
      <c r="BQ910" s="3" t="s">
        <v>89</v>
      </c>
      <c r="BR910" s="3" t="s">
        <v>84</v>
      </c>
      <c r="BS910" s="4">
        <v>44579</v>
      </c>
      <c r="BT910" s="5">
        <v>0.55625000000000002</v>
      </c>
      <c r="BU910" s="3" t="s">
        <v>403</v>
      </c>
      <c r="BV910" s="3" t="s">
        <v>87</v>
      </c>
      <c r="BW910" s="3" t="s">
        <v>353</v>
      </c>
      <c r="BX910" s="3" t="s">
        <v>602</v>
      </c>
      <c r="BY910" s="3">
        <v>1200</v>
      </c>
      <c r="CA910" s="3" t="s">
        <v>360</v>
      </c>
      <c r="CC910" s="3" t="s">
        <v>110</v>
      </c>
      <c r="CD910" s="3">
        <v>7646</v>
      </c>
      <c r="CE910" s="3" t="s">
        <v>93</v>
      </c>
      <c r="CF910" s="4">
        <v>44580</v>
      </c>
      <c r="CI910" s="3">
        <v>1</v>
      </c>
      <c r="CJ910" s="3">
        <v>1</v>
      </c>
      <c r="CK910" s="3">
        <v>23</v>
      </c>
      <c r="CL910" s="3" t="s">
        <v>87</v>
      </c>
    </row>
    <row r="911" spans="1:90" x14ac:dyDescent="0.2">
      <c r="A911" s="3" t="s">
        <v>72</v>
      </c>
      <c r="B911" s="3" t="s">
        <v>73</v>
      </c>
      <c r="C911" s="3" t="s">
        <v>74</v>
      </c>
      <c r="E911" s="3" t="str">
        <f>"FES1162845379"</f>
        <v>FES1162845379</v>
      </c>
      <c r="F911" s="4">
        <v>44578</v>
      </c>
      <c r="G911" s="3">
        <v>202207</v>
      </c>
      <c r="H911" s="3" t="s">
        <v>75</v>
      </c>
      <c r="I911" s="3" t="s">
        <v>76</v>
      </c>
      <c r="J911" s="3" t="s">
        <v>77</v>
      </c>
      <c r="K911" s="3" t="s">
        <v>78</v>
      </c>
      <c r="L911" s="3" t="s">
        <v>75</v>
      </c>
      <c r="M911" s="3" t="s">
        <v>76</v>
      </c>
      <c r="N911" s="3" t="s">
        <v>688</v>
      </c>
      <c r="O911" s="3" t="s">
        <v>82</v>
      </c>
      <c r="P911" s="3" t="str">
        <f>"2170810565                    "</f>
        <v xml:space="preserve">2170810565                    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12.07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0</v>
      </c>
      <c r="BF911" s="3">
        <v>0</v>
      </c>
      <c r="BG911" s="3">
        <v>0</v>
      </c>
      <c r="BH911" s="3">
        <v>1</v>
      </c>
      <c r="BI911" s="3">
        <v>5</v>
      </c>
      <c r="BJ911" s="3">
        <v>2.5</v>
      </c>
      <c r="BK911" s="3">
        <v>5</v>
      </c>
      <c r="BL911" s="3">
        <v>46.08</v>
      </c>
      <c r="BM911" s="3">
        <v>6.91</v>
      </c>
      <c r="BN911" s="3">
        <v>52.99</v>
      </c>
      <c r="BO911" s="3">
        <v>52.99</v>
      </c>
      <c r="BQ911" s="3" t="s">
        <v>83</v>
      </c>
      <c r="BR911" s="3" t="s">
        <v>84</v>
      </c>
      <c r="BS911" s="4">
        <v>44579</v>
      </c>
      <c r="BT911" s="5">
        <v>0.33333333333333331</v>
      </c>
      <c r="BU911" s="3" t="s">
        <v>1320</v>
      </c>
      <c r="BV911" s="3" t="s">
        <v>105</v>
      </c>
      <c r="BY911" s="3">
        <v>12375</v>
      </c>
      <c r="CA911" s="3" t="s">
        <v>328</v>
      </c>
      <c r="CC911" s="3" t="s">
        <v>76</v>
      </c>
      <c r="CD911" s="3">
        <v>1620</v>
      </c>
      <c r="CE911" s="3" t="s">
        <v>86</v>
      </c>
      <c r="CF911" s="4">
        <v>44580</v>
      </c>
      <c r="CI911" s="3">
        <v>1</v>
      </c>
      <c r="CJ911" s="3">
        <v>1</v>
      </c>
      <c r="CK911" s="3">
        <v>22</v>
      </c>
      <c r="CL911" s="3" t="s">
        <v>87</v>
      </c>
    </row>
    <row r="912" spans="1:90" x14ac:dyDescent="0.2">
      <c r="A912" s="3" t="s">
        <v>72</v>
      </c>
      <c r="B912" s="3" t="s">
        <v>73</v>
      </c>
      <c r="C912" s="3" t="s">
        <v>74</v>
      </c>
      <c r="E912" s="3" t="str">
        <f>"FES1162845389"</f>
        <v>FES1162845389</v>
      </c>
      <c r="F912" s="4">
        <v>44578</v>
      </c>
      <c r="G912" s="3">
        <v>202207</v>
      </c>
      <c r="H912" s="3" t="s">
        <v>75</v>
      </c>
      <c r="I912" s="3" t="s">
        <v>76</v>
      </c>
      <c r="J912" s="3" t="s">
        <v>77</v>
      </c>
      <c r="K912" s="3" t="s">
        <v>78</v>
      </c>
      <c r="L912" s="3" t="s">
        <v>171</v>
      </c>
      <c r="M912" s="3" t="s">
        <v>172</v>
      </c>
      <c r="N912" s="3" t="s">
        <v>1321</v>
      </c>
      <c r="O912" s="3" t="s">
        <v>82</v>
      </c>
      <c r="P912" s="3" t="str">
        <f>"2170816915                    "</f>
        <v xml:space="preserve">2170816915                    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54.08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v>0</v>
      </c>
      <c r="BA912" s="3">
        <v>0</v>
      </c>
      <c r="BB912" s="3">
        <v>0</v>
      </c>
      <c r="BC912" s="3">
        <v>0</v>
      </c>
      <c r="BD912" s="3">
        <v>0</v>
      </c>
      <c r="BE912" s="3">
        <v>0</v>
      </c>
      <c r="BF912" s="3">
        <v>0</v>
      </c>
      <c r="BG912" s="3">
        <v>0</v>
      </c>
      <c r="BH912" s="3">
        <v>1</v>
      </c>
      <c r="BI912" s="3">
        <v>7</v>
      </c>
      <c r="BJ912" s="3">
        <v>4.0999999999999996</v>
      </c>
      <c r="BK912" s="3">
        <v>7</v>
      </c>
      <c r="BL912" s="3">
        <v>206.42</v>
      </c>
      <c r="BM912" s="3">
        <v>30.96</v>
      </c>
      <c r="BN912" s="3">
        <v>237.38</v>
      </c>
      <c r="BO912" s="3">
        <v>237.38</v>
      </c>
      <c r="BQ912" s="3" t="s">
        <v>1322</v>
      </c>
      <c r="BR912" s="3" t="s">
        <v>84</v>
      </c>
      <c r="BS912" s="4">
        <v>44579</v>
      </c>
      <c r="BT912" s="5">
        <v>0.55694444444444446</v>
      </c>
      <c r="BU912" s="3" t="s">
        <v>1323</v>
      </c>
      <c r="BV912" s="3" t="s">
        <v>87</v>
      </c>
      <c r="BW912" s="3" t="s">
        <v>457</v>
      </c>
      <c r="BX912" s="3" t="s">
        <v>458</v>
      </c>
      <c r="BY912" s="3">
        <v>20358</v>
      </c>
      <c r="CA912" s="3" t="s">
        <v>509</v>
      </c>
      <c r="CC912" s="3" t="s">
        <v>172</v>
      </c>
      <c r="CD912" s="3">
        <v>6001</v>
      </c>
      <c r="CE912" s="3" t="s">
        <v>86</v>
      </c>
      <c r="CF912" s="4">
        <v>44579</v>
      </c>
      <c r="CI912" s="3">
        <v>1</v>
      </c>
      <c r="CJ912" s="3">
        <v>1</v>
      </c>
      <c r="CK912" s="3">
        <v>21</v>
      </c>
      <c r="CL912" s="3" t="s">
        <v>87</v>
      </c>
    </row>
    <row r="913" spans="1:90" x14ac:dyDescent="0.2">
      <c r="A913" s="3" t="s">
        <v>72</v>
      </c>
      <c r="B913" s="3" t="s">
        <v>73</v>
      </c>
      <c r="C913" s="3" t="s">
        <v>74</v>
      </c>
      <c r="E913" s="3" t="str">
        <f>"FES1162845376"</f>
        <v>FES1162845376</v>
      </c>
      <c r="F913" s="4">
        <v>44578</v>
      </c>
      <c r="G913" s="3">
        <v>202207</v>
      </c>
      <c r="H913" s="3" t="s">
        <v>75</v>
      </c>
      <c r="I913" s="3" t="s">
        <v>76</v>
      </c>
      <c r="J913" s="3" t="s">
        <v>77</v>
      </c>
      <c r="K913" s="3" t="s">
        <v>78</v>
      </c>
      <c r="L913" s="3" t="s">
        <v>187</v>
      </c>
      <c r="M913" s="3" t="s">
        <v>188</v>
      </c>
      <c r="N913" s="3" t="s">
        <v>189</v>
      </c>
      <c r="O913" s="3" t="s">
        <v>82</v>
      </c>
      <c r="P913" s="3" t="str">
        <f>"2170816901                    "</f>
        <v xml:space="preserve">2170816901                    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29.95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3">
        <v>1</v>
      </c>
      <c r="BI913" s="3">
        <v>1</v>
      </c>
      <c r="BJ913" s="3">
        <v>0.9</v>
      </c>
      <c r="BK913" s="3">
        <v>1</v>
      </c>
      <c r="BL913" s="3">
        <v>114.31</v>
      </c>
      <c r="BM913" s="3">
        <v>17.149999999999999</v>
      </c>
      <c r="BN913" s="3">
        <v>131.46</v>
      </c>
      <c r="BO913" s="3">
        <v>131.46</v>
      </c>
      <c r="BQ913" s="3" t="s">
        <v>83</v>
      </c>
      <c r="BR913" s="3" t="s">
        <v>84</v>
      </c>
      <c r="BS913" s="4">
        <v>44579</v>
      </c>
      <c r="BT913" s="5">
        <v>0.48680555555555555</v>
      </c>
      <c r="BU913" s="3" t="s">
        <v>267</v>
      </c>
      <c r="BV913" s="3" t="s">
        <v>105</v>
      </c>
      <c r="BY913" s="3">
        <v>4275</v>
      </c>
      <c r="CA913" s="3" t="s">
        <v>268</v>
      </c>
      <c r="CC913" s="3" t="s">
        <v>188</v>
      </c>
      <c r="CD913" s="3">
        <v>7300</v>
      </c>
      <c r="CE913" s="3" t="s">
        <v>86</v>
      </c>
      <c r="CF913" s="4">
        <v>44580</v>
      </c>
      <c r="CI913" s="3">
        <v>1</v>
      </c>
      <c r="CJ913" s="3">
        <v>1</v>
      </c>
      <c r="CK913" s="3">
        <v>23</v>
      </c>
      <c r="CL913" s="3" t="s">
        <v>87</v>
      </c>
    </row>
    <row r="914" spans="1:90" x14ac:dyDescent="0.2">
      <c r="A914" s="3" t="s">
        <v>72</v>
      </c>
      <c r="B914" s="3" t="s">
        <v>73</v>
      </c>
      <c r="C914" s="3" t="s">
        <v>74</v>
      </c>
      <c r="E914" s="3" t="str">
        <f>"FES1162845342"</f>
        <v>FES1162845342</v>
      </c>
      <c r="F914" s="4">
        <v>44578</v>
      </c>
      <c r="G914" s="3">
        <v>202207</v>
      </c>
      <c r="H914" s="3" t="s">
        <v>75</v>
      </c>
      <c r="I914" s="3" t="s">
        <v>76</v>
      </c>
      <c r="J914" s="3" t="s">
        <v>77</v>
      </c>
      <c r="K914" s="3" t="s">
        <v>78</v>
      </c>
      <c r="L914" s="3" t="s">
        <v>171</v>
      </c>
      <c r="M914" s="3" t="s">
        <v>172</v>
      </c>
      <c r="N914" s="3" t="s">
        <v>454</v>
      </c>
      <c r="O914" s="3" t="s">
        <v>82</v>
      </c>
      <c r="P914" s="3" t="str">
        <f>"2170816896                    "</f>
        <v xml:space="preserve">2170816896                    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15.46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0</v>
      </c>
      <c r="BF914" s="3">
        <v>0</v>
      </c>
      <c r="BG914" s="3">
        <v>0</v>
      </c>
      <c r="BH914" s="3">
        <v>1</v>
      </c>
      <c r="BI914" s="3">
        <v>1</v>
      </c>
      <c r="BJ914" s="3">
        <v>0.2</v>
      </c>
      <c r="BK914" s="3">
        <v>1</v>
      </c>
      <c r="BL914" s="3">
        <v>59</v>
      </c>
      <c r="BM914" s="3">
        <v>8.85</v>
      </c>
      <c r="BN914" s="3">
        <v>67.849999999999994</v>
      </c>
      <c r="BO914" s="3">
        <v>67.849999999999994</v>
      </c>
      <c r="BQ914" s="3" t="s">
        <v>89</v>
      </c>
      <c r="BR914" s="3" t="s">
        <v>84</v>
      </c>
      <c r="BS914" s="4">
        <v>44579</v>
      </c>
      <c r="BT914" s="5">
        <v>0.47986111111111113</v>
      </c>
      <c r="BU914" s="3" t="s">
        <v>1155</v>
      </c>
      <c r="BV914" s="3" t="s">
        <v>87</v>
      </c>
      <c r="BW914" s="3" t="s">
        <v>457</v>
      </c>
      <c r="BX914" s="3" t="s">
        <v>458</v>
      </c>
      <c r="BY914" s="3">
        <v>1200</v>
      </c>
      <c r="CA914" s="3" t="s">
        <v>509</v>
      </c>
      <c r="CC914" s="3" t="s">
        <v>172</v>
      </c>
      <c r="CD914" s="3">
        <v>6001</v>
      </c>
      <c r="CE914" s="3" t="s">
        <v>93</v>
      </c>
      <c r="CF914" s="4">
        <v>44579</v>
      </c>
      <c r="CI914" s="3">
        <v>1</v>
      </c>
      <c r="CJ914" s="3">
        <v>1</v>
      </c>
      <c r="CK914" s="3">
        <v>21</v>
      </c>
      <c r="CL914" s="3" t="s">
        <v>87</v>
      </c>
    </row>
    <row r="915" spans="1:90" x14ac:dyDescent="0.2">
      <c r="A915" s="3" t="s">
        <v>72</v>
      </c>
      <c r="B915" s="3" t="s">
        <v>73</v>
      </c>
      <c r="C915" s="3" t="s">
        <v>74</v>
      </c>
      <c r="E915" s="3" t="str">
        <f>"FES1162845300"</f>
        <v>FES1162845300</v>
      </c>
      <c r="F915" s="4">
        <v>44578</v>
      </c>
      <c r="G915" s="3">
        <v>202207</v>
      </c>
      <c r="H915" s="3" t="s">
        <v>75</v>
      </c>
      <c r="I915" s="3" t="s">
        <v>76</v>
      </c>
      <c r="J915" s="3" t="s">
        <v>77</v>
      </c>
      <c r="K915" s="3" t="s">
        <v>78</v>
      </c>
      <c r="L915" s="3" t="s">
        <v>335</v>
      </c>
      <c r="M915" s="3" t="s">
        <v>336</v>
      </c>
      <c r="N915" s="3" t="s">
        <v>1197</v>
      </c>
      <c r="O915" s="3" t="s">
        <v>82</v>
      </c>
      <c r="P915" s="3" t="str">
        <f>"2170815948                    "</f>
        <v xml:space="preserve">2170815948                    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23.18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3">
        <v>1</v>
      </c>
      <c r="BI915" s="3">
        <v>3</v>
      </c>
      <c r="BJ915" s="3">
        <v>2</v>
      </c>
      <c r="BK915" s="3">
        <v>3</v>
      </c>
      <c r="BL915" s="3">
        <v>88.48</v>
      </c>
      <c r="BM915" s="3">
        <v>13.27</v>
      </c>
      <c r="BN915" s="3">
        <v>101.75</v>
      </c>
      <c r="BO915" s="3">
        <v>101.75</v>
      </c>
      <c r="BR915" s="3" t="s">
        <v>84</v>
      </c>
      <c r="BS915" s="4">
        <v>44579</v>
      </c>
      <c r="BT915" s="5">
        <v>0.43194444444444446</v>
      </c>
      <c r="BU915" s="3" t="s">
        <v>1198</v>
      </c>
      <c r="BV915" s="3" t="s">
        <v>105</v>
      </c>
      <c r="BY915" s="3">
        <v>9918</v>
      </c>
      <c r="CA915" s="3" t="s">
        <v>528</v>
      </c>
      <c r="CC915" s="3" t="s">
        <v>336</v>
      </c>
      <c r="CD915" s="3">
        <v>4133</v>
      </c>
      <c r="CE915" s="3" t="s">
        <v>86</v>
      </c>
      <c r="CF915" s="4">
        <v>44580</v>
      </c>
      <c r="CI915" s="3">
        <v>1</v>
      </c>
      <c r="CJ915" s="3">
        <v>1</v>
      </c>
      <c r="CK915" s="3">
        <v>21</v>
      </c>
      <c r="CL915" s="3" t="s">
        <v>87</v>
      </c>
    </row>
    <row r="916" spans="1:90" x14ac:dyDescent="0.2">
      <c r="A916" s="3" t="s">
        <v>72</v>
      </c>
      <c r="B916" s="3" t="s">
        <v>73</v>
      </c>
      <c r="C916" s="3" t="s">
        <v>74</v>
      </c>
      <c r="E916" s="3" t="str">
        <f>"FES1162845372"</f>
        <v>FES1162845372</v>
      </c>
      <c r="F916" s="4">
        <v>44578</v>
      </c>
      <c r="G916" s="3">
        <v>202207</v>
      </c>
      <c r="H916" s="3" t="s">
        <v>75</v>
      </c>
      <c r="I916" s="3" t="s">
        <v>76</v>
      </c>
      <c r="J916" s="3" t="s">
        <v>77</v>
      </c>
      <c r="K916" s="3" t="s">
        <v>78</v>
      </c>
      <c r="L916" s="3" t="s">
        <v>90</v>
      </c>
      <c r="M916" s="3" t="s">
        <v>91</v>
      </c>
      <c r="N916" s="3" t="s">
        <v>1159</v>
      </c>
      <c r="O916" s="3" t="s">
        <v>82</v>
      </c>
      <c r="P916" s="3" t="str">
        <f>"2170816727                    "</f>
        <v xml:space="preserve">2170816727                    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15.46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0</v>
      </c>
      <c r="BF916" s="3">
        <v>0</v>
      </c>
      <c r="BG916" s="3">
        <v>0</v>
      </c>
      <c r="BH916" s="3">
        <v>1</v>
      </c>
      <c r="BI916" s="3">
        <v>1</v>
      </c>
      <c r="BJ916" s="3">
        <v>0.2</v>
      </c>
      <c r="BK916" s="3">
        <v>1</v>
      </c>
      <c r="BL916" s="3">
        <v>59</v>
      </c>
      <c r="BM916" s="3">
        <v>8.85</v>
      </c>
      <c r="BN916" s="3">
        <v>67.849999999999994</v>
      </c>
      <c r="BO916" s="3">
        <v>67.849999999999994</v>
      </c>
      <c r="BQ916" s="3" t="s">
        <v>89</v>
      </c>
      <c r="BR916" s="3" t="s">
        <v>84</v>
      </c>
      <c r="BS916" s="4">
        <v>44579</v>
      </c>
      <c r="BT916" s="5">
        <v>0.41875000000000001</v>
      </c>
      <c r="BU916" s="3" t="s">
        <v>1324</v>
      </c>
      <c r="BV916" s="3" t="s">
        <v>105</v>
      </c>
      <c r="BY916" s="3">
        <v>1200</v>
      </c>
      <c r="CA916" s="3" t="s">
        <v>1046</v>
      </c>
      <c r="CC916" s="3" t="s">
        <v>91</v>
      </c>
      <c r="CD916" s="3">
        <v>7441</v>
      </c>
      <c r="CE916" s="3" t="s">
        <v>93</v>
      </c>
      <c r="CF916" s="4">
        <v>44580</v>
      </c>
      <c r="CI916" s="3">
        <v>1</v>
      </c>
      <c r="CJ916" s="3">
        <v>1</v>
      </c>
      <c r="CK916" s="3">
        <v>21</v>
      </c>
      <c r="CL916" s="3" t="s">
        <v>87</v>
      </c>
    </row>
    <row r="917" spans="1:90" x14ac:dyDescent="0.2">
      <c r="A917" s="3" t="s">
        <v>72</v>
      </c>
      <c r="B917" s="3" t="s">
        <v>73</v>
      </c>
      <c r="C917" s="3" t="s">
        <v>74</v>
      </c>
      <c r="E917" s="3" t="str">
        <f>"FES1162845339"</f>
        <v>FES1162845339</v>
      </c>
      <c r="F917" s="4">
        <v>44578</v>
      </c>
      <c r="G917" s="3">
        <v>202207</v>
      </c>
      <c r="H917" s="3" t="s">
        <v>75</v>
      </c>
      <c r="I917" s="3" t="s">
        <v>76</v>
      </c>
      <c r="J917" s="3" t="s">
        <v>77</v>
      </c>
      <c r="K917" s="3" t="s">
        <v>78</v>
      </c>
      <c r="L917" s="3" t="s">
        <v>110</v>
      </c>
      <c r="M917" s="3" t="s">
        <v>110</v>
      </c>
      <c r="N917" s="3" t="s">
        <v>1325</v>
      </c>
      <c r="O917" s="3" t="s">
        <v>82</v>
      </c>
      <c r="P917" s="3" t="str">
        <f>"2170816893                    "</f>
        <v xml:space="preserve">2170816893                    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29.95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3">
        <v>1</v>
      </c>
      <c r="BI917" s="3">
        <v>1</v>
      </c>
      <c r="BJ917" s="3">
        <v>0.9</v>
      </c>
      <c r="BK917" s="3">
        <v>1</v>
      </c>
      <c r="BL917" s="3">
        <v>114.31</v>
      </c>
      <c r="BM917" s="3">
        <v>17.149999999999999</v>
      </c>
      <c r="BN917" s="3">
        <v>131.46</v>
      </c>
      <c r="BO917" s="3">
        <v>131.46</v>
      </c>
      <c r="BQ917" s="3" t="s">
        <v>83</v>
      </c>
      <c r="BR917" s="3" t="s">
        <v>84</v>
      </c>
      <c r="BS917" s="4">
        <v>44579</v>
      </c>
      <c r="BT917" s="5">
        <v>0.40277777777777773</v>
      </c>
      <c r="BU917" s="3" t="s">
        <v>1326</v>
      </c>
      <c r="BV917" s="3" t="s">
        <v>105</v>
      </c>
      <c r="BY917" s="3">
        <v>4275</v>
      </c>
      <c r="CA917" s="3" t="s">
        <v>360</v>
      </c>
      <c r="CC917" s="3" t="s">
        <v>110</v>
      </c>
      <c r="CD917" s="3">
        <v>7646</v>
      </c>
      <c r="CE917" s="3" t="s">
        <v>86</v>
      </c>
      <c r="CF917" s="4">
        <v>44580</v>
      </c>
      <c r="CI917" s="3">
        <v>1</v>
      </c>
      <c r="CJ917" s="3">
        <v>1</v>
      </c>
      <c r="CK917" s="3">
        <v>23</v>
      </c>
      <c r="CL917" s="3" t="s">
        <v>87</v>
      </c>
    </row>
    <row r="918" spans="1:90" x14ac:dyDescent="0.2">
      <c r="A918" s="3" t="s">
        <v>72</v>
      </c>
      <c r="B918" s="3" t="s">
        <v>73</v>
      </c>
      <c r="C918" s="3" t="s">
        <v>74</v>
      </c>
      <c r="E918" s="3" t="str">
        <f>"FES1162845337"</f>
        <v>FES1162845337</v>
      </c>
      <c r="F918" s="4">
        <v>44578</v>
      </c>
      <c r="G918" s="3">
        <v>202207</v>
      </c>
      <c r="H918" s="3" t="s">
        <v>75</v>
      </c>
      <c r="I918" s="3" t="s">
        <v>76</v>
      </c>
      <c r="J918" s="3" t="s">
        <v>77</v>
      </c>
      <c r="K918" s="3" t="s">
        <v>78</v>
      </c>
      <c r="L918" s="3" t="s">
        <v>101</v>
      </c>
      <c r="M918" s="3" t="s">
        <v>102</v>
      </c>
      <c r="N918" s="3" t="s">
        <v>272</v>
      </c>
      <c r="O918" s="3" t="s">
        <v>82</v>
      </c>
      <c r="P918" s="3" t="str">
        <f>"2170816891                    "</f>
        <v xml:space="preserve">2170816891                    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15.46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1</v>
      </c>
      <c r="BI918" s="3">
        <v>1</v>
      </c>
      <c r="BJ918" s="3">
        <v>0.2</v>
      </c>
      <c r="BK918" s="3">
        <v>1</v>
      </c>
      <c r="BL918" s="3">
        <v>59</v>
      </c>
      <c r="BM918" s="3">
        <v>8.85</v>
      </c>
      <c r="BN918" s="3">
        <v>67.849999999999994</v>
      </c>
      <c r="BO918" s="3">
        <v>67.849999999999994</v>
      </c>
      <c r="BQ918" s="3" t="s">
        <v>273</v>
      </c>
      <c r="BR918" s="3" t="s">
        <v>84</v>
      </c>
      <c r="BS918" s="4">
        <v>44579</v>
      </c>
      <c r="BT918" s="5">
        <v>0.36180555555555555</v>
      </c>
      <c r="BU918" s="3" t="s">
        <v>274</v>
      </c>
      <c r="BV918" s="3" t="s">
        <v>105</v>
      </c>
      <c r="BY918" s="3">
        <v>1200</v>
      </c>
      <c r="CA918" s="3" t="s">
        <v>275</v>
      </c>
      <c r="CC918" s="3" t="s">
        <v>102</v>
      </c>
      <c r="CD918" s="3">
        <v>4000</v>
      </c>
      <c r="CE918" s="3" t="s">
        <v>93</v>
      </c>
      <c r="CF918" s="4">
        <v>44580</v>
      </c>
      <c r="CI918" s="3">
        <v>1</v>
      </c>
      <c r="CJ918" s="3">
        <v>1</v>
      </c>
      <c r="CK918" s="3">
        <v>21</v>
      </c>
      <c r="CL918" s="3" t="s">
        <v>87</v>
      </c>
    </row>
    <row r="919" spans="1:90" x14ac:dyDescent="0.2">
      <c r="A919" s="3" t="s">
        <v>72</v>
      </c>
      <c r="B919" s="3" t="s">
        <v>73</v>
      </c>
      <c r="C919" s="3" t="s">
        <v>74</v>
      </c>
      <c r="E919" s="3" t="str">
        <f>"FES1162845381"</f>
        <v>FES1162845381</v>
      </c>
      <c r="F919" s="4">
        <v>44578</v>
      </c>
      <c r="G919" s="3">
        <v>202207</v>
      </c>
      <c r="H919" s="3" t="s">
        <v>75</v>
      </c>
      <c r="I919" s="3" t="s">
        <v>76</v>
      </c>
      <c r="J919" s="3" t="s">
        <v>77</v>
      </c>
      <c r="K919" s="3" t="s">
        <v>78</v>
      </c>
      <c r="L919" s="3" t="s">
        <v>90</v>
      </c>
      <c r="M919" s="3" t="s">
        <v>91</v>
      </c>
      <c r="N919" s="3" t="s">
        <v>157</v>
      </c>
      <c r="O919" s="3" t="s">
        <v>82</v>
      </c>
      <c r="P919" s="3" t="str">
        <f>"2170816906                    "</f>
        <v xml:space="preserve">2170816906                    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15.46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0</v>
      </c>
      <c r="BG919" s="3">
        <v>0</v>
      </c>
      <c r="BH919" s="3">
        <v>1</v>
      </c>
      <c r="BI919" s="3">
        <v>2</v>
      </c>
      <c r="BJ919" s="3">
        <v>2</v>
      </c>
      <c r="BK919" s="3">
        <v>2</v>
      </c>
      <c r="BL919" s="3">
        <v>59</v>
      </c>
      <c r="BM919" s="3">
        <v>8.85</v>
      </c>
      <c r="BN919" s="3">
        <v>67.849999999999994</v>
      </c>
      <c r="BO919" s="3">
        <v>67.849999999999994</v>
      </c>
      <c r="BQ919" s="3" t="s">
        <v>89</v>
      </c>
      <c r="BR919" s="3" t="s">
        <v>84</v>
      </c>
      <c r="BS919" s="4">
        <v>44579</v>
      </c>
      <c r="BT919" s="5">
        <v>0.51458333333333328</v>
      </c>
      <c r="BU919" s="3" t="s">
        <v>693</v>
      </c>
      <c r="BV919" s="3" t="s">
        <v>87</v>
      </c>
      <c r="BW919" s="3" t="s">
        <v>353</v>
      </c>
      <c r="BX919" s="3" t="s">
        <v>354</v>
      </c>
      <c r="BY919" s="3">
        <v>9918</v>
      </c>
      <c r="CA919" s="3" t="s">
        <v>1046</v>
      </c>
      <c r="CC919" s="3" t="s">
        <v>91</v>
      </c>
      <c r="CD919" s="3">
        <v>7441</v>
      </c>
      <c r="CE919" s="3" t="s">
        <v>86</v>
      </c>
      <c r="CF919" s="4">
        <v>44580</v>
      </c>
      <c r="CI919" s="3">
        <v>1</v>
      </c>
      <c r="CJ919" s="3">
        <v>1</v>
      </c>
      <c r="CK919" s="3">
        <v>21</v>
      </c>
      <c r="CL919" s="3" t="s">
        <v>87</v>
      </c>
    </row>
    <row r="920" spans="1:90" x14ac:dyDescent="0.2">
      <c r="A920" s="3" t="s">
        <v>72</v>
      </c>
      <c r="B920" s="3" t="s">
        <v>73</v>
      </c>
      <c r="C920" s="3" t="s">
        <v>74</v>
      </c>
      <c r="E920" s="3" t="str">
        <f>"FES1162845357"</f>
        <v>FES1162845357</v>
      </c>
      <c r="F920" s="4">
        <v>44578</v>
      </c>
      <c r="G920" s="3">
        <v>202207</v>
      </c>
      <c r="H920" s="3" t="s">
        <v>75</v>
      </c>
      <c r="I920" s="3" t="s">
        <v>76</v>
      </c>
      <c r="J920" s="3" t="s">
        <v>77</v>
      </c>
      <c r="K920" s="3" t="s">
        <v>78</v>
      </c>
      <c r="L920" s="3" t="s">
        <v>120</v>
      </c>
      <c r="M920" s="3" t="s">
        <v>121</v>
      </c>
      <c r="N920" s="3" t="s">
        <v>122</v>
      </c>
      <c r="O920" s="3" t="s">
        <v>82</v>
      </c>
      <c r="P920" s="3" t="str">
        <f>"2170816064                    "</f>
        <v xml:space="preserve">2170816064                    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15.46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0</v>
      </c>
      <c r="AZ920" s="3">
        <v>0</v>
      </c>
      <c r="BA920" s="3">
        <v>0</v>
      </c>
      <c r="BB920" s="3">
        <v>0</v>
      </c>
      <c r="BC920" s="3">
        <v>0</v>
      </c>
      <c r="BD920" s="3">
        <v>0</v>
      </c>
      <c r="BE920" s="3">
        <v>0</v>
      </c>
      <c r="BF920" s="3">
        <v>0</v>
      </c>
      <c r="BG920" s="3">
        <v>0</v>
      </c>
      <c r="BH920" s="3">
        <v>1</v>
      </c>
      <c r="BI920" s="3">
        <v>1</v>
      </c>
      <c r="BJ920" s="3">
        <v>0.2</v>
      </c>
      <c r="BK920" s="3">
        <v>1</v>
      </c>
      <c r="BL920" s="3">
        <v>59</v>
      </c>
      <c r="BM920" s="3">
        <v>8.85</v>
      </c>
      <c r="BN920" s="3">
        <v>67.849999999999994</v>
      </c>
      <c r="BO920" s="3">
        <v>67.849999999999994</v>
      </c>
      <c r="BQ920" s="3" t="s">
        <v>89</v>
      </c>
      <c r="BR920" s="3" t="s">
        <v>84</v>
      </c>
      <c r="BS920" s="4">
        <v>44579</v>
      </c>
      <c r="BT920" s="5">
        <v>0.55972222222222223</v>
      </c>
      <c r="BU920" s="3" t="s">
        <v>1327</v>
      </c>
      <c r="BV920" s="3" t="s">
        <v>87</v>
      </c>
      <c r="BW920" s="3" t="s">
        <v>457</v>
      </c>
      <c r="BX920" s="3" t="s">
        <v>486</v>
      </c>
      <c r="BY920" s="3">
        <v>1200</v>
      </c>
      <c r="CA920" s="3" t="s">
        <v>553</v>
      </c>
      <c r="CC920" s="3" t="s">
        <v>121</v>
      </c>
      <c r="CD920" s="3">
        <v>6230</v>
      </c>
      <c r="CE920" s="3" t="s">
        <v>93</v>
      </c>
      <c r="CF920" s="4">
        <v>44579</v>
      </c>
      <c r="CI920" s="3">
        <v>1</v>
      </c>
      <c r="CJ920" s="3">
        <v>1</v>
      </c>
      <c r="CK920" s="3">
        <v>21</v>
      </c>
      <c r="CL920" s="3" t="s">
        <v>87</v>
      </c>
    </row>
    <row r="921" spans="1:90" x14ac:dyDescent="0.2">
      <c r="A921" s="3" t="s">
        <v>72</v>
      </c>
      <c r="B921" s="3" t="s">
        <v>73</v>
      </c>
      <c r="C921" s="3" t="s">
        <v>74</v>
      </c>
      <c r="E921" s="3" t="str">
        <f>"FES1162845321"</f>
        <v>FES1162845321</v>
      </c>
      <c r="F921" s="4">
        <v>44578</v>
      </c>
      <c r="G921" s="3">
        <v>202207</v>
      </c>
      <c r="H921" s="3" t="s">
        <v>75</v>
      </c>
      <c r="I921" s="3" t="s">
        <v>76</v>
      </c>
      <c r="J921" s="3" t="s">
        <v>77</v>
      </c>
      <c r="K921" s="3" t="s">
        <v>78</v>
      </c>
      <c r="L921" s="3" t="s">
        <v>75</v>
      </c>
      <c r="M921" s="3" t="s">
        <v>76</v>
      </c>
      <c r="N921" s="3" t="s">
        <v>1328</v>
      </c>
      <c r="O921" s="3" t="s">
        <v>82</v>
      </c>
      <c r="P921" s="3" t="str">
        <f>"2170816876                    "</f>
        <v xml:space="preserve">2170816876                    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12.07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3">
        <v>1</v>
      </c>
      <c r="BI921" s="3">
        <v>4</v>
      </c>
      <c r="BJ921" s="3">
        <v>2</v>
      </c>
      <c r="BK921" s="3">
        <v>4</v>
      </c>
      <c r="BL921" s="3">
        <v>46.08</v>
      </c>
      <c r="BM921" s="3">
        <v>6.91</v>
      </c>
      <c r="BN921" s="3">
        <v>52.99</v>
      </c>
      <c r="BO921" s="3">
        <v>52.99</v>
      </c>
      <c r="BQ921" s="3" t="s">
        <v>83</v>
      </c>
      <c r="BR921" s="3" t="s">
        <v>84</v>
      </c>
      <c r="BS921" s="4">
        <v>44579</v>
      </c>
      <c r="BT921" s="5">
        <v>0.41666666666666669</v>
      </c>
      <c r="BU921" s="3" t="s">
        <v>1329</v>
      </c>
      <c r="BV921" s="3" t="s">
        <v>105</v>
      </c>
      <c r="BY921" s="3">
        <v>9918</v>
      </c>
      <c r="CA921" s="3" t="s">
        <v>328</v>
      </c>
      <c r="CC921" s="3" t="s">
        <v>76</v>
      </c>
      <c r="CD921" s="3">
        <v>1624</v>
      </c>
      <c r="CE921" s="3" t="s">
        <v>86</v>
      </c>
      <c r="CF921" s="4">
        <v>44579</v>
      </c>
      <c r="CI921" s="3">
        <v>1</v>
      </c>
      <c r="CJ921" s="3">
        <v>1</v>
      </c>
      <c r="CK921" s="3">
        <v>22</v>
      </c>
      <c r="CL921" s="3" t="s">
        <v>87</v>
      </c>
    </row>
    <row r="922" spans="1:90" x14ac:dyDescent="0.2">
      <c r="A922" s="3" t="s">
        <v>72</v>
      </c>
      <c r="B922" s="3" t="s">
        <v>73</v>
      </c>
      <c r="C922" s="3" t="s">
        <v>74</v>
      </c>
      <c r="E922" s="3" t="str">
        <f>"FES1162845308"</f>
        <v>FES1162845308</v>
      </c>
      <c r="F922" s="4">
        <v>44578</v>
      </c>
      <c r="G922" s="3">
        <v>202207</v>
      </c>
      <c r="H922" s="3" t="s">
        <v>75</v>
      </c>
      <c r="I922" s="3" t="s">
        <v>76</v>
      </c>
      <c r="J922" s="3" t="s">
        <v>77</v>
      </c>
      <c r="K922" s="3" t="s">
        <v>78</v>
      </c>
      <c r="L922" s="3" t="s">
        <v>171</v>
      </c>
      <c r="M922" s="3" t="s">
        <v>172</v>
      </c>
      <c r="N922" s="3" t="s">
        <v>329</v>
      </c>
      <c r="O922" s="3" t="s">
        <v>82</v>
      </c>
      <c r="P922" s="3" t="str">
        <f>"2170816856                    "</f>
        <v xml:space="preserve">2170816856                    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15.46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0</v>
      </c>
      <c r="BF922" s="3">
        <v>0</v>
      </c>
      <c r="BG922" s="3">
        <v>0</v>
      </c>
      <c r="BH922" s="3">
        <v>1</v>
      </c>
      <c r="BI922" s="3">
        <v>1</v>
      </c>
      <c r="BJ922" s="3">
        <v>0.2</v>
      </c>
      <c r="BK922" s="3">
        <v>1</v>
      </c>
      <c r="BL922" s="3">
        <v>59</v>
      </c>
      <c r="BM922" s="3">
        <v>8.85</v>
      </c>
      <c r="BN922" s="3">
        <v>67.849999999999994</v>
      </c>
      <c r="BO922" s="3">
        <v>67.849999999999994</v>
      </c>
      <c r="BQ922" s="3" t="s">
        <v>83</v>
      </c>
      <c r="BR922" s="3" t="s">
        <v>84</v>
      </c>
      <c r="BS922" s="4">
        <v>44579</v>
      </c>
      <c r="BT922" s="5">
        <v>0.51250000000000007</v>
      </c>
      <c r="BU922" s="3" t="s">
        <v>330</v>
      </c>
      <c r="BV922" s="3" t="s">
        <v>87</v>
      </c>
      <c r="BW922" s="3" t="s">
        <v>457</v>
      </c>
      <c r="BX922" s="3" t="s">
        <v>458</v>
      </c>
      <c r="BY922" s="3">
        <v>1200</v>
      </c>
      <c r="CA922" s="3" t="s">
        <v>331</v>
      </c>
      <c r="CC922" s="3" t="s">
        <v>172</v>
      </c>
      <c r="CD922" s="3">
        <v>6001</v>
      </c>
      <c r="CE922" s="3" t="s">
        <v>93</v>
      </c>
      <c r="CF922" s="4">
        <v>44579</v>
      </c>
      <c r="CI922" s="3">
        <v>1</v>
      </c>
      <c r="CJ922" s="3">
        <v>1</v>
      </c>
      <c r="CK922" s="3">
        <v>21</v>
      </c>
      <c r="CL922" s="3" t="s">
        <v>87</v>
      </c>
    </row>
    <row r="923" spans="1:90" x14ac:dyDescent="0.2">
      <c r="A923" s="3" t="s">
        <v>72</v>
      </c>
      <c r="B923" s="3" t="s">
        <v>73</v>
      </c>
      <c r="C923" s="3" t="s">
        <v>74</v>
      </c>
      <c r="E923" s="3" t="str">
        <f>"FES1162845318"</f>
        <v>FES1162845318</v>
      </c>
      <c r="F923" s="4">
        <v>44578</v>
      </c>
      <c r="G923" s="3">
        <v>202207</v>
      </c>
      <c r="H923" s="3" t="s">
        <v>75</v>
      </c>
      <c r="I923" s="3" t="s">
        <v>76</v>
      </c>
      <c r="J923" s="3" t="s">
        <v>77</v>
      </c>
      <c r="K923" s="3" t="s">
        <v>78</v>
      </c>
      <c r="L923" s="3" t="s">
        <v>138</v>
      </c>
      <c r="M923" s="3" t="s">
        <v>139</v>
      </c>
      <c r="N923" s="3" t="s">
        <v>621</v>
      </c>
      <c r="O923" s="3" t="s">
        <v>82</v>
      </c>
      <c r="P923" s="3" t="str">
        <f>"2170816873                    "</f>
        <v xml:space="preserve">2170816873                    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0</v>
      </c>
      <c r="AJ923" s="3">
        <v>0</v>
      </c>
      <c r="AK923" s="3">
        <v>15.46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1</v>
      </c>
      <c r="BI923" s="3">
        <v>1</v>
      </c>
      <c r="BJ923" s="3">
        <v>0.2</v>
      </c>
      <c r="BK923" s="3">
        <v>1</v>
      </c>
      <c r="BL923" s="3">
        <v>59</v>
      </c>
      <c r="BM923" s="3">
        <v>8.85</v>
      </c>
      <c r="BN923" s="3">
        <v>67.849999999999994</v>
      </c>
      <c r="BO923" s="3">
        <v>67.849999999999994</v>
      </c>
      <c r="BQ923" s="3" t="s">
        <v>83</v>
      </c>
      <c r="BR923" s="3" t="s">
        <v>84</v>
      </c>
      <c r="BS923" s="4">
        <v>44579</v>
      </c>
      <c r="BT923" s="5">
        <v>0.40277777777777773</v>
      </c>
      <c r="BU923" s="3" t="s">
        <v>1330</v>
      </c>
      <c r="BV923" s="3" t="s">
        <v>105</v>
      </c>
      <c r="BY923" s="3">
        <v>1200</v>
      </c>
      <c r="CA923" s="3" t="s">
        <v>303</v>
      </c>
      <c r="CC923" s="3" t="s">
        <v>139</v>
      </c>
      <c r="CD923" s="3">
        <v>3610</v>
      </c>
      <c r="CE923" s="3" t="s">
        <v>93</v>
      </c>
      <c r="CF923" s="4">
        <v>44580</v>
      </c>
      <c r="CI923" s="3">
        <v>1</v>
      </c>
      <c r="CJ923" s="3">
        <v>1</v>
      </c>
      <c r="CK923" s="3">
        <v>21</v>
      </c>
      <c r="CL923" s="3" t="s">
        <v>87</v>
      </c>
    </row>
    <row r="924" spans="1:90" x14ac:dyDescent="0.2">
      <c r="A924" s="3" t="s">
        <v>72</v>
      </c>
      <c r="B924" s="3" t="s">
        <v>73</v>
      </c>
      <c r="C924" s="3" t="s">
        <v>74</v>
      </c>
      <c r="E924" s="3" t="str">
        <f>"FES1162845394"</f>
        <v>FES1162845394</v>
      </c>
      <c r="F924" s="4">
        <v>44578</v>
      </c>
      <c r="G924" s="3">
        <v>202207</v>
      </c>
      <c r="H924" s="3" t="s">
        <v>75</v>
      </c>
      <c r="I924" s="3" t="s">
        <v>76</v>
      </c>
      <c r="J924" s="3" t="s">
        <v>77</v>
      </c>
      <c r="K924" s="3" t="s">
        <v>78</v>
      </c>
      <c r="L924" s="3" t="s">
        <v>1331</v>
      </c>
      <c r="M924" s="3" t="s">
        <v>1332</v>
      </c>
      <c r="N924" s="3" t="s">
        <v>1333</v>
      </c>
      <c r="O924" s="3" t="s">
        <v>82</v>
      </c>
      <c r="P924" s="3" t="str">
        <f>"2170816922                    "</f>
        <v xml:space="preserve">2170816922                    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29.95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v>0</v>
      </c>
      <c r="BA924" s="3">
        <v>0</v>
      </c>
      <c r="BB924" s="3">
        <v>0</v>
      </c>
      <c r="BC924" s="3">
        <v>0</v>
      </c>
      <c r="BD924" s="3">
        <v>0</v>
      </c>
      <c r="BE924" s="3">
        <v>0</v>
      </c>
      <c r="BF924" s="3">
        <v>0</v>
      </c>
      <c r="BG924" s="3">
        <v>0</v>
      </c>
      <c r="BH924" s="3">
        <v>1</v>
      </c>
      <c r="BI924" s="3">
        <v>1</v>
      </c>
      <c r="BJ924" s="3">
        <v>0.2</v>
      </c>
      <c r="BK924" s="3">
        <v>1</v>
      </c>
      <c r="BL924" s="3">
        <v>114.31</v>
      </c>
      <c r="BM924" s="3">
        <v>17.149999999999999</v>
      </c>
      <c r="BN924" s="3">
        <v>131.46</v>
      </c>
      <c r="BO924" s="3">
        <v>131.46</v>
      </c>
      <c r="BQ924" s="3" t="s">
        <v>128</v>
      </c>
      <c r="BR924" s="3" t="s">
        <v>84</v>
      </c>
      <c r="BS924" s="4">
        <v>44580</v>
      </c>
      <c r="BT924" s="5">
        <v>0.43541666666666662</v>
      </c>
      <c r="BU924" s="3" t="s">
        <v>1334</v>
      </c>
      <c r="BV924" s="3" t="s">
        <v>87</v>
      </c>
      <c r="BW924" s="3" t="s">
        <v>453</v>
      </c>
      <c r="BX924" s="3" t="s">
        <v>1335</v>
      </c>
      <c r="BY924" s="3">
        <v>1200</v>
      </c>
      <c r="CA924" s="3" t="s">
        <v>1336</v>
      </c>
      <c r="CC924" s="3" t="s">
        <v>1332</v>
      </c>
      <c r="CD924" s="3">
        <v>2940</v>
      </c>
      <c r="CE924" s="3" t="s">
        <v>93</v>
      </c>
      <c r="CF924" s="4">
        <v>44580</v>
      </c>
      <c r="CI924" s="3">
        <v>1</v>
      </c>
      <c r="CJ924" s="3">
        <v>2</v>
      </c>
      <c r="CK924" s="3">
        <v>23</v>
      </c>
      <c r="CL924" s="3" t="s">
        <v>87</v>
      </c>
    </row>
    <row r="925" spans="1:90" x14ac:dyDescent="0.2">
      <c r="A925" s="3" t="s">
        <v>72</v>
      </c>
      <c r="B925" s="3" t="s">
        <v>73</v>
      </c>
      <c r="C925" s="3" t="s">
        <v>74</v>
      </c>
      <c r="E925" s="3" t="str">
        <f>"FES1162845320"</f>
        <v>FES1162845320</v>
      </c>
      <c r="F925" s="4">
        <v>44578</v>
      </c>
      <c r="G925" s="3">
        <v>202207</v>
      </c>
      <c r="H925" s="3" t="s">
        <v>75</v>
      </c>
      <c r="I925" s="3" t="s">
        <v>76</v>
      </c>
      <c r="J925" s="3" t="s">
        <v>77</v>
      </c>
      <c r="K925" s="3" t="s">
        <v>78</v>
      </c>
      <c r="L925" s="3" t="s">
        <v>241</v>
      </c>
      <c r="M925" s="3" t="s">
        <v>242</v>
      </c>
      <c r="N925" s="3" t="s">
        <v>910</v>
      </c>
      <c r="O925" s="3" t="s">
        <v>82</v>
      </c>
      <c r="P925" s="3" t="str">
        <f>"2170816875                    "</f>
        <v xml:space="preserve">2170816875                    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15.46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0</v>
      </c>
      <c r="BF925" s="3">
        <v>0</v>
      </c>
      <c r="BG925" s="3">
        <v>0</v>
      </c>
      <c r="BH925" s="3">
        <v>1</v>
      </c>
      <c r="BI925" s="3">
        <v>1</v>
      </c>
      <c r="BJ925" s="3">
        <v>0.2</v>
      </c>
      <c r="BK925" s="3">
        <v>1</v>
      </c>
      <c r="BL925" s="3">
        <v>59</v>
      </c>
      <c r="BM925" s="3">
        <v>8.85</v>
      </c>
      <c r="BN925" s="3">
        <v>67.849999999999994</v>
      </c>
      <c r="BO925" s="3">
        <v>67.849999999999994</v>
      </c>
      <c r="BQ925" s="3" t="s">
        <v>83</v>
      </c>
      <c r="BR925" s="3" t="s">
        <v>84</v>
      </c>
      <c r="BS925" s="4">
        <v>44579</v>
      </c>
      <c r="BT925" s="5">
        <v>0.39166666666666666</v>
      </c>
      <c r="BU925" s="3" t="s">
        <v>1337</v>
      </c>
      <c r="BV925" s="3" t="s">
        <v>105</v>
      </c>
      <c r="BY925" s="3">
        <v>1200</v>
      </c>
      <c r="CA925" s="3" t="s">
        <v>389</v>
      </c>
      <c r="CC925" s="3" t="s">
        <v>242</v>
      </c>
      <c r="CD925" s="3">
        <v>7599</v>
      </c>
      <c r="CE925" s="3" t="s">
        <v>93</v>
      </c>
      <c r="CF925" s="4">
        <v>44580</v>
      </c>
      <c r="CI925" s="3">
        <v>1</v>
      </c>
      <c r="CJ925" s="3">
        <v>1</v>
      </c>
      <c r="CK925" s="3">
        <v>21</v>
      </c>
      <c r="CL925" s="3" t="s">
        <v>87</v>
      </c>
    </row>
    <row r="926" spans="1:90" x14ac:dyDescent="0.2">
      <c r="A926" s="3" t="s">
        <v>72</v>
      </c>
      <c r="B926" s="3" t="s">
        <v>73</v>
      </c>
      <c r="C926" s="3" t="s">
        <v>74</v>
      </c>
      <c r="E926" s="3" t="str">
        <f>"FES1162845410"</f>
        <v>FES1162845410</v>
      </c>
      <c r="F926" s="4">
        <v>44578</v>
      </c>
      <c r="G926" s="3">
        <v>202207</v>
      </c>
      <c r="H926" s="3" t="s">
        <v>75</v>
      </c>
      <c r="I926" s="3" t="s">
        <v>76</v>
      </c>
      <c r="J926" s="3" t="s">
        <v>77</v>
      </c>
      <c r="K926" s="3" t="s">
        <v>78</v>
      </c>
      <c r="L926" s="3" t="s">
        <v>1338</v>
      </c>
      <c r="M926" s="3" t="s">
        <v>1339</v>
      </c>
      <c r="N926" s="3" t="s">
        <v>1340</v>
      </c>
      <c r="O926" s="3" t="s">
        <v>82</v>
      </c>
      <c r="P926" s="3" t="str">
        <f>"2170816926                    "</f>
        <v xml:space="preserve">2170816926                    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29.95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v>0</v>
      </c>
      <c r="BA926" s="3">
        <v>0</v>
      </c>
      <c r="BB926" s="3">
        <v>0</v>
      </c>
      <c r="BC926" s="3">
        <v>0</v>
      </c>
      <c r="BD926" s="3">
        <v>0</v>
      </c>
      <c r="BE926" s="3">
        <v>0</v>
      </c>
      <c r="BF926" s="3">
        <v>0</v>
      </c>
      <c r="BG926" s="3">
        <v>0</v>
      </c>
      <c r="BH926" s="3">
        <v>1</v>
      </c>
      <c r="BI926" s="3">
        <v>1</v>
      </c>
      <c r="BJ926" s="3">
        <v>0.2</v>
      </c>
      <c r="BK926" s="3">
        <v>1</v>
      </c>
      <c r="BL926" s="3">
        <v>114.31</v>
      </c>
      <c r="BM926" s="3">
        <v>17.149999999999999</v>
      </c>
      <c r="BN926" s="3">
        <v>131.46</v>
      </c>
      <c r="BO926" s="3">
        <v>131.46</v>
      </c>
      <c r="BQ926" s="3" t="s">
        <v>89</v>
      </c>
      <c r="BR926" s="3" t="s">
        <v>84</v>
      </c>
      <c r="BS926" s="4">
        <v>44579</v>
      </c>
      <c r="BT926" s="5">
        <v>0.47083333333333338</v>
      </c>
      <c r="BU926" s="3" t="s">
        <v>1341</v>
      </c>
      <c r="BV926" s="3" t="s">
        <v>105</v>
      </c>
      <c r="BY926" s="3">
        <v>1200</v>
      </c>
      <c r="CA926" s="3" t="s">
        <v>1342</v>
      </c>
      <c r="CC926" s="3" t="s">
        <v>1339</v>
      </c>
      <c r="CD926" s="3">
        <v>2531</v>
      </c>
      <c r="CE926" s="3" t="s">
        <v>93</v>
      </c>
      <c r="CF926" s="4">
        <v>44580</v>
      </c>
      <c r="CI926" s="3">
        <v>1</v>
      </c>
      <c r="CJ926" s="3">
        <v>1</v>
      </c>
      <c r="CK926" s="3">
        <v>23</v>
      </c>
      <c r="CL926" s="3" t="s">
        <v>87</v>
      </c>
    </row>
    <row r="927" spans="1:90" x14ac:dyDescent="0.2">
      <c r="A927" s="3" t="s">
        <v>72</v>
      </c>
      <c r="B927" s="3" t="s">
        <v>73</v>
      </c>
      <c r="C927" s="3" t="s">
        <v>74</v>
      </c>
      <c r="E927" s="3" t="str">
        <f>"FES1162845302"</f>
        <v>FES1162845302</v>
      </c>
      <c r="F927" s="4">
        <v>44578</v>
      </c>
      <c r="G927" s="3">
        <v>202207</v>
      </c>
      <c r="H927" s="3" t="s">
        <v>75</v>
      </c>
      <c r="I927" s="3" t="s">
        <v>76</v>
      </c>
      <c r="J927" s="3" t="s">
        <v>77</v>
      </c>
      <c r="K927" s="3" t="s">
        <v>78</v>
      </c>
      <c r="L927" s="3" t="s">
        <v>167</v>
      </c>
      <c r="M927" s="3" t="s">
        <v>168</v>
      </c>
      <c r="N927" s="3" t="s">
        <v>1343</v>
      </c>
      <c r="O927" s="3" t="s">
        <v>82</v>
      </c>
      <c r="P927" s="3" t="str">
        <f>"2170816444                    "</f>
        <v xml:space="preserve">2170816444                    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15.46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v>0</v>
      </c>
      <c r="BA927" s="3">
        <v>0</v>
      </c>
      <c r="BB927" s="3">
        <v>0</v>
      </c>
      <c r="BC927" s="3">
        <v>0</v>
      </c>
      <c r="BD927" s="3">
        <v>0</v>
      </c>
      <c r="BE927" s="3">
        <v>0</v>
      </c>
      <c r="BF927" s="3">
        <v>0</v>
      </c>
      <c r="BG927" s="3">
        <v>0</v>
      </c>
      <c r="BH927" s="3">
        <v>1</v>
      </c>
      <c r="BI927" s="3">
        <v>1</v>
      </c>
      <c r="BJ927" s="3">
        <v>0.2</v>
      </c>
      <c r="BK927" s="3">
        <v>1</v>
      </c>
      <c r="BL927" s="3">
        <v>59</v>
      </c>
      <c r="BM927" s="3">
        <v>8.85</v>
      </c>
      <c r="BN927" s="3">
        <v>67.849999999999994</v>
      </c>
      <c r="BO927" s="3">
        <v>67.849999999999994</v>
      </c>
      <c r="BQ927" s="3" t="s">
        <v>83</v>
      </c>
      <c r="BR927" s="3" t="s">
        <v>84</v>
      </c>
      <c r="BS927" s="4">
        <v>44579</v>
      </c>
      <c r="BT927" s="5">
        <v>0.4861111111111111</v>
      </c>
      <c r="BU927" s="3" t="s">
        <v>1344</v>
      </c>
      <c r="BV927" s="3" t="s">
        <v>87</v>
      </c>
      <c r="BW927" s="3" t="s">
        <v>457</v>
      </c>
      <c r="BX927" s="3" t="s">
        <v>458</v>
      </c>
      <c r="BY927" s="3">
        <v>1200</v>
      </c>
      <c r="CA927" s="3" t="s">
        <v>263</v>
      </c>
      <c r="CC927" s="3" t="s">
        <v>168</v>
      </c>
      <c r="CD927" s="3">
        <v>6220</v>
      </c>
      <c r="CE927" s="3" t="s">
        <v>93</v>
      </c>
      <c r="CF927" s="4">
        <v>44579</v>
      </c>
      <c r="CI927" s="3">
        <v>1</v>
      </c>
      <c r="CJ927" s="3">
        <v>1</v>
      </c>
      <c r="CK927" s="3">
        <v>21</v>
      </c>
      <c r="CL927" s="3" t="s">
        <v>87</v>
      </c>
    </row>
    <row r="928" spans="1:90" x14ac:dyDescent="0.2">
      <c r="A928" s="3" t="s">
        <v>72</v>
      </c>
      <c r="B928" s="3" t="s">
        <v>73</v>
      </c>
      <c r="C928" s="3" t="s">
        <v>74</v>
      </c>
      <c r="E928" s="3" t="str">
        <f>"FES1162845374"</f>
        <v>FES1162845374</v>
      </c>
      <c r="F928" s="4">
        <v>44578</v>
      </c>
      <c r="G928" s="3">
        <v>202207</v>
      </c>
      <c r="H928" s="3" t="s">
        <v>75</v>
      </c>
      <c r="I928" s="3" t="s">
        <v>76</v>
      </c>
      <c r="J928" s="3" t="s">
        <v>77</v>
      </c>
      <c r="K928" s="3" t="s">
        <v>78</v>
      </c>
      <c r="L928" s="3" t="s">
        <v>218</v>
      </c>
      <c r="M928" s="3" t="s">
        <v>219</v>
      </c>
      <c r="N928" s="3" t="s">
        <v>1345</v>
      </c>
      <c r="O928" s="3" t="s">
        <v>82</v>
      </c>
      <c r="P928" s="3" t="str">
        <f>"2170816899.                   "</f>
        <v xml:space="preserve">2170816899.                   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15.46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v>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3">
        <v>1</v>
      </c>
      <c r="BI928" s="3">
        <v>1</v>
      </c>
      <c r="BJ928" s="3">
        <v>0.2</v>
      </c>
      <c r="BK928" s="3">
        <v>1</v>
      </c>
      <c r="BL928" s="3">
        <v>59</v>
      </c>
      <c r="BM928" s="3">
        <v>8.85</v>
      </c>
      <c r="BN928" s="3">
        <v>67.849999999999994</v>
      </c>
      <c r="BO928" s="3">
        <v>67.849999999999994</v>
      </c>
      <c r="BQ928" s="3" t="s">
        <v>83</v>
      </c>
      <c r="BR928" s="3" t="s">
        <v>84</v>
      </c>
      <c r="BS928" s="4">
        <v>44579</v>
      </c>
      <c r="BT928" s="5">
        <v>0.34375</v>
      </c>
      <c r="BU928" s="3" t="s">
        <v>1254</v>
      </c>
      <c r="BV928" s="3" t="s">
        <v>105</v>
      </c>
      <c r="BY928" s="3">
        <v>1200</v>
      </c>
      <c r="CA928" s="3" t="s">
        <v>1346</v>
      </c>
      <c r="CC928" s="3" t="s">
        <v>219</v>
      </c>
      <c r="CD928" s="3">
        <v>157</v>
      </c>
      <c r="CE928" s="3" t="s">
        <v>93</v>
      </c>
      <c r="CF928" s="4">
        <v>44579</v>
      </c>
      <c r="CI928" s="3">
        <v>1</v>
      </c>
      <c r="CJ928" s="3">
        <v>1</v>
      </c>
      <c r="CK928" s="3">
        <v>21</v>
      </c>
      <c r="CL928" s="3" t="s">
        <v>87</v>
      </c>
    </row>
    <row r="929" spans="1:90" x14ac:dyDescent="0.2">
      <c r="A929" s="3" t="s">
        <v>72</v>
      </c>
      <c r="B929" s="3" t="s">
        <v>73</v>
      </c>
      <c r="C929" s="3" t="s">
        <v>74</v>
      </c>
      <c r="E929" s="3" t="str">
        <f>"FES1162845313"</f>
        <v>FES1162845313</v>
      </c>
      <c r="F929" s="4">
        <v>44578</v>
      </c>
      <c r="G929" s="3">
        <v>202207</v>
      </c>
      <c r="H929" s="3" t="s">
        <v>75</v>
      </c>
      <c r="I929" s="3" t="s">
        <v>76</v>
      </c>
      <c r="J929" s="3" t="s">
        <v>77</v>
      </c>
      <c r="K929" s="3" t="s">
        <v>78</v>
      </c>
      <c r="L929" s="3" t="s">
        <v>123</v>
      </c>
      <c r="M929" s="3" t="s">
        <v>124</v>
      </c>
      <c r="N929" s="3" t="s">
        <v>264</v>
      </c>
      <c r="O929" s="3" t="s">
        <v>82</v>
      </c>
      <c r="P929" s="3" t="str">
        <f>"2170816864                    "</f>
        <v xml:space="preserve">2170816864                    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12.07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1</v>
      </c>
      <c r="BI929" s="3">
        <v>1</v>
      </c>
      <c r="BJ929" s="3">
        <v>0.2</v>
      </c>
      <c r="BK929" s="3">
        <v>1</v>
      </c>
      <c r="BL929" s="3">
        <v>46.08</v>
      </c>
      <c r="BM929" s="3">
        <v>6.91</v>
      </c>
      <c r="BN929" s="3">
        <v>52.99</v>
      </c>
      <c r="BO929" s="3">
        <v>52.99</v>
      </c>
      <c r="BQ929" s="3" t="s">
        <v>89</v>
      </c>
      <c r="BR929" s="3" t="s">
        <v>84</v>
      </c>
      <c r="BS929" s="4">
        <v>44579</v>
      </c>
      <c r="BT929" s="5">
        <v>0.32847222222222222</v>
      </c>
      <c r="BU929" s="3" t="s">
        <v>865</v>
      </c>
      <c r="BV929" s="3" t="s">
        <v>105</v>
      </c>
      <c r="BY929" s="3">
        <v>1200</v>
      </c>
      <c r="CA929" s="3" t="s">
        <v>266</v>
      </c>
      <c r="CC929" s="3" t="s">
        <v>124</v>
      </c>
      <c r="CD929" s="3">
        <v>1724</v>
      </c>
      <c r="CE929" s="3" t="s">
        <v>93</v>
      </c>
      <c r="CF929" s="4">
        <v>44579</v>
      </c>
      <c r="CI929" s="3">
        <v>1</v>
      </c>
      <c r="CJ929" s="3">
        <v>1</v>
      </c>
      <c r="CK929" s="3">
        <v>22</v>
      </c>
      <c r="CL929" s="3" t="s">
        <v>87</v>
      </c>
    </row>
    <row r="930" spans="1:90" x14ac:dyDescent="0.2">
      <c r="A930" s="3" t="s">
        <v>72</v>
      </c>
      <c r="B930" s="3" t="s">
        <v>73</v>
      </c>
      <c r="C930" s="3" t="s">
        <v>74</v>
      </c>
      <c r="E930" s="3" t="str">
        <f>"FES1162845360"</f>
        <v>FES1162845360</v>
      </c>
      <c r="F930" s="4">
        <v>44578</v>
      </c>
      <c r="G930" s="3">
        <v>202207</v>
      </c>
      <c r="H930" s="3" t="s">
        <v>75</v>
      </c>
      <c r="I930" s="3" t="s">
        <v>76</v>
      </c>
      <c r="J930" s="3" t="s">
        <v>77</v>
      </c>
      <c r="K930" s="3" t="s">
        <v>78</v>
      </c>
      <c r="L930" s="3" t="s">
        <v>171</v>
      </c>
      <c r="M930" s="3" t="s">
        <v>172</v>
      </c>
      <c r="N930" s="3" t="s">
        <v>624</v>
      </c>
      <c r="O930" s="3" t="s">
        <v>82</v>
      </c>
      <c r="P930" s="3" t="str">
        <f>"2170816148                    "</f>
        <v xml:space="preserve">2170816148                    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15.46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1</v>
      </c>
      <c r="BI930" s="3">
        <v>1</v>
      </c>
      <c r="BJ930" s="3">
        <v>0.2</v>
      </c>
      <c r="BK930" s="3">
        <v>1</v>
      </c>
      <c r="BL930" s="3">
        <v>59</v>
      </c>
      <c r="BM930" s="3">
        <v>8.85</v>
      </c>
      <c r="BN930" s="3">
        <v>67.849999999999994</v>
      </c>
      <c r="BO930" s="3">
        <v>67.849999999999994</v>
      </c>
      <c r="BQ930" s="3" t="s">
        <v>89</v>
      </c>
      <c r="BR930" s="3" t="s">
        <v>84</v>
      </c>
      <c r="BS930" s="4">
        <v>44579</v>
      </c>
      <c r="BT930" s="5">
        <v>0.53819444444444442</v>
      </c>
      <c r="BU930" s="3" t="s">
        <v>625</v>
      </c>
      <c r="BV930" s="3" t="s">
        <v>87</v>
      </c>
      <c r="BW930" s="3" t="s">
        <v>457</v>
      </c>
      <c r="BX930" s="3" t="s">
        <v>458</v>
      </c>
      <c r="BY930" s="3">
        <v>1200</v>
      </c>
      <c r="CA930" s="3" t="s">
        <v>331</v>
      </c>
      <c r="CC930" s="3" t="s">
        <v>172</v>
      </c>
      <c r="CD930" s="3">
        <v>6001</v>
      </c>
      <c r="CE930" s="3" t="s">
        <v>93</v>
      </c>
      <c r="CF930" s="4">
        <v>44579</v>
      </c>
      <c r="CI930" s="3">
        <v>1</v>
      </c>
      <c r="CJ930" s="3">
        <v>1</v>
      </c>
      <c r="CK930" s="3">
        <v>21</v>
      </c>
      <c r="CL930" s="3" t="s">
        <v>87</v>
      </c>
    </row>
    <row r="931" spans="1:90" x14ac:dyDescent="0.2">
      <c r="A931" s="3" t="s">
        <v>72</v>
      </c>
      <c r="B931" s="3" t="s">
        <v>73</v>
      </c>
      <c r="C931" s="3" t="s">
        <v>74</v>
      </c>
      <c r="E931" s="3" t="str">
        <f>"FES1162845327"</f>
        <v>FES1162845327</v>
      </c>
      <c r="F931" s="4">
        <v>44578</v>
      </c>
      <c r="G931" s="3">
        <v>202207</v>
      </c>
      <c r="H931" s="3" t="s">
        <v>75</v>
      </c>
      <c r="I931" s="3" t="s">
        <v>76</v>
      </c>
      <c r="J931" s="3" t="s">
        <v>77</v>
      </c>
      <c r="K931" s="3" t="s">
        <v>78</v>
      </c>
      <c r="L931" s="3" t="s">
        <v>79</v>
      </c>
      <c r="M931" s="3" t="s">
        <v>80</v>
      </c>
      <c r="N931" s="3" t="s">
        <v>701</v>
      </c>
      <c r="O931" s="3" t="s">
        <v>82</v>
      </c>
      <c r="P931" s="3" t="str">
        <f>"2170816884                    "</f>
        <v xml:space="preserve">2170816884                    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19.32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1</v>
      </c>
      <c r="BI931" s="3">
        <v>2</v>
      </c>
      <c r="BJ931" s="3">
        <v>2.2000000000000002</v>
      </c>
      <c r="BK931" s="3">
        <v>2.5</v>
      </c>
      <c r="BL931" s="3">
        <v>73.739999999999995</v>
      </c>
      <c r="BM931" s="3">
        <v>11.06</v>
      </c>
      <c r="BN931" s="3">
        <v>84.8</v>
      </c>
      <c r="BO931" s="3">
        <v>84.8</v>
      </c>
      <c r="BR931" s="3" t="s">
        <v>84</v>
      </c>
      <c r="BS931" s="4">
        <v>44579</v>
      </c>
      <c r="BT931" s="5">
        <v>0.39583333333333331</v>
      </c>
      <c r="BU931" s="3" t="s">
        <v>1347</v>
      </c>
      <c r="BV931" s="3" t="s">
        <v>105</v>
      </c>
      <c r="BY931" s="3">
        <v>10800</v>
      </c>
      <c r="CA931" s="3" t="s">
        <v>287</v>
      </c>
      <c r="CC931" s="3" t="s">
        <v>80</v>
      </c>
      <c r="CD931" s="3">
        <v>2</v>
      </c>
      <c r="CE931" s="3" t="s">
        <v>86</v>
      </c>
      <c r="CF931" s="4">
        <v>44579</v>
      </c>
      <c r="CI931" s="3">
        <v>1</v>
      </c>
      <c r="CJ931" s="3">
        <v>1</v>
      </c>
      <c r="CK931" s="3">
        <v>21</v>
      </c>
      <c r="CL931" s="3" t="s">
        <v>87</v>
      </c>
    </row>
    <row r="932" spans="1:90" x14ac:dyDescent="0.2">
      <c r="A932" s="3" t="s">
        <v>72</v>
      </c>
      <c r="B932" s="3" t="s">
        <v>73</v>
      </c>
      <c r="C932" s="3" t="s">
        <v>74</v>
      </c>
      <c r="E932" s="3" t="str">
        <f>"FES1162845309"</f>
        <v>FES1162845309</v>
      </c>
      <c r="F932" s="4">
        <v>44578</v>
      </c>
      <c r="G932" s="3">
        <v>202207</v>
      </c>
      <c r="H932" s="3" t="s">
        <v>75</v>
      </c>
      <c r="I932" s="3" t="s">
        <v>76</v>
      </c>
      <c r="J932" s="3" t="s">
        <v>77</v>
      </c>
      <c r="K932" s="3" t="s">
        <v>78</v>
      </c>
      <c r="L932" s="3" t="s">
        <v>171</v>
      </c>
      <c r="M932" s="3" t="s">
        <v>172</v>
      </c>
      <c r="N932" s="3" t="s">
        <v>329</v>
      </c>
      <c r="O932" s="3" t="s">
        <v>82</v>
      </c>
      <c r="P932" s="3" t="str">
        <f>"2170816857                    "</f>
        <v xml:space="preserve">2170816857                    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23.18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1</v>
      </c>
      <c r="BI932" s="3">
        <v>3</v>
      </c>
      <c r="BJ932" s="3">
        <v>1.3</v>
      </c>
      <c r="BK932" s="3">
        <v>3</v>
      </c>
      <c r="BL932" s="3">
        <v>88.48</v>
      </c>
      <c r="BM932" s="3">
        <v>13.27</v>
      </c>
      <c r="BN932" s="3">
        <v>101.75</v>
      </c>
      <c r="BO932" s="3">
        <v>101.75</v>
      </c>
      <c r="BQ932" s="3" t="s">
        <v>83</v>
      </c>
      <c r="BR932" s="3" t="s">
        <v>84</v>
      </c>
      <c r="BS932" s="4">
        <v>44579</v>
      </c>
      <c r="BT932" s="5">
        <v>0.51180555555555551</v>
      </c>
      <c r="BU932" s="3" t="s">
        <v>330</v>
      </c>
      <c r="BV932" s="3" t="s">
        <v>87</v>
      </c>
      <c r="BW932" s="3" t="s">
        <v>457</v>
      </c>
      <c r="BX932" s="3" t="s">
        <v>458</v>
      </c>
      <c r="BY932" s="3">
        <v>6624</v>
      </c>
      <c r="CA932" s="3" t="s">
        <v>331</v>
      </c>
      <c r="CC932" s="3" t="s">
        <v>172</v>
      </c>
      <c r="CD932" s="3">
        <v>6001</v>
      </c>
      <c r="CE932" s="3" t="s">
        <v>86</v>
      </c>
      <c r="CF932" s="4">
        <v>44579</v>
      </c>
      <c r="CI932" s="3">
        <v>1</v>
      </c>
      <c r="CJ932" s="3">
        <v>1</v>
      </c>
      <c r="CK932" s="3">
        <v>21</v>
      </c>
      <c r="CL932" s="3" t="s">
        <v>87</v>
      </c>
    </row>
    <row r="933" spans="1:90" x14ac:dyDescent="0.2">
      <c r="A933" s="3" t="s">
        <v>72</v>
      </c>
      <c r="B933" s="3" t="s">
        <v>73</v>
      </c>
      <c r="C933" s="3" t="s">
        <v>74</v>
      </c>
      <c r="E933" s="3" t="str">
        <f>"FES1162845455"</f>
        <v>FES1162845455</v>
      </c>
      <c r="F933" s="4">
        <v>44578</v>
      </c>
      <c r="G933" s="3">
        <v>202207</v>
      </c>
      <c r="H933" s="3" t="s">
        <v>75</v>
      </c>
      <c r="I933" s="3" t="s">
        <v>76</v>
      </c>
      <c r="J933" s="3" t="s">
        <v>77</v>
      </c>
      <c r="K933" s="3" t="s">
        <v>78</v>
      </c>
      <c r="L933" s="3" t="s">
        <v>97</v>
      </c>
      <c r="M933" s="3" t="s">
        <v>98</v>
      </c>
      <c r="N933" s="3" t="s">
        <v>99</v>
      </c>
      <c r="O933" s="3" t="s">
        <v>82</v>
      </c>
      <c r="P933" s="3" t="str">
        <f>"2170817001                    "</f>
        <v xml:space="preserve">2170817001                    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12.07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0</v>
      </c>
      <c r="BF933" s="3">
        <v>0</v>
      </c>
      <c r="BG933" s="3">
        <v>0</v>
      </c>
      <c r="BH933" s="3">
        <v>1</v>
      </c>
      <c r="BI933" s="3">
        <v>1</v>
      </c>
      <c r="BJ933" s="3">
        <v>0.2</v>
      </c>
      <c r="BK933" s="3">
        <v>1</v>
      </c>
      <c r="BL933" s="3">
        <v>46.08</v>
      </c>
      <c r="BM933" s="3">
        <v>6.91</v>
      </c>
      <c r="BN933" s="3">
        <v>52.99</v>
      </c>
      <c r="BO933" s="3">
        <v>52.99</v>
      </c>
      <c r="BQ933" s="3" t="s">
        <v>100</v>
      </c>
      <c r="BR933" s="3" t="s">
        <v>84</v>
      </c>
      <c r="BS933" s="4">
        <v>44579</v>
      </c>
      <c r="BT933" s="5">
        <v>0.35416666666666669</v>
      </c>
      <c r="BU933" s="3" t="s">
        <v>1348</v>
      </c>
      <c r="BV933" s="3" t="s">
        <v>105</v>
      </c>
      <c r="BY933" s="3">
        <v>1200</v>
      </c>
      <c r="CA933" s="3" t="s">
        <v>328</v>
      </c>
      <c r="CC933" s="3" t="s">
        <v>98</v>
      </c>
      <c r="CD933" s="3">
        <v>2049</v>
      </c>
      <c r="CE933" s="3" t="s">
        <v>93</v>
      </c>
      <c r="CF933" s="4">
        <v>44579</v>
      </c>
      <c r="CI933" s="3">
        <v>1</v>
      </c>
      <c r="CJ933" s="3">
        <v>1</v>
      </c>
      <c r="CK933" s="3">
        <v>22</v>
      </c>
      <c r="CL933" s="3" t="s">
        <v>87</v>
      </c>
    </row>
    <row r="934" spans="1:90" x14ac:dyDescent="0.2">
      <c r="A934" s="3" t="s">
        <v>72</v>
      </c>
      <c r="B934" s="3" t="s">
        <v>73</v>
      </c>
      <c r="C934" s="3" t="s">
        <v>74</v>
      </c>
      <c r="E934" s="3" t="str">
        <f>"FES1162845426"</f>
        <v>FES1162845426</v>
      </c>
      <c r="F934" s="4">
        <v>44578</v>
      </c>
      <c r="G934" s="3">
        <v>202207</v>
      </c>
      <c r="H934" s="3" t="s">
        <v>75</v>
      </c>
      <c r="I934" s="3" t="s">
        <v>76</v>
      </c>
      <c r="J934" s="3" t="s">
        <v>77</v>
      </c>
      <c r="K934" s="3" t="s">
        <v>78</v>
      </c>
      <c r="L934" s="3" t="s">
        <v>115</v>
      </c>
      <c r="M934" s="3" t="s">
        <v>116</v>
      </c>
      <c r="N934" s="3" t="s">
        <v>902</v>
      </c>
      <c r="O934" s="3" t="s">
        <v>82</v>
      </c>
      <c r="P934" s="3" t="str">
        <f>"2170816849                    "</f>
        <v xml:space="preserve">2170816849                    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12.07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v>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3">
        <v>1</v>
      </c>
      <c r="BI934" s="3">
        <v>4</v>
      </c>
      <c r="BJ934" s="3">
        <v>4.7</v>
      </c>
      <c r="BK934" s="3">
        <v>5</v>
      </c>
      <c r="BL934" s="3">
        <v>46.08</v>
      </c>
      <c r="BM934" s="3">
        <v>6.91</v>
      </c>
      <c r="BN934" s="3">
        <v>52.99</v>
      </c>
      <c r="BO934" s="3">
        <v>52.99</v>
      </c>
      <c r="BQ934" s="3" t="s">
        <v>83</v>
      </c>
      <c r="BR934" s="3" t="s">
        <v>84</v>
      </c>
      <c r="BS934" s="4">
        <v>44579</v>
      </c>
      <c r="BT934" s="5">
        <v>0.3263888888888889</v>
      </c>
      <c r="BU934" s="3" t="s">
        <v>1349</v>
      </c>
      <c r="BV934" s="3" t="s">
        <v>105</v>
      </c>
      <c r="BY934" s="3">
        <v>23328</v>
      </c>
      <c r="CA934" s="3" t="s">
        <v>1350</v>
      </c>
      <c r="CC934" s="3" t="s">
        <v>116</v>
      </c>
      <c r="CD934" s="3">
        <v>1559</v>
      </c>
      <c r="CE934" s="3" t="s">
        <v>86</v>
      </c>
      <c r="CF934" s="4">
        <v>44579</v>
      </c>
      <c r="CI934" s="3">
        <v>1</v>
      </c>
      <c r="CJ934" s="3">
        <v>1</v>
      </c>
      <c r="CK934" s="3">
        <v>22</v>
      </c>
      <c r="CL934" s="3" t="s">
        <v>87</v>
      </c>
    </row>
    <row r="935" spans="1:90" x14ac:dyDescent="0.2">
      <c r="A935" s="3" t="s">
        <v>72</v>
      </c>
      <c r="B935" s="3" t="s">
        <v>73</v>
      </c>
      <c r="C935" s="3" t="s">
        <v>74</v>
      </c>
      <c r="E935" s="3" t="str">
        <f>"FES1162845435"</f>
        <v>FES1162845435</v>
      </c>
      <c r="F935" s="4">
        <v>44578</v>
      </c>
      <c r="G935" s="3">
        <v>202207</v>
      </c>
      <c r="H935" s="3" t="s">
        <v>75</v>
      </c>
      <c r="I935" s="3" t="s">
        <v>76</v>
      </c>
      <c r="J935" s="3" t="s">
        <v>77</v>
      </c>
      <c r="K935" s="3" t="s">
        <v>78</v>
      </c>
      <c r="L935" s="3" t="s">
        <v>154</v>
      </c>
      <c r="M935" s="3" t="s">
        <v>155</v>
      </c>
      <c r="N935" s="3" t="s">
        <v>963</v>
      </c>
      <c r="O935" s="3" t="s">
        <v>82</v>
      </c>
      <c r="P935" s="3" t="str">
        <f>"2170816972                    "</f>
        <v xml:space="preserve">2170816972                    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12.07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0</v>
      </c>
      <c r="AZ935" s="3">
        <v>0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1</v>
      </c>
      <c r="BI935" s="3">
        <v>4</v>
      </c>
      <c r="BJ935" s="3">
        <v>2</v>
      </c>
      <c r="BK935" s="3">
        <v>4</v>
      </c>
      <c r="BL935" s="3">
        <v>46.08</v>
      </c>
      <c r="BM935" s="3">
        <v>6.91</v>
      </c>
      <c r="BN935" s="3">
        <v>52.99</v>
      </c>
      <c r="BO935" s="3">
        <v>52.99</v>
      </c>
      <c r="BQ935" s="3" t="s">
        <v>83</v>
      </c>
      <c r="BR935" s="3" t="s">
        <v>84</v>
      </c>
      <c r="BS935" s="4">
        <v>44579</v>
      </c>
      <c r="BT935" s="5">
        <v>0.38472222222222219</v>
      </c>
      <c r="BU935" s="3" t="s">
        <v>1351</v>
      </c>
      <c r="BV935" s="3" t="s">
        <v>105</v>
      </c>
      <c r="BY935" s="3">
        <v>9918</v>
      </c>
      <c r="CA935" s="3" t="s">
        <v>965</v>
      </c>
      <c r="CC935" s="3" t="s">
        <v>155</v>
      </c>
      <c r="CD935" s="3">
        <v>1682</v>
      </c>
      <c r="CE935" s="3" t="s">
        <v>86</v>
      </c>
      <c r="CF935" s="4">
        <v>44580</v>
      </c>
      <c r="CI935" s="3">
        <v>1</v>
      </c>
      <c r="CJ935" s="3">
        <v>1</v>
      </c>
      <c r="CK935" s="3">
        <v>22</v>
      </c>
      <c r="CL935" s="3" t="s">
        <v>87</v>
      </c>
    </row>
    <row r="936" spans="1:90" x14ac:dyDescent="0.2">
      <c r="A936" s="3" t="s">
        <v>72</v>
      </c>
      <c r="B936" s="3" t="s">
        <v>73</v>
      </c>
      <c r="C936" s="3" t="s">
        <v>74</v>
      </c>
      <c r="E936" s="3" t="str">
        <f>"FES1162845450"</f>
        <v>FES1162845450</v>
      </c>
      <c r="F936" s="4">
        <v>44578</v>
      </c>
      <c r="G936" s="3">
        <v>202207</v>
      </c>
      <c r="H936" s="3" t="s">
        <v>75</v>
      </c>
      <c r="I936" s="3" t="s">
        <v>76</v>
      </c>
      <c r="J936" s="3" t="s">
        <v>77</v>
      </c>
      <c r="K936" s="3" t="s">
        <v>78</v>
      </c>
      <c r="L936" s="3" t="s">
        <v>97</v>
      </c>
      <c r="M936" s="3" t="s">
        <v>98</v>
      </c>
      <c r="N936" s="3" t="s">
        <v>1352</v>
      </c>
      <c r="O936" s="3" t="s">
        <v>82</v>
      </c>
      <c r="P936" s="3" t="str">
        <f>"2170816995                    "</f>
        <v xml:space="preserve">2170816995                    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12.07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0</v>
      </c>
      <c r="BF936" s="3">
        <v>0</v>
      </c>
      <c r="BG936" s="3">
        <v>0</v>
      </c>
      <c r="BH936" s="3">
        <v>1</v>
      </c>
      <c r="BI936" s="3">
        <v>4</v>
      </c>
      <c r="BJ936" s="3">
        <v>5.2</v>
      </c>
      <c r="BK936" s="3">
        <v>5.5</v>
      </c>
      <c r="BL936" s="3">
        <v>46.08</v>
      </c>
      <c r="BM936" s="3">
        <v>6.91</v>
      </c>
      <c r="BN936" s="3">
        <v>52.99</v>
      </c>
      <c r="BO936" s="3">
        <v>52.99</v>
      </c>
      <c r="BQ936" s="3" t="s">
        <v>1353</v>
      </c>
      <c r="BR936" s="3" t="s">
        <v>84</v>
      </c>
      <c r="BS936" s="4">
        <v>44579</v>
      </c>
      <c r="BT936" s="5">
        <v>0.35833333333333334</v>
      </c>
      <c r="BU936" s="3" t="s">
        <v>1354</v>
      </c>
      <c r="BV936" s="3" t="s">
        <v>105</v>
      </c>
      <c r="BY936" s="3">
        <v>26136</v>
      </c>
      <c r="CA936" s="3" t="s">
        <v>328</v>
      </c>
      <c r="CC936" s="3" t="s">
        <v>98</v>
      </c>
      <c r="CD936" s="3">
        <v>2094</v>
      </c>
      <c r="CE936" s="3" t="s">
        <v>86</v>
      </c>
      <c r="CF936" s="4">
        <v>44579</v>
      </c>
      <c r="CI936" s="3">
        <v>1</v>
      </c>
      <c r="CJ936" s="3">
        <v>1</v>
      </c>
      <c r="CK936" s="3">
        <v>22</v>
      </c>
      <c r="CL936" s="3" t="s">
        <v>87</v>
      </c>
    </row>
    <row r="937" spans="1:90" x14ac:dyDescent="0.2">
      <c r="A937" s="3" t="s">
        <v>72</v>
      </c>
      <c r="B937" s="3" t="s">
        <v>73</v>
      </c>
      <c r="C937" s="3" t="s">
        <v>74</v>
      </c>
      <c r="E937" s="3" t="str">
        <f>"FES1162845452"</f>
        <v>FES1162845452</v>
      </c>
      <c r="F937" s="4">
        <v>44578</v>
      </c>
      <c r="G937" s="3">
        <v>202207</v>
      </c>
      <c r="H937" s="3" t="s">
        <v>75</v>
      </c>
      <c r="I937" s="3" t="s">
        <v>76</v>
      </c>
      <c r="J937" s="3" t="s">
        <v>77</v>
      </c>
      <c r="K937" s="3" t="s">
        <v>78</v>
      </c>
      <c r="L937" s="3" t="s">
        <v>184</v>
      </c>
      <c r="M937" s="3" t="s">
        <v>185</v>
      </c>
      <c r="N937" s="3" t="s">
        <v>979</v>
      </c>
      <c r="O937" s="3" t="s">
        <v>82</v>
      </c>
      <c r="P937" s="3" t="str">
        <f>"2170816998                    "</f>
        <v xml:space="preserve">2170816998                    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15.46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1</v>
      </c>
      <c r="BI937" s="3">
        <v>1</v>
      </c>
      <c r="BJ937" s="3">
        <v>0.2</v>
      </c>
      <c r="BK937" s="3">
        <v>1</v>
      </c>
      <c r="BL937" s="3">
        <v>59</v>
      </c>
      <c r="BM937" s="3">
        <v>8.85</v>
      </c>
      <c r="BN937" s="3">
        <v>67.849999999999994</v>
      </c>
      <c r="BO937" s="3">
        <v>67.849999999999994</v>
      </c>
      <c r="BQ937" s="3" t="s">
        <v>83</v>
      </c>
      <c r="BR937" s="3" t="s">
        <v>84</v>
      </c>
      <c r="BS937" s="4">
        <v>44579</v>
      </c>
      <c r="BT937" s="5">
        <v>0.39374999999999999</v>
      </c>
      <c r="BU937" s="3" t="s">
        <v>1355</v>
      </c>
      <c r="BV937" s="3" t="s">
        <v>105</v>
      </c>
      <c r="BY937" s="3">
        <v>1200</v>
      </c>
      <c r="CA937" s="3" t="s">
        <v>357</v>
      </c>
      <c r="CC937" s="3" t="s">
        <v>185</v>
      </c>
      <c r="CD937" s="3">
        <v>5201</v>
      </c>
      <c r="CE937" s="3" t="s">
        <v>93</v>
      </c>
      <c r="CF937" s="4">
        <v>44579</v>
      </c>
      <c r="CI937" s="3">
        <v>1</v>
      </c>
      <c r="CJ937" s="3">
        <v>1</v>
      </c>
      <c r="CK937" s="3">
        <v>21</v>
      </c>
      <c r="CL937" s="3" t="s">
        <v>87</v>
      </c>
    </row>
    <row r="938" spans="1:90" x14ac:dyDescent="0.2">
      <c r="A938" s="3" t="s">
        <v>72</v>
      </c>
      <c r="B938" s="3" t="s">
        <v>73</v>
      </c>
      <c r="C938" s="3" t="s">
        <v>74</v>
      </c>
      <c r="E938" s="3" t="str">
        <f>"FES1162845444"</f>
        <v>FES1162845444</v>
      </c>
      <c r="F938" s="4">
        <v>44578</v>
      </c>
      <c r="G938" s="3">
        <v>202207</v>
      </c>
      <c r="H938" s="3" t="s">
        <v>75</v>
      </c>
      <c r="I938" s="3" t="s">
        <v>76</v>
      </c>
      <c r="J938" s="3" t="s">
        <v>77</v>
      </c>
      <c r="K938" s="3" t="s">
        <v>78</v>
      </c>
      <c r="L938" s="3" t="s">
        <v>90</v>
      </c>
      <c r="M938" s="3" t="s">
        <v>91</v>
      </c>
      <c r="N938" s="3" t="s">
        <v>114</v>
      </c>
      <c r="O938" s="3" t="s">
        <v>82</v>
      </c>
      <c r="P938" s="3" t="str">
        <f>"2170816982                    "</f>
        <v xml:space="preserve">2170816982                    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15.46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1</v>
      </c>
      <c r="BI938" s="3">
        <v>1</v>
      </c>
      <c r="BJ938" s="3">
        <v>0.2</v>
      </c>
      <c r="BK938" s="3">
        <v>1</v>
      </c>
      <c r="BL938" s="3">
        <v>59</v>
      </c>
      <c r="BM938" s="3">
        <v>8.85</v>
      </c>
      <c r="BN938" s="3">
        <v>67.849999999999994</v>
      </c>
      <c r="BO938" s="3">
        <v>67.849999999999994</v>
      </c>
      <c r="BQ938" s="3" t="s">
        <v>89</v>
      </c>
      <c r="BR938" s="3" t="s">
        <v>84</v>
      </c>
      <c r="BS938" s="4">
        <v>44579</v>
      </c>
      <c r="BT938" s="5">
        <v>0.3972222222222222</v>
      </c>
      <c r="BU938" s="3" t="s">
        <v>1356</v>
      </c>
      <c r="BV938" s="3" t="s">
        <v>105</v>
      </c>
      <c r="BY938" s="3">
        <v>1200</v>
      </c>
      <c r="CA938" s="3" t="s">
        <v>1046</v>
      </c>
      <c r="CC938" s="3" t="s">
        <v>91</v>
      </c>
      <c r="CD938" s="3">
        <v>7441</v>
      </c>
      <c r="CE938" s="3" t="s">
        <v>93</v>
      </c>
      <c r="CF938" s="4">
        <v>44580</v>
      </c>
      <c r="CI938" s="3">
        <v>1</v>
      </c>
      <c r="CJ938" s="3">
        <v>1</v>
      </c>
      <c r="CK938" s="3">
        <v>21</v>
      </c>
      <c r="CL938" s="3" t="s">
        <v>87</v>
      </c>
    </row>
    <row r="939" spans="1:90" x14ac:dyDescent="0.2">
      <c r="A939" s="3" t="s">
        <v>72</v>
      </c>
      <c r="B939" s="3" t="s">
        <v>73</v>
      </c>
      <c r="C939" s="3" t="s">
        <v>74</v>
      </c>
      <c r="E939" s="3" t="str">
        <f>"FES1162845448"</f>
        <v>FES1162845448</v>
      </c>
      <c r="F939" s="4">
        <v>44578</v>
      </c>
      <c r="G939" s="3">
        <v>202207</v>
      </c>
      <c r="H939" s="3" t="s">
        <v>75</v>
      </c>
      <c r="I939" s="3" t="s">
        <v>76</v>
      </c>
      <c r="J939" s="3" t="s">
        <v>77</v>
      </c>
      <c r="K939" s="3" t="s">
        <v>78</v>
      </c>
      <c r="L939" s="3" t="s">
        <v>184</v>
      </c>
      <c r="M939" s="3" t="s">
        <v>185</v>
      </c>
      <c r="N939" s="3" t="s">
        <v>234</v>
      </c>
      <c r="O939" s="3" t="s">
        <v>82</v>
      </c>
      <c r="P939" s="3" t="str">
        <f>"2170816976                    "</f>
        <v xml:space="preserve">2170816976                    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15.46</v>
      </c>
      <c r="AL939" s="3">
        <v>0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1</v>
      </c>
      <c r="BI939" s="3">
        <v>1</v>
      </c>
      <c r="BJ939" s="3">
        <v>0.2</v>
      </c>
      <c r="BK939" s="3">
        <v>1</v>
      </c>
      <c r="BL939" s="3">
        <v>59</v>
      </c>
      <c r="BM939" s="3">
        <v>8.85</v>
      </c>
      <c r="BN939" s="3">
        <v>67.849999999999994</v>
      </c>
      <c r="BO939" s="3">
        <v>67.849999999999994</v>
      </c>
      <c r="BQ939" s="3" t="s">
        <v>89</v>
      </c>
      <c r="BR939" s="3" t="s">
        <v>84</v>
      </c>
      <c r="BS939" s="4">
        <v>44579</v>
      </c>
      <c r="BT939" s="5">
        <v>0.38194444444444442</v>
      </c>
      <c r="BU939" s="3" t="s">
        <v>998</v>
      </c>
      <c r="BV939" s="3" t="s">
        <v>105</v>
      </c>
      <c r="BY939" s="3">
        <v>1200</v>
      </c>
      <c r="CA939" s="3" t="s">
        <v>612</v>
      </c>
      <c r="CC939" s="3" t="s">
        <v>185</v>
      </c>
      <c r="CD939" s="3">
        <v>5201</v>
      </c>
      <c r="CE939" s="3" t="s">
        <v>93</v>
      </c>
      <c r="CF939" s="4">
        <v>44579</v>
      </c>
      <c r="CI939" s="3">
        <v>1</v>
      </c>
      <c r="CJ939" s="3">
        <v>1</v>
      </c>
      <c r="CK939" s="3">
        <v>21</v>
      </c>
      <c r="CL939" s="3" t="s">
        <v>87</v>
      </c>
    </row>
    <row r="940" spans="1:90" x14ac:dyDescent="0.2">
      <c r="A940" s="3" t="s">
        <v>72</v>
      </c>
      <c r="B940" s="3" t="s">
        <v>73</v>
      </c>
      <c r="C940" s="3" t="s">
        <v>74</v>
      </c>
      <c r="E940" s="3" t="str">
        <f>"FES1162845419"</f>
        <v>FES1162845419</v>
      </c>
      <c r="F940" s="4">
        <v>44578</v>
      </c>
      <c r="G940" s="3">
        <v>202207</v>
      </c>
      <c r="H940" s="3" t="s">
        <v>75</v>
      </c>
      <c r="I940" s="3" t="s">
        <v>76</v>
      </c>
      <c r="J940" s="3" t="s">
        <v>77</v>
      </c>
      <c r="K940" s="3" t="s">
        <v>78</v>
      </c>
      <c r="L940" s="3" t="s">
        <v>101</v>
      </c>
      <c r="M940" s="3" t="s">
        <v>102</v>
      </c>
      <c r="N940" s="3" t="s">
        <v>935</v>
      </c>
      <c r="O940" s="3" t="s">
        <v>82</v>
      </c>
      <c r="P940" s="3" t="str">
        <f>"2170816954                    "</f>
        <v xml:space="preserve">2170816954                    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15.46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1</v>
      </c>
      <c r="BI940" s="3">
        <v>1</v>
      </c>
      <c r="BJ940" s="3">
        <v>0.2</v>
      </c>
      <c r="BK940" s="3">
        <v>1</v>
      </c>
      <c r="BL940" s="3">
        <v>59</v>
      </c>
      <c r="BM940" s="3">
        <v>8.85</v>
      </c>
      <c r="BN940" s="3">
        <v>67.849999999999994</v>
      </c>
      <c r="BO940" s="3">
        <v>67.849999999999994</v>
      </c>
      <c r="BQ940" s="3" t="s">
        <v>89</v>
      </c>
      <c r="BR940" s="3" t="s">
        <v>84</v>
      </c>
      <c r="BS940" s="4">
        <v>44579</v>
      </c>
      <c r="BT940" s="5">
        <v>0.3527777777777778</v>
      </c>
      <c r="BU940" s="3" t="s">
        <v>1357</v>
      </c>
      <c r="BV940" s="3" t="s">
        <v>105</v>
      </c>
      <c r="BY940" s="3">
        <v>1200</v>
      </c>
      <c r="CA940" s="3" t="s">
        <v>615</v>
      </c>
      <c r="CC940" s="3" t="s">
        <v>102</v>
      </c>
      <c r="CD940" s="3">
        <v>4001</v>
      </c>
      <c r="CE940" s="3" t="s">
        <v>93</v>
      </c>
      <c r="CF940" s="4">
        <v>44580</v>
      </c>
      <c r="CI940" s="3">
        <v>1</v>
      </c>
      <c r="CJ940" s="3">
        <v>1</v>
      </c>
      <c r="CK940" s="3">
        <v>21</v>
      </c>
      <c r="CL940" s="3" t="s">
        <v>87</v>
      </c>
    </row>
    <row r="941" spans="1:90" x14ac:dyDescent="0.2">
      <c r="A941" s="3" t="s">
        <v>72</v>
      </c>
      <c r="B941" s="3" t="s">
        <v>73</v>
      </c>
      <c r="C941" s="3" t="s">
        <v>74</v>
      </c>
      <c r="E941" s="3" t="str">
        <f>"FES1162845451"</f>
        <v>FES1162845451</v>
      </c>
      <c r="F941" s="4">
        <v>44578</v>
      </c>
      <c r="G941" s="3">
        <v>202207</v>
      </c>
      <c r="H941" s="3" t="s">
        <v>75</v>
      </c>
      <c r="I941" s="3" t="s">
        <v>76</v>
      </c>
      <c r="J941" s="3" t="s">
        <v>77</v>
      </c>
      <c r="K941" s="3" t="s">
        <v>78</v>
      </c>
      <c r="L941" s="3" t="s">
        <v>79</v>
      </c>
      <c r="M941" s="3" t="s">
        <v>80</v>
      </c>
      <c r="N941" s="3" t="s">
        <v>248</v>
      </c>
      <c r="O941" s="3" t="s">
        <v>82</v>
      </c>
      <c r="P941" s="3" t="str">
        <f>"2170816997                    "</f>
        <v xml:space="preserve">2170816997                    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15.46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1</v>
      </c>
      <c r="BI941" s="3">
        <v>1</v>
      </c>
      <c r="BJ941" s="3">
        <v>2</v>
      </c>
      <c r="BK941" s="3">
        <v>2</v>
      </c>
      <c r="BL941" s="3">
        <v>59</v>
      </c>
      <c r="BM941" s="3">
        <v>8.85</v>
      </c>
      <c r="BN941" s="3">
        <v>67.849999999999994</v>
      </c>
      <c r="BO941" s="3">
        <v>67.849999999999994</v>
      </c>
      <c r="BQ941" s="3" t="s">
        <v>83</v>
      </c>
      <c r="BR941" s="3" t="s">
        <v>84</v>
      </c>
      <c r="BS941" s="4">
        <v>44579</v>
      </c>
      <c r="BT941" s="5">
        <v>0.3743055555555555</v>
      </c>
      <c r="BU941" s="3" t="s">
        <v>1008</v>
      </c>
      <c r="BV941" s="3" t="s">
        <v>105</v>
      </c>
      <c r="BY941" s="3">
        <v>9900</v>
      </c>
      <c r="CA941" s="3" t="s">
        <v>362</v>
      </c>
      <c r="CC941" s="3" t="s">
        <v>80</v>
      </c>
      <c r="CD941" s="3">
        <v>1</v>
      </c>
      <c r="CE941" s="3" t="s">
        <v>86</v>
      </c>
      <c r="CF941" s="4">
        <v>44579</v>
      </c>
      <c r="CI941" s="3">
        <v>1</v>
      </c>
      <c r="CJ941" s="3">
        <v>1</v>
      </c>
      <c r="CK941" s="3">
        <v>21</v>
      </c>
      <c r="CL941" s="3" t="s">
        <v>87</v>
      </c>
    </row>
    <row r="942" spans="1:90" x14ac:dyDescent="0.2">
      <c r="A942" s="3" t="s">
        <v>72</v>
      </c>
      <c r="B942" s="3" t="s">
        <v>73</v>
      </c>
      <c r="C942" s="3" t="s">
        <v>74</v>
      </c>
      <c r="E942" s="3" t="str">
        <f>"FES1162845428"</f>
        <v>FES1162845428</v>
      </c>
      <c r="F942" s="4">
        <v>44578</v>
      </c>
      <c r="G942" s="3">
        <v>202207</v>
      </c>
      <c r="H942" s="3" t="s">
        <v>75</v>
      </c>
      <c r="I942" s="3" t="s">
        <v>76</v>
      </c>
      <c r="J942" s="3" t="s">
        <v>77</v>
      </c>
      <c r="K942" s="3" t="s">
        <v>78</v>
      </c>
      <c r="L942" s="3" t="s">
        <v>79</v>
      </c>
      <c r="M942" s="3" t="s">
        <v>80</v>
      </c>
      <c r="N942" s="3" t="s">
        <v>415</v>
      </c>
      <c r="O942" s="3" t="s">
        <v>82</v>
      </c>
      <c r="P942" s="3" t="str">
        <f>"2170816959                    "</f>
        <v xml:space="preserve">2170816959                    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15.46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0</v>
      </c>
      <c r="BA942" s="3">
        <v>0</v>
      </c>
      <c r="BB942" s="3">
        <v>0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1</v>
      </c>
      <c r="BI942" s="3">
        <v>1</v>
      </c>
      <c r="BJ942" s="3">
        <v>0.2</v>
      </c>
      <c r="BK942" s="3">
        <v>1</v>
      </c>
      <c r="BL942" s="3">
        <v>59</v>
      </c>
      <c r="BM942" s="3">
        <v>8.85</v>
      </c>
      <c r="BN942" s="3">
        <v>67.849999999999994</v>
      </c>
      <c r="BO942" s="3">
        <v>67.849999999999994</v>
      </c>
      <c r="BQ942" s="3" t="s">
        <v>83</v>
      </c>
      <c r="BR942" s="3" t="s">
        <v>84</v>
      </c>
      <c r="BS942" s="4">
        <v>44579</v>
      </c>
      <c r="BT942" s="5">
        <v>0.40138888888888885</v>
      </c>
      <c r="BU942" s="3" t="s">
        <v>1066</v>
      </c>
      <c r="BV942" s="3" t="s">
        <v>105</v>
      </c>
      <c r="BY942" s="3">
        <v>1200</v>
      </c>
      <c r="CA942" s="3" t="s">
        <v>1358</v>
      </c>
      <c r="CC942" s="3" t="s">
        <v>80</v>
      </c>
      <c r="CD942" s="3">
        <v>183</v>
      </c>
      <c r="CE942" s="3" t="s">
        <v>93</v>
      </c>
      <c r="CF942" s="4">
        <v>44579</v>
      </c>
      <c r="CI942" s="3">
        <v>1</v>
      </c>
      <c r="CJ942" s="3">
        <v>1</v>
      </c>
      <c r="CK942" s="3">
        <v>21</v>
      </c>
      <c r="CL942" s="3" t="s">
        <v>87</v>
      </c>
    </row>
    <row r="943" spans="1:90" x14ac:dyDescent="0.2">
      <c r="A943" s="3" t="s">
        <v>72</v>
      </c>
      <c r="B943" s="3" t="s">
        <v>73</v>
      </c>
      <c r="C943" s="3" t="s">
        <v>74</v>
      </c>
      <c r="E943" s="3" t="str">
        <f>"FES1162845408"</f>
        <v>FES1162845408</v>
      </c>
      <c r="F943" s="4">
        <v>44578</v>
      </c>
      <c r="G943" s="3">
        <v>202207</v>
      </c>
      <c r="H943" s="3" t="s">
        <v>75</v>
      </c>
      <c r="I943" s="3" t="s">
        <v>76</v>
      </c>
      <c r="J943" s="3" t="s">
        <v>77</v>
      </c>
      <c r="K943" s="3" t="s">
        <v>78</v>
      </c>
      <c r="L943" s="3" t="s">
        <v>79</v>
      </c>
      <c r="M943" s="3" t="s">
        <v>80</v>
      </c>
      <c r="N943" s="3" t="s">
        <v>415</v>
      </c>
      <c r="O943" s="3" t="s">
        <v>82</v>
      </c>
      <c r="P943" s="3" t="str">
        <f>"2170816920                    "</f>
        <v xml:space="preserve">2170816920                    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15.46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0</v>
      </c>
      <c r="AZ943" s="3">
        <v>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1</v>
      </c>
      <c r="BI943" s="3">
        <v>1</v>
      </c>
      <c r="BJ943" s="3">
        <v>0.2</v>
      </c>
      <c r="BK943" s="3">
        <v>1</v>
      </c>
      <c r="BL943" s="3">
        <v>59</v>
      </c>
      <c r="BM943" s="3">
        <v>8.85</v>
      </c>
      <c r="BN943" s="3">
        <v>67.849999999999994</v>
      </c>
      <c r="BO943" s="3">
        <v>67.849999999999994</v>
      </c>
      <c r="BQ943" s="3" t="s">
        <v>83</v>
      </c>
      <c r="BR943" s="3" t="s">
        <v>84</v>
      </c>
      <c r="BS943" s="4">
        <v>44579</v>
      </c>
      <c r="BT943" s="5">
        <v>0.40138888888888885</v>
      </c>
      <c r="BU943" s="3" t="s">
        <v>1066</v>
      </c>
      <c r="BV943" s="3" t="s">
        <v>105</v>
      </c>
      <c r="BY943" s="3">
        <v>1200</v>
      </c>
      <c r="CA943" s="3" t="s">
        <v>1358</v>
      </c>
      <c r="CC943" s="3" t="s">
        <v>80</v>
      </c>
      <c r="CD943" s="3">
        <v>183</v>
      </c>
      <c r="CE943" s="3" t="s">
        <v>93</v>
      </c>
      <c r="CF943" s="4">
        <v>44579</v>
      </c>
      <c r="CI943" s="3">
        <v>1</v>
      </c>
      <c r="CJ943" s="3">
        <v>1</v>
      </c>
      <c r="CK943" s="3">
        <v>21</v>
      </c>
      <c r="CL943" s="3" t="s">
        <v>87</v>
      </c>
    </row>
    <row r="944" spans="1:90" x14ac:dyDescent="0.2">
      <c r="A944" s="3" t="s">
        <v>72</v>
      </c>
      <c r="B944" s="3" t="s">
        <v>73</v>
      </c>
      <c r="C944" s="3" t="s">
        <v>74</v>
      </c>
      <c r="E944" s="3" t="str">
        <f>"FES1162845405"</f>
        <v>FES1162845405</v>
      </c>
      <c r="F944" s="4">
        <v>44578</v>
      </c>
      <c r="G944" s="3">
        <v>202207</v>
      </c>
      <c r="H944" s="3" t="s">
        <v>75</v>
      </c>
      <c r="I944" s="3" t="s">
        <v>76</v>
      </c>
      <c r="J944" s="3" t="s">
        <v>77</v>
      </c>
      <c r="K944" s="3" t="s">
        <v>78</v>
      </c>
      <c r="L944" s="3" t="s">
        <v>115</v>
      </c>
      <c r="M944" s="3" t="s">
        <v>116</v>
      </c>
      <c r="N944" s="3" t="s">
        <v>419</v>
      </c>
      <c r="O944" s="3" t="s">
        <v>82</v>
      </c>
      <c r="P944" s="3" t="str">
        <f>"2170816939                    "</f>
        <v xml:space="preserve">2170816939                    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12.07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0</v>
      </c>
      <c r="BG944" s="3">
        <v>0</v>
      </c>
      <c r="BH944" s="3">
        <v>1</v>
      </c>
      <c r="BI944" s="3">
        <v>1</v>
      </c>
      <c r="BJ944" s="3">
        <v>0.2</v>
      </c>
      <c r="BK944" s="3">
        <v>1</v>
      </c>
      <c r="BL944" s="3">
        <v>46.08</v>
      </c>
      <c r="BM944" s="3">
        <v>6.91</v>
      </c>
      <c r="BN944" s="3">
        <v>52.99</v>
      </c>
      <c r="BO944" s="3">
        <v>52.99</v>
      </c>
      <c r="BQ944" s="3" t="s">
        <v>89</v>
      </c>
      <c r="BR944" s="3" t="s">
        <v>84</v>
      </c>
      <c r="BS944" s="4">
        <v>44579</v>
      </c>
      <c r="BT944" s="5">
        <v>0.42083333333333334</v>
      </c>
      <c r="BU944" s="3" t="s">
        <v>1359</v>
      </c>
      <c r="BV944" s="3" t="s">
        <v>105</v>
      </c>
      <c r="BY944" s="3">
        <v>1200</v>
      </c>
      <c r="CA944" s="3" t="s">
        <v>1350</v>
      </c>
      <c r="CC944" s="3" t="s">
        <v>116</v>
      </c>
      <c r="CD944" s="3">
        <v>1559</v>
      </c>
      <c r="CE944" s="3" t="s">
        <v>93</v>
      </c>
      <c r="CF944" s="4">
        <v>44579</v>
      </c>
      <c r="CI944" s="3">
        <v>1</v>
      </c>
      <c r="CJ944" s="3">
        <v>1</v>
      </c>
      <c r="CK944" s="3">
        <v>22</v>
      </c>
      <c r="CL944" s="3" t="s">
        <v>87</v>
      </c>
    </row>
    <row r="945" spans="1:90" x14ac:dyDescent="0.2">
      <c r="A945" s="3" t="s">
        <v>72</v>
      </c>
      <c r="B945" s="3" t="s">
        <v>73</v>
      </c>
      <c r="C945" s="3" t="s">
        <v>74</v>
      </c>
      <c r="E945" s="3" t="str">
        <f>"FES1162845400"</f>
        <v>FES1162845400</v>
      </c>
      <c r="F945" s="4">
        <v>44578</v>
      </c>
      <c r="G945" s="3">
        <v>202207</v>
      </c>
      <c r="H945" s="3" t="s">
        <v>75</v>
      </c>
      <c r="I945" s="3" t="s">
        <v>76</v>
      </c>
      <c r="J945" s="3" t="s">
        <v>77</v>
      </c>
      <c r="K945" s="3" t="s">
        <v>78</v>
      </c>
      <c r="L945" s="3" t="s">
        <v>97</v>
      </c>
      <c r="M945" s="3" t="s">
        <v>98</v>
      </c>
      <c r="N945" s="3" t="s">
        <v>1142</v>
      </c>
      <c r="O945" s="3" t="s">
        <v>82</v>
      </c>
      <c r="P945" s="3" t="str">
        <f>"2170816932                    "</f>
        <v xml:space="preserve">2170816932                    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0</v>
      </c>
      <c r="AJ945" s="3">
        <v>0</v>
      </c>
      <c r="AK945" s="3">
        <v>12.07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3">
        <v>1</v>
      </c>
      <c r="BI945" s="3">
        <v>1</v>
      </c>
      <c r="BJ945" s="3">
        <v>0.2</v>
      </c>
      <c r="BK945" s="3">
        <v>1</v>
      </c>
      <c r="BL945" s="3">
        <v>46.08</v>
      </c>
      <c r="BM945" s="3">
        <v>6.91</v>
      </c>
      <c r="BN945" s="3">
        <v>52.99</v>
      </c>
      <c r="BO945" s="3">
        <v>52.99</v>
      </c>
      <c r="BQ945" s="3" t="s">
        <v>89</v>
      </c>
      <c r="BR945" s="3" t="s">
        <v>84</v>
      </c>
      <c r="BS945" s="4">
        <v>44579</v>
      </c>
      <c r="BT945" s="5">
        <v>0.39999999999999997</v>
      </c>
      <c r="BU945" s="3" t="s">
        <v>1360</v>
      </c>
      <c r="BV945" s="3" t="s">
        <v>105</v>
      </c>
      <c r="BY945" s="3">
        <v>1200</v>
      </c>
      <c r="CA945" s="3" t="s">
        <v>297</v>
      </c>
      <c r="CC945" s="3" t="s">
        <v>98</v>
      </c>
      <c r="CD945" s="3">
        <v>2091</v>
      </c>
      <c r="CE945" s="3" t="s">
        <v>93</v>
      </c>
      <c r="CF945" s="4">
        <v>44580</v>
      </c>
      <c r="CI945" s="3">
        <v>1</v>
      </c>
      <c r="CJ945" s="3">
        <v>1</v>
      </c>
      <c r="CK945" s="3">
        <v>22</v>
      </c>
      <c r="CL945" s="3" t="s">
        <v>87</v>
      </c>
    </row>
    <row r="946" spans="1:90" x14ac:dyDescent="0.2">
      <c r="A946" s="3" t="s">
        <v>72</v>
      </c>
      <c r="B946" s="3" t="s">
        <v>73</v>
      </c>
      <c r="C946" s="3" t="s">
        <v>74</v>
      </c>
      <c r="E946" s="3" t="str">
        <f>"FES1162845388"</f>
        <v>FES1162845388</v>
      </c>
      <c r="F946" s="4">
        <v>44578</v>
      </c>
      <c r="G946" s="3">
        <v>202207</v>
      </c>
      <c r="H946" s="3" t="s">
        <v>75</v>
      </c>
      <c r="I946" s="3" t="s">
        <v>76</v>
      </c>
      <c r="J946" s="3" t="s">
        <v>77</v>
      </c>
      <c r="K946" s="3" t="s">
        <v>78</v>
      </c>
      <c r="L946" s="3" t="s">
        <v>162</v>
      </c>
      <c r="M946" s="3" t="s">
        <v>163</v>
      </c>
      <c r="N946" s="3" t="s">
        <v>1361</v>
      </c>
      <c r="O946" s="3" t="s">
        <v>82</v>
      </c>
      <c r="P946" s="3" t="str">
        <f>"2170816914                    "</f>
        <v xml:space="preserve">2170816914                    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12.07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0</v>
      </c>
      <c r="BB946" s="3">
        <v>0</v>
      </c>
      <c r="BC946" s="3">
        <v>0</v>
      </c>
      <c r="BD946" s="3">
        <v>0</v>
      </c>
      <c r="BE946" s="3">
        <v>0</v>
      </c>
      <c r="BF946" s="3">
        <v>0</v>
      </c>
      <c r="BG946" s="3">
        <v>0</v>
      </c>
      <c r="BH946" s="3">
        <v>1</v>
      </c>
      <c r="BI946" s="3">
        <v>1</v>
      </c>
      <c r="BJ946" s="3">
        <v>0.2</v>
      </c>
      <c r="BK946" s="3">
        <v>1</v>
      </c>
      <c r="BL946" s="3">
        <v>46.08</v>
      </c>
      <c r="BM946" s="3">
        <v>6.91</v>
      </c>
      <c r="BN946" s="3">
        <v>52.99</v>
      </c>
      <c r="BO946" s="3">
        <v>52.99</v>
      </c>
      <c r="BR946" s="3" t="s">
        <v>84</v>
      </c>
      <c r="BS946" s="4">
        <v>44579</v>
      </c>
      <c r="BT946" s="5">
        <v>0.35833333333333334</v>
      </c>
      <c r="BU946" s="3" t="s">
        <v>1066</v>
      </c>
      <c r="BV946" s="3" t="s">
        <v>105</v>
      </c>
      <c r="BY946" s="3">
        <v>1200</v>
      </c>
      <c r="CA946" s="3" t="s">
        <v>1051</v>
      </c>
      <c r="CC946" s="3" t="s">
        <v>163</v>
      </c>
      <c r="CD946" s="3">
        <v>1406</v>
      </c>
      <c r="CE946" s="3" t="s">
        <v>93</v>
      </c>
      <c r="CF946" s="4">
        <v>44579</v>
      </c>
      <c r="CI946" s="3">
        <v>1</v>
      </c>
      <c r="CJ946" s="3">
        <v>1</v>
      </c>
      <c r="CK946" s="3">
        <v>22</v>
      </c>
      <c r="CL946" s="3" t="s">
        <v>87</v>
      </c>
    </row>
    <row r="947" spans="1:90" x14ac:dyDescent="0.2">
      <c r="A947" s="3" t="s">
        <v>72</v>
      </c>
      <c r="B947" s="3" t="s">
        <v>73</v>
      </c>
      <c r="C947" s="3" t="s">
        <v>74</v>
      </c>
      <c r="E947" s="3" t="str">
        <f>"FES1162845335"</f>
        <v>FES1162845335</v>
      </c>
      <c r="F947" s="4">
        <v>44578</v>
      </c>
      <c r="G947" s="3">
        <v>202207</v>
      </c>
      <c r="H947" s="3" t="s">
        <v>75</v>
      </c>
      <c r="I947" s="3" t="s">
        <v>76</v>
      </c>
      <c r="J947" s="3" t="s">
        <v>77</v>
      </c>
      <c r="K947" s="3" t="s">
        <v>78</v>
      </c>
      <c r="L947" s="3" t="s">
        <v>184</v>
      </c>
      <c r="M947" s="3" t="s">
        <v>185</v>
      </c>
      <c r="N947" s="3" t="s">
        <v>186</v>
      </c>
      <c r="O947" s="3" t="s">
        <v>82</v>
      </c>
      <c r="P947" s="3" t="str">
        <f>"2170806113                    "</f>
        <v xml:space="preserve">2170806113                    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15.46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0</v>
      </c>
      <c r="AZ947" s="3">
        <v>0</v>
      </c>
      <c r="BA947" s="3">
        <v>0</v>
      </c>
      <c r="BB947" s="3">
        <v>0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1</v>
      </c>
      <c r="BI947" s="3">
        <v>1</v>
      </c>
      <c r="BJ947" s="3">
        <v>0.2</v>
      </c>
      <c r="BK947" s="3">
        <v>1</v>
      </c>
      <c r="BL947" s="3">
        <v>59</v>
      </c>
      <c r="BM947" s="3">
        <v>8.85</v>
      </c>
      <c r="BN947" s="3">
        <v>67.849999999999994</v>
      </c>
      <c r="BO947" s="3">
        <v>67.849999999999994</v>
      </c>
      <c r="BQ947" s="3" t="s">
        <v>83</v>
      </c>
      <c r="BR947" s="3" t="s">
        <v>84</v>
      </c>
      <c r="BS947" s="4">
        <v>44579</v>
      </c>
      <c r="BT947" s="5">
        <v>0.60486111111111118</v>
      </c>
      <c r="BU947" s="3" t="s">
        <v>604</v>
      </c>
      <c r="BV947" s="3" t="s">
        <v>87</v>
      </c>
      <c r="BW947" s="3" t="s">
        <v>353</v>
      </c>
      <c r="BX947" s="3" t="s">
        <v>605</v>
      </c>
      <c r="BY947" s="3">
        <v>1200</v>
      </c>
      <c r="CA947" s="3" t="s">
        <v>357</v>
      </c>
      <c r="CC947" s="3" t="s">
        <v>185</v>
      </c>
      <c r="CD947" s="3">
        <v>5201</v>
      </c>
      <c r="CE947" s="3" t="s">
        <v>93</v>
      </c>
      <c r="CF947" s="4">
        <v>44579</v>
      </c>
      <c r="CI947" s="3">
        <v>1</v>
      </c>
      <c r="CJ947" s="3">
        <v>1</v>
      </c>
      <c r="CK947" s="3">
        <v>21</v>
      </c>
      <c r="CL947" s="3" t="s">
        <v>87</v>
      </c>
    </row>
    <row r="948" spans="1:90" x14ac:dyDescent="0.2">
      <c r="A948" s="3" t="s">
        <v>72</v>
      </c>
      <c r="B948" s="3" t="s">
        <v>73</v>
      </c>
      <c r="C948" s="3" t="s">
        <v>74</v>
      </c>
      <c r="E948" s="3" t="str">
        <f>"FES1162845411"</f>
        <v>FES1162845411</v>
      </c>
      <c r="F948" s="4">
        <v>44578</v>
      </c>
      <c r="G948" s="3">
        <v>202207</v>
      </c>
      <c r="H948" s="3" t="s">
        <v>75</v>
      </c>
      <c r="I948" s="3" t="s">
        <v>76</v>
      </c>
      <c r="J948" s="3" t="s">
        <v>77</v>
      </c>
      <c r="K948" s="3" t="s">
        <v>78</v>
      </c>
      <c r="L948" s="3" t="s">
        <v>171</v>
      </c>
      <c r="M948" s="3" t="s">
        <v>172</v>
      </c>
      <c r="N948" s="3" t="s">
        <v>1362</v>
      </c>
      <c r="O948" s="3" t="s">
        <v>82</v>
      </c>
      <c r="P948" s="3" t="str">
        <f>"2170816943                    "</f>
        <v xml:space="preserve">2170816943                    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15.46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0</v>
      </c>
      <c r="BH948" s="3">
        <v>1</v>
      </c>
      <c r="BI948" s="3">
        <v>1</v>
      </c>
      <c r="BJ948" s="3">
        <v>0.2</v>
      </c>
      <c r="BK948" s="3">
        <v>1</v>
      </c>
      <c r="BL948" s="3">
        <v>59</v>
      </c>
      <c r="BM948" s="3">
        <v>8.85</v>
      </c>
      <c r="BN948" s="3">
        <v>67.849999999999994</v>
      </c>
      <c r="BO948" s="3">
        <v>67.849999999999994</v>
      </c>
      <c r="BR948" s="3" t="s">
        <v>84</v>
      </c>
      <c r="BS948" s="4">
        <v>44579</v>
      </c>
      <c r="BT948" s="5">
        <v>0.47569444444444442</v>
      </c>
      <c r="BU948" s="3" t="s">
        <v>1363</v>
      </c>
      <c r="BV948" s="3" t="s">
        <v>87</v>
      </c>
      <c r="BW948" s="3" t="s">
        <v>457</v>
      </c>
      <c r="BX948" s="3" t="s">
        <v>458</v>
      </c>
      <c r="BY948" s="3">
        <v>1200</v>
      </c>
      <c r="CA948" s="3" t="s">
        <v>509</v>
      </c>
      <c r="CC948" s="3" t="s">
        <v>172</v>
      </c>
      <c r="CD948" s="3">
        <v>6001</v>
      </c>
      <c r="CE948" s="3" t="s">
        <v>93</v>
      </c>
      <c r="CF948" s="4">
        <v>44579</v>
      </c>
      <c r="CI948" s="3">
        <v>1</v>
      </c>
      <c r="CJ948" s="3">
        <v>1</v>
      </c>
      <c r="CK948" s="3">
        <v>21</v>
      </c>
      <c r="CL948" s="3" t="s">
        <v>87</v>
      </c>
    </row>
    <row r="949" spans="1:90" x14ac:dyDescent="0.2">
      <c r="A949" s="3" t="s">
        <v>72</v>
      </c>
      <c r="B949" s="3" t="s">
        <v>73</v>
      </c>
      <c r="C949" s="3" t="s">
        <v>74</v>
      </c>
      <c r="E949" s="3" t="str">
        <f>"FES1162845409"</f>
        <v>FES1162845409</v>
      </c>
      <c r="F949" s="4">
        <v>44578</v>
      </c>
      <c r="G949" s="3">
        <v>202207</v>
      </c>
      <c r="H949" s="3" t="s">
        <v>75</v>
      </c>
      <c r="I949" s="3" t="s">
        <v>76</v>
      </c>
      <c r="J949" s="3" t="s">
        <v>77</v>
      </c>
      <c r="K949" s="3" t="s">
        <v>78</v>
      </c>
      <c r="L949" s="3" t="s">
        <v>75</v>
      </c>
      <c r="M949" s="3" t="s">
        <v>76</v>
      </c>
      <c r="N949" s="3" t="s">
        <v>1364</v>
      </c>
      <c r="O949" s="3" t="s">
        <v>82</v>
      </c>
      <c r="P949" s="3" t="str">
        <f>"2170816924                    "</f>
        <v xml:space="preserve">2170816924                    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12.07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3">
        <v>1</v>
      </c>
      <c r="BI949" s="3">
        <v>1</v>
      </c>
      <c r="BJ949" s="3">
        <v>0.2</v>
      </c>
      <c r="BK949" s="3">
        <v>1</v>
      </c>
      <c r="BL949" s="3">
        <v>46.08</v>
      </c>
      <c r="BM949" s="3">
        <v>6.91</v>
      </c>
      <c r="BN949" s="3">
        <v>52.99</v>
      </c>
      <c r="BO949" s="3">
        <v>52.99</v>
      </c>
      <c r="BQ949" s="3" t="s">
        <v>89</v>
      </c>
      <c r="BR949" s="3" t="s">
        <v>84</v>
      </c>
      <c r="BS949" s="4">
        <v>44579</v>
      </c>
      <c r="BT949" s="5">
        <v>0.3263888888888889</v>
      </c>
      <c r="BU949" s="3" t="s">
        <v>1365</v>
      </c>
      <c r="BV949" s="3" t="s">
        <v>105</v>
      </c>
      <c r="BY949" s="3">
        <v>1200</v>
      </c>
      <c r="CA949" s="3" t="s">
        <v>378</v>
      </c>
      <c r="CC949" s="3" t="s">
        <v>76</v>
      </c>
      <c r="CD949" s="3">
        <v>1601</v>
      </c>
      <c r="CE949" s="3" t="s">
        <v>93</v>
      </c>
      <c r="CF949" s="4">
        <v>44579</v>
      </c>
      <c r="CI949" s="3">
        <v>1</v>
      </c>
      <c r="CJ949" s="3">
        <v>1</v>
      </c>
      <c r="CK949" s="3">
        <v>22</v>
      </c>
      <c r="CL949" s="3" t="s">
        <v>87</v>
      </c>
    </row>
    <row r="950" spans="1:90" x14ac:dyDescent="0.2">
      <c r="A950" s="3" t="s">
        <v>72</v>
      </c>
      <c r="B950" s="3" t="s">
        <v>73</v>
      </c>
      <c r="C950" s="3" t="s">
        <v>74</v>
      </c>
      <c r="E950" s="3" t="str">
        <f>"FES1162845459"</f>
        <v>FES1162845459</v>
      </c>
      <c r="F950" s="4">
        <v>44578</v>
      </c>
      <c r="G950" s="3">
        <v>202207</v>
      </c>
      <c r="H950" s="3" t="s">
        <v>75</v>
      </c>
      <c r="I950" s="3" t="s">
        <v>76</v>
      </c>
      <c r="J950" s="3" t="s">
        <v>77</v>
      </c>
      <c r="K950" s="3" t="s">
        <v>78</v>
      </c>
      <c r="L950" s="3" t="s">
        <v>101</v>
      </c>
      <c r="M950" s="3" t="s">
        <v>102</v>
      </c>
      <c r="N950" s="3" t="s">
        <v>170</v>
      </c>
      <c r="O950" s="3" t="s">
        <v>82</v>
      </c>
      <c r="P950" s="3" t="str">
        <f>"2170817004                    "</f>
        <v xml:space="preserve">2170817004                    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57.94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1</v>
      </c>
      <c r="BI950" s="3">
        <v>4</v>
      </c>
      <c r="BJ950" s="3">
        <v>7.4</v>
      </c>
      <c r="BK950" s="3">
        <v>7.5</v>
      </c>
      <c r="BL950" s="3">
        <v>221.16</v>
      </c>
      <c r="BM950" s="3">
        <v>33.17</v>
      </c>
      <c r="BN950" s="3">
        <v>254.33</v>
      </c>
      <c r="BO950" s="3">
        <v>254.33</v>
      </c>
      <c r="BQ950" s="3" t="s">
        <v>89</v>
      </c>
      <c r="BR950" s="3" t="s">
        <v>84</v>
      </c>
      <c r="BS950" s="4">
        <v>44579</v>
      </c>
      <c r="BT950" s="5">
        <v>0.59652777777777777</v>
      </c>
      <c r="BU950" s="3" t="s">
        <v>369</v>
      </c>
      <c r="BV950" s="3" t="s">
        <v>87</v>
      </c>
      <c r="BW950" s="3" t="s">
        <v>457</v>
      </c>
      <c r="BX950" s="3" t="s">
        <v>279</v>
      </c>
      <c r="BY950" s="3">
        <v>36864</v>
      </c>
      <c r="CA950" s="3" t="s">
        <v>280</v>
      </c>
      <c r="CC950" s="3" t="s">
        <v>102</v>
      </c>
      <c r="CD950" s="3">
        <v>4001</v>
      </c>
      <c r="CE950" s="3" t="s">
        <v>86</v>
      </c>
      <c r="CF950" s="4">
        <v>44580</v>
      </c>
      <c r="CI950" s="3">
        <v>1</v>
      </c>
      <c r="CJ950" s="3">
        <v>1</v>
      </c>
      <c r="CK950" s="3">
        <v>21</v>
      </c>
      <c r="CL950" s="3" t="s">
        <v>87</v>
      </c>
    </row>
    <row r="951" spans="1:90" x14ac:dyDescent="0.2">
      <c r="A951" s="3" t="s">
        <v>72</v>
      </c>
      <c r="B951" s="3" t="s">
        <v>73</v>
      </c>
      <c r="C951" s="3" t="s">
        <v>74</v>
      </c>
      <c r="E951" s="3" t="str">
        <f>"FES1162845396"</f>
        <v>FES1162845396</v>
      </c>
      <c r="F951" s="4">
        <v>44578</v>
      </c>
      <c r="G951" s="3">
        <v>202207</v>
      </c>
      <c r="H951" s="3" t="s">
        <v>75</v>
      </c>
      <c r="I951" s="3" t="s">
        <v>76</v>
      </c>
      <c r="J951" s="3" t="s">
        <v>77</v>
      </c>
      <c r="K951" s="3" t="s">
        <v>78</v>
      </c>
      <c r="L951" s="3" t="s">
        <v>298</v>
      </c>
      <c r="M951" s="3" t="s">
        <v>299</v>
      </c>
      <c r="N951" s="3" t="s">
        <v>300</v>
      </c>
      <c r="O951" s="3" t="s">
        <v>82</v>
      </c>
      <c r="P951" s="3" t="str">
        <f>"2170816927                    "</f>
        <v xml:space="preserve">2170816927                    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29.95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1</v>
      </c>
      <c r="BI951" s="3">
        <v>1</v>
      </c>
      <c r="BJ951" s="3">
        <v>0.2</v>
      </c>
      <c r="BK951" s="3">
        <v>1</v>
      </c>
      <c r="BL951" s="3">
        <v>114.31</v>
      </c>
      <c r="BM951" s="3">
        <v>17.149999999999999</v>
      </c>
      <c r="BN951" s="3">
        <v>131.46</v>
      </c>
      <c r="BO951" s="3">
        <v>131.46</v>
      </c>
      <c r="BR951" s="3" t="s">
        <v>84</v>
      </c>
      <c r="BS951" s="4">
        <v>44579</v>
      </c>
      <c r="BT951" s="5">
        <v>0.40763888888888888</v>
      </c>
      <c r="BU951" s="3" t="s">
        <v>1366</v>
      </c>
      <c r="BV951" s="3" t="s">
        <v>105</v>
      </c>
      <c r="BY951" s="3">
        <v>1200</v>
      </c>
      <c r="CA951" s="3" t="s">
        <v>268</v>
      </c>
      <c r="CC951" s="3" t="s">
        <v>299</v>
      </c>
      <c r="CD951" s="3">
        <v>7349</v>
      </c>
      <c r="CE951" s="3" t="s">
        <v>93</v>
      </c>
      <c r="CF951" s="4">
        <v>44580</v>
      </c>
      <c r="CI951" s="3">
        <v>1</v>
      </c>
      <c r="CJ951" s="3">
        <v>1</v>
      </c>
      <c r="CK951" s="3">
        <v>23</v>
      </c>
      <c r="CL951" s="3" t="s">
        <v>87</v>
      </c>
    </row>
    <row r="952" spans="1:90" x14ac:dyDescent="0.2">
      <c r="A952" s="3" t="s">
        <v>72</v>
      </c>
      <c r="B952" s="3" t="s">
        <v>73</v>
      </c>
      <c r="C952" s="3" t="s">
        <v>74</v>
      </c>
      <c r="E952" s="3" t="str">
        <f>"FES1162845434"</f>
        <v>FES1162845434</v>
      </c>
      <c r="F952" s="4">
        <v>44578</v>
      </c>
      <c r="G952" s="3">
        <v>202207</v>
      </c>
      <c r="H952" s="3" t="s">
        <v>75</v>
      </c>
      <c r="I952" s="3" t="s">
        <v>76</v>
      </c>
      <c r="J952" s="3" t="s">
        <v>77</v>
      </c>
      <c r="K952" s="3" t="s">
        <v>78</v>
      </c>
      <c r="L952" s="3" t="s">
        <v>79</v>
      </c>
      <c r="M952" s="3" t="s">
        <v>80</v>
      </c>
      <c r="N952" s="3" t="s">
        <v>771</v>
      </c>
      <c r="O952" s="3" t="s">
        <v>82</v>
      </c>
      <c r="P952" s="3" t="str">
        <f>"2170816971                    "</f>
        <v xml:space="preserve">2170816971                    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15.46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  <c r="BH952" s="3">
        <v>1</v>
      </c>
      <c r="BI952" s="3">
        <v>1</v>
      </c>
      <c r="BJ952" s="3">
        <v>0.2</v>
      </c>
      <c r="BK952" s="3">
        <v>1</v>
      </c>
      <c r="BL952" s="3">
        <v>59</v>
      </c>
      <c r="BM952" s="3">
        <v>8.85</v>
      </c>
      <c r="BN952" s="3">
        <v>67.849999999999994</v>
      </c>
      <c r="BO952" s="3">
        <v>67.849999999999994</v>
      </c>
      <c r="BQ952" s="3" t="s">
        <v>89</v>
      </c>
      <c r="BR952" s="3" t="s">
        <v>84</v>
      </c>
      <c r="BS952" s="4">
        <v>44579</v>
      </c>
      <c r="BT952" s="5">
        <v>0.35972222222222222</v>
      </c>
      <c r="BU952" s="3" t="s">
        <v>1367</v>
      </c>
      <c r="BV952" s="3" t="s">
        <v>105</v>
      </c>
      <c r="BY952" s="3">
        <v>1200</v>
      </c>
      <c r="CA952" s="3" t="s">
        <v>1358</v>
      </c>
      <c r="CC952" s="3" t="s">
        <v>80</v>
      </c>
      <c r="CD952" s="3">
        <v>1</v>
      </c>
      <c r="CE952" s="3" t="s">
        <v>93</v>
      </c>
      <c r="CF952" s="4">
        <v>44579</v>
      </c>
      <c r="CI952" s="3">
        <v>1</v>
      </c>
      <c r="CJ952" s="3">
        <v>1</v>
      </c>
      <c r="CK952" s="3">
        <v>21</v>
      </c>
      <c r="CL952" s="3" t="s">
        <v>87</v>
      </c>
    </row>
    <row r="953" spans="1:90" x14ac:dyDescent="0.2">
      <c r="A953" s="3" t="s">
        <v>72</v>
      </c>
      <c r="B953" s="3" t="s">
        <v>73</v>
      </c>
      <c r="C953" s="3" t="s">
        <v>74</v>
      </c>
      <c r="E953" s="3" t="str">
        <f>"FES1162845427"</f>
        <v>FES1162845427</v>
      </c>
      <c r="F953" s="4">
        <v>44578</v>
      </c>
      <c r="G953" s="3">
        <v>202207</v>
      </c>
      <c r="H953" s="3" t="s">
        <v>75</v>
      </c>
      <c r="I953" s="3" t="s">
        <v>76</v>
      </c>
      <c r="J953" s="3" t="s">
        <v>77</v>
      </c>
      <c r="K953" s="3" t="s">
        <v>78</v>
      </c>
      <c r="L953" s="3" t="s">
        <v>142</v>
      </c>
      <c r="M953" s="3" t="s">
        <v>143</v>
      </c>
      <c r="N953" s="3" t="s">
        <v>1368</v>
      </c>
      <c r="O953" s="3" t="s">
        <v>82</v>
      </c>
      <c r="P953" s="3" t="str">
        <f>"2170816958                    "</f>
        <v xml:space="preserve">2170816958                    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12.07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1</v>
      </c>
      <c r="BI953" s="3">
        <v>1</v>
      </c>
      <c r="BJ953" s="3">
        <v>0.2</v>
      </c>
      <c r="BK953" s="3">
        <v>1</v>
      </c>
      <c r="BL953" s="3">
        <v>46.08</v>
      </c>
      <c r="BM953" s="3">
        <v>6.91</v>
      </c>
      <c r="BN953" s="3">
        <v>52.99</v>
      </c>
      <c r="BO953" s="3">
        <v>52.99</v>
      </c>
      <c r="BQ953" s="3" t="s">
        <v>83</v>
      </c>
      <c r="BR953" s="3" t="s">
        <v>84</v>
      </c>
      <c r="BS953" s="4">
        <v>44579</v>
      </c>
      <c r="BT953" s="5">
        <v>0.41111111111111115</v>
      </c>
      <c r="BU953" s="3" t="s">
        <v>1369</v>
      </c>
      <c r="BV953" s="3" t="s">
        <v>105</v>
      </c>
      <c r="BY953" s="3">
        <v>1200</v>
      </c>
      <c r="CA953" s="3" t="s">
        <v>1370</v>
      </c>
      <c r="CC953" s="3" t="s">
        <v>143</v>
      </c>
      <c r="CD953" s="3">
        <v>1449</v>
      </c>
      <c r="CE953" s="3" t="s">
        <v>93</v>
      </c>
      <c r="CF953" s="4">
        <v>44579</v>
      </c>
      <c r="CI953" s="3">
        <v>1</v>
      </c>
      <c r="CJ953" s="3">
        <v>1</v>
      </c>
      <c r="CK953" s="3">
        <v>22</v>
      </c>
      <c r="CL953" s="3" t="s">
        <v>87</v>
      </c>
    </row>
    <row r="954" spans="1:90" x14ac:dyDescent="0.2">
      <c r="A954" s="3" t="s">
        <v>72</v>
      </c>
      <c r="B954" s="3" t="s">
        <v>73</v>
      </c>
      <c r="C954" s="3" t="s">
        <v>74</v>
      </c>
      <c r="E954" s="3" t="str">
        <f>"FES1162845433"</f>
        <v>FES1162845433</v>
      </c>
      <c r="F954" s="4">
        <v>44578</v>
      </c>
      <c r="G954" s="3">
        <v>202207</v>
      </c>
      <c r="H954" s="3" t="s">
        <v>75</v>
      </c>
      <c r="I954" s="3" t="s">
        <v>76</v>
      </c>
      <c r="J954" s="3" t="s">
        <v>77</v>
      </c>
      <c r="K954" s="3" t="s">
        <v>78</v>
      </c>
      <c r="L954" s="3" t="s">
        <v>101</v>
      </c>
      <c r="M954" s="3" t="s">
        <v>102</v>
      </c>
      <c r="N954" s="3" t="s">
        <v>276</v>
      </c>
      <c r="O954" s="3" t="s">
        <v>82</v>
      </c>
      <c r="P954" s="3" t="str">
        <f>"2170816970                    "</f>
        <v xml:space="preserve">2170816970                    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15.46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  <c r="BH954" s="3">
        <v>1</v>
      </c>
      <c r="BI954" s="3">
        <v>1</v>
      </c>
      <c r="BJ954" s="3">
        <v>0.2</v>
      </c>
      <c r="BK954" s="3">
        <v>1</v>
      </c>
      <c r="BL954" s="3">
        <v>59</v>
      </c>
      <c r="BM954" s="3">
        <v>8.85</v>
      </c>
      <c r="BN954" s="3">
        <v>67.849999999999994</v>
      </c>
      <c r="BO954" s="3">
        <v>67.849999999999994</v>
      </c>
      <c r="BQ954" s="3" t="s">
        <v>89</v>
      </c>
      <c r="BR954" s="3" t="s">
        <v>84</v>
      </c>
      <c r="BS954" s="4">
        <v>44579</v>
      </c>
      <c r="BT954" s="5">
        <v>0.59722222222222221</v>
      </c>
      <c r="BU954" s="3" t="s">
        <v>277</v>
      </c>
      <c r="BV954" s="3" t="s">
        <v>87</v>
      </c>
      <c r="BW954" s="3" t="s">
        <v>457</v>
      </c>
      <c r="BX954" s="3" t="s">
        <v>279</v>
      </c>
      <c r="BY954" s="3">
        <v>1200</v>
      </c>
      <c r="CA954" s="3" t="s">
        <v>280</v>
      </c>
      <c r="CC954" s="3" t="s">
        <v>102</v>
      </c>
      <c r="CD954" s="3">
        <v>4001</v>
      </c>
      <c r="CE954" s="3" t="s">
        <v>93</v>
      </c>
      <c r="CF954" s="4">
        <v>44580</v>
      </c>
      <c r="CI954" s="3">
        <v>1</v>
      </c>
      <c r="CJ954" s="3">
        <v>1</v>
      </c>
      <c r="CK954" s="3">
        <v>21</v>
      </c>
      <c r="CL954" s="3" t="s">
        <v>87</v>
      </c>
    </row>
    <row r="955" spans="1:90" x14ac:dyDescent="0.2">
      <c r="A955" s="3" t="s">
        <v>72</v>
      </c>
      <c r="B955" s="3" t="s">
        <v>73</v>
      </c>
      <c r="C955" s="3" t="s">
        <v>74</v>
      </c>
      <c r="E955" s="3" t="str">
        <f>"FES1162845412"</f>
        <v>FES1162845412</v>
      </c>
      <c r="F955" s="4">
        <v>44578</v>
      </c>
      <c r="G955" s="3">
        <v>202207</v>
      </c>
      <c r="H955" s="3" t="s">
        <v>75</v>
      </c>
      <c r="I955" s="3" t="s">
        <v>76</v>
      </c>
      <c r="J955" s="3" t="s">
        <v>77</v>
      </c>
      <c r="K955" s="3" t="s">
        <v>78</v>
      </c>
      <c r="L955" s="3" t="s">
        <v>184</v>
      </c>
      <c r="M955" s="3" t="s">
        <v>185</v>
      </c>
      <c r="N955" s="3" t="s">
        <v>979</v>
      </c>
      <c r="O955" s="3" t="s">
        <v>82</v>
      </c>
      <c r="P955" s="3" t="str">
        <f>"2170816944                    "</f>
        <v xml:space="preserve">2170816944                    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15.46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3">
        <v>1</v>
      </c>
      <c r="BI955" s="3">
        <v>1</v>
      </c>
      <c r="BJ955" s="3">
        <v>0.2</v>
      </c>
      <c r="BK955" s="3">
        <v>1</v>
      </c>
      <c r="BL955" s="3">
        <v>59</v>
      </c>
      <c r="BM955" s="3">
        <v>8.85</v>
      </c>
      <c r="BN955" s="3">
        <v>67.849999999999994</v>
      </c>
      <c r="BO955" s="3">
        <v>67.849999999999994</v>
      </c>
      <c r="BQ955" s="3" t="s">
        <v>83</v>
      </c>
      <c r="BR955" s="3" t="s">
        <v>84</v>
      </c>
      <c r="BS955" s="4">
        <v>44579</v>
      </c>
      <c r="BT955" s="5">
        <v>0.39374999999999999</v>
      </c>
      <c r="BU955" s="3" t="s">
        <v>1371</v>
      </c>
      <c r="BV955" s="3" t="s">
        <v>105</v>
      </c>
      <c r="BY955" s="3">
        <v>1200</v>
      </c>
      <c r="CA955" s="3" t="s">
        <v>357</v>
      </c>
      <c r="CC955" s="3" t="s">
        <v>185</v>
      </c>
      <c r="CD955" s="3">
        <v>5201</v>
      </c>
      <c r="CE955" s="3" t="s">
        <v>93</v>
      </c>
      <c r="CF955" s="4">
        <v>44579</v>
      </c>
      <c r="CI955" s="3">
        <v>1</v>
      </c>
      <c r="CJ955" s="3">
        <v>1</v>
      </c>
      <c r="CK955" s="3">
        <v>21</v>
      </c>
      <c r="CL955" s="3" t="s">
        <v>87</v>
      </c>
    </row>
    <row r="956" spans="1:90" x14ac:dyDescent="0.2">
      <c r="A956" s="3" t="s">
        <v>72</v>
      </c>
      <c r="B956" s="3" t="s">
        <v>73</v>
      </c>
      <c r="C956" s="3" t="s">
        <v>74</v>
      </c>
      <c r="E956" s="3" t="str">
        <f>"FES1162845430"</f>
        <v>FES1162845430</v>
      </c>
      <c r="F956" s="4">
        <v>44578</v>
      </c>
      <c r="G956" s="3">
        <v>202207</v>
      </c>
      <c r="H956" s="3" t="s">
        <v>75</v>
      </c>
      <c r="I956" s="3" t="s">
        <v>76</v>
      </c>
      <c r="J956" s="3" t="s">
        <v>77</v>
      </c>
      <c r="K956" s="3" t="s">
        <v>78</v>
      </c>
      <c r="L956" s="3" t="s">
        <v>101</v>
      </c>
      <c r="M956" s="3" t="s">
        <v>102</v>
      </c>
      <c r="N956" s="3" t="s">
        <v>1372</v>
      </c>
      <c r="O956" s="3" t="s">
        <v>82</v>
      </c>
      <c r="P956" s="3" t="str">
        <f>"2170816963                    "</f>
        <v xml:space="preserve">2170816963                    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15.46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1</v>
      </c>
      <c r="BI956" s="3">
        <v>1</v>
      </c>
      <c r="BJ956" s="3">
        <v>0.2</v>
      </c>
      <c r="BK956" s="3">
        <v>1</v>
      </c>
      <c r="BL956" s="3">
        <v>59</v>
      </c>
      <c r="BM956" s="3">
        <v>8.85</v>
      </c>
      <c r="BN956" s="3">
        <v>67.849999999999994</v>
      </c>
      <c r="BO956" s="3">
        <v>67.849999999999994</v>
      </c>
      <c r="BQ956" s="3" t="s">
        <v>750</v>
      </c>
      <c r="BR956" s="3" t="s">
        <v>84</v>
      </c>
      <c r="BS956" s="4">
        <v>44579</v>
      </c>
      <c r="BT956" s="5">
        <v>0.3263888888888889</v>
      </c>
      <c r="BU956" s="3" t="s">
        <v>1373</v>
      </c>
      <c r="BV956" s="3" t="s">
        <v>105</v>
      </c>
      <c r="BY956" s="3">
        <v>1200</v>
      </c>
      <c r="CA956" s="3" t="s">
        <v>240</v>
      </c>
      <c r="CC956" s="3" t="s">
        <v>102</v>
      </c>
      <c r="CD956" s="3">
        <v>4052</v>
      </c>
      <c r="CE956" s="3" t="s">
        <v>93</v>
      </c>
      <c r="CF956" s="4">
        <v>44580</v>
      </c>
      <c r="CI956" s="3">
        <v>1</v>
      </c>
      <c r="CJ956" s="3">
        <v>1</v>
      </c>
      <c r="CK956" s="3">
        <v>21</v>
      </c>
      <c r="CL956" s="3" t="s">
        <v>87</v>
      </c>
    </row>
    <row r="957" spans="1:90" x14ac:dyDescent="0.2">
      <c r="A957" s="3" t="s">
        <v>72</v>
      </c>
      <c r="B957" s="3" t="s">
        <v>73</v>
      </c>
      <c r="C957" s="3" t="s">
        <v>74</v>
      </c>
      <c r="E957" s="3" t="str">
        <f>"FES1162845424"</f>
        <v>FES1162845424</v>
      </c>
      <c r="F957" s="4">
        <v>44578</v>
      </c>
      <c r="G957" s="3">
        <v>202207</v>
      </c>
      <c r="H957" s="3" t="s">
        <v>75</v>
      </c>
      <c r="I957" s="3" t="s">
        <v>76</v>
      </c>
      <c r="J957" s="3" t="s">
        <v>77</v>
      </c>
      <c r="K957" s="3" t="s">
        <v>78</v>
      </c>
      <c r="L957" s="3" t="s">
        <v>79</v>
      </c>
      <c r="M957" s="3" t="s">
        <v>80</v>
      </c>
      <c r="N957" s="3" t="s">
        <v>248</v>
      </c>
      <c r="O957" s="3" t="s">
        <v>82</v>
      </c>
      <c r="P957" s="3" t="str">
        <f>"2170816571                    "</f>
        <v xml:space="preserve">2170816571                    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0</v>
      </c>
      <c r="AJ957" s="3">
        <v>0</v>
      </c>
      <c r="AK957" s="3">
        <v>73.39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0</v>
      </c>
      <c r="BF957" s="3">
        <v>0</v>
      </c>
      <c r="BG957" s="3">
        <v>0</v>
      </c>
      <c r="BH957" s="3">
        <v>1</v>
      </c>
      <c r="BI957" s="3">
        <v>7</v>
      </c>
      <c r="BJ957" s="3">
        <v>9.1999999999999993</v>
      </c>
      <c r="BK957" s="3">
        <v>9.5</v>
      </c>
      <c r="BL957" s="3">
        <v>280.13</v>
      </c>
      <c r="BM957" s="3">
        <v>42.02</v>
      </c>
      <c r="BN957" s="3">
        <v>322.14999999999998</v>
      </c>
      <c r="BO957" s="3">
        <v>322.14999999999998</v>
      </c>
      <c r="BQ957" s="3" t="s">
        <v>83</v>
      </c>
      <c r="BR957" s="3" t="s">
        <v>84</v>
      </c>
      <c r="BS957" s="4">
        <v>44579</v>
      </c>
      <c r="BT957" s="5">
        <v>0.3743055555555555</v>
      </c>
      <c r="BU957" s="3" t="s">
        <v>1008</v>
      </c>
      <c r="BV957" s="3" t="s">
        <v>105</v>
      </c>
      <c r="BY957" s="3">
        <v>45968</v>
      </c>
      <c r="CA957" s="3" t="s">
        <v>362</v>
      </c>
      <c r="CC957" s="3" t="s">
        <v>80</v>
      </c>
      <c r="CD957" s="3">
        <v>1</v>
      </c>
      <c r="CE957" s="3" t="s">
        <v>86</v>
      </c>
      <c r="CF957" s="4">
        <v>44579</v>
      </c>
      <c r="CI957" s="3">
        <v>1</v>
      </c>
      <c r="CJ957" s="3">
        <v>1</v>
      </c>
      <c r="CK957" s="3">
        <v>21</v>
      </c>
      <c r="CL957" s="3" t="s">
        <v>87</v>
      </c>
    </row>
    <row r="958" spans="1:90" x14ac:dyDescent="0.2">
      <c r="A958" s="3" t="s">
        <v>72</v>
      </c>
      <c r="B958" s="3" t="s">
        <v>73</v>
      </c>
      <c r="C958" s="3" t="s">
        <v>74</v>
      </c>
      <c r="E958" s="3" t="str">
        <f>"FES1162845399"</f>
        <v>FES1162845399</v>
      </c>
      <c r="F958" s="4">
        <v>44578</v>
      </c>
      <c r="G958" s="3">
        <v>202207</v>
      </c>
      <c r="H958" s="3" t="s">
        <v>75</v>
      </c>
      <c r="I958" s="3" t="s">
        <v>76</v>
      </c>
      <c r="J958" s="3" t="s">
        <v>77</v>
      </c>
      <c r="K958" s="3" t="s">
        <v>78</v>
      </c>
      <c r="L958" s="3" t="s">
        <v>298</v>
      </c>
      <c r="M958" s="3" t="s">
        <v>299</v>
      </c>
      <c r="N958" s="3" t="s">
        <v>300</v>
      </c>
      <c r="O958" s="3" t="s">
        <v>82</v>
      </c>
      <c r="P958" s="3" t="str">
        <f>"2170816931                    "</f>
        <v xml:space="preserve">2170816931                    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63.76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v>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3">
        <v>1</v>
      </c>
      <c r="BI958" s="3">
        <v>2</v>
      </c>
      <c r="BJ958" s="3">
        <v>4.0999999999999996</v>
      </c>
      <c r="BK958" s="3">
        <v>4.5</v>
      </c>
      <c r="BL958" s="3">
        <v>243.37</v>
      </c>
      <c r="BM958" s="3">
        <v>36.51</v>
      </c>
      <c r="BN958" s="3">
        <v>279.88</v>
      </c>
      <c r="BO958" s="3">
        <v>279.88</v>
      </c>
      <c r="BR958" s="3" t="s">
        <v>84</v>
      </c>
      <c r="BS958" s="4">
        <v>44579</v>
      </c>
      <c r="BT958" s="5">
        <v>0.40763888888888888</v>
      </c>
      <c r="BU958" s="3" t="s">
        <v>1366</v>
      </c>
      <c r="BV958" s="3" t="s">
        <v>105</v>
      </c>
      <c r="BY958" s="3">
        <v>20358</v>
      </c>
      <c r="CA958" s="3" t="s">
        <v>268</v>
      </c>
      <c r="CC958" s="3" t="s">
        <v>299</v>
      </c>
      <c r="CD958" s="3">
        <v>7349</v>
      </c>
      <c r="CE958" s="3" t="s">
        <v>86</v>
      </c>
      <c r="CF958" s="4">
        <v>44580</v>
      </c>
      <c r="CI958" s="3">
        <v>1</v>
      </c>
      <c r="CJ958" s="3">
        <v>1</v>
      </c>
      <c r="CK958" s="3">
        <v>23</v>
      </c>
      <c r="CL958" s="3" t="s">
        <v>87</v>
      </c>
    </row>
    <row r="959" spans="1:90" x14ac:dyDescent="0.2">
      <c r="A959" s="3" t="s">
        <v>72</v>
      </c>
      <c r="B959" s="3" t="s">
        <v>73</v>
      </c>
      <c r="C959" s="3" t="s">
        <v>74</v>
      </c>
      <c r="E959" s="3" t="str">
        <f>"FES1162845305"</f>
        <v>FES1162845305</v>
      </c>
      <c r="F959" s="4">
        <v>44578</v>
      </c>
      <c r="G959" s="3">
        <v>202207</v>
      </c>
      <c r="H959" s="3" t="s">
        <v>75</v>
      </c>
      <c r="I959" s="3" t="s">
        <v>76</v>
      </c>
      <c r="J959" s="3" t="s">
        <v>77</v>
      </c>
      <c r="K959" s="3" t="s">
        <v>78</v>
      </c>
      <c r="L959" s="3" t="s">
        <v>171</v>
      </c>
      <c r="M959" s="3" t="s">
        <v>172</v>
      </c>
      <c r="N959" s="3" t="s">
        <v>1321</v>
      </c>
      <c r="O959" s="3" t="s">
        <v>82</v>
      </c>
      <c r="P959" s="3" t="str">
        <f>"2170816852                    "</f>
        <v xml:space="preserve">2170816852                    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54.08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1</v>
      </c>
      <c r="BI959" s="3">
        <v>7</v>
      </c>
      <c r="BJ959" s="3">
        <v>4.0999999999999996</v>
      </c>
      <c r="BK959" s="3">
        <v>7</v>
      </c>
      <c r="BL959" s="3">
        <v>206.42</v>
      </c>
      <c r="BM959" s="3">
        <v>30.96</v>
      </c>
      <c r="BN959" s="3">
        <v>237.38</v>
      </c>
      <c r="BO959" s="3">
        <v>237.38</v>
      </c>
      <c r="BQ959" s="3" t="s">
        <v>1322</v>
      </c>
      <c r="BR959" s="3" t="s">
        <v>84</v>
      </c>
      <c r="BS959" s="4">
        <v>44579</v>
      </c>
      <c r="BT959" s="5">
        <v>0.55694444444444446</v>
      </c>
      <c r="BU959" s="3" t="s">
        <v>1323</v>
      </c>
      <c r="BV959" s="3" t="s">
        <v>87</v>
      </c>
      <c r="BW959" s="3" t="s">
        <v>457</v>
      </c>
      <c r="BX959" s="3" t="s">
        <v>458</v>
      </c>
      <c r="BY959" s="3">
        <v>20358</v>
      </c>
      <c r="CA959" s="3" t="s">
        <v>509</v>
      </c>
      <c r="CC959" s="3" t="s">
        <v>172</v>
      </c>
      <c r="CD959" s="3">
        <v>6001</v>
      </c>
      <c r="CE959" s="3" t="s">
        <v>86</v>
      </c>
      <c r="CF959" s="4">
        <v>44579</v>
      </c>
      <c r="CI959" s="3">
        <v>1</v>
      </c>
      <c r="CJ959" s="3">
        <v>1</v>
      </c>
      <c r="CK959" s="3">
        <v>21</v>
      </c>
      <c r="CL959" s="3" t="s">
        <v>87</v>
      </c>
    </row>
    <row r="960" spans="1:90" x14ac:dyDescent="0.2">
      <c r="A960" s="3" t="s">
        <v>72</v>
      </c>
      <c r="B960" s="3" t="s">
        <v>73</v>
      </c>
      <c r="C960" s="3" t="s">
        <v>74</v>
      </c>
      <c r="E960" s="3" t="str">
        <f>"FES1162845284"</f>
        <v>FES1162845284</v>
      </c>
      <c r="F960" s="4">
        <v>44578</v>
      </c>
      <c r="G960" s="3">
        <v>202207</v>
      </c>
      <c r="H960" s="3" t="s">
        <v>75</v>
      </c>
      <c r="I960" s="3" t="s">
        <v>76</v>
      </c>
      <c r="J960" s="3" t="s">
        <v>77</v>
      </c>
      <c r="K960" s="3" t="s">
        <v>78</v>
      </c>
      <c r="L960" s="3" t="s">
        <v>171</v>
      </c>
      <c r="M960" s="3" t="s">
        <v>172</v>
      </c>
      <c r="N960" s="3" t="s">
        <v>174</v>
      </c>
      <c r="O960" s="3" t="s">
        <v>82</v>
      </c>
      <c r="P960" s="3" t="str">
        <f>"2170816675                    "</f>
        <v xml:space="preserve">2170816675                    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15.46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3">
        <v>1</v>
      </c>
      <c r="BI960" s="3">
        <v>1</v>
      </c>
      <c r="BJ960" s="3">
        <v>0.2</v>
      </c>
      <c r="BK960" s="3">
        <v>1</v>
      </c>
      <c r="BL960" s="3">
        <v>59</v>
      </c>
      <c r="BM960" s="3">
        <v>8.85</v>
      </c>
      <c r="BN960" s="3">
        <v>67.849999999999994</v>
      </c>
      <c r="BO960" s="3">
        <v>67.849999999999994</v>
      </c>
      <c r="BQ960" s="3" t="s">
        <v>83</v>
      </c>
      <c r="BR960" s="3" t="s">
        <v>84</v>
      </c>
      <c r="BS960" s="4">
        <v>44579</v>
      </c>
      <c r="BT960" s="5">
        <v>0.4993055555555555</v>
      </c>
      <c r="BU960" s="3" t="s">
        <v>650</v>
      </c>
      <c r="BV960" s="3" t="s">
        <v>87</v>
      </c>
      <c r="BW960" s="3" t="s">
        <v>457</v>
      </c>
      <c r="BX960" s="3" t="s">
        <v>458</v>
      </c>
      <c r="BY960" s="3">
        <v>1200</v>
      </c>
      <c r="CA960" s="3" t="s">
        <v>263</v>
      </c>
      <c r="CC960" s="3" t="s">
        <v>172</v>
      </c>
      <c r="CD960" s="3">
        <v>6001</v>
      </c>
      <c r="CE960" s="3" t="s">
        <v>93</v>
      </c>
      <c r="CF960" s="4">
        <v>44579</v>
      </c>
      <c r="CI960" s="3">
        <v>1</v>
      </c>
      <c r="CJ960" s="3">
        <v>1</v>
      </c>
      <c r="CK960" s="3">
        <v>21</v>
      </c>
      <c r="CL960" s="3" t="s">
        <v>87</v>
      </c>
    </row>
    <row r="961" spans="1:90" x14ac:dyDescent="0.2">
      <c r="A961" s="3" t="s">
        <v>72</v>
      </c>
      <c r="B961" s="3" t="s">
        <v>73</v>
      </c>
      <c r="C961" s="3" t="s">
        <v>74</v>
      </c>
      <c r="E961" s="3" t="str">
        <f>"FES1162845306"</f>
        <v>FES1162845306</v>
      </c>
      <c r="F961" s="4">
        <v>44578</v>
      </c>
      <c r="G961" s="3">
        <v>202207</v>
      </c>
      <c r="H961" s="3" t="s">
        <v>75</v>
      </c>
      <c r="I961" s="3" t="s">
        <v>76</v>
      </c>
      <c r="J961" s="3" t="s">
        <v>77</v>
      </c>
      <c r="K961" s="3" t="s">
        <v>78</v>
      </c>
      <c r="L961" s="3" t="s">
        <v>101</v>
      </c>
      <c r="M961" s="3" t="s">
        <v>102</v>
      </c>
      <c r="N961" s="3" t="s">
        <v>170</v>
      </c>
      <c r="O961" s="3" t="s">
        <v>148</v>
      </c>
      <c r="P961" s="3" t="str">
        <f>"2170816853                    "</f>
        <v xml:space="preserve">2170816853                    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29.89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3">
        <v>1</v>
      </c>
      <c r="BI961" s="3">
        <v>10</v>
      </c>
      <c r="BJ961" s="3">
        <v>4.0999999999999996</v>
      </c>
      <c r="BK961" s="3">
        <v>10</v>
      </c>
      <c r="BL961" s="3">
        <v>119.34</v>
      </c>
      <c r="BM961" s="3">
        <v>17.899999999999999</v>
      </c>
      <c r="BN961" s="3">
        <v>137.24</v>
      </c>
      <c r="BO961" s="3">
        <v>137.24</v>
      </c>
      <c r="BQ961" s="3" t="s">
        <v>89</v>
      </c>
      <c r="BR961" s="3" t="s">
        <v>84</v>
      </c>
      <c r="BS961" s="4">
        <v>44579</v>
      </c>
      <c r="BT961" s="5">
        <v>0.59652777777777777</v>
      </c>
      <c r="BU961" s="3" t="s">
        <v>369</v>
      </c>
      <c r="BV961" s="3" t="s">
        <v>105</v>
      </c>
      <c r="BY961" s="3">
        <v>20358</v>
      </c>
      <c r="CA961" s="3" t="s">
        <v>280</v>
      </c>
      <c r="CC961" s="3" t="s">
        <v>102</v>
      </c>
      <c r="CD961" s="3">
        <v>4001</v>
      </c>
      <c r="CE961" s="3" t="s">
        <v>86</v>
      </c>
      <c r="CF961" s="4">
        <v>44580</v>
      </c>
      <c r="CI961" s="3">
        <v>1</v>
      </c>
      <c r="CJ961" s="3">
        <v>1</v>
      </c>
      <c r="CK961" s="3">
        <v>41</v>
      </c>
      <c r="CL961" s="3" t="s">
        <v>87</v>
      </c>
    </row>
    <row r="962" spans="1:90" x14ac:dyDescent="0.2">
      <c r="A962" s="3" t="s">
        <v>72</v>
      </c>
      <c r="B962" s="3" t="s">
        <v>73</v>
      </c>
      <c r="C962" s="3" t="s">
        <v>74</v>
      </c>
      <c r="E962" s="3" t="str">
        <f>"FES1162845401"</f>
        <v>FES1162845401</v>
      </c>
      <c r="F962" s="4">
        <v>44578</v>
      </c>
      <c r="G962" s="3">
        <v>202207</v>
      </c>
      <c r="H962" s="3" t="s">
        <v>75</v>
      </c>
      <c r="I962" s="3" t="s">
        <v>76</v>
      </c>
      <c r="J962" s="3" t="s">
        <v>77</v>
      </c>
      <c r="K962" s="3" t="s">
        <v>78</v>
      </c>
      <c r="L962" s="3" t="s">
        <v>97</v>
      </c>
      <c r="M962" s="3" t="s">
        <v>98</v>
      </c>
      <c r="N962" s="3" t="s">
        <v>1142</v>
      </c>
      <c r="O962" s="3" t="s">
        <v>82</v>
      </c>
      <c r="P962" s="3" t="str">
        <f>"2170816933                    "</f>
        <v xml:space="preserve">2170816933                    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12.07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1</v>
      </c>
      <c r="BI962" s="3">
        <v>1</v>
      </c>
      <c r="BJ962" s="3">
        <v>0.2</v>
      </c>
      <c r="BK962" s="3">
        <v>1</v>
      </c>
      <c r="BL962" s="3">
        <v>46.08</v>
      </c>
      <c r="BM962" s="3">
        <v>6.91</v>
      </c>
      <c r="BN962" s="3">
        <v>52.99</v>
      </c>
      <c r="BO962" s="3">
        <v>52.99</v>
      </c>
      <c r="BQ962" s="3" t="s">
        <v>89</v>
      </c>
      <c r="BR962" s="3" t="s">
        <v>84</v>
      </c>
      <c r="BS962" s="4">
        <v>44579</v>
      </c>
      <c r="BT962" s="5">
        <v>0.40069444444444446</v>
      </c>
      <c r="BU962" s="3" t="s">
        <v>1360</v>
      </c>
      <c r="BV962" s="3" t="s">
        <v>105</v>
      </c>
      <c r="BY962" s="3">
        <v>1200</v>
      </c>
      <c r="CA962" s="3" t="s">
        <v>297</v>
      </c>
      <c r="CC962" s="3" t="s">
        <v>98</v>
      </c>
      <c r="CD962" s="3">
        <v>2091</v>
      </c>
      <c r="CE962" s="3" t="s">
        <v>93</v>
      </c>
      <c r="CF962" s="4">
        <v>44580</v>
      </c>
      <c r="CI962" s="3">
        <v>1</v>
      </c>
      <c r="CJ962" s="3">
        <v>1</v>
      </c>
      <c r="CK962" s="3">
        <v>22</v>
      </c>
      <c r="CL962" s="3" t="s">
        <v>87</v>
      </c>
    </row>
    <row r="963" spans="1:90" x14ac:dyDescent="0.2">
      <c r="A963" s="3" t="s">
        <v>72</v>
      </c>
      <c r="B963" s="3" t="s">
        <v>73</v>
      </c>
      <c r="C963" s="3" t="s">
        <v>74</v>
      </c>
      <c r="E963" s="3" t="str">
        <f>"FES1162845281"</f>
        <v>FES1162845281</v>
      </c>
      <c r="F963" s="4">
        <v>44578</v>
      </c>
      <c r="G963" s="3">
        <v>202207</v>
      </c>
      <c r="H963" s="3" t="s">
        <v>75</v>
      </c>
      <c r="I963" s="3" t="s">
        <v>76</v>
      </c>
      <c r="J963" s="3" t="s">
        <v>77</v>
      </c>
      <c r="K963" s="3" t="s">
        <v>78</v>
      </c>
      <c r="L963" s="3" t="s">
        <v>97</v>
      </c>
      <c r="M963" s="3" t="s">
        <v>98</v>
      </c>
      <c r="N963" s="3" t="s">
        <v>1068</v>
      </c>
      <c r="O963" s="3" t="s">
        <v>82</v>
      </c>
      <c r="P963" s="3" t="str">
        <f>"2170816610                    "</f>
        <v xml:space="preserve">2170816610                    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12.07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3">
        <v>1</v>
      </c>
      <c r="BI963" s="3">
        <v>2</v>
      </c>
      <c r="BJ963" s="3">
        <v>2</v>
      </c>
      <c r="BK963" s="3">
        <v>2</v>
      </c>
      <c r="BL963" s="3">
        <v>46.08</v>
      </c>
      <c r="BM963" s="3">
        <v>6.91</v>
      </c>
      <c r="BN963" s="3">
        <v>52.99</v>
      </c>
      <c r="BO963" s="3">
        <v>52.99</v>
      </c>
      <c r="BR963" s="3" t="s">
        <v>84</v>
      </c>
      <c r="BS963" s="4">
        <v>44579</v>
      </c>
      <c r="BT963" s="5">
        <v>0.33958333333333335</v>
      </c>
      <c r="BU963" s="3" t="s">
        <v>1374</v>
      </c>
      <c r="BV963" s="3" t="s">
        <v>105</v>
      </c>
      <c r="BY963" s="3">
        <v>9918</v>
      </c>
      <c r="CA963" s="3" t="s">
        <v>297</v>
      </c>
      <c r="CC963" s="3" t="s">
        <v>98</v>
      </c>
      <c r="CD963" s="3">
        <v>2013</v>
      </c>
      <c r="CE963" s="3" t="s">
        <v>86</v>
      </c>
      <c r="CF963" s="4">
        <v>44580</v>
      </c>
      <c r="CI963" s="3">
        <v>1</v>
      </c>
      <c r="CJ963" s="3">
        <v>1</v>
      </c>
      <c r="CK963" s="3">
        <v>22</v>
      </c>
      <c r="CL963" s="3" t="s">
        <v>87</v>
      </c>
    </row>
    <row r="964" spans="1:90" x14ac:dyDescent="0.2">
      <c r="A964" s="3" t="s">
        <v>72</v>
      </c>
      <c r="B964" s="3" t="s">
        <v>73</v>
      </c>
      <c r="C964" s="3" t="s">
        <v>74</v>
      </c>
      <c r="E964" s="3" t="str">
        <f>"FES1162845377"</f>
        <v>FES1162845377</v>
      </c>
      <c r="F964" s="4">
        <v>44578</v>
      </c>
      <c r="G964" s="3">
        <v>202207</v>
      </c>
      <c r="H964" s="3" t="s">
        <v>75</v>
      </c>
      <c r="I964" s="3" t="s">
        <v>76</v>
      </c>
      <c r="J964" s="3" t="s">
        <v>77</v>
      </c>
      <c r="K964" s="3" t="s">
        <v>78</v>
      </c>
      <c r="L964" s="3" t="s">
        <v>90</v>
      </c>
      <c r="M964" s="3" t="s">
        <v>91</v>
      </c>
      <c r="N964" s="3" t="s">
        <v>735</v>
      </c>
      <c r="O964" s="3" t="s">
        <v>82</v>
      </c>
      <c r="P964" s="3" t="str">
        <f>"2170815310                    "</f>
        <v xml:space="preserve">2170815310                    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15.46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3">
        <v>1</v>
      </c>
      <c r="BI964" s="3">
        <v>1</v>
      </c>
      <c r="BJ964" s="3">
        <v>0.2</v>
      </c>
      <c r="BK964" s="3">
        <v>1</v>
      </c>
      <c r="BL964" s="3">
        <v>59</v>
      </c>
      <c r="BM964" s="3">
        <v>8.85</v>
      </c>
      <c r="BN964" s="3">
        <v>67.849999999999994</v>
      </c>
      <c r="BO964" s="3">
        <v>67.849999999999994</v>
      </c>
      <c r="BQ964" s="3" t="s">
        <v>273</v>
      </c>
      <c r="BR964" s="3" t="s">
        <v>84</v>
      </c>
      <c r="BS964" s="4">
        <v>44579</v>
      </c>
      <c r="BT964" s="5">
        <v>0.33333333333333331</v>
      </c>
      <c r="BU964" s="3" t="s">
        <v>1375</v>
      </c>
      <c r="BV964" s="3" t="s">
        <v>105</v>
      </c>
      <c r="BY964" s="3">
        <v>1200</v>
      </c>
      <c r="CA964" s="3" t="s">
        <v>566</v>
      </c>
      <c r="CC964" s="3" t="s">
        <v>91</v>
      </c>
      <c r="CD964" s="3">
        <v>7460</v>
      </c>
      <c r="CE964" s="3" t="s">
        <v>93</v>
      </c>
      <c r="CF964" s="4">
        <v>44580</v>
      </c>
      <c r="CI964" s="3">
        <v>1</v>
      </c>
      <c r="CJ964" s="3">
        <v>1</v>
      </c>
      <c r="CK964" s="3">
        <v>21</v>
      </c>
      <c r="CL964" s="3" t="s">
        <v>87</v>
      </c>
    </row>
    <row r="965" spans="1:90" x14ac:dyDescent="0.2">
      <c r="A965" s="3" t="s">
        <v>72</v>
      </c>
      <c r="B965" s="3" t="s">
        <v>73</v>
      </c>
      <c r="C965" s="3" t="s">
        <v>74</v>
      </c>
      <c r="E965" s="3" t="str">
        <f>"FES1162845312"</f>
        <v>FES1162845312</v>
      </c>
      <c r="F965" s="4">
        <v>44578</v>
      </c>
      <c r="G965" s="3">
        <v>202207</v>
      </c>
      <c r="H965" s="3" t="s">
        <v>75</v>
      </c>
      <c r="I965" s="3" t="s">
        <v>76</v>
      </c>
      <c r="J965" s="3" t="s">
        <v>77</v>
      </c>
      <c r="K965" s="3" t="s">
        <v>78</v>
      </c>
      <c r="L965" s="3" t="s">
        <v>694</v>
      </c>
      <c r="M965" s="3" t="s">
        <v>695</v>
      </c>
      <c r="N965" s="3" t="s">
        <v>696</v>
      </c>
      <c r="O965" s="3" t="s">
        <v>82</v>
      </c>
      <c r="P965" s="3" t="str">
        <f>"2170816862                    "</f>
        <v xml:space="preserve">2170816862                    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63.76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1</v>
      </c>
      <c r="BI965" s="3">
        <v>3</v>
      </c>
      <c r="BJ965" s="3">
        <v>4.0999999999999996</v>
      </c>
      <c r="BK965" s="3">
        <v>4.5</v>
      </c>
      <c r="BL965" s="3">
        <v>243.37</v>
      </c>
      <c r="BM965" s="3">
        <v>36.51</v>
      </c>
      <c r="BN965" s="3">
        <v>279.88</v>
      </c>
      <c r="BO965" s="3">
        <v>279.88</v>
      </c>
      <c r="BR965" s="3" t="s">
        <v>84</v>
      </c>
      <c r="BS965" s="4">
        <v>44579</v>
      </c>
      <c r="BT965" s="5">
        <v>0.64652777777777781</v>
      </c>
      <c r="BU965" s="3" t="s">
        <v>697</v>
      </c>
      <c r="BV965" s="3" t="s">
        <v>105</v>
      </c>
      <c r="BY965" s="3">
        <v>20358</v>
      </c>
      <c r="CA965" s="3" t="s">
        <v>698</v>
      </c>
      <c r="CC965" s="3" t="s">
        <v>695</v>
      </c>
      <c r="CD965" s="3">
        <v>4430</v>
      </c>
      <c r="CE965" s="3" t="s">
        <v>86</v>
      </c>
      <c r="CF965" s="4">
        <v>44580</v>
      </c>
      <c r="CI965" s="3">
        <v>1</v>
      </c>
      <c r="CJ965" s="3">
        <v>1</v>
      </c>
      <c r="CK965" s="3">
        <v>23</v>
      </c>
      <c r="CL965" s="3" t="s">
        <v>87</v>
      </c>
    </row>
    <row r="966" spans="1:90" x14ac:dyDescent="0.2">
      <c r="A966" s="3" t="s">
        <v>72</v>
      </c>
      <c r="B966" s="3" t="s">
        <v>73</v>
      </c>
      <c r="C966" s="3" t="s">
        <v>74</v>
      </c>
      <c r="E966" s="3" t="str">
        <f>"FES1162845301"</f>
        <v>FES1162845301</v>
      </c>
      <c r="F966" s="4">
        <v>44578</v>
      </c>
      <c r="G966" s="3">
        <v>202207</v>
      </c>
      <c r="H966" s="3" t="s">
        <v>75</v>
      </c>
      <c r="I966" s="3" t="s">
        <v>76</v>
      </c>
      <c r="J966" s="3" t="s">
        <v>77</v>
      </c>
      <c r="K966" s="3" t="s">
        <v>78</v>
      </c>
      <c r="L966" s="3" t="s">
        <v>101</v>
      </c>
      <c r="M966" s="3" t="s">
        <v>102</v>
      </c>
      <c r="N966" s="3" t="s">
        <v>103</v>
      </c>
      <c r="O966" s="3" t="s">
        <v>82</v>
      </c>
      <c r="P966" s="3" t="str">
        <f>"2170816385                    "</f>
        <v xml:space="preserve">2170816385                    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15.46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3">
        <v>1</v>
      </c>
      <c r="BI966" s="3">
        <v>1</v>
      </c>
      <c r="BJ966" s="3">
        <v>0.2</v>
      </c>
      <c r="BK966" s="3">
        <v>1</v>
      </c>
      <c r="BL966" s="3">
        <v>59</v>
      </c>
      <c r="BM966" s="3">
        <v>8.85</v>
      </c>
      <c r="BN966" s="3">
        <v>67.849999999999994</v>
      </c>
      <c r="BO966" s="3">
        <v>67.849999999999994</v>
      </c>
      <c r="BQ966" s="3" t="s">
        <v>83</v>
      </c>
      <c r="BR966" s="3" t="s">
        <v>84</v>
      </c>
      <c r="BS966" s="4">
        <v>44579</v>
      </c>
      <c r="BT966" s="5">
        <v>0.32847222222222222</v>
      </c>
      <c r="BU966" s="3" t="s">
        <v>104</v>
      </c>
      <c r="BV966" s="3" t="s">
        <v>105</v>
      </c>
      <c r="BY966" s="3">
        <v>1200</v>
      </c>
      <c r="CA966" s="3" t="s">
        <v>106</v>
      </c>
      <c r="CC966" s="3" t="s">
        <v>102</v>
      </c>
      <c r="CD966" s="3">
        <v>4001</v>
      </c>
      <c r="CE966" s="3" t="s">
        <v>93</v>
      </c>
      <c r="CF966" s="4">
        <v>44580</v>
      </c>
      <c r="CI966" s="3">
        <v>1</v>
      </c>
      <c r="CJ966" s="3">
        <v>1</v>
      </c>
      <c r="CK966" s="3">
        <v>21</v>
      </c>
      <c r="CL966" s="3" t="s">
        <v>87</v>
      </c>
    </row>
    <row r="967" spans="1:90" x14ac:dyDescent="0.2">
      <c r="A967" s="3" t="s">
        <v>72</v>
      </c>
      <c r="B967" s="3" t="s">
        <v>73</v>
      </c>
      <c r="C967" s="3" t="s">
        <v>74</v>
      </c>
      <c r="E967" s="3" t="str">
        <f>"FES1162845323"</f>
        <v>FES1162845323</v>
      </c>
      <c r="F967" s="4">
        <v>44578</v>
      </c>
      <c r="G967" s="3">
        <v>202207</v>
      </c>
      <c r="H967" s="3" t="s">
        <v>75</v>
      </c>
      <c r="I967" s="3" t="s">
        <v>76</v>
      </c>
      <c r="J967" s="3" t="s">
        <v>77</v>
      </c>
      <c r="K967" s="3" t="s">
        <v>78</v>
      </c>
      <c r="L967" s="3" t="s">
        <v>948</v>
      </c>
      <c r="M967" s="3" t="s">
        <v>949</v>
      </c>
      <c r="N967" s="3" t="s">
        <v>1294</v>
      </c>
      <c r="O967" s="3" t="s">
        <v>82</v>
      </c>
      <c r="P967" s="3" t="str">
        <f>"2170816880                    "</f>
        <v xml:space="preserve">2170816880                    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21.74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0</v>
      </c>
      <c r="BF967" s="3">
        <v>0</v>
      </c>
      <c r="BG967" s="3">
        <v>0</v>
      </c>
      <c r="BH967" s="3">
        <v>1</v>
      </c>
      <c r="BI967" s="3">
        <v>1</v>
      </c>
      <c r="BJ967" s="3">
        <v>0.2</v>
      </c>
      <c r="BK967" s="3">
        <v>1</v>
      </c>
      <c r="BL967" s="3">
        <v>82.98</v>
      </c>
      <c r="BM967" s="3">
        <v>12.45</v>
      </c>
      <c r="BN967" s="3">
        <v>95.43</v>
      </c>
      <c r="BO967" s="3">
        <v>95.43</v>
      </c>
      <c r="BR967" s="3" t="s">
        <v>84</v>
      </c>
      <c r="BS967" s="4">
        <v>44579</v>
      </c>
      <c r="BT967" s="5">
        <v>0.50486111111111109</v>
      </c>
      <c r="BU967" s="3" t="s">
        <v>1376</v>
      </c>
      <c r="BV967" s="3" t="s">
        <v>105</v>
      </c>
      <c r="BY967" s="3">
        <v>1200</v>
      </c>
      <c r="CA967" s="3" t="s">
        <v>1377</v>
      </c>
      <c r="CC967" s="3" t="s">
        <v>949</v>
      </c>
      <c r="CD967" s="3">
        <v>1759</v>
      </c>
      <c r="CE967" s="3" t="s">
        <v>93</v>
      </c>
      <c r="CF967" s="4">
        <v>44579</v>
      </c>
      <c r="CI967" s="3">
        <v>1</v>
      </c>
      <c r="CJ967" s="3">
        <v>1</v>
      </c>
      <c r="CK967" s="3">
        <v>24</v>
      </c>
      <c r="CL967" s="3" t="s">
        <v>87</v>
      </c>
    </row>
    <row r="968" spans="1:90" x14ac:dyDescent="0.2">
      <c r="A968" s="3" t="s">
        <v>72</v>
      </c>
      <c r="B968" s="3" t="s">
        <v>73</v>
      </c>
      <c r="C968" s="3" t="s">
        <v>74</v>
      </c>
      <c r="E968" s="3" t="str">
        <f>"FES1162845282"</f>
        <v>FES1162845282</v>
      </c>
      <c r="F968" s="4">
        <v>44578</v>
      </c>
      <c r="G968" s="3">
        <v>202207</v>
      </c>
      <c r="H968" s="3" t="s">
        <v>75</v>
      </c>
      <c r="I968" s="3" t="s">
        <v>76</v>
      </c>
      <c r="J968" s="3" t="s">
        <v>77</v>
      </c>
      <c r="K968" s="3" t="s">
        <v>78</v>
      </c>
      <c r="L968" s="3" t="s">
        <v>138</v>
      </c>
      <c r="M968" s="3" t="s">
        <v>139</v>
      </c>
      <c r="N968" s="3" t="s">
        <v>238</v>
      </c>
      <c r="O968" s="3" t="s">
        <v>82</v>
      </c>
      <c r="P968" s="3" t="str">
        <f>"2170816619                    "</f>
        <v xml:space="preserve">2170816619                    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15.46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3">
        <v>1</v>
      </c>
      <c r="BI968" s="3">
        <v>1</v>
      </c>
      <c r="BJ968" s="3">
        <v>0.2</v>
      </c>
      <c r="BK968" s="3">
        <v>1</v>
      </c>
      <c r="BL968" s="3">
        <v>59</v>
      </c>
      <c r="BM968" s="3">
        <v>8.85</v>
      </c>
      <c r="BN968" s="3">
        <v>67.849999999999994</v>
      </c>
      <c r="BO968" s="3">
        <v>67.849999999999994</v>
      </c>
      <c r="BQ968" s="3" t="s">
        <v>89</v>
      </c>
      <c r="BR968" s="3" t="s">
        <v>84</v>
      </c>
      <c r="BS968" s="4">
        <v>44579</v>
      </c>
      <c r="BT968" s="5">
        <v>0.30624999999999997</v>
      </c>
      <c r="BU968" s="3" t="s">
        <v>469</v>
      </c>
      <c r="BV968" s="3" t="s">
        <v>105</v>
      </c>
      <c r="BY968" s="3">
        <v>1200</v>
      </c>
      <c r="CA968" s="3" t="s">
        <v>303</v>
      </c>
      <c r="CC968" s="3" t="s">
        <v>139</v>
      </c>
      <c r="CD968" s="3">
        <v>3610</v>
      </c>
      <c r="CE968" s="3" t="s">
        <v>93</v>
      </c>
      <c r="CF968" s="4">
        <v>44580</v>
      </c>
      <c r="CI968" s="3">
        <v>1</v>
      </c>
      <c r="CJ968" s="3">
        <v>1</v>
      </c>
      <c r="CK968" s="3">
        <v>21</v>
      </c>
      <c r="CL968" s="3" t="s">
        <v>87</v>
      </c>
    </row>
    <row r="969" spans="1:90" x14ac:dyDescent="0.2">
      <c r="A969" s="3" t="s">
        <v>72</v>
      </c>
      <c r="B969" s="3" t="s">
        <v>73</v>
      </c>
      <c r="C969" s="3" t="s">
        <v>74</v>
      </c>
      <c r="E969" s="3" t="str">
        <f>"FES1162845378"</f>
        <v>FES1162845378</v>
      </c>
      <c r="F969" s="4">
        <v>44578</v>
      </c>
      <c r="G969" s="3">
        <v>202207</v>
      </c>
      <c r="H969" s="3" t="s">
        <v>75</v>
      </c>
      <c r="I969" s="3" t="s">
        <v>76</v>
      </c>
      <c r="J969" s="3" t="s">
        <v>77</v>
      </c>
      <c r="K969" s="3" t="s">
        <v>78</v>
      </c>
      <c r="L969" s="3" t="s">
        <v>154</v>
      </c>
      <c r="M969" s="3" t="s">
        <v>155</v>
      </c>
      <c r="N969" s="3" t="s">
        <v>706</v>
      </c>
      <c r="O969" s="3" t="s">
        <v>82</v>
      </c>
      <c r="P969" s="3" t="str">
        <f>"2170816542                    "</f>
        <v xml:space="preserve">2170816542                    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12.07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0</v>
      </c>
      <c r="AZ969" s="3">
        <v>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3">
        <v>1</v>
      </c>
      <c r="BI969" s="3">
        <v>1</v>
      </c>
      <c r="BJ969" s="3">
        <v>0.2</v>
      </c>
      <c r="BK969" s="3">
        <v>1</v>
      </c>
      <c r="BL969" s="3">
        <v>46.08</v>
      </c>
      <c r="BM969" s="3">
        <v>6.91</v>
      </c>
      <c r="BN969" s="3">
        <v>52.99</v>
      </c>
      <c r="BO969" s="3">
        <v>52.99</v>
      </c>
      <c r="BQ969" s="3" t="s">
        <v>83</v>
      </c>
      <c r="BR969" s="3" t="s">
        <v>84</v>
      </c>
      <c r="BS969" s="4">
        <v>44579</v>
      </c>
      <c r="BT969" s="5">
        <v>0.3520833333333333</v>
      </c>
      <c r="BU969" s="3" t="s">
        <v>1378</v>
      </c>
      <c r="BV969" s="3" t="s">
        <v>105</v>
      </c>
      <c r="BY969" s="3">
        <v>1200</v>
      </c>
      <c r="CA969" s="3" t="s">
        <v>708</v>
      </c>
      <c r="CC969" s="3" t="s">
        <v>155</v>
      </c>
      <c r="CD969" s="3">
        <v>1682</v>
      </c>
      <c r="CE969" s="3" t="s">
        <v>93</v>
      </c>
      <c r="CF969" s="4">
        <v>44580</v>
      </c>
      <c r="CI969" s="3">
        <v>1</v>
      </c>
      <c r="CJ969" s="3">
        <v>1</v>
      </c>
      <c r="CK969" s="3">
        <v>22</v>
      </c>
      <c r="CL969" s="3" t="s">
        <v>87</v>
      </c>
    </row>
    <row r="970" spans="1:90" x14ac:dyDescent="0.2">
      <c r="A970" s="3" t="s">
        <v>72</v>
      </c>
      <c r="B970" s="3" t="s">
        <v>73</v>
      </c>
      <c r="C970" s="3" t="s">
        <v>74</v>
      </c>
      <c r="E970" s="3" t="str">
        <f>"FES1162845375"</f>
        <v>FES1162845375</v>
      </c>
      <c r="F970" s="4">
        <v>44578</v>
      </c>
      <c r="G970" s="3">
        <v>202207</v>
      </c>
      <c r="H970" s="3" t="s">
        <v>75</v>
      </c>
      <c r="I970" s="3" t="s">
        <v>76</v>
      </c>
      <c r="J970" s="3" t="s">
        <v>77</v>
      </c>
      <c r="K970" s="3" t="s">
        <v>78</v>
      </c>
      <c r="L970" s="3" t="s">
        <v>187</v>
      </c>
      <c r="M970" s="3" t="s">
        <v>188</v>
      </c>
      <c r="N970" s="3" t="s">
        <v>189</v>
      </c>
      <c r="O970" s="3" t="s">
        <v>82</v>
      </c>
      <c r="P970" s="3" t="str">
        <f>"2170816900                    "</f>
        <v xml:space="preserve">2170816900                    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0</v>
      </c>
      <c r="AJ970" s="3">
        <v>0</v>
      </c>
      <c r="AK970" s="3">
        <v>29.95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1</v>
      </c>
      <c r="BI970" s="3">
        <v>1</v>
      </c>
      <c r="BJ970" s="3">
        <v>0.2</v>
      </c>
      <c r="BK970" s="3">
        <v>1</v>
      </c>
      <c r="BL970" s="3">
        <v>114.31</v>
      </c>
      <c r="BM970" s="3">
        <v>17.149999999999999</v>
      </c>
      <c r="BN970" s="3">
        <v>131.46</v>
      </c>
      <c r="BO970" s="3">
        <v>131.46</v>
      </c>
      <c r="BQ970" s="3" t="s">
        <v>83</v>
      </c>
      <c r="BR970" s="3" t="s">
        <v>84</v>
      </c>
      <c r="BS970" s="4">
        <v>44579</v>
      </c>
      <c r="BT970" s="5">
        <v>0.48749999999999999</v>
      </c>
      <c r="BU970" s="3" t="s">
        <v>854</v>
      </c>
      <c r="BV970" s="3" t="s">
        <v>105</v>
      </c>
      <c r="BY970" s="3">
        <v>1200</v>
      </c>
      <c r="CA970" s="3" t="s">
        <v>268</v>
      </c>
      <c r="CC970" s="3" t="s">
        <v>188</v>
      </c>
      <c r="CD970" s="3">
        <v>7300</v>
      </c>
      <c r="CE970" s="3" t="s">
        <v>93</v>
      </c>
      <c r="CF970" s="4">
        <v>44580</v>
      </c>
      <c r="CI970" s="3">
        <v>1</v>
      </c>
      <c r="CJ970" s="3">
        <v>1</v>
      </c>
      <c r="CK970" s="3">
        <v>23</v>
      </c>
      <c r="CL970" s="3" t="s">
        <v>87</v>
      </c>
    </row>
    <row r="971" spans="1:90" x14ac:dyDescent="0.2">
      <c r="A971" s="3" t="s">
        <v>72</v>
      </c>
      <c r="B971" s="3" t="s">
        <v>73</v>
      </c>
      <c r="C971" s="3" t="s">
        <v>74</v>
      </c>
      <c r="E971" s="3" t="str">
        <f>"FES1162845366"</f>
        <v>FES1162845366</v>
      </c>
      <c r="F971" s="4">
        <v>44578</v>
      </c>
      <c r="G971" s="3">
        <v>202207</v>
      </c>
      <c r="H971" s="3" t="s">
        <v>75</v>
      </c>
      <c r="I971" s="3" t="s">
        <v>76</v>
      </c>
      <c r="J971" s="3" t="s">
        <v>77</v>
      </c>
      <c r="K971" s="3" t="s">
        <v>78</v>
      </c>
      <c r="L971" s="3" t="s">
        <v>79</v>
      </c>
      <c r="M971" s="3" t="s">
        <v>80</v>
      </c>
      <c r="N971" s="3" t="s">
        <v>1379</v>
      </c>
      <c r="O971" s="3" t="s">
        <v>82</v>
      </c>
      <c r="P971" s="3" t="str">
        <f>"2170816408                    "</f>
        <v xml:space="preserve">2170816408                    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15.46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3">
        <v>1</v>
      </c>
      <c r="BI971" s="3">
        <v>1</v>
      </c>
      <c r="BJ971" s="3">
        <v>0.2</v>
      </c>
      <c r="BK971" s="3">
        <v>1</v>
      </c>
      <c r="BL971" s="3">
        <v>59</v>
      </c>
      <c r="BM971" s="3">
        <v>8.85</v>
      </c>
      <c r="BN971" s="3">
        <v>67.849999999999994</v>
      </c>
      <c r="BO971" s="3">
        <v>67.849999999999994</v>
      </c>
      <c r="BR971" s="3" t="s">
        <v>84</v>
      </c>
      <c r="BS971" s="4">
        <v>44579</v>
      </c>
      <c r="BT971" s="5">
        <v>0.41180555555555554</v>
      </c>
      <c r="BU971" s="3" t="s">
        <v>1380</v>
      </c>
      <c r="BV971" s="3" t="s">
        <v>105</v>
      </c>
      <c r="BY971" s="3">
        <v>1200</v>
      </c>
      <c r="CA971" s="3" t="s">
        <v>1381</v>
      </c>
      <c r="CC971" s="3" t="s">
        <v>80</v>
      </c>
      <c r="CD971" s="3">
        <v>47</v>
      </c>
      <c r="CE971" s="3" t="s">
        <v>93</v>
      </c>
      <c r="CF971" s="4">
        <v>44579</v>
      </c>
      <c r="CI971" s="3">
        <v>1</v>
      </c>
      <c r="CJ971" s="3">
        <v>1</v>
      </c>
      <c r="CK971" s="3">
        <v>21</v>
      </c>
      <c r="CL971" s="3" t="s">
        <v>87</v>
      </c>
    </row>
    <row r="972" spans="1:90" x14ac:dyDescent="0.2">
      <c r="A972" s="3" t="s">
        <v>72</v>
      </c>
      <c r="B972" s="3" t="s">
        <v>73</v>
      </c>
      <c r="C972" s="3" t="s">
        <v>74</v>
      </c>
      <c r="E972" s="3" t="str">
        <f>"FES1162845325"</f>
        <v>FES1162845325</v>
      </c>
      <c r="F972" s="4">
        <v>44578</v>
      </c>
      <c r="G972" s="3">
        <v>202207</v>
      </c>
      <c r="H972" s="3" t="s">
        <v>75</v>
      </c>
      <c r="I972" s="3" t="s">
        <v>76</v>
      </c>
      <c r="J972" s="3" t="s">
        <v>77</v>
      </c>
      <c r="K972" s="3" t="s">
        <v>78</v>
      </c>
      <c r="L972" s="3" t="s">
        <v>79</v>
      </c>
      <c r="M972" s="3" t="s">
        <v>80</v>
      </c>
      <c r="N972" s="3" t="s">
        <v>1382</v>
      </c>
      <c r="O972" s="3" t="s">
        <v>82</v>
      </c>
      <c r="P972" s="3" t="str">
        <f>"2170816882                    "</f>
        <v xml:space="preserve">2170816882                    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73.39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  <c r="BH972" s="3">
        <v>1</v>
      </c>
      <c r="BI972" s="3">
        <v>6</v>
      </c>
      <c r="BJ972" s="3">
        <v>9.1</v>
      </c>
      <c r="BK972" s="3">
        <v>9.5</v>
      </c>
      <c r="BL972" s="3">
        <v>280.13</v>
      </c>
      <c r="BM972" s="3">
        <v>42.02</v>
      </c>
      <c r="BN972" s="3">
        <v>322.14999999999998</v>
      </c>
      <c r="BO972" s="3">
        <v>322.14999999999998</v>
      </c>
      <c r="BQ972" s="3" t="s">
        <v>83</v>
      </c>
      <c r="BR972" s="3" t="s">
        <v>84</v>
      </c>
      <c r="BS972" s="4">
        <v>44579</v>
      </c>
      <c r="BT972" s="5">
        <v>0.38541666666666669</v>
      </c>
      <c r="BU972" s="3" t="s">
        <v>1383</v>
      </c>
      <c r="BV972" s="3" t="s">
        <v>105</v>
      </c>
      <c r="BY972" s="3">
        <v>45632</v>
      </c>
      <c r="CA972" s="3" t="s">
        <v>366</v>
      </c>
      <c r="CC972" s="3" t="s">
        <v>80</v>
      </c>
      <c r="CD972" s="3">
        <v>200</v>
      </c>
      <c r="CE972" s="3" t="s">
        <v>86</v>
      </c>
      <c r="CF972" s="4">
        <v>44579</v>
      </c>
      <c r="CI972" s="3">
        <v>1</v>
      </c>
      <c r="CJ972" s="3">
        <v>1</v>
      </c>
      <c r="CK972" s="3">
        <v>21</v>
      </c>
      <c r="CL972" s="3" t="s">
        <v>87</v>
      </c>
    </row>
    <row r="973" spans="1:90" x14ac:dyDescent="0.2">
      <c r="A973" s="3" t="s">
        <v>72</v>
      </c>
      <c r="B973" s="3" t="s">
        <v>73</v>
      </c>
      <c r="C973" s="3" t="s">
        <v>74</v>
      </c>
      <c r="E973" s="3" t="str">
        <f>"FES1162845415"</f>
        <v>FES1162845415</v>
      </c>
      <c r="F973" s="4">
        <v>44578</v>
      </c>
      <c r="G973" s="3">
        <v>202207</v>
      </c>
      <c r="H973" s="3" t="s">
        <v>75</v>
      </c>
      <c r="I973" s="3" t="s">
        <v>76</v>
      </c>
      <c r="J973" s="3" t="s">
        <v>77</v>
      </c>
      <c r="K973" s="3" t="s">
        <v>78</v>
      </c>
      <c r="L973" s="3" t="s">
        <v>184</v>
      </c>
      <c r="M973" s="3" t="s">
        <v>185</v>
      </c>
      <c r="N973" s="3" t="s">
        <v>503</v>
      </c>
      <c r="O973" s="3" t="s">
        <v>82</v>
      </c>
      <c r="P973" s="3" t="str">
        <f>"2170816950                    "</f>
        <v xml:space="preserve">2170816950                    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34.770000000000003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3">
        <v>1</v>
      </c>
      <c r="BI973" s="3">
        <v>3</v>
      </c>
      <c r="BJ973" s="3">
        <v>4.0999999999999996</v>
      </c>
      <c r="BK973" s="3">
        <v>4.5</v>
      </c>
      <c r="BL973" s="3">
        <v>132.71</v>
      </c>
      <c r="BM973" s="3">
        <v>19.91</v>
      </c>
      <c r="BN973" s="3">
        <v>152.62</v>
      </c>
      <c r="BO973" s="3">
        <v>152.62</v>
      </c>
      <c r="BQ973" s="3" t="s">
        <v>89</v>
      </c>
      <c r="BR973" s="3" t="s">
        <v>84</v>
      </c>
      <c r="BS973" s="4">
        <v>44579</v>
      </c>
      <c r="BT973" s="5">
        <v>0.59305555555555556</v>
      </c>
      <c r="BU973" s="3" t="s">
        <v>1384</v>
      </c>
      <c r="BV973" s="3" t="s">
        <v>87</v>
      </c>
      <c r="BW973" s="3" t="s">
        <v>353</v>
      </c>
      <c r="BX973" s="3" t="s">
        <v>605</v>
      </c>
      <c r="BY973" s="3">
        <v>20358</v>
      </c>
      <c r="CA973" s="3" t="s">
        <v>357</v>
      </c>
      <c r="CC973" s="3" t="s">
        <v>185</v>
      </c>
      <c r="CD973" s="3">
        <v>5201</v>
      </c>
      <c r="CE973" s="3" t="s">
        <v>86</v>
      </c>
      <c r="CF973" s="4">
        <v>44579</v>
      </c>
      <c r="CI973" s="3">
        <v>1</v>
      </c>
      <c r="CJ973" s="3">
        <v>1</v>
      </c>
      <c r="CK973" s="3">
        <v>21</v>
      </c>
      <c r="CL973" s="3" t="s">
        <v>87</v>
      </c>
    </row>
    <row r="974" spans="1:90" x14ac:dyDescent="0.2">
      <c r="A974" s="3" t="s">
        <v>72</v>
      </c>
      <c r="B974" s="3" t="s">
        <v>73</v>
      </c>
      <c r="C974" s="3" t="s">
        <v>74</v>
      </c>
      <c r="E974" s="3" t="str">
        <f>"FES1162845348"</f>
        <v>FES1162845348</v>
      </c>
      <c r="F974" s="4">
        <v>44578</v>
      </c>
      <c r="G974" s="3">
        <v>202207</v>
      </c>
      <c r="H974" s="3" t="s">
        <v>75</v>
      </c>
      <c r="I974" s="3" t="s">
        <v>76</v>
      </c>
      <c r="J974" s="3" t="s">
        <v>77</v>
      </c>
      <c r="K974" s="3" t="s">
        <v>78</v>
      </c>
      <c r="L974" s="3" t="s">
        <v>171</v>
      </c>
      <c r="M974" s="3" t="s">
        <v>172</v>
      </c>
      <c r="N974" s="3" t="s">
        <v>235</v>
      </c>
      <c r="O974" s="3" t="s">
        <v>82</v>
      </c>
      <c r="P974" s="3" t="str">
        <f>"2170815257                    "</f>
        <v xml:space="preserve">2170815257                    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46.36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3">
        <v>1</v>
      </c>
      <c r="BI974" s="3">
        <v>6</v>
      </c>
      <c r="BJ974" s="3">
        <v>1.7</v>
      </c>
      <c r="BK974" s="3">
        <v>6</v>
      </c>
      <c r="BL974" s="3">
        <v>176.94</v>
      </c>
      <c r="BM974" s="3">
        <v>26.54</v>
      </c>
      <c r="BN974" s="3">
        <v>203.48</v>
      </c>
      <c r="BO974" s="3">
        <v>203.48</v>
      </c>
      <c r="BQ974" s="3" t="s">
        <v>83</v>
      </c>
      <c r="BR974" s="3" t="s">
        <v>84</v>
      </c>
      <c r="BS974" s="4">
        <v>44579</v>
      </c>
      <c r="BT974" s="5">
        <v>0.57708333333333328</v>
      </c>
      <c r="BU974" s="3" t="s">
        <v>1385</v>
      </c>
      <c r="BV974" s="3" t="s">
        <v>87</v>
      </c>
      <c r="BW974" s="3" t="s">
        <v>457</v>
      </c>
      <c r="BX974" s="3" t="s">
        <v>458</v>
      </c>
      <c r="BY974" s="3">
        <v>8550</v>
      </c>
      <c r="CA974" s="3" t="s">
        <v>263</v>
      </c>
      <c r="CC974" s="3" t="s">
        <v>172</v>
      </c>
      <c r="CD974" s="3">
        <v>6001</v>
      </c>
      <c r="CE974" s="3" t="s">
        <v>86</v>
      </c>
      <c r="CF974" s="4">
        <v>44579</v>
      </c>
      <c r="CI974" s="3">
        <v>1</v>
      </c>
      <c r="CJ974" s="3">
        <v>1</v>
      </c>
      <c r="CK974" s="3">
        <v>21</v>
      </c>
      <c r="CL974" s="3" t="s">
        <v>87</v>
      </c>
    </row>
    <row r="975" spans="1:90" x14ac:dyDescent="0.2">
      <c r="A975" s="3" t="s">
        <v>72</v>
      </c>
      <c r="B975" s="3" t="s">
        <v>73</v>
      </c>
      <c r="C975" s="3" t="s">
        <v>74</v>
      </c>
      <c r="E975" s="3" t="str">
        <f>"FES1162845358"</f>
        <v>FES1162845358</v>
      </c>
      <c r="F975" s="4">
        <v>44578</v>
      </c>
      <c r="G975" s="3">
        <v>202207</v>
      </c>
      <c r="H975" s="3" t="s">
        <v>75</v>
      </c>
      <c r="I975" s="3" t="s">
        <v>76</v>
      </c>
      <c r="J975" s="3" t="s">
        <v>77</v>
      </c>
      <c r="K975" s="3" t="s">
        <v>78</v>
      </c>
      <c r="L975" s="3" t="s">
        <v>75</v>
      </c>
      <c r="M975" s="3" t="s">
        <v>76</v>
      </c>
      <c r="N975" s="3" t="s">
        <v>147</v>
      </c>
      <c r="O975" s="3" t="s">
        <v>82</v>
      </c>
      <c r="P975" s="3" t="str">
        <f>"2170816080                    "</f>
        <v xml:space="preserve">2170816080                    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12.07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1</v>
      </c>
      <c r="BI975" s="3">
        <v>1</v>
      </c>
      <c r="BJ975" s="3">
        <v>0.2</v>
      </c>
      <c r="BK975" s="3">
        <v>1</v>
      </c>
      <c r="BL975" s="3">
        <v>46.08</v>
      </c>
      <c r="BM975" s="3">
        <v>6.91</v>
      </c>
      <c r="BN975" s="3">
        <v>52.99</v>
      </c>
      <c r="BO975" s="3">
        <v>52.99</v>
      </c>
      <c r="BQ975" s="3" t="s">
        <v>89</v>
      </c>
      <c r="BR975" s="3" t="s">
        <v>84</v>
      </c>
      <c r="BS975" s="4">
        <v>44579</v>
      </c>
      <c r="BT975" s="5">
        <v>0.40416666666666662</v>
      </c>
      <c r="BU975" s="3" t="s">
        <v>1386</v>
      </c>
      <c r="BV975" s="3" t="s">
        <v>105</v>
      </c>
      <c r="BY975" s="3">
        <v>1200</v>
      </c>
      <c r="CA975" s="3" t="s">
        <v>1293</v>
      </c>
      <c r="CC975" s="3" t="s">
        <v>76</v>
      </c>
      <c r="CD975" s="3">
        <v>1645</v>
      </c>
      <c r="CE975" s="3" t="s">
        <v>93</v>
      </c>
      <c r="CF975" s="4">
        <v>44580</v>
      </c>
      <c r="CI975" s="3">
        <v>1</v>
      </c>
      <c r="CJ975" s="3">
        <v>1</v>
      </c>
      <c r="CK975" s="3">
        <v>22</v>
      </c>
      <c r="CL975" s="3" t="s">
        <v>87</v>
      </c>
    </row>
    <row r="976" spans="1:90" x14ac:dyDescent="0.2">
      <c r="A976" s="3" t="s">
        <v>72</v>
      </c>
      <c r="B976" s="3" t="s">
        <v>73</v>
      </c>
      <c r="C976" s="3" t="s">
        <v>74</v>
      </c>
      <c r="E976" s="3" t="str">
        <f>"FES1162845319"</f>
        <v>FES1162845319</v>
      </c>
      <c r="F976" s="4">
        <v>44578</v>
      </c>
      <c r="G976" s="3">
        <v>202207</v>
      </c>
      <c r="H976" s="3" t="s">
        <v>75</v>
      </c>
      <c r="I976" s="3" t="s">
        <v>76</v>
      </c>
      <c r="J976" s="3" t="s">
        <v>77</v>
      </c>
      <c r="K976" s="3" t="s">
        <v>78</v>
      </c>
      <c r="L976" s="3" t="s">
        <v>101</v>
      </c>
      <c r="M976" s="3" t="s">
        <v>102</v>
      </c>
      <c r="N976" s="3" t="s">
        <v>1387</v>
      </c>
      <c r="O976" s="3" t="s">
        <v>82</v>
      </c>
      <c r="P976" s="3" t="str">
        <f>"2170816874                    "</f>
        <v xml:space="preserve">2170816874                    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46.36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3">
        <v>1</v>
      </c>
      <c r="BI976" s="3">
        <v>4</v>
      </c>
      <c r="BJ976" s="3">
        <v>5.7</v>
      </c>
      <c r="BK976" s="3">
        <v>6</v>
      </c>
      <c r="BL976" s="3">
        <v>176.94</v>
      </c>
      <c r="BM976" s="3">
        <v>26.54</v>
      </c>
      <c r="BN976" s="3">
        <v>203.48</v>
      </c>
      <c r="BO976" s="3">
        <v>203.48</v>
      </c>
      <c r="BQ976" s="3" t="s">
        <v>83</v>
      </c>
      <c r="BR976" s="3" t="s">
        <v>84</v>
      </c>
      <c r="BS976" s="4">
        <v>44579</v>
      </c>
      <c r="BT976" s="5">
        <v>0.4597222222222222</v>
      </c>
      <c r="BU976" s="3" t="s">
        <v>1388</v>
      </c>
      <c r="BV976" s="3" t="s">
        <v>87</v>
      </c>
      <c r="BW976" s="3" t="s">
        <v>278</v>
      </c>
      <c r="BX976" s="3" t="s">
        <v>279</v>
      </c>
      <c r="BY976" s="3">
        <v>28717</v>
      </c>
      <c r="CA976" s="3" t="s">
        <v>615</v>
      </c>
      <c r="CC976" s="3" t="s">
        <v>102</v>
      </c>
      <c r="CD976" s="3">
        <v>4052</v>
      </c>
      <c r="CE976" s="3" t="s">
        <v>86</v>
      </c>
      <c r="CF976" s="4">
        <v>44580</v>
      </c>
      <c r="CI976" s="3">
        <v>1</v>
      </c>
      <c r="CJ976" s="3">
        <v>1</v>
      </c>
      <c r="CK976" s="3">
        <v>21</v>
      </c>
      <c r="CL976" s="3" t="s">
        <v>87</v>
      </c>
    </row>
    <row r="977" spans="1:90" x14ac:dyDescent="0.2">
      <c r="A977" s="3" t="s">
        <v>72</v>
      </c>
      <c r="B977" s="3" t="s">
        <v>73</v>
      </c>
      <c r="C977" s="3" t="s">
        <v>74</v>
      </c>
      <c r="E977" s="3" t="str">
        <f>"FES1162845398"</f>
        <v>FES1162845398</v>
      </c>
      <c r="F977" s="4">
        <v>44578</v>
      </c>
      <c r="G977" s="3">
        <v>202207</v>
      </c>
      <c r="H977" s="3" t="s">
        <v>75</v>
      </c>
      <c r="I977" s="3" t="s">
        <v>76</v>
      </c>
      <c r="J977" s="3" t="s">
        <v>77</v>
      </c>
      <c r="K977" s="3" t="s">
        <v>78</v>
      </c>
      <c r="L977" s="3" t="s">
        <v>97</v>
      </c>
      <c r="M977" s="3" t="s">
        <v>98</v>
      </c>
      <c r="N977" s="3" t="s">
        <v>1142</v>
      </c>
      <c r="O977" s="3" t="s">
        <v>82</v>
      </c>
      <c r="P977" s="3" t="str">
        <f>"2170816929                    "</f>
        <v xml:space="preserve">2170816929                    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12.07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0</v>
      </c>
      <c r="AZ977" s="3">
        <v>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1</v>
      </c>
      <c r="BI977" s="3">
        <v>2</v>
      </c>
      <c r="BJ977" s="3">
        <v>1.1000000000000001</v>
      </c>
      <c r="BK977" s="3">
        <v>2</v>
      </c>
      <c r="BL977" s="3">
        <v>46.08</v>
      </c>
      <c r="BM977" s="3">
        <v>6.91</v>
      </c>
      <c r="BN977" s="3">
        <v>52.99</v>
      </c>
      <c r="BO977" s="3">
        <v>52.99</v>
      </c>
      <c r="BQ977" s="3" t="s">
        <v>89</v>
      </c>
      <c r="BR977" s="3" t="s">
        <v>84</v>
      </c>
      <c r="BS977" s="4">
        <v>44579</v>
      </c>
      <c r="BT977" s="5">
        <v>0.39999999999999997</v>
      </c>
      <c r="BU977" s="3" t="s">
        <v>1360</v>
      </c>
      <c r="BV977" s="3" t="s">
        <v>105</v>
      </c>
      <c r="BY977" s="3">
        <v>5320</v>
      </c>
      <c r="CA977" s="3" t="s">
        <v>297</v>
      </c>
      <c r="CC977" s="3" t="s">
        <v>98</v>
      </c>
      <c r="CD977" s="3">
        <v>2091</v>
      </c>
      <c r="CE977" s="3" t="s">
        <v>86</v>
      </c>
      <c r="CF977" s="4">
        <v>44580</v>
      </c>
      <c r="CI977" s="3">
        <v>1</v>
      </c>
      <c r="CJ977" s="3">
        <v>1</v>
      </c>
      <c r="CK977" s="3">
        <v>22</v>
      </c>
      <c r="CL977" s="3" t="s">
        <v>87</v>
      </c>
    </row>
    <row r="978" spans="1:90" x14ac:dyDescent="0.2">
      <c r="A978" s="3" t="s">
        <v>72</v>
      </c>
      <c r="B978" s="3" t="s">
        <v>73</v>
      </c>
      <c r="C978" s="3" t="s">
        <v>74</v>
      </c>
      <c r="E978" s="3" t="str">
        <f>"FES1162845299"</f>
        <v>FES1162845299</v>
      </c>
      <c r="F978" s="4">
        <v>44578</v>
      </c>
      <c r="G978" s="3">
        <v>202207</v>
      </c>
      <c r="H978" s="3" t="s">
        <v>75</v>
      </c>
      <c r="I978" s="3" t="s">
        <v>76</v>
      </c>
      <c r="J978" s="3" t="s">
        <v>77</v>
      </c>
      <c r="K978" s="3" t="s">
        <v>78</v>
      </c>
      <c r="L978" s="3" t="s">
        <v>90</v>
      </c>
      <c r="M978" s="3" t="s">
        <v>91</v>
      </c>
      <c r="N978" s="3" t="s">
        <v>584</v>
      </c>
      <c r="O978" s="3" t="s">
        <v>82</v>
      </c>
      <c r="P978" s="3" t="str">
        <f>"2170815888                    "</f>
        <v xml:space="preserve">2170815888                    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15.46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3">
        <v>1</v>
      </c>
      <c r="BI978" s="3">
        <v>1</v>
      </c>
      <c r="BJ978" s="3">
        <v>2</v>
      </c>
      <c r="BK978" s="3">
        <v>2</v>
      </c>
      <c r="BL978" s="3">
        <v>59</v>
      </c>
      <c r="BM978" s="3">
        <v>8.85</v>
      </c>
      <c r="BN978" s="3">
        <v>67.849999999999994</v>
      </c>
      <c r="BO978" s="3">
        <v>67.849999999999994</v>
      </c>
      <c r="BQ978" s="3" t="s">
        <v>83</v>
      </c>
      <c r="BR978" s="3" t="s">
        <v>84</v>
      </c>
      <c r="BS978" s="4">
        <v>44579</v>
      </c>
      <c r="BT978" s="5">
        <v>0.32361111111111113</v>
      </c>
      <c r="BU978" s="3" t="s">
        <v>585</v>
      </c>
      <c r="BV978" s="3" t="s">
        <v>105</v>
      </c>
      <c r="BY978" s="3">
        <v>9918</v>
      </c>
      <c r="CA978" s="3" t="s">
        <v>543</v>
      </c>
      <c r="CC978" s="3" t="s">
        <v>91</v>
      </c>
      <c r="CD978" s="3">
        <v>7530</v>
      </c>
      <c r="CE978" s="3" t="s">
        <v>86</v>
      </c>
      <c r="CF978" s="4">
        <v>44580</v>
      </c>
      <c r="CI978" s="3">
        <v>1</v>
      </c>
      <c r="CJ978" s="3">
        <v>1</v>
      </c>
      <c r="CK978" s="3">
        <v>21</v>
      </c>
      <c r="CL978" s="3" t="s">
        <v>87</v>
      </c>
    </row>
    <row r="979" spans="1:90" x14ac:dyDescent="0.2">
      <c r="A979" s="3" t="s">
        <v>72</v>
      </c>
      <c r="B979" s="3" t="s">
        <v>73</v>
      </c>
      <c r="C979" s="3" t="s">
        <v>74</v>
      </c>
      <c r="E979" s="3" t="str">
        <f>"FES1162845359"</f>
        <v>FES1162845359</v>
      </c>
      <c r="F979" s="4">
        <v>44578</v>
      </c>
      <c r="G979" s="3">
        <v>202207</v>
      </c>
      <c r="H979" s="3" t="s">
        <v>75</v>
      </c>
      <c r="I979" s="3" t="s">
        <v>76</v>
      </c>
      <c r="J979" s="3" t="s">
        <v>77</v>
      </c>
      <c r="K979" s="3" t="s">
        <v>78</v>
      </c>
      <c r="L979" s="3" t="s">
        <v>90</v>
      </c>
      <c r="M979" s="3" t="s">
        <v>91</v>
      </c>
      <c r="N979" s="3" t="s">
        <v>269</v>
      </c>
      <c r="O979" s="3" t="s">
        <v>82</v>
      </c>
      <c r="P979" s="3" t="str">
        <f>"2170816116                    "</f>
        <v xml:space="preserve">2170816116                    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0</v>
      </c>
      <c r="AJ979" s="3">
        <v>0</v>
      </c>
      <c r="AK979" s="3">
        <v>15.46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1</v>
      </c>
      <c r="BI979" s="3">
        <v>1</v>
      </c>
      <c r="BJ979" s="3">
        <v>0.2</v>
      </c>
      <c r="BK979" s="3">
        <v>1</v>
      </c>
      <c r="BL979" s="3">
        <v>59</v>
      </c>
      <c r="BM979" s="3">
        <v>8.85</v>
      </c>
      <c r="BN979" s="3">
        <v>67.849999999999994</v>
      </c>
      <c r="BO979" s="3">
        <v>67.849999999999994</v>
      </c>
      <c r="BQ979" s="3" t="s">
        <v>83</v>
      </c>
      <c r="BR979" s="3" t="s">
        <v>84</v>
      </c>
      <c r="BS979" s="4">
        <v>44579</v>
      </c>
      <c r="BT979" s="5">
        <v>0.41875000000000001</v>
      </c>
      <c r="BU979" s="3" t="s">
        <v>1389</v>
      </c>
      <c r="BV979" s="3" t="s">
        <v>105</v>
      </c>
      <c r="BY979" s="3">
        <v>1200</v>
      </c>
      <c r="CA979" s="3" t="s">
        <v>271</v>
      </c>
      <c r="CC979" s="3" t="s">
        <v>91</v>
      </c>
      <c r="CD979" s="3">
        <v>8001</v>
      </c>
      <c r="CE979" s="3" t="s">
        <v>93</v>
      </c>
      <c r="CF979" s="4">
        <v>44580</v>
      </c>
      <c r="CI979" s="3">
        <v>1</v>
      </c>
      <c r="CJ979" s="3">
        <v>1</v>
      </c>
      <c r="CK979" s="3">
        <v>21</v>
      </c>
      <c r="CL979" s="3" t="s">
        <v>87</v>
      </c>
    </row>
    <row r="980" spans="1:90" x14ac:dyDescent="0.2">
      <c r="A980" s="3" t="s">
        <v>72</v>
      </c>
      <c r="B980" s="3" t="s">
        <v>73</v>
      </c>
      <c r="C980" s="3" t="s">
        <v>74</v>
      </c>
      <c r="E980" s="3" t="str">
        <f>"FES1162845314"</f>
        <v>FES1162845314</v>
      </c>
      <c r="F980" s="4">
        <v>44578</v>
      </c>
      <c r="G980" s="3">
        <v>202207</v>
      </c>
      <c r="H980" s="3" t="s">
        <v>75</v>
      </c>
      <c r="I980" s="3" t="s">
        <v>76</v>
      </c>
      <c r="J980" s="3" t="s">
        <v>77</v>
      </c>
      <c r="K980" s="3" t="s">
        <v>78</v>
      </c>
      <c r="L980" s="3" t="s">
        <v>123</v>
      </c>
      <c r="M980" s="3" t="s">
        <v>124</v>
      </c>
      <c r="N980" s="3" t="s">
        <v>264</v>
      </c>
      <c r="O980" s="3" t="s">
        <v>82</v>
      </c>
      <c r="P980" s="3" t="str">
        <f>"2170816867                    "</f>
        <v xml:space="preserve">2170816867                    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12.07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3">
        <v>1</v>
      </c>
      <c r="BI980" s="3">
        <v>1</v>
      </c>
      <c r="BJ980" s="3">
        <v>0.2</v>
      </c>
      <c r="BK980" s="3">
        <v>1</v>
      </c>
      <c r="BL980" s="3">
        <v>46.08</v>
      </c>
      <c r="BM980" s="3">
        <v>6.91</v>
      </c>
      <c r="BN980" s="3">
        <v>52.99</v>
      </c>
      <c r="BO980" s="3">
        <v>52.99</v>
      </c>
      <c r="BQ980" s="3" t="s">
        <v>89</v>
      </c>
      <c r="BR980" s="3" t="s">
        <v>84</v>
      </c>
      <c r="BS980" s="4">
        <v>44579</v>
      </c>
      <c r="BT980" s="5">
        <v>0.32916666666666666</v>
      </c>
      <c r="BU980" s="3" t="s">
        <v>865</v>
      </c>
      <c r="BV980" s="3" t="s">
        <v>105</v>
      </c>
      <c r="BY980" s="3">
        <v>1200</v>
      </c>
      <c r="CA980" s="3" t="s">
        <v>266</v>
      </c>
      <c r="CC980" s="3" t="s">
        <v>124</v>
      </c>
      <c r="CD980" s="3">
        <v>1724</v>
      </c>
      <c r="CE980" s="3" t="s">
        <v>93</v>
      </c>
      <c r="CF980" s="4">
        <v>44579</v>
      </c>
      <c r="CI980" s="3">
        <v>1</v>
      </c>
      <c r="CJ980" s="3">
        <v>1</v>
      </c>
      <c r="CK980" s="3">
        <v>22</v>
      </c>
      <c r="CL980" s="3" t="s">
        <v>87</v>
      </c>
    </row>
    <row r="981" spans="1:90" x14ac:dyDescent="0.2">
      <c r="A981" s="3" t="s">
        <v>72</v>
      </c>
      <c r="B981" s="3" t="s">
        <v>73</v>
      </c>
      <c r="C981" s="3" t="s">
        <v>74</v>
      </c>
      <c r="E981" s="3" t="str">
        <f>"FES1162845344"</f>
        <v>FES1162845344</v>
      </c>
      <c r="F981" s="4">
        <v>44578</v>
      </c>
      <c r="G981" s="3">
        <v>202207</v>
      </c>
      <c r="H981" s="3" t="s">
        <v>75</v>
      </c>
      <c r="I981" s="3" t="s">
        <v>76</v>
      </c>
      <c r="J981" s="3" t="s">
        <v>77</v>
      </c>
      <c r="K981" s="3" t="s">
        <v>78</v>
      </c>
      <c r="L981" s="3" t="s">
        <v>867</v>
      </c>
      <c r="M981" s="3" t="s">
        <v>868</v>
      </c>
      <c r="N981" s="3" t="s">
        <v>869</v>
      </c>
      <c r="O981" s="3" t="s">
        <v>148</v>
      </c>
      <c r="P981" s="3" t="str">
        <f>"2170813526                    "</f>
        <v xml:space="preserve">2170813526                    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42.16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3">
        <v>1</v>
      </c>
      <c r="BI981" s="3">
        <v>8</v>
      </c>
      <c r="BJ981" s="3">
        <v>3</v>
      </c>
      <c r="BK981" s="3">
        <v>8</v>
      </c>
      <c r="BL981" s="3">
        <v>166.16</v>
      </c>
      <c r="BM981" s="3">
        <v>24.92</v>
      </c>
      <c r="BN981" s="3">
        <v>191.08</v>
      </c>
      <c r="BO981" s="3">
        <v>191.08</v>
      </c>
      <c r="BR981" s="3" t="s">
        <v>84</v>
      </c>
      <c r="BS981" s="4">
        <v>44580</v>
      </c>
      <c r="BT981" s="5">
        <v>0.41666666666666669</v>
      </c>
      <c r="BU981" s="3" t="s">
        <v>1390</v>
      </c>
      <c r="BV981" s="3" t="s">
        <v>87</v>
      </c>
      <c r="BW981" s="3" t="s">
        <v>453</v>
      </c>
      <c r="BX981" s="3" t="s">
        <v>279</v>
      </c>
      <c r="BY981" s="3">
        <v>15120</v>
      </c>
      <c r="CC981" s="3" t="s">
        <v>868</v>
      </c>
      <c r="CD981" s="3">
        <v>4170</v>
      </c>
      <c r="CE981" s="3" t="s">
        <v>86</v>
      </c>
      <c r="CF981" s="4">
        <v>44581</v>
      </c>
      <c r="CI981" s="3">
        <v>1</v>
      </c>
      <c r="CJ981" s="3">
        <v>2</v>
      </c>
      <c r="CK981" s="3">
        <v>43</v>
      </c>
      <c r="CL981" s="3" t="s">
        <v>87</v>
      </c>
    </row>
    <row r="982" spans="1:90" x14ac:dyDescent="0.2">
      <c r="A982" s="3" t="s">
        <v>72</v>
      </c>
      <c r="B982" s="3" t="s">
        <v>73</v>
      </c>
      <c r="C982" s="3" t="s">
        <v>74</v>
      </c>
      <c r="E982" s="3" t="str">
        <f>"FES1162845310"</f>
        <v>FES1162845310</v>
      </c>
      <c r="F982" s="4">
        <v>44578</v>
      </c>
      <c r="G982" s="3">
        <v>202207</v>
      </c>
      <c r="H982" s="3" t="s">
        <v>75</v>
      </c>
      <c r="I982" s="3" t="s">
        <v>76</v>
      </c>
      <c r="J982" s="3" t="s">
        <v>77</v>
      </c>
      <c r="K982" s="3" t="s">
        <v>78</v>
      </c>
      <c r="L982" s="3" t="s">
        <v>90</v>
      </c>
      <c r="M982" s="3" t="s">
        <v>91</v>
      </c>
      <c r="N982" s="3" t="s">
        <v>584</v>
      </c>
      <c r="O982" s="3" t="s">
        <v>82</v>
      </c>
      <c r="P982" s="3" t="str">
        <f>"2170816858                    "</f>
        <v xml:space="preserve">2170816858                    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15.46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0</v>
      </c>
      <c r="BF982" s="3">
        <v>0</v>
      </c>
      <c r="BG982" s="3">
        <v>0</v>
      </c>
      <c r="BH982" s="3">
        <v>1</v>
      </c>
      <c r="BI982" s="3">
        <v>1</v>
      </c>
      <c r="BJ982" s="3">
        <v>0.2</v>
      </c>
      <c r="BK982" s="3">
        <v>1</v>
      </c>
      <c r="BL982" s="3">
        <v>59</v>
      </c>
      <c r="BM982" s="3">
        <v>8.85</v>
      </c>
      <c r="BN982" s="3">
        <v>67.849999999999994</v>
      </c>
      <c r="BO982" s="3">
        <v>67.849999999999994</v>
      </c>
      <c r="BQ982" s="3" t="s">
        <v>83</v>
      </c>
      <c r="BR982" s="3" t="s">
        <v>84</v>
      </c>
      <c r="BS982" s="4">
        <v>44579</v>
      </c>
      <c r="BT982" s="5">
        <v>0.32361111111111113</v>
      </c>
      <c r="BU982" s="3" t="s">
        <v>585</v>
      </c>
      <c r="BV982" s="3" t="s">
        <v>105</v>
      </c>
      <c r="BY982" s="3">
        <v>1200</v>
      </c>
      <c r="CA982" s="3" t="s">
        <v>543</v>
      </c>
      <c r="CC982" s="3" t="s">
        <v>91</v>
      </c>
      <c r="CD982" s="3">
        <v>7530</v>
      </c>
      <c r="CE982" s="3" t="s">
        <v>93</v>
      </c>
      <c r="CF982" s="4">
        <v>44580</v>
      </c>
      <c r="CI982" s="3">
        <v>1</v>
      </c>
      <c r="CJ982" s="3">
        <v>1</v>
      </c>
      <c r="CK982" s="3">
        <v>21</v>
      </c>
      <c r="CL982" s="3" t="s">
        <v>87</v>
      </c>
    </row>
    <row r="983" spans="1:90" x14ac:dyDescent="0.2">
      <c r="A983" s="3" t="s">
        <v>72</v>
      </c>
      <c r="B983" s="3" t="s">
        <v>73</v>
      </c>
      <c r="C983" s="3" t="s">
        <v>74</v>
      </c>
      <c r="E983" s="3" t="str">
        <f>"FES1162845492"</f>
        <v>FES1162845492</v>
      </c>
      <c r="F983" s="4">
        <v>44578</v>
      </c>
      <c r="G983" s="3">
        <v>202207</v>
      </c>
      <c r="H983" s="3" t="s">
        <v>75</v>
      </c>
      <c r="I983" s="3" t="s">
        <v>76</v>
      </c>
      <c r="J983" s="3" t="s">
        <v>77</v>
      </c>
      <c r="K983" s="3" t="s">
        <v>78</v>
      </c>
      <c r="L983" s="3" t="s">
        <v>211</v>
      </c>
      <c r="M983" s="3" t="s">
        <v>212</v>
      </c>
      <c r="N983" s="3" t="s">
        <v>642</v>
      </c>
      <c r="O983" s="3" t="s">
        <v>82</v>
      </c>
      <c r="P983" s="3" t="str">
        <f>"2170816739                    "</f>
        <v xml:space="preserve">2170816739                    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12.07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0</v>
      </c>
      <c r="AZ983" s="3">
        <v>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1</v>
      </c>
      <c r="BI983" s="3">
        <v>1</v>
      </c>
      <c r="BJ983" s="3">
        <v>0.2</v>
      </c>
      <c r="BK983" s="3">
        <v>1</v>
      </c>
      <c r="BL983" s="3">
        <v>46.08</v>
      </c>
      <c r="BM983" s="3">
        <v>6.91</v>
      </c>
      <c r="BN983" s="3">
        <v>52.99</v>
      </c>
      <c r="BO983" s="3">
        <v>52.99</v>
      </c>
      <c r="BQ983" s="3" t="s">
        <v>89</v>
      </c>
      <c r="BR983" s="3" t="s">
        <v>84</v>
      </c>
      <c r="BS983" s="4">
        <v>44579</v>
      </c>
      <c r="BT983" s="5">
        <v>0.40972222222222227</v>
      </c>
      <c r="BU983" s="3" t="s">
        <v>643</v>
      </c>
      <c r="BV983" s="3" t="s">
        <v>105</v>
      </c>
      <c r="BY983" s="3">
        <v>1200</v>
      </c>
      <c r="BZ983" s="3" t="s">
        <v>165</v>
      </c>
      <c r="CA983" s="3" t="s">
        <v>345</v>
      </c>
      <c r="CC983" s="3" t="s">
        <v>212</v>
      </c>
      <c r="CD983" s="3">
        <v>2163</v>
      </c>
      <c r="CE983" s="3" t="s">
        <v>93</v>
      </c>
      <c r="CF983" s="4">
        <v>44580</v>
      </c>
      <c r="CI983" s="3">
        <v>1</v>
      </c>
      <c r="CJ983" s="3">
        <v>1</v>
      </c>
      <c r="CK983" s="3">
        <v>22</v>
      </c>
      <c r="CL983" s="3" t="s">
        <v>87</v>
      </c>
    </row>
    <row r="984" spans="1:90" x14ac:dyDescent="0.2">
      <c r="A984" s="3" t="s">
        <v>72</v>
      </c>
      <c r="B984" s="3" t="s">
        <v>73</v>
      </c>
      <c r="C984" s="3" t="s">
        <v>74</v>
      </c>
      <c r="E984" s="3" t="str">
        <f>"FES1162845487"</f>
        <v>FES1162845487</v>
      </c>
      <c r="F984" s="4">
        <v>44578</v>
      </c>
      <c r="G984" s="3">
        <v>202207</v>
      </c>
      <c r="H984" s="3" t="s">
        <v>75</v>
      </c>
      <c r="I984" s="3" t="s">
        <v>76</v>
      </c>
      <c r="J984" s="3" t="s">
        <v>77</v>
      </c>
      <c r="K984" s="3" t="s">
        <v>78</v>
      </c>
      <c r="L984" s="3" t="s">
        <v>171</v>
      </c>
      <c r="M984" s="3" t="s">
        <v>172</v>
      </c>
      <c r="N984" s="3" t="s">
        <v>329</v>
      </c>
      <c r="O984" s="3" t="s">
        <v>82</v>
      </c>
      <c r="P984" s="3" t="str">
        <f>"2170808676                    "</f>
        <v xml:space="preserve">2170808676                    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54.08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1</v>
      </c>
      <c r="BI984" s="3">
        <v>1</v>
      </c>
      <c r="BJ984" s="3">
        <v>6.7</v>
      </c>
      <c r="BK984" s="3">
        <v>7</v>
      </c>
      <c r="BL984" s="3">
        <v>206.42</v>
      </c>
      <c r="BM984" s="3">
        <v>30.96</v>
      </c>
      <c r="BN984" s="3">
        <v>237.38</v>
      </c>
      <c r="BO984" s="3">
        <v>237.38</v>
      </c>
      <c r="BQ984" s="3" t="s">
        <v>83</v>
      </c>
      <c r="BR984" s="3" t="s">
        <v>84</v>
      </c>
      <c r="BS984" s="4">
        <v>44579</v>
      </c>
      <c r="BT984" s="5">
        <v>0.51180555555555551</v>
      </c>
      <c r="BU984" s="3" t="s">
        <v>330</v>
      </c>
      <c r="BV984" s="3" t="s">
        <v>87</v>
      </c>
      <c r="BW984" s="3" t="s">
        <v>457</v>
      </c>
      <c r="BX984" s="3" t="s">
        <v>458</v>
      </c>
      <c r="BY984" s="3">
        <v>33525</v>
      </c>
      <c r="BZ984" s="3" t="s">
        <v>165</v>
      </c>
      <c r="CA984" s="3" t="s">
        <v>331</v>
      </c>
      <c r="CC984" s="3" t="s">
        <v>172</v>
      </c>
      <c r="CD984" s="3">
        <v>6001</v>
      </c>
      <c r="CE984" s="3" t="s">
        <v>86</v>
      </c>
      <c r="CF984" s="4">
        <v>44579</v>
      </c>
      <c r="CI984" s="3">
        <v>1</v>
      </c>
      <c r="CJ984" s="3">
        <v>1</v>
      </c>
      <c r="CK984" s="3">
        <v>21</v>
      </c>
      <c r="CL984" s="3" t="s">
        <v>87</v>
      </c>
    </row>
    <row r="985" spans="1:90" x14ac:dyDescent="0.2">
      <c r="A985" s="3" t="s">
        <v>72</v>
      </c>
      <c r="B985" s="3" t="s">
        <v>73</v>
      </c>
      <c r="C985" s="3" t="s">
        <v>74</v>
      </c>
      <c r="E985" s="3" t="str">
        <f>"FES1162845486"</f>
        <v>FES1162845486</v>
      </c>
      <c r="F985" s="4">
        <v>44578</v>
      </c>
      <c r="G985" s="3">
        <v>202207</v>
      </c>
      <c r="H985" s="3" t="s">
        <v>75</v>
      </c>
      <c r="I985" s="3" t="s">
        <v>76</v>
      </c>
      <c r="J985" s="3" t="s">
        <v>77</v>
      </c>
      <c r="K985" s="3" t="s">
        <v>78</v>
      </c>
      <c r="L985" s="3" t="s">
        <v>171</v>
      </c>
      <c r="M985" s="3" t="s">
        <v>172</v>
      </c>
      <c r="N985" s="3" t="s">
        <v>329</v>
      </c>
      <c r="O985" s="3" t="s">
        <v>82</v>
      </c>
      <c r="P985" s="3" t="str">
        <f>"2170808096                    "</f>
        <v xml:space="preserve">2170808096                    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15.46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3">
        <v>1</v>
      </c>
      <c r="BI985" s="3">
        <v>1</v>
      </c>
      <c r="BJ985" s="3">
        <v>0.9</v>
      </c>
      <c r="BK985" s="3">
        <v>1</v>
      </c>
      <c r="BL985" s="3">
        <v>59</v>
      </c>
      <c r="BM985" s="3">
        <v>8.85</v>
      </c>
      <c r="BN985" s="3">
        <v>67.849999999999994</v>
      </c>
      <c r="BO985" s="3">
        <v>67.849999999999994</v>
      </c>
      <c r="BQ985" s="3" t="s">
        <v>83</v>
      </c>
      <c r="BR985" s="3" t="s">
        <v>84</v>
      </c>
      <c r="BS985" s="4">
        <v>44579</v>
      </c>
      <c r="BT985" s="5">
        <v>0.51180555555555551</v>
      </c>
      <c r="BU985" s="3" t="s">
        <v>330</v>
      </c>
      <c r="BV985" s="3" t="s">
        <v>87</v>
      </c>
      <c r="BW985" s="3" t="s">
        <v>457</v>
      </c>
      <c r="BX985" s="3" t="s">
        <v>458</v>
      </c>
      <c r="BY985" s="3">
        <v>4275</v>
      </c>
      <c r="BZ985" s="3" t="s">
        <v>165</v>
      </c>
      <c r="CA985" s="3" t="s">
        <v>331</v>
      </c>
      <c r="CC985" s="3" t="s">
        <v>172</v>
      </c>
      <c r="CD985" s="3">
        <v>6001</v>
      </c>
      <c r="CE985" s="3" t="s">
        <v>86</v>
      </c>
      <c r="CF985" s="4">
        <v>44579</v>
      </c>
      <c r="CI985" s="3">
        <v>1</v>
      </c>
      <c r="CJ985" s="3">
        <v>1</v>
      </c>
      <c r="CK985" s="3">
        <v>21</v>
      </c>
      <c r="CL985" s="3" t="s">
        <v>87</v>
      </c>
    </row>
    <row r="986" spans="1:90" x14ac:dyDescent="0.2">
      <c r="A986" s="3" t="s">
        <v>72</v>
      </c>
      <c r="B986" s="3" t="s">
        <v>73</v>
      </c>
      <c r="C986" s="3" t="s">
        <v>74</v>
      </c>
      <c r="E986" s="3" t="str">
        <f>"FES1162845493"</f>
        <v>FES1162845493</v>
      </c>
      <c r="F986" s="4">
        <v>44578</v>
      </c>
      <c r="G986" s="3">
        <v>202207</v>
      </c>
      <c r="H986" s="3" t="s">
        <v>75</v>
      </c>
      <c r="I986" s="3" t="s">
        <v>76</v>
      </c>
      <c r="J986" s="3" t="s">
        <v>77</v>
      </c>
      <c r="K986" s="3" t="s">
        <v>78</v>
      </c>
      <c r="L986" s="3" t="s">
        <v>1201</v>
      </c>
      <c r="M986" s="3" t="s">
        <v>1202</v>
      </c>
      <c r="N986" s="3" t="s">
        <v>321</v>
      </c>
      <c r="O986" s="3" t="s">
        <v>148</v>
      </c>
      <c r="P986" s="3" t="str">
        <f>"2170816745                    "</f>
        <v xml:space="preserve">2170816745                    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42.16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0</v>
      </c>
      <c r="BF986" s="3">
        <v>0</v>
      </c>
      <c r="BG986" s="3">
        <v>0</v>
      </c>
      <c r="BH986" s="3">
        <v>1</v>
      </c>
      <c r="BI986" s="3">
        <v>4</v>
      </c>
      <c r="BJ986" s="3">
        <v>4</v>
      </c>
      <c r="BK986" s="3">
        <v>4</v>
      </c>
      <c r="BL986" s="3">
        <v>166.16</v>
      </c>
      <c r="BM986" s="3">
        <v>24.92</v>
      </c>
      <c r="BN986" s="3">
        <v>191.08</v>
      </c>
      <c r="BO986" s="3">
        <v>191.08</v>
      </c>
      <c r="BQ986" s="3" t="s">
        <v>83</v>
      </c>
      <c r="BR986" s="3" t="s">
        <v>84</v>
      </c>
      <c r="BS986" s="4">
        <v>44579</v>
      </c>
      <c r="BT986" s="5">
        <v>0.59027777777777779</v>
      </c>
      <c r="BU986" s="3" t="s">
        <v>1203</v>
      </c>
      <c r="BV986" s="3" t="s">
        <v>105</v>
      </c>
      <c r="BY986" s="3">
        <v>20188</v>
      </c>
      <c r="BZ986" s="3" t="s">
        <v>327</v>
      </c>
      <c r="CA986" s="3" t="s">
        <v>1204</v>
      </c>
      <c r="CC986" s="3" t="s">
        <v>1202</v>
      </c>
      <c r="CD986" s="3">
        <v>9880</v>
      </c>
      <c r="CE986" s="3" t="s">
        <v>86</v>
      </c>
      <c r="CF986" s="4">
        <v>44580</v>
      </c>
      <c r="CI986" s="3">
        <v>1</v>
      </c>
      <c r="CJ986" s="3">
        <v>1</v>
      </c>
      <c r="CK986" s="3">
        <v>43</v>
      </c>
      <c r="CL986" s="3" t="s">
        <v>87</v>
      </c>
    </row>
    <row r="987" spans="1:90" x14ac:dyDescent="0.2">
      <c r="A987" s="3" t="s">
        <v>72</v>
      </c>
      <c r="B987" s="3" t="s">
        <v>73</v>
      </c>
      <c r="C987" s="3" t="s">
        <v>74</v>
      </c>
      <c r="E987" s="3" t="str">
        <f>"FES1162845495"</f>
        <v>FES1162845495</v>
      </c>
      <c r="F987" s="4">
        <v>44578</v>
      </c>
      <c r="G987" s="3">
        <v>202207</v>
      </c>
      <c r="H987" s="3" t="s">
        <v>75</v>
      </c>
      <c r="I987" s="3" t="s">
        <v>76</v>
      </c>
      <c r="J987" s="3" t="s">
        <v>77</v>
      </c>
      <c r="K987" s="3" t="s">
        <v>78</v>
      </c>
      <c r="L987" s="3" t="s">
        <v>184</v>
      </c>
      <c r="M987" s="3" t="s">
        <v>185</v>
      </c>
      <c r="N987" s="3" t="s">
        <v>186</v>
      </c>
      <c r="O987" s="3" t="s">
        <v>148</v>
      </c>
      <c r="P987" s="3" t="str">
        <f>"2170816816                    "</f>
        <v xml:space="preserve">2170816816                    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29.89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0</v>
      </c>
      <c r="BF987" s="3">
        <v>0</v>
      </c>
      <c r="BG987" s="3">
        <v>0</v>
      </c>
      <c r="BH987" s="3">
        <v>1</v>
      </c>
      <c r="BI987" s="3">
        <v>1</v>
      </c>
      <c r="BJ987" s="3">
        <v>1</v>
      </c>
      <c r="BK987" s="3">
        <v>1</v>
      </c>
      <c r="BL987" s="3">
        <v>119.34</v>
      </c>
      <c r="BM987" s="3">
        <v>17.899999999999999</v>
      </c>
      <c r="BN987" s="3">
        <v>137.24</v>
      </c>
      <c r="BO987" s="3">
        <v>137.24</v>
      </c>
      <c r="BQ987" s="3" t="s">
        <v>83</v>
      </c>
      <c r="BR987" s="3" t="s">
        <v>84</v>
      </c>
      <c r="BS987" s="4">
        <v>44580</v>
      </c>
      <c r="BT987" s="5">
        <v>0.3743055555555555</v>
      </c>
      <c r="BU987" s="3" t="s">
        <v>1391</v>
      </c>
      <c r="BV987" s="3" t="s">
        <v>105</v>
      </c>
      <c r="BY987" s="3">
        <v>4928</v>
      </c>
      <c r="BZ987" s="3" t="s">
        <v>327</v>
      </c>
      <c r="CA987" s="3" t="s">
        <v>649</v>
      </c>
      <c r="CC987" s="3" t="s">
        <v>185</v>
      </c>
      <c r="CD987" s="3">
        <v>5201</v>
      </c>
      <c r="CE987" s="3" t="s">
        <v>86</v>
      </c>
      <c r="CF987" s="4">
        <v>44581</v>
      </c>
      <c r="CI987" s="3">
        <v>3</v>
      </c>
      <c r="CJ987" s="3">
        <v>2</v>
      </c>
      <c r="CK987" s="3">
        <v>41</v>
      </c>
      <c r="CL987" s="3" t="s">
        <v>87</v>
      </c>
    </row>
    <row r="988" spans="1:90" x14ac:dyDescent="0.2">
      <c r="A988" s="3" t="s">
        <v>72</v>
      </c>
      <c r="B988" s="3" t="s">
        <v>73</v>
      </c>
      <c r="C988" s="3" t="s">
        <v>74</v>
      </c>
      <c r="E988" s="3" t="str">
        <f>"FES1162845509"</f>
        <v>FES1162845509</v>
      </c>
      <c r="F988" s="4">
        <v>44578</v>
      </c>
      <c r="G988" s="3">
        <v>202207</v>
      </c>
      <c r="H988" s="3" t="s">
        <v>75</v>
      </c>
      <c r="I988" s="3" t="s">
        <v>76</v>
      </c>
      <c r="J988" s="3" t="s">
        <v>77</v>
      </c>
      <c r="K988" s="3" t="s">
        <v>78</v>
      </c>
      <c r="L988" s="3" t="s">
        <v>1201</v>
      </c>
      <c r="M988" s="3" t="s">
        <v>1202</v>
      </c>
      <c r="N988" s="3" t="s">
        <v>321</v>
      </c>
      <c r="O988" s="3" t="s">
        <v>82</v>
      </c>
      <c r="P988" s="3" t="str">
        <f>"2170817045                    "</f>
        <v xml:space="preserve">2170817045                    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29.95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0</v>
      </c>
      <c r="BG988" s="3">
        <v>0</v>
      </c>
      <c r="BH988" s="3">
        <v>1</v>
      </c>
      <c r="BI988" s="3">
        <v>1</v>
      </c>
      <c r="BJ988" s="3">
        <v>0.2</v>
      </c>
      <c r="BK988" s="3">
        <v>1</v>
      </c>
      <c r="BL988" s="3">
        <v>114.31</v>
      </c>
      <c r="BM988" s="3">
        <v>17.149999999999999</v>
      </c>
      <c r="BN988" s="3">
        <v>131.46</v>
      </c>
      <c r="BO988" s="3">
        <v>131.46</v>
      </c>
      <c r="BQ988" s="3" t="s">
        <v>83</v>
      </c>
      <c r="BR988" s="3" t="s">
        <v>84</v>
      </c>
      <c r="BS988" s="4">
        <v>44579</v>
      </c>
      <c r="BT988" s="5">
        <v>0.59097222222222223</v>
      </c>
      <c r="BU988" s="3" t="s">
        <v>1203</v>
      </c>
      <c r="BV988" s="3" t="s">
        <v>105</v>
      </c>
      <c r="BY988" s="3">
        <v>1200</v>
      </c>
      <c r="BZ988" s="3" t="s">
        <v>165</v>
      </c>
      <c r="CA988" s="3" t="s">
        <v>1204</v>
      </c>
      <c r="CC988" s="3" t="s">
        <v>1202</v>
      </c>
      <c r="CD988" s="3">
        <v>9880</v>
      </c>
      <c r="CE988" s="3" t="s">
        <v>93</v>
      </c>
      <c r="CF988" s="4">
        <v>44580</v>
      </c>
      <c r="CI988" s="3">
        <v>1</v>
      </c>
      <c r="CJ988" s="3">
        <v>1</v>
      </c>
      <c r="CK988" s="3">
        <v>23</v>
      </c>
      <c r="CL988" s="3" t="s">
        <v>87</v>
      </c>
    </row>
    <row r="989" spans="1:90" x14ac:dyDescent="0.2">
      <c r="A989" s="3" t="s">
        <v>72</v>
      </c>
      <c r="B989" s="3" t="s">
        <v>73</v>
      </c>
      <c r="C989" s="3" t="s">
        <v>74</v>
      </c>
      <c r="E989" s="3" t="str">
        <f>"FES1162845510"</f>
        <v>FES1162845510</v>
      </c>
      <c r="F989" s="4">
        <v>44578</v>
      </c>
      <c r="G989" s="3">
        <v>202207</v>
      </c>
      <c r="H989" s="3" t="s">
        <v>75</v>
      </c>
      <c r="I989" s="3" t="s">
        <v>76</v>
      </c>
      <c r="J989" s="3" t="s">
        <v>77</v>
      </c>
      <c r="K989" s="3" t="s">
        <v>78</v>
      </c>
      <c r="L989" s="3" t="s">
        <v>799</v>
      </c>
      <c r="M989" s="3" t="s">
        <v>800</v>
      </c>
      <c r="N989" s="3" t="s">
        <v>801</v>
      </c>
      <c r="O989" s="3" t="s">
        <v>82</v>
      </c>
      <c r="P989" s="3" t="str">
        <f>"2170817046                    "</f>
        <v xml:space="preserve">2170817046                    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21.74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1</v>
      </c>
      <c r="BI989" s="3">
        <v>1</v>
      </c>
      <c r="BJ989" s="3">
        <v>0.2</v>
      </c>
      <c r="BK989" s="3">
        <v>1</v>
      </c>
      <c r="BL989" s="3">
        <v>82.98</v>
      </c>
      <c r="BM989" s="3">
        <v>12.45</v>
      </c>
      <c r="BN989" s="3">
        <v>95.43</v>
      </c>
      <c r="BO989" s="3">
        <v>95.43</v>
      </c>
      <c r="BQ989" s="3" t="s">
        <v>89</v>
      </c>
      <c r="BR989" s="3" t="s">
        <v>84</v>
      </c>
      <c r="BS989" s="4">
        <v>44579</v>
      </c>
      <c r="BT989" s="5">
        <v>0.37708333333333338</v>
      </c>
      <c r="BU989" s="3" t="s">
        <v>1392</v>
      </c>
      <c r="BV989" s="3" t="s">
        <v>105</v>
      </c>
      <c r="BY989" s="3">
        <v>1200</v>
      </c>
      <c r="BZ989" s="3" t="s">
        <v>165</v>
      </c>
      <c r="CA989" s="3" t="s">
        <v>803</v>
      </c>
      <c r="CC989" s="3" t="s">
        <v>800</v>
      </c>
      <c r="CD989" s="3">
        <v>2210</v>
      </c>
      <c r="CE989" s="3" t="s">
        <v>93</v>
      </c>
      <c r="CF989" s="4">
        <v>44579</v>
      </c>
      <c r="CI989" s="3">
        <v>1</v>
      </c>
      <c r="CJ989" s="3">
        <v>1</v>
      </c>
      <c r="CK989" s="3">
        <v>24</v>
      </c>
      <c r="CL989" s="3" t="s">
        <v>87</v>
      </c>
    </row>
    <row r="990" spans="1:90" x14ac:dyDescent="0.2">
      <c r="A990" s="3" t="s">
        <v>72</v>
      </c>
      <c r="B990" s="3" t="s">
        <v>73</v>
      </c>
      <c r="C990" s="3" t="s">
        <v>74</v>
      </c>
      <c r="E990" s="3" t="str">
        <f>"FES1162845501"</f>
        <v>FES1162845501</v>
      </c>
      <c r="F990" s="4">
        <v>44578</v>
      </c>
      <c r="G990" s="3">
        <v>202207</v>
      </c>
      <c r="H990" s="3" t="s">
        <v>75</v>
      </c>
      <c r="I990" s="3" t="s">
        <v>76</v>
      </c>
      <c r="J990" s="3" t="s">
        <v>77</v>
      </c>
      <c r="K990" s="3" t="s">
        <v>78</v>
      </c>
      <c r="L990" s="3" t="s">
        <v>184</v>
      </c>
      <c r="M990" s="3" t="s">
        <v>185</v>
      </c>
      <c r="N990" s="3" t="s">
        <v>979</v>
      </c>
      <c r="O990" s="3" t="s">
        <v>82</v>
      </c>
      <c r="P990" s="3" t="str">
        <f>"2170817039                    "</f>
        <v xml:space="preserve">2170817039                    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15.46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3">
        <v>1</v>
      </c>
      <c r="BI990" s="3">
        <v>1</v>
      </c>
      <c r="BJ990" s="3">
        <v>0.2</v>
      </c>
      <c r="BK990" s="3">
        <v>1</v>
      </c>
      <c r="BL990" s="3">
        <v>59</v>
      </c>
      <c r="BM990" s="3">
        <v>8.85</v>
      </c>
      <c r="BN990" s="3">
        <v>67.849999999999994</v>
      </c>
      <c r="BO990" s="3">
        <v>67.849999999999994</v>
      </c>
      <c r="BQ990" s="3" t="s">
        <v>83</v>
      </c>
      <c r="BR990" s="3" t="s">
        <v>84</v>
      </c>
      <c r="BS990" s="4">
        <v>44579</v>
      </c>
      <c r="BT990" s="5">
        <v>0.39305555555555555</v>
      </c>
      <c r="BU990" s="3" t="s">
        <v>1371</v>
      </c>
      <c r="BV990" s="3" t="s">
        <v>105</v>
      </c>
      <c r="BY990" s="3">
        <v>1200</v>
      </c>
      <c r="BZ990" s="3" t="s">
        <v>165</v>
      </c>
      <c r="CA990" s="3" t="s">
        <v>357</v>
      </c>
      <c r="CC990" s="3" t="s">
        <v>185</v>
      </c>
      <c r="CD990" s="3">
        <v>5201</v>
      </c>
      <c r="CE990" s="3" t="s">
        <v>93</v>
      </c>
      <c r="CF990" s="4">
        <v>44579</v>
      </c>
      <c r="CI990" s="3">
        <v>1</v>
      </c>
      <c r="CJ990" s="3">
        <v>1</v>
      </c>
      <c r="CK990" s="3">
        <v>21</v>
      </c>
      <c r="CL990" s="3" t="s">
        <v>87</v>
      </c>
    </row>
    <row r="991" spans="1:90" x14ac:dyDescent="0.2">
      <c r="A991" s="3" t="s">
        <v>72</v>
      </c>
      <c r="B991" s="3" t="s">
        <v>73</v>
      </c>
      <c r="C991" s="3" t="s">
        <v>74</v>
      </c>
      <c r="E991" s="3" t="str">
        <f>"FES1162845490"</f>
        <v>FES1162845490</v>
      </c>
      <c r="F991" s="4">
        <v>44578</v>
      </c>
      <c r="G991" s="3">
        <v>202207</v>
      </c>
      <c r="H991" s="3" t="s">
        <v>75</v>
      </c>
      <c r="I991" s="3" t="s">
        <v>76</v>
      </c>
      <c r="J991" s="3" t="s">
        <v>77</v>
      </c>
      <c r="K991" s="3" t="s">
        <v>78</v>
      </c>
      <c r="L991" s="3" t="s">
        <v>694</v>
      </c>
      <c r="M991" s="3" t="s">
        <v>695</v>
      </c>
      <c r="N991" s="3" t="s">
        <v>699</v>
      </c>
      <c r="O991" s="3" t="s">
        <v>82</v>
      </c>
      <c r="P991" s="3" t="str">
        <f>"2170816630                    "</f>
        <v xml:space="preserve">2170816630                    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29.95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0</v>
      </c>
      <c r="BF991" s="3">
        <v>0</v>
      </c>
      <c r="BG991" s="3">
        <v>0</v>
      </c>
      <c r="BH991" s="3">
        <v>1</v>
      </c>
      <c r="BI991" s="3">
        <v>1</v>
      </c>
      <c r="BJ991" s="3">
        <v>0.2</v>
      </c>
      <c r="BK991" s="3">
        <v>1</v>
      </c>
      <c r="BL991" s="3">
        <v>114.31</v>
      </c>
      <c r="BM991" s="3">
        <v>17.149999999999999</v>
      </c>
      <c r="BN991" s="3">
        <v>131.46</v>
      </c>
      <c r="BO991" s="3">
        <v>131.46</v>
      </c>
      <c r="BQ991" s="3" t="s">
        <v>83</v>
      </c>
      <c r="BR991" s="3" t="s">
        <v>84</v>
      </c>
      <c r="BS991" s="4">
        <v>44580</v>
      </c>
      <c r="BT991" s="5">
        <v>0.50555555555555554</v>
      </c>
      <c r="BU991" s="3" t="s">
        <v>700</v>
      </c>
      <c r="BV991" s="3" t="s">
        <v>87</v>
      </c>
      <c r="BW991" s="3" t="s">
        <v>278</v>
      </c>
      <c r="BX991" s="3" t="s">
        <v>279</v>
      </c>
      <c r="BY991" s="3">
        <v>1200</v>
      </c>
      <c r="BZ991" s="3" t="s">
        <v>165</v>
      </c>
      <c r="CA991" s="3" t="s">
        <v>698</v>
      </c>
      <c r="CC991" s="3" t="s">
        <v>695</v>
      </c>
      <c r="CD991" s="3">
        <v>4449</v>
      </c>
      <c r="CE991" s="3" t="s">
        <v>93</v>
      </c>
      <c r="CF991" s="4">
        <v>44581</v>
      </c>
      <c r="CI991" s="3">
        <v>1</v>
      </c>
      <c r="CJ991" s="3">
        <v>2</v>
      </c>
      <c r="CK991" s="3">
        <v>23</v>
      </c>
      <c r="CL991" s="3" t="s">
        <v>87</v>
      </c>
    </row>
    <row r="992" spans="1:90" x14ac:dyDescent="0.2">
      <c r="A992" s="3" t="s">
        <v>72</v>
      </c>
      <c r="B992" s="3" t="s">
        <v>73</v>
      </c>
      <c r="C992" s="3" t="s">
        <v>74</v>
      </c>
      <c r="E992" s="3" t="str">
        <f>"FES1162845298"</f>
        <v>FES1162845298</v>
      </c>
      <c r="F992" s="4">
        <v>44578</v>
      </c>
      <c r="G992" s="3">
        <v>202207</v>
      </c>
      <c r="H992" s="3" t="s">
        <v>75</v>
      </c>
      <c r="I992" s="3" t="s">
        <v>76</v>
      </c>
      <c r="J992" s="3" t="s">
        <v>77</v>
      </c>
      <c r="K992" s="3" t="s">
        <v>78</v>
      </c>
      <c r="L992" s="3" t="s">
        <v>184</v>
      </c>
      <c r="M992" s="3" t="s">
        <v>185</v>
      </c>
      <c r="N992" s="3" t="s">
        <v>186</v>
      </c>
      <c r="O992" s="3" t="s">
        <v>82</v>
      </c>
      <c r="P992" s="3" t="str">
        <f>"2170815679                    "</f>
        <v xml:space="preserve">2170815679                    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15.46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1</v>
      </c>
      <c r="BI992" s="3">
        <v>1</v>
      </c>
      <c r="BJ992" s="3">
        <v>0.2</v>
      </c>
      <c r="BK992" s="3">
        <v>1</v>
      </c>
      <c r="BL992" s="3">
        <v>59</v>
      </c>
      <c r="BM992" s="3">
        <v>8.85</v>
      </c>
      <c r="BN992" s="3">
        <v>67.849999999999994</v>
      </c>
      <c r="BO992" s="3">
        <v>67.849999999999994</v>
      </c>
      <c r="BQ992" s="3" t="s">
        <v>83</v>
      </c>
      <c r="BR992" s="3" t="s">
        <v>84</v>
      </c>
      <c r="BS992" s="4">
        <v>44579</v>
      </c>
      <c r="BT992" s="5">
        <v>0.60486111111111118</v>
      </c>
      <c r="BU992" s="3" t="s">
        <v>604</v>
      </c>
      <c r="BV992" s="3" t="s">
        <v>87</v>
      </c>
      <c r="BW992" s="3" t="s">
        <v>353</v>
      </c>
      <c r="BX992" s="3" t="s">
        <v>605</v>
      </c>
      <c r="BY992" s="3">
        <v>1200</v>
      </c>
      <c r="BZ992" s="3" t="s">
        <v>165</v>
      </c>
      <c r="CA992" s="3" t="s">
        <v>357</v>
      </c>
      <c r="CC992" s="3" t="s">
        <v>185</v>
      </c>
      <c r="CD992" s="3">
        <v>5201</v>
      </c>
      <c r="CE992" s="3" t="s">
        <v>93</v>
      </c>
      <c r="CF992" s="4">
        <v>44579</v>
      </c>
      <c r="CI992" s="3">
        <v>1</v>
      </c>
      <c r="CJ992" s="3">
        <v>1</v>
      </c>
      <c r="CK992" s="3">
        <v>21</v>
      </c>
      <c r="CL992" s="3" t="s">
        <v>87</v>
      </c>
    </row>
    <row r="993" spans="1:90" x14ac:dyDescent="0.2">
      <c r="A993" s="3" t="s">
        <v>72</v>
      </c>
      <c r="B993" s="3" t="s">
        <v>73</v>
      </c>
      <c r="C993" s="3" t="s">
        <v>74</v>
      </c>
      <c r="E993" s="3" t="str">
        <f>"FES1162845521"</f>
        <v>FES1162845521</v>
      </c>
      <c r="F993" s="4">
        <v>44578</v>
      </c>
      <c r="G993" s="3">
        <v>202207</v>
      </c>
      <c r="H993" s="3" t="s">
        <v>75</v>
      </c>
      <c r="I993" s="3" t="s">
        <v>76</v>
      </c>
      <c r="J993" s="3" t="s">
        <v>77</v>
      </c>
      <c r="K993" s="3" t="s">
        <v>78</v>
      </c>
      <c r="L993" s="3" t="s">
        <v>75</v>
      </c>
      <c r="M993" s="3" t="s">
        <v>76</v>
      </c>
      <c r="N993" s="3" t="s">
        <v>1393</v>
      </c>
      <c r="O993" s="3" t="s">
        <v>148</v>
      </c>
      <c r="P993" s="3" t="str">
        <f>"2170814924                    "</f>
        <v xml:space="preserve">2170814924                    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23.06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0</v>
      </c>
      <c r="AZ993" s="3">
        <v>0</v>
      </c>
      <c r="BA993" s="3">
        <v>0</v>
      </c>
      <c r="BB993" s="3">
        <v>0</v>
      </c>
      <c r="BC993" s="3">
        <v>0</v>
      </c>
      <c r="BD993" s="3">
        <v>0</v>
      </c>
      <c r="BE993" s="3">
        <v>0</v>
      </c>
      <c r="BF993" s="3">
        <v>0</v>
      </c>
      <c r="BG993" s="3">
        <v>0</v>
      </c>
      <c r="BH993" s="3">
        <v>1</v>
      </c>
      <c r="BI993" s="3">
        <v>6</v>
      </c>
      <c r="BJ993" s="3">
        <v>3.5</v>
      </c>
      <c r="BK993" s="3">
        <v>6</v>
      </c>
      <c r="BL993" s="3">
        <v>93.28</v>
      </c>
      <c r="BM993" s="3">
        <v>13.99</v>
      </c>
      <c r="BN993" s="3">
        <v>107.27</v>
      </c>
      <c r="BO993" s="3">
        <v>107.27</v>
      </c>
      <c r="BQ993" s="3" t="s">
        <v>83</v>
      </c>
      <c r="BR993" s="3" t="s">
        <v>84</v>
      </c>
      <c r="BS993" s="4">
        <v>44579</v>
      </c>
      <c r="BT993" s="5">
        <v>0.35486111111111113</v>
      </c>
      <c r="BU993" s="3" t="s">
        <v>1394</v>
      </c>
      <c r="BV993" s="3" t="s">
        <v>105</v>
      </c>
      <c r="BY993" s="3">
        <v>17300</v>
      </c>
      <c r="BZ993" s="3" t="s">
        <v>327</v>
      </c>
      <c r="CA993" s="3" t="s">
        <v>607</v>
      </c>
      <c r="CC993" s="3" t="s">
        <v>76</v>
      </c>
      <c r="CD993" s="3">
        <v>1665</v>
      </c>
      <c r="CE993" s="3" t="s">
        <v>86</v>
      </c>
      <c r="CF993" s="4">
        <v>44579</v>
      </c>
      <c r="CI993" s="3">
        <v>1</v>
      </c>
      <c r="CJ993" s="3">
        <v>1</v>
      </c>
      <c r="CK993" s="3">
        <v>42</v>
      </c>
      <c r="CL993" s="3" t="s">
        <v>87</v>
      </c>
    </row>
    <row r="994" spans="1:90" x14ac:dyDescent="0.2">
      <c r="A994" s="3" t="s">
        <v>72</v>
      </c>
      <c r="B994" s="3" t="s">
        <v>73</v>
      </c>
      <c r="C994" s="3" t="s">
        <v>74</v>
      </c>
      <c r="E994" s="3" t="str">
        <f>"FES1162845515"</f>
        <v>FES1162845515</v>
      </c>
      <c r="F994" s="4">
        <v>44578</v>
      </c>
      <c r="G994" s="3">
        <v>202207</v>
      </c>
      <c r="H994" s="3" t="s">
        <v>75</v>
      </c>
      <c r="I994" s="3" t="s">
        <v>76</v>
      </c>
      <c r="J994" s="3" t="s">
        <v>77</v>
      </c>
      <c r="K994" s="3" t="s">
        <v>78</v>
      </c>
      <c r="L994" s="3" t="s">
        <v>464</v>
      </c>
      <c r="M994" s="3" t="s">
        <v>465</v>
      </c>
      <c r="N994" s="3" t="s">
        <v>1395</v>
      </c>
      <c r="O994" s="3" t="s">
        <v>148</v>
      </c>
      <c r="P994" s="3" t="str">
        <f>"2170817050                    "</f>
        <v xml:space="preserve">2170817050                    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25.76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0</v>
      </c>
      <c r="BF994" s="3">
        <v>0</v>
      </c>
      <c r="BG994" s="3">
        <v>0</v>
      </c>
      <c r="BH994" s="3">
        <v>1</v>
      </c>
      <c r="BI994" s="3">
        <v>7</v>
      </c>
      <c r="BJ994" s="3">
        <v>18.3</v>
      </c>
      <c r="BK994" s="3">
        <v>19</v>
      </c>
      <c r="BL994" s="3">
        <v>103.58</v>
      </c>
      <c r="BM994" s="3">
        <v>15.54</v>
      </c>
      <c r="BN994" s="3">
        <v>119.12</v>
      </c>
      <c r="BO994" s="3">
        <v>119.12</v>
      </c>
      <c r="BQ994" s="3" t="s">
        <v>83</v>
      </c>
      <c r="BR994" s="3" t="s">
        <v>84</v>
      </c>
      <c r="BS994" s="4">
        <v>44580</v>
      </c>
      <c r="BT994" s="5">
        <v>0.38819444444444445</v>
      </c>
      <c r="BU994" s="3" t="s">
        <v>1396</v>
      </c>
      <c r="BV994" s="3" t="s">
        <v>87</v>
      </c>
      <c r="BW994" s="3" t="s">
        <v>617</v>
      </c>
      <c r="BX994" s="3" t="s">
        <v>758</v>
      </c>
      <c r="BY994" s="3">
        <v>91264</v>
      </c>
      <c r="BZ994" s="3" t="s">
        <v>327</v>
      </c>
      <c r="CA994" s="3" t="s">
        <v>803</v>
      </c>
      <c r="CC994" s="3" t="s">
        <v>465</v>
      </c>
      <c r="CD994" s="3">
        <v>1510</v>
      </c>
      <c r="CE994" s="3" t="s">
        <v>86</v>
      </c>
      <c r="CF994" s="4">
        <v>44580</v>
      </c>
      <c r="CI994" s="3">
        <v>1</v>
      </c>
      <c r="CJ994" s="3">
        <v>2</v>
      </c>
      <c r="CK994" s="3">
        <v>42</v>
      </c>
      <c r="CL994" s="3" t="s">
        <v>87</v>
      </c>
    </row>
    <row r="995" spans="1:90" x14ac:dyDescent="0.2">
      <c r="A995" s="3" t="s">
        <v>72</v>
      </c>
      <c r="B995" s="3" t="s">
        <v>73</v>
      </c>
      <c r="C995" s="3" t="s">
        <v>74</v>
      </c>
      <c r="E995" s="3" t="str">
        <f>"FES1162845508"</f>
        <v>FES1162845508</v>
      </c>
      <c r="F995" s="4">
        <v>44578</v>
      </c>
      <c r="G995" s="3">
        <v>202207</v>
      </c>
      <c r="H995" s="3" t="s">
        <v>75</v>
      </c>
      <c r="I995" s="3" t="s">
        <v>76</v>
      </c>
      <c r="J995" s="3" t="s">
        <v>77</v>
      </c>
      <c r="K995" s="3" t="s">
        <v>78</v>
      </c>
      <c r="L995" s="3" t="s">
        <v>138</v>
      </c>
      <c r="M995" s="3" t="s">
        <v>139</v>
      </c>
      <c r="N995" s="3" t="s">
        <v>152</v>
      </c>
      <c r="O995" s="3" t="s">
        <v>148</v>
      </c>
      <c r="P995" s="3" t="str">
        <f>"2170816350                    "</f>
        <v xml:space="preserve">2170816350                    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29.89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1</v>
      </c>
      <c r="BI995" s="3">
        <v>5</v>
      </c>
      <c r="BJ995" s="3">
        <v>2.7</v>
      </c>
      <c r="BK995" s="3">
        <v>5</v>
      </c>
      <c r="BL995" s="3">
        <v>119.34</v>
      </c>
      <c r="BM995" s="3">
        <v>17.899999999999999</v>
      </c>
      <c r="BN995" s="3">
        <v>137.24</v>
      </c>
      <c r="BO995" s="3">
        <v>137.24</v>
      </c>
      <c r="BQ995" s="3" t="s">
        <v>83</v>
      </c>
      <c r="BR995" s="3" t="s">
        <v>84</v>
      </c>
      <c r="BS995" s="4">
        <v>44580</v>
      </c>
      <c r="BT995" s="5">
        <v>0.38819444444444445</v>
      </c>
      <c r="BU995" s="3" t="s">
        <v>655</v>
      </c>
      <c r="BV995" s="3" t="s">
        <v>87</v>
      </c>
      <c r="BW995" s="3" t="s">
        <v>278</v>
      </c>
      <c r="BX995" s="3" t="s">
        <v>279</v>
      </c>
      <c r="BY995" s="3">
        <v>13520</v>
      </c>
      <c r="BZ995" s="3" t="s">
        <v>327</v>
      </c>
      <c r="CA995" s="3" t="s">
        <v>303</v>
      </c>
      <c r="CC995" s="3" t="s">
        <v>139</v>
      </c>
      <c r="CD995" s="3">
        <v>3610</v>
      </c>
      <c r="CE995" s="3" t="s">
        <v>86</v>
      </c>
      <c r="CF995" s="4">
        <v>44581</v>
      </c>
      <c r="CI995" s="3">
        <v>1</v>
      </c>
      <c r="CJ995" s="3">
        <v>2</v>
      </c>
      <c r="CK995" s="3">
        <v>41</v>
      </c>
      <c r="CL995" s="3" t="s">
        <v>87</v>
      </c>
    </row>
    <row r="996" spans="1:90" x14ac:dyDescent="0.2">
      <c r="A996" s="3" t="s">
        <v>72</v>
      </c>
      <c r="B996" s="3" t="s">
        <v>73</v>
      </c>
      <c r="C996" s="3" t="s">
        <v>74</v>
      </c>
      <c r="E996" s="3" t="str">
        <f>"FES1162845507"</f>
        <v>FES1162845507</v>
      </c>
      <c r="F996" s="4">
        <v>44578</v>
      </c>
      <c r="G996" s="3">
        <v>202207</v>
      </c>
      <c r="H996" s="3" t="s">
        <v>75</v>
      </c>
      <c r="I996" s="3" t="s">
        <v>76</v>
      </c>
      <c r="J996" s="3" t="s">
        <v>77</v>
      </c>
      <c r="K996" s="3" t="s">
        <v>78</v>
      </c>
      <c r="L996" s="3" t="s">
        <v>115</v>
      </c>
      <c r="M996" s="3" t="s">
        <v>116</v>
      </c>
      <c r="N996" s="3" t="s">
        <v>419</v>
      </c>
      <c r="O996" s="3" t="s">
        <v>82</v>
      </c>
      <c r="P996" s="3" t="str">
        <f>"2170815702                    "</f>
        <v xml:space="preserve">2170815702                    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12.07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0</v>
      </c>
      <c r="BF996" s="3">
        <v>0</v>
      </c>
      <c r="BG996" s="3">
        <v>0</v>
      </c>
      <c r="BH996" s="3">
        <v>1</v>
      </c>
      <c r="BI996" s="3">
        <v>1</v>
      </c>
      <c r="BJ996" s="3">
        <v>0.4</v>
      </c>
      <c r="BK996" s="3">
        <v>1</v>
      </c>
      <c r="BL996" s="3">
        <v>46.08</v>
      </c>
      <c r="BM996" s="3">
        <v>6.91</v>
      </c>
      <c r="BN996" s="3">
        <v>52.99</v>
      </c>
      <c r="BO996" s="3">
        <v>52.99</v>
      </c>
      <c r="BQ996" s="3" t="s">
        <v>89</v>
      </c>
      <c r="BR996" s="3" t="s">
        <v>84</v>
      </c>
      <c r="BS996" s="4">
        <v>44579</v>
      </c>
      <c r="BT996" s="5">
        <v>0.42083333333333334</v>
      </c>
      <c r="BU996" s="3" t="s">
        <v>1359</v>
      </c>
      <c r="BV996" s="3" t="s">
        <v>105</v>
      </c>
      <c r="BY996" s="3">
        <v>2058</v>
      </c>
      <c r="BZ996" s="3" t="s">
        <v>165</v>
      </c>
      <c r="CA996" s="3" t="s">
        <v>1350</v>
      </c>
      <c r="CC996" s="3" t="s">
        <v>116</v>
      </c>
      <c r="CD996" s="3">
        <v>1559</v>
      </c>
      <c r="CE996" s="3" t="s">
        <v>86</v>
      </c>
      <c r="CF996" s="4">
        <v>44579</v>
      </c>
      <c r="CI996" s="3">
        <v>1</v>
      </c>
      <c r="CJ996" s="3">
        <v>1</v>
      </c>
      <c r="CK996" s="3">
        <v>22</v>
      </c>
      <c r="CL996" s="3" t="s">
        <v>87</v>
      </c>
    </row>
    <row r="997" spans="1:90" x14ac:dyDescent="0.2">
      <c r="A997" s="3" t="s">
        <v>72</v>
      </c>
      <c r="B997" s="3" t="s">
        <v>73</v>
      </c>
      <c r="C997" s="3" t="s">
        <v>74</v>
      </c>
      <c r="E997" s="3" t="str">
        <f>"FES1162845505"</f>
        <v>FES1162845505</v>
      </c>
      <c r="F997" s="4">
        <v>44578</v>
      </c>
      <c r="G997" s="3">
        <v>202207</v>
      </c>
      <c r="H997" s="3" t="s">
        <v>75</v>
      </c>
      <c r="I997" s="3" t="s">
        <v>76</v>
      </c>
      <c r="J997" s="3" t="s">
        <v>77</v>
      </c>
      <c r="K997" s="3" t="s">
        <v>78</v>
      </c>
      <c r="L997" s="3" t="s">
        <v>138</v>
      </c>
      <c r="M997" s="3" t="s">
        <v>139</v>
      </c>
      <c r="N997" s="3" t="s">
        <v>140</v>
      </c>
      <c r="O997" s="3" t="s">
        <v>82</v>
      </c>
      <c r="P997" s="3" t="str">
        <f>"2170817043                    "</f>
        <v xml:space="preserve">2170817043                    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23.18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0</v>
      </c>
      <c r="BE997" s="3">
        <v>0</v>
      </c>
      <c r="BF997" s="3">
        <v>0</v>
      </c>
      <c r="BG997" s="3">
        <v>0</v>
      </c>
      <c r="BH997" s="3">
        <v>1</v>
      </c>
      <c r="BI997" s="3">
        <v>3</v>
      </c>
      <c r="BJ997" s="3">
        <v>1.7</v>
      </c>
      <c r="BK997" s="3">
        <v>3</v>
      </c>
      <c r="BL997" s="3">
        <v>88.48</v>
      </c>
      <c r="BM997" s="3">
        <v>13.27</v>
      </c>
      <c r="BN997" s="3">
        <v>101.75</v>
      </c>
      <c r="BO997" s="3">
        <v>101.75</v>
      </c>
      <c r="BQ997" s="3" t="s">
        <v>126</v>
      </c>
      <c r="BR997" s="3" t="s">
        <v>84</v>
      </c>
      <c r="BS997" s="4">
        <v>44579</v>
      </c>
      <c r="BT997" s="5">
        <v>0.3125</v>
      </c>
      <c r="BU997" s="3" t="s">
        <v>1397</v>
      </c>
      <c r="BV997" s="3" t="s">
        <v>105</v>
      </c>
      <c r="BY997" s="3">
        <v>8550</v>
      </c>
      <c r="BZ997" s="3" t="s">
        <v>165</v>
      </c>
      <c r="CA997" s="3" t="s">
        <v>106</v>
      </c>
      <c r="CC997" s="3" t="s">
        <v>139</v>
      </c>
      <c r="CD997" s="3">
        <v>3610</v>
      </c>
      <c r="CE997" s="3" t="s">
        <v>86</v>
      </c>
      <c r="CF997" s="4">
        <v>44580</v>
      </c>
      <c r="CI997" s="3">
        <v>1</v>
      </c>
      <c r="CJ997" s="3">
        <v>1</v>
      </c>
      <c r="CK997" s="3">
        <v>21</v>
      </c>
      <c r="CL997" s="3" t="s">
        <v>87</v>
      </c>
    </row>
    <row r="998" spans="1:90" x14ac:dyDescent="0.2">
      <c r="A998" s="3" t="s">
        <v>72</v>
      </c>
      <c r="B998" s="3" t="s">
        <v>73</v>
      </c>
      <c r="C998" s="3" t="s">
        <v>74</v>
      </c>
      <c r="E998" s="3" t="str">
        <f>"FES1162845511"</f>
        <v>FES1162845511</v>
      </c>
      <c r="F998" s="4">
        <v>44578</v>
      </c>
      <c r="G998" s="3">
        <v>202207</v>
      </c>
      <c r="H998" s="3" t="s">
        <v>75</v>
      </c>
      <c r="I998" s="3" t="s">
        <v>76</v>
      </c>
      <c r="J998" s="3" t="s">
        <v>77</v>
      </c>
      <c r="K998" s="3" t="s">
        <v>78</v>
      </c>
      <c r="L998" s="3" t="s">
        <v>176</v>
      </c>
      <c r="M998" s="3" t="s">
        <v>177</v>
      </c>
      <c r="N998" s="3" t="s">
        <v>178</v>
      </c>
      <c r="O998" s="3" t="s">
        <v>82</v>
      </c>
      <c r="P998" s="3" t="str">
        <f>"2170817047                    "</f>
        <v xml:space="preserve">2170817047                    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15.46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1</v>
      </c>
      <c r="BI998" s="3">
        <v>1</v>
      </c>
      <c r="BJ998" s="3">
        <v>1.5</v>
      </c>
      <c r="BK998" s="3">
        <v>1.5</v>
      </c>
      <c r="BL998" s="3">
        <v>59</v>
      </c>
      <c r="BM998" s="3">
        <v>8.85</v>
      </c>
      <c r="BN998" s="3">
        <v>67.849999999999994</v>
      </c>
      <c r="BO998" s="3">
        <v>67.849999999999994</v>
      </c>
      <c r="BQ998" s="3" t="s">
        <v>83</v>
      </c>
      <c r="BR998" s="3" t="s">
        <v>84</v>
      </c>
      <c r="BS998" s="4">
        <v>44579</v>
      </c>
      <c r="BT998" s="5">
        <v>0.37083333333333335</v>
      </c>
      <c r="BU998" s="3" t="s">
        <v>1398</v>
      </c>
      <c r="BV998" s="3" t="s">
        <v>105</v>
      </c>
      <c r="BY998" s="3">
        <v>7540</v>
      </c>
      <c r="BZ998" s="3" t="s">
        <v>165</v>
      </c>
      <c r="CA998" s="3" t="s">
        <v>528</v>
      </c>
      <c r="CC998" s="3" t="s">
        <v>177</v>
      </c>
      <c r="CD998" s="3">
        <v>4026</v>
      </c>
      <c r="CE998" s="3" t="s">
        <v>86</v>
      </c>
      <c r="CF998" s="4">
        <v>44580</v>
      </c>
      <c r="CI998" s="3">
        <v>1</v>
      </c>
      <c r="CJ998" s="3">
        <v>1</v>
      </c>
      <c r="CK998" s="3">
        <v>21</v>
      </c>
      <c r="CL998" s="3" t="s">
        <v>87</v>
      </c>
    </row>
    <row r="999" spans="1:90" x14ac:dyDescent="0.2">
      <c r="A999" s="3" t="s">
        <v>72</v>
      </c>
      <c r="B999" s="3" t="s">
        <v>73</v>
      </c>
      <c r="C999" s="3" t="s">
        <v>74</v>
      </c>
      <c r="E999" s="3" t="str">
        <f>"FES1162845475"</f>
        <v>FES1162845475</v>
      </c>
      <c r="F999" s="4">
        <v>44578</v>
      </c>
      <c r="G999" s="3">
        <v>202207</v>
      </c>
      <c r="H999" s="3" t="s">
        <v>75</v>
      </c>
      <c r="I999" s="3" t="s">
        <v>76</v>
      </c>
      <c r="J999" s="3" t="s">
        <v>77</v>
      </c>
      <c r="K999" s="3" t="s">
        <v>78</v>
      </c>
      <c r="L999" s="3" t="s">
        <v>94</v>
      </c>
      <c r="M999" s="3" t="s">
        <v>95</v>
      </c>
      <c r="N999" s="3" t="s">
        <v>1399</v>
      </c>
      <c r="O999" s="3" t="s">
        <v>82</v>
      </c>
      <c r="P999" s="3" t="str">
        <f>"2170817023                    "</f>
        <v xml:space="preserve">2170817023                    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15.46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0</v>
      </c>
      <c r="AZ999" s="3">
        <v>0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3">
        <v>1</v>
      </c>
      <c r="BI999" s="3">
        <v>1</v>
      </c>
      <c r="BJ999" s="3">
        <v>0.2</v>
      </c>
      <c r="BK999" s="3">
        <v>1</v>
      </c>
      <c r="BL999" s="3">
        <v>59</v>
      </c>
      <c r="BM999" s="3">
        <v>8.85</v>
      </c>
      <c r="BN999" s="3">
        <v>67.849999999999994</v>
      </c>
      <c r="BO999" s="3">
        <v>67.849999999999994</v>
      </c>
      <c r="BQ999" s="3" t="s">
        <v>1400</v>
      </c>
      <c r="BR999" s="3" t="s">
        <v>84</v>
      </c>
      <c r="BS999" s="4">
        <v>44581</v>
      </c>
      <c r="BT999" s="5">
        <v>0.52777777777777779</v>
      </c>
      <c r="BU999" s="3" t="s">
        <v>1401</v>
      </c>
      <c r="BV999" s="3" t="s">
        <v>87</v>
      </c>
      <c r="BW999" s="3" t="s">
        <v>453</v>
      </c>
      <c r="BX999" s="3" t="s">
        <v>279</v>
      </c>
      <c r="BY999" s="3">
        <v>1200</v>
      </c>
      <c r="BZ999" s="3" t="s">
        <v>165</v>
      </c>
      <c r="CC999" s="3" t="s">
        <v>95</v>
      </c>
      <c r="CD999" s="3">
        <v>3201</v>
      </c>
      <c r="CE999" s="3" t="s">
        <v>93</v>
      </c>
      <c r="CF999" s="4">
        <v>44587</v>
      </c>
      <c r="CI999" s="3">
        <v>1</v>
      </c>
      <c r="CJ999" s="3">
        <v>3</v>
      </c>
      <c r="CK999" s="3">
        <v>21</v>
      </c>
      <c r="CL999" s="3" t="s">
        <v>87</v>
      </c>
    </row>
    <row r="1000" spans="1:90" x14ac:dyDescent="0.2">
      <c r="A1000" s="3" t="s">
        <v>72</v>
      </c>
      <c r="B1000" s="3" t="s">
        <v>73</v>
      </c>
      <c r="C1000" s="3" t="s">
        <v>74</v>
      </c>
      <c r="E1000" s="3" t="str">
        <f>"FES1162845471"</f>
        <v>FES1162845471</v>
      </c>
      <c r="F1000" s="4">
        <v>44578</v>
      </c>
      <c r="G1000" s="3">
        <v>202207</v>
      </c>
      <c r="H1000" s="3" t="s">
        <v>75</v>
      </c>
      <c r="I1000" s="3" t="s">
        <v>76</v>
      </c>
      <c r="J1000" s="3" t="s">
        <v>77</v>
      </c>
      <c r="K1000" s="3" t="s">
        <v>78</v>
      </c>
      <c r="L1000" s="3" t="s">
        <v>79</v>
      </c>
      <c r="M1000" s="3" t="s">
        <v>80</v>
      </c>
      <c r="N1000" s="3" t="s">
        <v>1402</v>
      </c>
      <c r="O1000" s="3" t="s">
        <v>82</v>
      </c>
      <c r="P1000" s="3" t="str">
        <f>"2170816990                    "</f>
        <v xml:space="preserve">2170816990                    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34.770000000000003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0</v>
      </c>
      <c r="BF1000" s="3">
        <v>0</v>
      </c>
      <c r="BG1000" s="3">
        <v>0</v>
      </c>
      <c r="BH1000" s="3">
        <v>1</v>
      </c>
      <c r="BI1000" s="3">
        <v>4</v>
      </c>
      <c r="BJ1000" s="3">
        <v>4.0999999999999996</v>
      </c>
      <c r="BK1000" s="3">
        <v>4.5</v>
      </c>
      <c r="BL1000" s="3">
        <v>132.71</v>
      </c>
      <c r="BM1000" s="3">
        <v>19.91</v>
      </c>
      <c r="BN1000" s="3">
        <v>152.62</v>
      </c>
      <c r="BO1000" s="3">
        <v>152.62</v>
      </c>
      <c r="BR1000" s="3" t="s">
        <v>84</v>
      </c>
      <c r="BS1000" s="4">
        <v>44579</v>
      </c>
      <c r="BT1000" s="5">
        <v>0.35347222222222219</v>
      </c>
      <c r="BU1000" s="3" t="s">
        <v>1024</v>
      </c>
      <c r="BV1000" s="3" t="s">
        <v>105</v>
      </c>
      <c r="BY1000" s="3">
        <v>20358</v>
      </c>
      <c r="BZ1000" s="3" t="s">
        <v>165</v>
      </c>
      <c r="CA1000" s="3" t="s">
        <v>1403</v>
      </c>
      <c r="CC1000" s="3" t="s">
        <v>80</v>
      </c>
      <c r="CD1000" s="3">
        <v>127</v>
      </c>
      <c r="CE1000" s="3" t="s">
        <v>86</v>
      </c>
      <c r="CF1000" s="4">
        <v>44579</v>
      </c>
      <c r="CI1000" s="3">
        <v>1</v>
      </c>
      <c r="CJ1000" s="3">
        <v>1</v>
      </c>
      <c r="CK1000" s="3">
        <v>21</v>
      </c>
      <c r="CL1000" s="3" t="s">
        <v>87</v>
      </c>
    </row>
    <row r="1001" spans="1:90" x14ac:dyDescent="0.2">
      <c r="A1001" s="3" t="s">
        <v>72</v>
      </c>
      <c r="B1001" s="3" t="s">
        <v>73</v>
      </c>
      <c r="C1001" s="3" t="s">
        <v>74</v>
      </c>
      <c r="E1001" s="3" t="str">
        <f>"FES1162845502"</f>
        <v>FES1162845502</v>
      </c>
      <c r="F1001" s="4">
        <v>44578</v>
      </c>
      <c r="G1001" s="3">
        <v>202207</v>
      </c>
      <c r="H1001" s="3" t="s">
        <v>75</v>
      </c>
      <c r="I1001" s="3" t="s">
        <v>76</v>
      </c>
      <c r="J1001" s="3" t="s">
        <v>77</v>
      </c>
      <c r="K1001" s="3" t="s">
        <v>78</v>
      </c>
      <c r="L1001" s="3" t="s">
        <v>171</v>
      </c>
      <c r="M1001" s="3" t="s">
        <v>172</v>
      </c>
      <c r="N1001" s="3" t="s">
        <v>1362</v>
      </c>
      <c r="O1001" s="3" t="s">
        <v>82</v>
      </c>
      <c r="P1001" s="3" t="str">
        <f>"2170817040                    "</f>
        <v xml:space="preserve">2170817040                    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23.18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1</v>
      </c>
      <c r="BI1001" s="3">
        <v>3</v>
      </c>
      <c r="BJ1001" s="3">
        <v>2</v>
      </c>
      <c r="BK1001" s="3">
        <v>3</v>
      </c>
      <c r="BL1001" s="3">
        <v>88.48</v>
      </c>
      <c r="BM1001" s="3">
        <v>13.27</v>
      </c>
      <c r="BN1001" s="3">
        <v>101.75</v>
      </c>
      <c r="BO1001" s="3">
        <v>101.75</v>
      </c>
      <c r="BR1001" s="3" t="s">
        <v>84</v>
      </c>
      <c r="BS1001" s="4">
        <v>44579</v>
      </c>
      <c r="BT1001" s="5">
        <v>0.47569444444444442</v>
      </c>
      <c r="BU1001" s="3" t="s">
        <v>1363</v>
      </c>
      <c r="BV1001" s="3" t="s">
        <v>87</v>
      </c>
      <c r="BW1001" s="3" t="s">
        <v>457</v>
      </c>
      <c r="BX1001" s="3" t="s">
        <v>458</v>
      </c>
      <c r="BY1001" s="3">
        <v>9900</v>
      </c>
      <c r="BZ1001" s="3" t="s">
        <v>165</v>
      </c>
      <c r="CA1001" s="3" t="s">
        <v>509</v>
      </c>
      <c r="CC1001" s="3" t="s">
        <v>172</v>
      </c>
      <c r="CD1001" s="3">
        <v>6001</v>
      </c>
      <c r="CE1001" s="3" t="s">
        <v>86</v>
      </c>
      <c r="CF1001" s="4">
        <v>44579</v>
      </c>
      <c r="CI1001" s="3">
        <v>1</v>
      </c>
      <c r="CJ1001" s="3">
        <v>1</v>
      </c>
      <c r="CK1001" s="3">
        <v>21</v>
      </c>
      <c r="CL1001" s="3" t="s">
        <v>87</v>
      </c>
    </row>
    <row r="1002" spans="1:90" x14ac:dyDescent="0.2">
      <c r="A1002" s="3" t="s">
        <v>72</v>
      </c>
      <c r="B1002" s="3" t="s">
        <v>73</v>
      </c>
      <c r="C1002" s="3" t="s">
        <v>74</v>
      </c>
      <c r="E1002" s="3" t="str">
        <f>"FES1162845480"</f>
        <v>FES1162845480</v>
      </c>
      <c r="F1002" s="4">
        <v>44578</v>
      </c>
      <c r="G1002" s="3">
        <v>202207</v>
      </c>
      <c r="H1002" s="3" t="s">
        <v>75</v>
      </c>
      <c r="I1002" s="3" t="s">
        <v>76</v>
      </c>
      <c r="J1002" s="3" t="s">
        <v>77</v>
      </c>
      <c r="K1002" s="3" t="s">
        <v>78</v>
      </c>
      <c r="L1002" s="3" t="s">
        <v>75</v>
      </c>
      <c r="M1002" s="3" t="s">
        <v>76</v>
      </c>
      <c r="N1002" s="3" t="s">
        <v>224</v>
      </c>
      <c r="O1002" s="3" t="s">
        <v>82</v>
      </c>
      <c r="P1002" s="3" t="str">
        <f>"2170817027                    "</f>
        <v xml:space="preserve">2170817027                    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12.07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0</v>
      </c>
      <c r="BC1002" s="3">
        <v>0</v>
      </c>
      <c r="BD1002" s="3">
        <v>0</v>
      </c>
      <c r="BE1002" s="3">
        <v>0</v>
      </c>
      <c r="BF1002" s="3">
        <v>0</v>
      </c>
      <c r="BG1002" s="3">
        <v>0</v>
      </c>
      <c r="BH1002" s="3">
        <v>1</v>
      </c>
      <c r="BI1002" s="3">
        <v>4</v>
      </c>
      <c r="BJ1002" s="3">
        <v>4.0999999999999996</v>
      </c>
      <c r="BK1002" s="3">
        <v>4.5</v>
      </c>
      <c r="BL1002" s="3">
        <v>46.08</v>
      </c>
      <c r="BM1002" s="3">
        <v>6.91</v>
      </c>
      <c r="BN1002" s="3">
        <v>52.99</v>
      </c>
      <c r="BO1002" s="3">
        <v>52.99</v>
      </c>
      <c r="BQ1002" s="3" t="s">
        <v>83</v>
      </c>
      <c r="BR1002" s="3" t="s">
        <v>84</v>
      </c>
      <c r="BS1002" s="4">
        <v>44579</v>
      </c>
      <c r="BT1002" s="5">
        <v>0.3354166666666667</v>
      </c>
      <c r="BU1002" s="3" t="s">
        <v>1404</v>
      </c>
      <c r="BV1002" s="3" t="s">
        <v>105</v>
      </c>
      <c r="BY1002" s="3">
        <v>20358</v>
      </c>
      <c r="BZ1002" s="3" t="s">
        <v>165</v>
      </c>
      <c r="CA1002" s="3" t="s">
        <v>1405</v>
      </c>
      <c r="CC1002" s="3" t="s">
        <v>76</v>
      </c>
      <c r="CD1002" s="3">
        <v>1600</v>
      </c>
      <c r="CE1002" s="3" t="s">
        <v>86</v>
      </c>
      <c r="CF1002" s="4">
        <v>44580</v>
      </c>
      <c r="CI1002" s="3">
        <v>1</v>
      </c>
      <c r="CJ1002" s="3">
        <v>1</v>
      </c>
      <c r="CK1002" s="3">
        <v>22</v>
      </c>
      <c r="CL1002" s="3" t="s">
        <v>87</v>
      </c>
    </row>
    <row r="1003" spans="1:90" x14ac:dyDescent="0.2">
      <c r="A1003" s="3" t="s">
        <v>72</v>
      </c>
      <c r="B1003" s="3" t="s">
        <v>73</v>
      </c>
      <c r="C1003" s="3" t="s">
        <v>74</v>
      </c>
      <c r="E1003" s="3" t="str">
        <f>"FES1162845491"</f>
        <v>FES1162845491</v>
      </c>
      <c r="F1003" s="4">
        <v>44578</v>
      </c>
      <c r="G1003" s="3">
        <v>202207</v>
      </c>
      <c r="H1003" s="3" t="s">
        <v>75</v>
      </c>
      <c r="I1003" s="3" t="s">
        <v>76</v>
      </c>
      <c r="J1003" s="3" t="s">
        <v>77</v>
      </c>
      <c r="K1003" s="3" t="s">
        <v>78</v>
      </c>
      <c r="L1003" s="3" t="s">
        <v>335</v>
      </c>
      <c r="M1003" s="3" t="s">
        <v>336</v>
      </c>
      <c r="N1003" s="3" t="s">
        <v>1406</v>
      </c>
      <c r="O1003" s="3" t="s">
        <v>148</v>
      </c>
      <c r="P1003" s="3" t="str">
        <f>"2170816666                    "</f>
        <v xml:space="preserve">2170816666                    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29.89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0</v>
      </c>
      <c r="AZ1003" s="3">
        <v>0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3">
        <v>1</v>
      </c>
      <c r="BI1003" s="3">
        <v>3</v>
      </c>
      <c r="BJ1003" s="3">
        <v>2.2000000000000002</v>
      </c>
      <c r="BK1003" s="3">
        <v>3</v>
      </c>
      <c r="BL1003" s="3">
        <v>119.34</v>
      </c>
      <c r="BM1003" s="3">
        <v>17.899999999999999</v>
      </c>
      <c r="BN1003" s="3">
        <v>137.24</v>
      </c>
      <c r="BO1003" s="3">
        <v>137.24</v>
      </c>
      <c r="BQ1003" s="3" t="s">
        <v>83</v>
      </c>
      <c r="BR1003" s="3" t="s">
        <v>84</v>
      </c>
      <c r="BS1003" s="4">
        <v>44580</v>
      </c>
      <c r="BT1003" s="5">
        <v>0.43402777777777773</v>
      </c>
      <c r="BU1003" s="3" t="s">
        <v>1407</v>
      </c>
      <c r="BV1003" s="3" t="s">
        <v>87</v>
      </c>
      <c r="BW1003" s="3" t="s">
        <v>278</v>
      </c>
      <c r="BX1003" s="3" t="s">
        <v>279</v>
      </c>
      <c r="BY1003" s="3">
        <v>10890</v>
      </c>
      <c r="BZ1003" s="3" t="s">
        <v>327</v>
      </c>
      <c r="CA1003" s="3" t="s">
        <v>528</v>
      </c>
      <c r="CC1003" s="3" t="s">
        <v>336</v>
      </c>
      <c r="CD1003" s="3">
        <v>4113</v>
      </c>
      <c r="CE1003" s="3" t="s">
        <v>86</v>
      </c>
      <c r="CF1003" s="4">
        <v>44581</v>
      </c>
      <c r="CI1003" s="3">
        <v>1</v>
      </c>
      <c r="CJ1003" s="3">
        <v>2</v>
      </c>
      <c r="CK1003" s="3">
        <v>41</v>
      </c>
      <c r="CL1003" s="3" t="s">
        <v>87</v>
      </c>
    </row>
    <row r="1004" spans="1:90" x14ac:dyDescent="0.2">
      <c r="A1004" s="3" t="s">
        <v>72</v>
      </c>
      <c r="B1004" s="3" t="s">
        <v>73</v>
      </c>
      <c r="C1004" s="3" t="s">
        <v>74</v>
      </c>
      <c r="E1004" s="3" t="str">
        <f>"FES1162845477"</f>
        <v>FES1162845477</v>
      </c>
      <c r="F1004" s="4">
        <v>44578</v>
      </c>
      <c r="G1004" s="3">
        <v>202207</v>
      </c>
      <c r="H1004" s="3" t="s">
        <v>75</v>
      </c>
      <c r="I1004" s="3" t="s">
        <v>76</v>
      </c>
      <c r="J1004" s="3" t="s">
        <v>77</v>
      </c>
      <c r="K1004" s="3" t="s">
        <v>78</v>
      </c>
      <c r="L1004" s="3" t="s">
        <v>97</v>
      </c>
      <c r="M1004" s="3" t="s">
        <v>98</v>
      </c>
      <c r="N1004" s="3" t="s">
        <v>1408</v>
      </c>
      <c r="O1004" s="3" t="s">
        <v>82</v>
      </c>
      <c r="P1004" s="3" t="str">
        <f>"2170817025                    "</f>
        <v xml:space="preserve">2170817025                    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12.07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0</v>
      </c>
      <c r="BF1004" s="3">
        <v>0</v>
      </c>
      <c r="BG1004" s="3">
        <v>0</v>
      </c>
      <c r="BH1004" s="3">
        <v>1</v>
      </c>
      <c r="BI1004" s="3">
        <v>3</v>
      </c>
      <c r="BJ1004" s="3">
        <v>2</v>
      </c>
      <c r="BK1004" s="3">
        <v>3</v>
      </c>
      <c r="BL1004" s="3">
        <v>46.08</v>
      </c>
      <c r="BM1004" s="3">
        <v>6.91</v>
      </c>
      <c r="BN1004" s="3">
        <v>52.99</v>
      </c>
      <c r="BO1004" s="3">
        <v>52.99</v>
      </c>
      <c r="BR1004" s="3" t="s">
        <v>84</v>
      </c>
      <c r="BS1004" s="4">
        <v>44579</v>
      </c>
      <c r="BT1004" s="5">
        <v>0.36041666666666666</v>
      </c>
      <c r="BU1004" s="3" t="s">
        <v>1409</v>
      </c>
      <c r="BV1004" s="3" t="s">
        <v>105</v>
      </c>
      <c r="BY1004" s="3">
        <v>9918</v>
      </c>
      <c r="BZ1004" s="3" t="s">
        <v>165</v>
      </c>
      <c r="CA1004" s="3" t="s">
        <v>328</v>
      </c>
      <c r="CC1004" s="3" t="s">
        <v>98</v>
      </c>
      <c r="CD1004" s="3">
        <v>2049</v>
      </c>
      <c r="CE1004" s="3" t="s">
        <v>86</v>
      </c>
      <c r="CF1004" s="4">
        <v>44579</v>
      </c>
      <c r="CI1004" s="3">
        <v>1</v>
      </c>
      <c r="CJ1004" s="3">
        <v>1</v>
      </c>
      <c r="CK1004" s="3">
        <v>22</v>
      </c>
      <c r="CL1004" s="3" t="s">
        <v>87</v>
      </c>
    </row>
    <row r="1005" spans="1:90" x14ac:dyDescent="0.2">
      <c r="A1005" s="3" t="s">
        <v>72</v>
      </c>
      <c r="B1005" s="3" t="s">
        <v>73</v>
      </c>
      <c r="C1005" s="3" t="s">
        <v>74</v>
      </c>
      <c r="E1005" s="3" t="str">
        <f>"FES1162845498"</f>
        <v>FES1162845498</v>
      </c>
      <c r="F1005" s="4">
        <v>44578</v>
      </c>
      <c r="G1005" s="3">
        <v>202207</v>
      </c>
      <c r="H1005" s="3" t="s">
        <v>75</v>
      </c>
      <c r="I1005" s="3" t="s">
        <v>76</v>
      </c>
      <c r="J1005" s="3" t="s">
        <v>77</v>
      </c>
      <c r="K1005" s="3" t="s">
        <v>78</v>
      </c>
      <c r="L1005" s="3" t="s">
        <v>133</v>
      </c>
      <c r="M1005" s="3" t="s">
        <v>134</v>
      </c>
      <c r="N1005" s="3" t="s">
        <v>135</v>
      </c>
      <c r="O1005" s="3" t="s">
        <v>82</v>
      </c>
      <c r="P1005" s="3" t="str">
        <f>"2170817029                    "</f>
        <v xml:space="preserve">2170817029                    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21.74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0</v>
      </c>
      <c r="BF1005" s="3">
        <v>0</v>
      </c>
      <c r="BG1005" s="3">
        <v>0</v>
      </c>
      <c r="BH1005" s="3">
        <v>1</v>
      </c>
      <c r="BI1005" s="3">
        <v>1</v>
      </c>
      <c r="BJ1005" s="3">
        <v>0.2</v>
      </c>
      <c r="BK1005" s="3">
        <v>1</v>
      </c>
      <c r="BL1005" s="3">
        <v>82.98</v>
      </c>
      <c r="BM1005" s="3">
        <v>12.45</v>
      </c>
      <c r="BN1005" s="3">
        <v>95.43</v>
      </c>
      <c r="BO1005" s="3">
        <v>95.43</v>
      </c>
      <c r="BQ1005" s="3" t="s">
        <v>83</v>
      </c>
      <c r="BR1005" s="3" t="s">
        <v>84</v>
      </c>
      <c r="BS1005" s="4">
        <v>44579</v>
      </c>
      <c r="BT1005" s="5">
        <v>0.41666666666666669</v>
      </c>
      <c r="BU1005" s="3" t="s">
        <v>1102</v>
      </c>
      <c r="BV1005" s="3" t="s">
        <v>105</v>
      </c>
      <c r="BY1005" s="3">
        <v>1200</v>
      </c>
      <c r="BZ1005" s="3" t="s">
        <v>165</v>
      </c>
      <c r="CA1005" s="3" t="s">
        <v>673</v>
      </c>
      <c r="CC1005" s="3" t="s">
        <v>134</v>
      </c>
      <c r="CD1005" s="3">
        <v>1911</v>
      </c>
      <c r="CE1005" s="3" t="s">
        <v>93</v>
      </c>
      <c r="CF1005" s="4">
        <v>44580</v>
      </c>
      <c r="CI1005" s="3">
        <v>1</v>
      </c>
      <c r="CJ1005" s="3">
        <v>1</v>
      </c>
      <c r="CK1005" s="3">
        <v>24</v>
      </c>
      <c r="CL1005" s="3" t="s">
        <v>87</v>
      </c>
    </row>
    <row r="1006" spans="1:90" x14ac:dyDescent="0.2">
      <c r="A1006" s="3" t="s">
        <v>72</v>
      </c>
      <c r="B1006" s="3" t="s">
        <v>73</v>
      </c>
      <c r="C1006" s="3" t="s">
        <v>74</v>
      </c>
      <c r="E1006" s="3" t="str">
        <f>"FES1162845483"</f>
        <v>FES1162845483</v>
      </c>
      <c r="F1006" s="4">
        <v>44578</v>
      </c>
      <c r="G1006" s="3">
        <v>202207</v>
      </c>
      <c r="H1006" s="3" t="s">
        <v>75</v>
      </c>
      <c r="I1006" s="3" t="s">
        <v>76</v>
      </c>
      <c r="J1006" s="3" t="s">
        <v>77</v>
      </c>
      <c r="K1006" s="3" t="s">
        <v>78</v>
      </c>
      <c r="L1006" s="3" t="s">
        <v>420</v>
      </c>
      <c r="M1006" s="3" t="s">
        <v>421</v>
      </c>
      <c r="N1006" s="3" t="s">
        <v>422</v>
      </c>
      <c r="O1006" s="3" t="s">
        <v>82</v>
      </c>
      <c r="P1006" s="3" t="str">
        <f>"2170817033                    "</f>
        <v xml:space="preserve">2170817033                    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131.38999999999999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0</v>
      </c>
      <c r="BF1006" s="3">
        <v>0</v>
      </c>
      <c r="BG1006" s="3">
        <v>0</v>
      </c>
      <c r="BH1006" s="3">
        <v>1</v>
      </c>
      <c r="BI1006" s="3">
        <v>5</v>
      </c>
      <c r="BJ1006" s="3">
        <v>9.1</v>
      </c>
      <c r="BK1006" s="3">
        <v>9.5</v>
      </c>
      <c r="BL1006" s="3">
        <v>501.5</v>
      </c>
      <c r="BM1006" s="3">
        <v>75.23</v>
      </c>
      <c r="BN1006" s="3">
        <v>576.73</v>
      </c>
      <c r="BO1006" s="3">
        <v>576.73</v>
      </c>
      <c r="BR1006" s="3" t="s">
        <v>84</v>
      </c>
      <c r="BS1006" s="4">
        <v>44580</v>
      </c>
      <c r="BT1006" s="5">
        <v>0.46180555555555558</v>
      </c>
      <c r="BU1006" s="3" t="s">
        <v>1066</v>
      </c>
      <c r="BV1006" s="3" t="s">
        <v>105</v>
      </c>
      <c r="BY1006" s="3">
        <v>45632</v>
      </c>
      <c r="BZ1006" s="3" t="s">
        <v>165</v>
      </c>
      <c r="CA1006" s="3" t="s">
        <v>1410</v>
      </c>
      <c r="CC1006" s="3" t="s">
        <v>421</v>
      </c>
      <c r="CD1006" s="3">
        <v>6742</v>
      </c>
      <c r="CE1006" s="3" t="s">
        <v>86</v>
      </c>
      <c r="CF1006" s="4">
        <v>44581</v>
      </c>
      <c r="CI1006" s="3">
        <v>2</v>
      </c>
      <c r="CJ1006" s="3">
        <v>2</v>
      </c>
      <c r="CK1006" s="3">
        <v>23</v>
      </c>
      <c r="CL1006" s="3" t="s">
        <v>87</v>
      </c>
    </row>
    <row r="1007" spans="1:90" x14ac:dyDescent="0.2">
      <c r="A1007" s="3" t="s">
        <v>72</v>
      </c>
      <c r="B1007" s="3" t="s">
        <v>73</v>
      </c>
      <c r="C1007" s="3" t="s">
        <v>74</v>
      </c>
      <c r="E1007" s="3" t="str">
        <f>"FES1162845470"</f>
        <v>FES1162845470</v>
      </c>
      <c r="F1007" s="4">
        <v>44578</v>
      </c>
      <c r="G1007" s="3">
        <v>202207</v>
      </c>
      <c r="H1007" s="3" t="s">
        <v>75</v>
      </c>
      <c r="I1007" s="3" t="s">
        <v>76</v>
      </c>
      <c r="J1007" s="3" t="s">
        <v>77</v>
      </c>
      <c r="K1007" s="3" t="s">
        <v>78</v>
      </c>
      <c r="L1007" s="3" t="s">
        <v>94</v>
      </c>
      <c r="M1007" s="3" t="s">
        <v>95</v>
      </c>
      <c r="N1007" s="3" t="s">
        <v>1411</v>
      </c>
      <c r="O1007" s="3" t="s">
        <v>82</v>
      </c>
      <c r="P1007" s="3" t="str">
        <f>"2170816227                    "</f>
        <v xml:space="preserve">2170816227                    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46.36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15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0</v>
      </c>
      <c r="AZ1007" s="3">
        <v>0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1</v>
      </c>
      <c r="BI1007" s="3">
        <v>4</v>
      </c>
      <c r="BJ1007" s="3">
        <v>5.8</v>
      </c>
      <c r="BK1007" s="3">
        <v>6</v>
      </c>
      <c r="BL1007" s="3">
        <v>191.94</v>
      </c>
      <c r="BM1007" s="3">
        <v>28.79</v>
      </c>
      <c r="BN1007" s="3">
        <v>220.73</v>
      </c>
      <c r="BO1007" s="3">
        <v>220.73</v>
      </c>
      <c r="BQ1007" s="3" t="s">
        <v>83</v>
      </c>
      <c r="BR1007" s="3" t="s">
        <v>84</v>
      </c>
      <c r="BS1007" s="4">
        <v>44579</v>
      </c>
      <c r="BT1007" s="5">
        <v>0.58958333333333335</v>
      </c>
      <c r="BU1007" s="3" t="s">
        <v>1412</v>
      </c>
      <c r="BV1007" s="3" t="s">
        <v>105</v>
      </c>
      <c r="BY1007" s="3">
        <v>28812</v>
      </c>
      <c r="BZ1007" s="3" t="s">
        <v>446</v>
      </c>
      <c r="CC1007" s="3" t="s">
        <v>95</v>
      </c>
      <c r="CD1007" s="3">
        <v>3699</v>
      </c>
      <c r="CE1007" s="3" t="s">
        <v>86</v>
      </c>
      <c r="CF1007" s="4">
        <v>44582</v>
      </c>
      <c r="CI1007" s="3">
        <v>1</v>
      </c>
      <c r="CJ1007" s="3">
        <v>1</v>
      </c>
      <c r="CK1007" s="3">
        <v>21</v>
      </c>
      <c r="CL1007" s="3" t="s">
        <v>87</v>
      </c>
    </row>
    <row r="1008" spans="1:90" x14ac:dyDescent="0.2">
      <c r="A1008" s="3" t="s">
        <v>72</v>
      </c>
      <c r="B1008" s="3" t="s">
        <v>73</v>
      </c>
      <c r="C1008" s="3" t="s">
        <v>74</v>
      </c>
      <c r="E1008" s="3" t="str">
        <f>"FES1162845479"</f>
        <v>FES1162845479</v>
      </c>
      <c r="F1008" s="4">
        <v>44578</v>
      </c>
      <c r="G1008" s="3">
        <v>202207</v>
      </c>
      <c r="H1008" s="3" t="s">
        <v>75</v>
      </c>
      <c r="I1008" s="3" t="s">
        <v>76</v>
      </c>
      <c r="J1008" s="3" t="s">
        <v>77</v>
      </c>
      <c r="K1008" s="3" t="s">
        <v>78</v>
      </c>
      <c r="L1008" s="3" t="s">
        <v>142</v>
      </c>
      <c r="M1008" s="3" t="s">
        <v>143</v>
      </c>
      <c r="N1008" s="3" t="s">
        <v>1368</v>
      </c>
      <c r="O1008" s="3" t="s">
        <v>82</v>
      </c>
      <c r="P1008" s="3" t="str">
        <f>"2170817015                    "</f>
        <v xml:space="preserve">2170817015                    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12.07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</v>
      </c>
      <c r="BF1008" s="3">
        <v>0</v>
      </c>
      <c r="BG1008" s="3">
        <v>0</v>
      </c>
      <c r="BH1008" s="3">
        <v>1</v>
      </c>
      <c r="BI1008" s="3">
        <v>1</v>
      </c>
      <c r="BJ1008" s="3">
        <v>0.2</v>
      </c>
      <c r="BK1008" s="3">
        <v>1</v>
      </c>
      <c r="BL1008" s="3">
        <v>46.08</v>
      </c>
      <c r="BM1008" s="3">
        <v>6.91</v>
      </c>
      <c r="BN1008" s="3">
        <v>52.99</v>
      </c>
      <c r="BO1008" s="3">
        <v>52.99</v>
      </c>
      <c r="BQ1008" s="3" t="s">
        <v>83</v>
      </c>
      <c r="BR1008" s="3" t="s">
        <v>84</v>
      </c>
      <c r="BS1008" s="4">
        <v>44579</v>
      </c>
      <c r="BT1008" s="5">
        <v>0.41041666666666665</v>
      </c>
      <c r="BU1008" s="3" t="s">
        <v>1413</v>
      </c>
      <c r="BV1008" s="3" t="s">
        <v>105</v>
      </c>
      <c r="BY1008" s="3">
        <v>1200</v>
      </c>
      <c r="BZ1008" s="3" t="s">
        <v>165</v>
      </c>
      <c r="CA1008" s="3" t="s">
        <v>1370</v>
      </c>
      <c r="CC1008" s="3" t="s">
        <v>143</v>
      </c>
      <c r="CD1008" s="3">
        <v>1449</v>
      </c>
      <c r="CE1008" s="3" t="s">
        <v>93</v>
      </c>
      <c r="CF1008" s="4">
        <v>44579</v>
      </c>
      <c r="CI1008" s="3">
        <v>1</v>
      </c>
      <c r="CJ1008" s="3">
        <v>1</v>
      </c>
      <c r="CK1008" s="3">
        <v>22</v>
      </c>
      <c r="CL1008" s="3" t="s">
        <v>87</v>
      </c>
    </row>
    <row r="1009" spans="1:90" x14ac:dyDescent="0.2">
      <c r="A1009" s="3" t="s">
        <v>72</v>
      </c>
      <c r="B1009" s="3" t="s">
        <v>73</v>
      </c>
      <c r="C1009" s="3" t="s">
        <v>74</v>
      </c>
      <c r="E1009" s="3" t="str">
        <f>"FES1162845329"</f>
        <v>FES1162845329</v>
      </c>
      <c r="F1009" s="4">
        <v>44578</v>
      </c>
      <c r="G1009" s="3">
        <v>202207</v>
      </c>
      <c r="H1009" s="3" t="s">
        <v>75</v>
      </c>
      <c r="I1009" s="3" t="s">
        <v>76</v>
      </c>
      <c r="J1009" s="3" t="s">
        <v>77</v>
      </c>
      <c r="K1009" s="3" t="s">
        <v>78</v>
      </c>
      <c r="L1009" s="3" t="s">
        <v>142</v>
      </c>
      <c r="M1009" s="3" t="s">
        <v>143</v>
      </c>
      <c r="N1009" s="3" t="s">
        <v>1368</v>
      </c>
      <c r="O1009" s="3" t="s">
        <v>82</v>
      </c>
      <c r="P1009" s="3" t="str">
        <f>"2170816554                    "</f>
        <v xml:space="preserve">2170816554                    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12.07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0</v>
      </c>
      <c r="AZ1009" s="3">
        <v>0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3">
        <v>1</v>
      </c>
      <c r="BI1009" s="3">
        <v>1</v>
      </c>
      <c r="BJ1009" s="3">
        <v>0.2</v>
      </c>
      <c r="BK1009" s="3">
        <v>1</v>
      </c>
      <c r="BL1009" s="3">
        <v>46.08</v>
      </c>
      <c r="BM1009" s="3">
        <v>6.91</v>
      </c>
      <c r="BN1009" s="3">
        <v>52.99</v>
      </c>
      <c r="BO1009" s="3">
        <v>52.99</v>
      </c>
      <c r="BQ1009" s="3" t="s">
        <v>83</v>
      </c>
      <c r="BR1009" s="3" t="s">
        <v>84</v>
      </c>
      <c r="BS1009" s="4">
        <v>44579</v>
      </c>
      <c r="BT1009" s="5">
        <v>0.40972222222222227</v>
      </c>
      <c r="BU1009" s="3" t="s">
        <v>1413</v>
      </c>
      <c r="BV1009" s="3" t="s">
        <v>105</v>
      </c>
      <c r="BY1009" s="3">
        <v>1200</v>
      </c>
      <c r="CA1009" s="3" t="s">
        <v>1370</v>
      </c>
      <c r="CC1009" s="3" t="s">
        <v>143</v>
      </c>
      <c r="CD1009" s="3">
        <v>1449</v>
      </c>
      <c r="CE1009" s="3" t="s">
        <v>93</v>
      </c>
      <c r="CF1009" s="4">
        <v>44579</v>
      </c>
      <c r="CI1009" s="3">
        <v>1</v>
      </c>
      <c r="CJ1009" s="3">
        <v>1</v>
      </c>
      <c r="CK1009" s="3">
        <v>22</v>
      </c>
      <c r="CL1009" s="3" t="s">
        <v>87</v>
      </c>
    </row>
    <row r="1010" spans="1:90" x14ac:dyDescent="0.2">
      <c r="A1010" s="3" t="s">
        <v>72</v>
      </c>
      <c r="B1010" s="3" t="s">
        <v>73</v>
      </c>
      <c r="C1010" s="3" t="s">
        <v>74</v>
      </c>
      <c r="E1010" s="3" t="str">
        <f>"FES1162845351"</f>
        <v>FES1162845351</v>
      </c>
      <c r="F1010" s="4">
        <v>44578</v>
      </c>
      <c r="G1010" s="3">
        <v>202207</v>
      </c>
      <c r="H1010" s="3" t="s">
        <v>75</v>
      </c>
      <c r="I1010" s="3" t="s">
        <v>76</v>
      </c>
      <c r="J1010" s="3" t="s">
        <v>77</v>
      </c>
      <c r="K1010" s="3" t="s">
        <v>78</v>
      </c>
      <c r="L1010" s="3" t="s">
        <v>101</v>
      </c>
      <c r="M1010" s="3" t="s">
        <v>102</v>
      </c>
      <c r="N1010" s="3" t="s">
        <v>170</v>
      </c>
      <c r="O1010" s="3" t="s">
        <v>82</v>
      </c>
      <c r="P1010" s="3" t="str">
        <f>"2170815757                    "</f>
        <v xml:space="preserve">2170815757                    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15.46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1</v>
      </c>
      <c r="BI1010" s="3">
        <v>1</v>
      </c>
      <c r="BJ1010" s="3">
        <v>0.2</v>
      </c>
      <c r="BK1010" s="3">
        <v>1</v>
      </c>
      <c r="BL1010" s="3">
        <v>59</v>
      </c>
      <c r="BM1010" s="3">
        <v>8.85</v>
      </c>
      <c r="BN1010" s="3">
        <v>67.849999999999994</v>
      </c>
      <c r="BO1010" s="3">
        <v>67.849999999999994</v>
      </c>
      <c r="BQ1010" s="3" t="s">
        <v>89</v>
      </c>
      <c r="BR1010" s="3" t="s">
        <v>84</v>
      </c>
      <c r="BS1010" s="4">
        <v>44579</v>
      </c>
      <c r="BT1010" s="5">
        <v>0.59652777777777777</v>
      </c>
      <c r="BU1010" s="3" t="s">
        <v>369</v>
      </c>
      <c r="BV1010" s="3" t="s">
        <v>87</v>
      </c>
      <c r="BW1010" s="3" t="s">
        <v>457</v>
      </c>
      <c r="BX1010" s="3" t="s">
        <v>279</v>
      </c>
      <c r="BY1010" s="3">
        <v>1200</v>
      </c>
      <c r="CA1010" s="3" t="s">
        <v>280</v>
      </c>
      <c r="CC1010" s="3" t="s">
        <v>102</v>
      </c>
      <c r="CD1010" s="3">
        <v>4001</v>
      </c>
      <c r="CE1010" s="3" t="s">
        <v>93</v>
      </c>
      <c r="CF1010" s="4">
        <v>44580</v>
      </c>
      <c r="CI1010" s="3">
        <v>1</v>
      </c>
      <c r="CJ1010" s="3">
        <v>1</v>
      </c>
      <c r="CK1010" s="3">
        <v>21</v>
      </c>
      <c r="CL1010" s="3" t="s">
        <v>87</v>
      </c>
    </row>
    <row r="1011" spans="1:90" x14ac:dyDescent="0.2">
      <c r="A1011" s="3" t="s">
        <v>72</v>
      </c>
      <c r="B1011" s="3" t="s">
        <v>73</v>
      </c>
      <c r="C1011" s="3" t="s">
        <v>74</v>
      </c>
      <c r="E1011" s="3" t="str">
        <f>"FES1162845341"</f>
        <v>FES1162845341</v>
      </c>
      <c r="F1011" s="4">
        <v>44578</v>
      </c>
      <c r="G1011" s="3">
        <v>202207</v>
      </c>
      <c r="H1011" s="3" t="s">
        <v>75</v>
      </c>
      <c r="I1011" s="3" t="s">
        <v>76</v>
      </c>
      <c r="J1011" s="3" t="s">
        <v>77</v>
      </c>
      <c r="K1011" s="3" t="s">
        <v>78</v>
      </c>
      <c r="L1011" s="3" t="s">
        <v>138</v>
      </c>
      <c r="M1011" s="3" t="s">
        <v>139</v>
      </c>
      <c r="N1011" s="3" t="s">
        <v>140</v>
      </c>
      <c r="O1011" s="3" t="s">
        <v>82</v>
      </c>
      <c r="P1011" s="3" t="str">
        <f>"2170816895                    "</f>
        <v xml:space="preserve">2170816895                    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38.630000000000003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0</v>
      </c>
      <c r="AZ1011" s="3">
        <v>0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3">
        <v>1</v>
      </c>
      <c r="BI1011" s="3">
        <v>5</v>
      </c>
      <c r="BJ1011" s="3">
        <v>2</v>
      </c>
      <c r="BK1011" s="3">
        <v>5</v>
      </c>
      <c r="BL1011" s="3">
        <v>147.44999999999999</v>
      </c>
      <c r="BM1011" s="3">
        <v>22.12</v>
      </c>
      <c r="BN1011" s="3">
        <v>169.57</v>
      </c>
      <c r="BO1011" s="3">
        <v>169.57</v>
      </c>
      <c r="BQ1011" s="3" t="s">
        <v>126</v>
      </c>
      <c r="BR1011" s="3" t="s">
        <v>84</v>
      </c>
      <c r="BS1011" s="4">
        <v>44579</v>
      </c>
      <c r="BT1011" s="5">
        <v>0.3125</v>
      </c>
      <c r="BU1011" s="3" t="s">
        <v>1397</v>
      </c>
      <c r="BV1011" s="3" t="s">
        <v>105</v>
      </c>
      <c r="BY1011" s="3">
        <v>9918</v>
      </c>
      <c r="CA1011" s="3" t="s">
        <v>106</v>
      </c>
      <c r="CC1011" s="3" t="s">
        <v>139</v>
      </c>
      <c r="CD1011" s="3">
        <v>3610</v>
      </c>
      <c r="CE1011" s="3" t="s">
        <v>86</v>
      </c>
      <c r="CF1011" s="4">
        <v>44580</v>
      </c>
      <c r="CI1011" s="3">
        <v>1</v>
      </c>
      <c r="CJ1011" s="3">
        <v>1</v>
      </c>
      <c r="CK1011" s="3">
        <v>21</v>
      </c>
      <c r="CL1011" s="3" t="s">
        <v>87</v>
      </c>
    </row>
    <row r="1012" spans="1:90" x14ac:dyDescent="0.2">
      <c r="A1012" s="3" t="s">
        <v>72</v>
      </c>
      <c r="B1012" s="3" t="s">
        <v>73</v>
      </c>
      <c r="C1012" s="3" t="s">
        <v>74</v>
      </c>
      <c r="E1012" s="3" t="str">
        <f>"FES1162845391"</f>
        <v>FES1162845391</v>
      </c>
      <c r="F1012" s="4">
        <v>44578</v>
      </c>
      <c r="G1012" s="3">
        <v>202207</v>
      </c>
      <c r="H1012" s="3" t="s">
        <v>75</v>
      </c>
      <c r="I1012" s="3" t="s">
        <v>76</v>
      </c>
      <c r="J1012" s="3" t="s">
        <v>77</v>
      </c>
      <c r="K1012" s="3" t="s">
        <v>78</v>
      </c>
      <c r="L1012" s="3" t="s">
        <v>79</v>
      </c>
      <c r="M1012" s="3" t="s">
        <v>80</v>
      </c>
      <c r="N1012" s="3" t="s">
        <v>248</v>
      </c>
      <c r="O1012" s="3" t="s">
        <v>82</v>
      </c>
      <c r="P1012" s="3" t="str">
        <f>"2170816919                    "</f>
        <v xml:space="preserve">2170816919                    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61.81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0</v>
      </c>
      <c r="AX1012" s="3">
        <v>0</v>
      </c>
      <c r="AY1012" s="3">
        <v>0</v>
      </c>
      <c r="AZ1012" s="3">
        <v>0</v>
      </c>
      <c r="BA1012" s="3">
        <v>0</v>
      </c>
      <c r="BB1012" s="3">
        <v>0</v>
      </c>
      <c r="BC1012" s="3">
        <v>0</v>
      </c>
      <c r="BD1012" s="3">
        <v>0</v>
      </c>
      <c r="BE1012" s="3">
        <v>0</v>
      </c>
      <c r="BF1012" s="3">
        <v>0</v>
      </c>
      <c r="BG1012" s="3">
        <v>0</v>
      </c>
      <c r="BH1012" s="3">
        <v>1</v>
      </c>
      <c r="BI1012" s="3">
        <v>8</v>
      </c>
      <c r="BJ1012" s="3">
        <v>4.0999999999999996</v>
      </c>
      <c r="BK1012" s="3">
        <v>8</v>
      </c>
      <c r="BL1012" s="3">
        <v>235.91</v>
      </c>
      <c r="BM1012" s="3">
        <v>35.39</v>
      </c>
      <c r="BN1012" s="3">
        <v>271.3</v>
      </c>
      <c r="BO1012" s="3">
        <v>271.3</v>
      </c>
      <c r="BQ1012" s="3" t="s">
        <v>83</v>
      </c>
      <c r="BR1012" s="3" t="s">
        <v>84</v>
      </c>
      <c r="BS1012" s="4">
        <v>44579</v>
      </c>
      <c r="BT1012" s="5">
        <v>0.3743055555555555</v>
      </c>
      <c r="BU1012" s="3" t="s">
        <v>1008</v>
      </c>
      <c r="BV1012" s="3" t="s">
        <v>105</v>
      </c>
      <c r="BY1012" s="3">
        <v>20358</v>
      </c>
      <c r="CA1012" s="3" t="s">
        <v>362</v>
      </c>
      <c r="CC1012" s="3" t="s">
        <v>80</v>
      </c>
      <c r="CD1012" s="3">
        <v>1</v>
      </c>
      <c r="CE1012" s="3" t="s">
        <v>86</v>
      </c>
      <c r="CF1012" s="4">
        <v>44579</v>
      </c>
      <c r="CI1012" s="3">
        <v>1</v>
      </c>
      <c r="CJ1012" s="3">
        <v>1</v>
      </c>
      <c r="CK1012" s="3">
        <v>21</v>
      </c>
      <c r="CL1012" s="3" t="s">
        <v>87</v>
      </c>
    </row>
    <row r="1013" spans="1:90" x14ac:dyDescent="0.2">
      <c r="A1013" s="3" t="s">
        <v>72</v>
      </c>
      <c r="B1013" s="3" t="s">
        <v>73</v>
      </c>
      <c r="C1013" s="3" t="s">
        <v>74</v>
      </c>
      <c r="E1013" s="3" t="str">
        <f>"FES1162845350"</f>
        <v>FES1162845350</v>
      </c>
      <c r="F1013" s="4">
        <v>44578</v>
      </c>
      <c r="G1013" s="3">
        <v>202207</v>
      </c>
      <c r="H1013" s="3" t="s">
        <v>75</v>
      </c>
      <c r="I1013" s="3" t="s">
        <v>76</v>
      </c>
      <c r="J1013" s="3" t="s">
        <v>77</v>
      </c>
      <c r="K1013" s="3" t="s">
        <v>78</v>
      </c>
      <c r="L1013" s="3" t="s">
        <v>142</v>
      </c>
      <c r="M1013" s="3" t="s">
        <v>143</v>
      </c>
      <c r="N1013" s="3" t="s">
        <v>1041</v>
      </c>
      <c r="O1013" s="3" t="s">
        <v>82</v>
      </c>
      <c r="P1013" s="3" t="str">
        <f>"2170815754                    "</f>
        <v xml:space="preserve">2170815754                    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12.07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1</v>
      </c>
      <c r="BI1013" s="3">
        <v>4</v>
      </c>
      <c r="BJ1013" s="3">
        <v>1.5</v>
      </c>
      <c r="BK1013" s="3">
        <v>4</v>
      </c>
      <c r="BL1013" s="3">
        <v>46.08</v>
      </c>
      <c r="BM1013" s="3">
        <v>6.91</v>
      </c>
      <c r="BN1013" s="3">
        <v>52.99</v>
      </c>
      <c r="BO1013" s="3">
        <v>52.99</v>
      </c>
      <c r="BQ1013" s="3" t="s">
        <v>1042</v>
      </c>
      <c r="BR1013" s="3" t="s">
        <v>84</v>
      </c>
      <c r="BS1013" s="4">
        <v>44579</v>
      </c>
      <c r="BT1013" s="5">
        <v>0.34722222222222227</v>
      </c>
      <c r="BU1013" s="3" t="s">
        <v>1414</v>
      </c>
      <c r="BV1013" s="3" t="s">
        <v>105</v>
      </c>
      <c r="BY1013" s="3">
        <v>7540</v>
      </c>
      <c r="CA1013" s="3" t="s">
        <v>471</v>
      </c>
      <c r="CC1013" s="3" t="s">
        <v>143</v>
      </c>
      <c r="CD1013" s="3">
        <v>1451</v>
      </c>
      <c r="CE1013" s="3" t="s">
        <v>86</v>
      </c>
      <c r="CF1013" s="4">
        <v>44579</v>
      </c>
      <c r="CI1013" s="3">
        <v>1</v>
      </c>
      <c r="CJ1013" s="3">
        <v>1</v>
      </c>
      <c r="CK1013" s="3">
        <v>22</v>
      </c>
      <c r="CL1013" s="3" t="s">
        <v>87</v>
      </c>
    </row>
    <row r="1014" spans="1:90" x14ac:dyDescent="0.2">
      <c r="A1014" s="3" t="s">
        <v>72</v>
      </c>
      <c r="B1014" s="3" t="s">
        <v>73</v>
      </c>
      <c r="C1014" s="3" t="s">
        <v>74</v>
      </c>
      <c r="E1014" s="3" t="str">
        <f>"FES1162845438"</f>
        <v>FES1162845438</v>
      </c>
      <c r="F1014" s="4">
        <v>44578</v>
      </c>
      <c r="G1014" s="3">
        <v>202207</v>
      </c>
      <c r="H1014" s="3" t="s">
        <v>75</v>
      </c>
      <c r="I1014" s="3" t="s">
        <v>76</v>
      </c>
      <c r="J1014" s="3" t="s">
        <v>77</v>
      </c>
      <c r="K1014" s="3" t="s">
        <v>78</v>
      </c>
      <c r="L1014" s="3" t="s">
        <v>110</v>
      </c>
      <c r="M1014" s="3" t="s">
        <v>110</v>
      </c>
      <c r="N1014" s="3" t="s">
        <v>146</v>
      </c>
      <c r="O1014" s="3" t="s">
        <v>82</v>
      </c>
      <c r="P1014" s="3" t="str">
        <f>"2170816191                    "</f>
        <v xml:space="preserve">2170816191                    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70.52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3">
        <v>1</v>
      </c>
      <c r="BI1014" s="3">
        <v>5</v>
      </c>
      <c r="BJ1014" s="3">
        <v>4.0999999999999996</v>
      </c>
      <c r="BK1014" s="3">
        <v>5</v>
      </c>
      <c r="BL1014" s="3">
        <v>269.18</v>
      </c>
      <c r="BM1014" s="3">
        <v>40.380000000000003</v>
      </c>
      <c r="BN1014" s="3">
        <v>309.56</v>
      </c>
      <c r="BO1014" s="3">
        <v>309.56</v>
      </c>
      <c r="BQ1014" s="3" t="s">
        <v>89</v>
      </c>
      <c r="BR1014" s="3" t="s">
        <v>84</v>
      </c>
      <c r="BS1014" s="4">
        <v>44579</v>
      </c>
      <c r="BT1014" s="5">
        <v>0.36736111111111108</v>
      </c>
      <c r="BU1014" s="3" t="s">
        <v>1415</v>
      </c>
      <c r="BV1014" s="3" t="s">
        <v>105</v>
      </c>
      <c r="BY1014" s="3">
        <v>20358</v>
      </c>
      <c r="CA1014" s="3" t="s">
        <v>1416</v>
      </c>
      <c r="CC1014" s="3" t="s">
        <v>110</v>
      </c>
      <c r="CD1014" s="3">
        <v>7646</v>
      </c>
      <c r="CE1014" s="3" t="s">
        <v>86</v>
      </c>
      <c r="CF1014" s="4">
        <v>44579</v>
      </c>
      <c r="CI1014" s="3">
        <v>1</v>
      </c>
      <c r="CJ1014" s="3">
        <v>1</v>
      </c>
      <c r="CK1014" s="3">
        <v>23</v>
      </c>
      <c r="CL1014" s="3" t="s">
        <v>87</v>
      </c>
    </row>
    <row r="1015" spans="1:90" x14ac:dyDescent="0.2">
      <c r="A1015" s="3" t="s">
        <v>72</v>
      </c>
      <c r="B1015" s="3" t="s">
        <v>73</v>
      </c>
      <c r="C1015" s="3" t="s">
        <v>74</v>
      </c>
      <c r="E1015" s="3" t="str">
        <f>"FES1162845322"</f>
        <v>FES1162845322</v>
      </c>
      <c r="F1015" s="4">
        <v>44578</v>
      </c>
      <c r="G1015" s="3">
        <v>202207</v>
      </c>
      <c r="H1015" s="3" t="s">
        <v>75</v>
      </c>
      <c r="I1015" s="3" t="s">
        <v>76</v>
      </c>
      <c r="J1015" s="3" t="s">
        <v>77</v>
      </c>
      <c r="K1015" s="3" t="s">
        <v>78</v>
      </c>
      <c r="L1015" s="3" t="s">
        <v>171</v>
      </c>
      <c r="M1015" s="3" t="s">
        <v>172</v>
      </c>
      <c r="N1015" s="3" t="s">
        <v>838</v>
      </c>
      <c r="O1015" s="3" t="s">
        <v>82</v>
      </c>
      <c r="P1015" s="3" t="str">
        <f>"2170816879                    "</f>
        <v xml:space="preserve">2170816879                    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15.46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3">
        <v>1</v>
      </c>
      <c r="BI1015" s="3">
        <v>1</v>
      </c>
      <c r="BJ1015" s="3">
        <v>0.9</v>
      </c>
      <c r="BK1015" s="3">
        <v>1</v>
      </c>
      <c r="BL1015" s="3">
        <v>59</v>
      </c>
      <c r="BM1015" s="3">
        <v>8.85</v>
      </c>
      <c r="BN1015" s="3">
        <v>67.849999999999994</v>
      </c>
      <c r="BO1015" s="3">
        <v>67.849999999999994</v>
      </c>
      <c r="BQ1015" s="3" t="s">
        <v>83</v>
      </c>
      <c r="BR1015" s="3" t="s">
        <v>84</v>
      </c>
      <c r="BS1015" s="4">
        <v>44579</v>
      </c>
      <c r="BT1015" s="5">
        <v>0.48333333333333334</v>
      </c>
      <c r="BU1015" s="3" t="s">
        <v>1417</v>
      </c>
      <c r="BV1015" s="3" t="s">
        <v>87</v>
      </c>
      <c r="BW1015" s="3" t="s">
        <v>457</v>
      </c>
      <c r="BX1015" s="3" t="s">
        <v>458</v>
      </c>
      <c r="BY1015" s="3">
        <v>4275</v>
      </c>
      <c r="CA1015" s="3" t="s">
        <v>509</v>
      </c>
      <c r="CC1015" s="3" t="s">
        <v>172</v>
      </c>
      <c r="CD1015" s="3">
        <v>6001</v>
      </c>
      <c r="CE1015" s="3" t="s">
        <v>86</v>
      </c>
      <c r="CF1015" s="4">
        <v>44579</v>
      </c>
      <c r="CI1015" s="3">
        <v>1</v>
      </c>
      <c r="CJ1015" s="3">
        <v>1</v>
      </c>
      <c r="CK1015" s="3">
        <v>21</v>
      </c>
      <c r="CL1015" s="3" t="s">
        <v>87</v>
      </c>
    </row>
    <row r="1016" spans="1:90" x14ac:dyDescent="0.2">
      <c r="A1016" s="3" t="s">
        <v>72</v>
      </c>
      <c r="B1016" s="3" t="s">
        <v>73</v>
      </c>
      <c r="C1016" s="3" t="s">
        <v>74</v>
      </c>
      <c r="E1016" s="3" t="str">
        <f>"FES1162845365"</f>
        <v>FES1162845365</v>
      </c>
      <c r="F1016" s="4">
        <v>44578</v>
      </c>
      <c r="G1016" s="3">
        <v>202207</v>
      </c>
      <c r="H1016" s="3" t="s">
        <v>75</v>
      </c>
      <c r="I1016" s="3" t="s">
        <v>76</v>
      </c>
      <c r="J1016" s="3" t="s">
        <v>77</v>
      </c>
      <c r="K1016" s="3" t="s">
        <v>78</v>
      </c>
      <c r="L1016" s="3" t="s">
        <v>101</v>
      </c>
      <c r="M1016" s="3" t="s">
        <v>102</v>
      </c>
      <c r="N1016" s="3" t="s">
        <v>170</v>
      </c>
      <c r="O1016" s="3" t="s">
        <v>82</v>
      </c>
      <c r="P1016" s="3" t="str">
        <f>"2170816392                    "</f>
        <v xml:space="preserve">2170816392                    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15.46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1</v>
      </c>
      <c r="BI1016" s="3">
        <v>1</v>
      </c>
      <c r="BJ1016" s="3">
        <v>0.2</v>
      </c>
      <c r="BK1016" s="3">
        <v>1</v>
      </c>
      <c r="BL1016" s="3">
        <v>59</v>
      </c>
      <c r="BM1016" s="3">
        <v>8.85</v>
      </c>
      <c r="BN1016" s="3">
        <v>67.849999999999994</v>
      </c>
      <c r="BO1016" s="3">
        <v>67.849999999999994</v>
      </c>
      <c r="BQ1016" s="3" t="s">
        <v>89</v>
      </c>
      <c r="BR1016" s="3" t="s">
        <v>84</v>
      </c>
      <c r="BS1016" s="4">
        <v>44579</v>
      </c>
      <c r="BT1016" s="5">
        <v>0.59652777777777777</v>
      </c>
      <c r="BU1016" s="3" t="s">
        <v>369</v>
      </c>
      <c r="BV1016" s="3" t="s">
        <v>87</v>
      </c>
      <c r="BW1016" s="3" t="s">
        <v>457</v>
      </c>
      <c r="BX1016" s="3" t="s">
        <v>279</v>
      </c>
      <c r="BY1016" s="3">
        <v>1200</v>
      </c>
      <c r="CA1016" s="3" t="s">
        <v>280</v>
      </c>
      <c r="CC1016" s="3" t="s">
        <v>102</v>
      </c>
      <c r="CD1016" s="3">
        <v>4001</v>
      </c>
      <c r="CE1016" s="3" t="s">
        <v>93</v>
      </c>
      <c r="CF1016" s="4">
        <v>44580</v>
      </c>
      <c r="CI1016" s="3">
        <v>1</v>
      </c>
      <c r="CJ1016" s="3">
        <v>1</v>
      </c>
      <c r="CK1016" s="3">
        <v>21</v>
      </c>
      <c r="CL1016" s="3" t="s">
        <v>87</v>
      </c>
    </row>
    <row r="1017" spans="1:90" x14ac:dyDescent="0.2">
      <c r="A1017" s="3" t="s">
        <v>72</v>
      </c>
      <c r="B1017" s="3" t="s">
        <v>73</v>
      </c>
      <c r="C1017" s="3" t="s">
        <v>74</v>
      </c>
      <c r="E1017" s="3" t="str">
        <f>"FES1162845332"</f>
        <v>FES1162845332</v>
      </c>
      <c r="F1017" s="4">
        <v>44578</v>
      </c>
      <c r="G1017" s="3">
        <v>202207</v>
      </c>
      <c r="H1017" s="3" t="s">
        <v>75</v>
      </c>
      <c r="I1017" s="3" t="s">
        <v>76</v>
      </c>
      <c r="J1017" s="3" t="s">
        <v>77</v>
      </c>
      <c r="K1017" s="3" t="s">
        <v>78</v>
      </c>
      <c r="L1017" s="3" t="s">
        <v>258</v>
      </c>
      <c r="M1017" s="3" t="s">
        <v>259</v>
      </c>
      <c r="N1017" s="3" t="s">
        <v>412</v>
      </c>
      <c r="O1017" s="3" t="s">
        <v>82</v>
      </c>
      <c r="P1017" s="3" t="str">
        <f>"2170816887                    "</f>
        <v xml:space="preserve">2170816887                    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32.33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1</v>
      </c>
      <c r="BI1017" s="3">
        <v>3</v>
      </c>
      <c r="BJ1017" s="3">
        <v>2</v>
      </c>
      <c r="BK1017" s="3">
        <v>3</v>
      </c>
      <c r="BL1017" s="3">
        <v>123.39</v>
      </c>
      <c r="BM1017" s="3">
        <v>18.510000000000002</v>
      </c>
      <c r="BN1017" s="3">
        <v>141.9</v>
      </c>
      <c r="BO1017" s="3">
        <v>141.9</v>
      </c>
      <c r="BQ1017" s="3" t="s">
        <v>83</v>
      </c>
      <c r="BR1017" s="3" t="s">
        <v>84</v>
      </c>
      <c r="BS1017" s="4">
        <v>44580</v>
      </c>
      <c r="BT1017" s="5">
        <v>0.41597222222222219</v>
      </c>
      <c r="BU1017" s="3" t="s">
        <v>1418</v>
      </c>
      <c r="BV1017" s="3" t="s">
        <v>87</v>
      </c>
      <c r="BW1017" s="3" t="s">
        <v>353</v>
      </c>
      <c r="BX1017" s="3" t="s">
        <v>723</v>
      </c>
      <c r="BY1017" s="3">
        <v>9990</v>
      </c>
      <c r="CA1017" s="3" t="s">
        <v>779</v>
      </c>
      <c r="CC1017" s="3" t="s">
        <v>259</v>
      </c>
      <c r="CD1017" s="3">
        <v>2302</v>
      </c>
      <c r="CE1017" s="3" t="s">
        <v>86</v>
      </c>
      <c r="CF1017" s="4">
        <v>44581</v>
      </c>
      <c r="CI1017" s="3">
        <v>1</v>
      </c>
      <c r="CJ1017" s="3">
        <v>2</v>
      </c>
      <c r="CK1017" s="3">
        <v>24</v>
      </c>
      <c r="CL1017" s="3" t="s">
        <v>87</v>
      </c>
    </row>
    <row r="1018" spans="1:90" x14ac:dyDescent="0.2">
      <c r="A1018" s="3" t="s">
        <v>72</v>
      </c>
      <c r="B1018" s="3" t="s">
        <v>73</v>
      </c>
      <c r="C1018" s="3" t="s">
        <v>74</v>
      </c>
      <c r="E1018" s="3" t="str">
        <f>"FES1162845386"</f>
        <v>FES1162845386</v>
      </c>
      <c r="F1018" s="4">
        <v>44578</v>
      </c>
      <c r="G1018" s="3">
        <v>202207</v>
      </c>
      <c r="H1018" s="3" t="s">
        <v>75</v>
      </c>
      <c r="I1018" s="3" t="s">
        <v>76</v>
      </c>
      <c r="J1018" s="3" t="s">
        <v>77</v>
      </c>
      <c r="K1018" s="3" t="s">
        <v>78</v>
      </c>
      <c r="L1018" s="3" t="s">
        <v>90</v>
      </c>
      <c r="M1018" s="3" t="s">
        <v>91</v>
      </c>
      <c r="N1018" s="3" t="s">
        <v>584</v>
      </c>
      <c r="O1018" s="3" t="s">
        <v>82</v>
      </c>
      <c r="P1018" s="3" t="str">
        <f>"2170816912                    "</f>
        <v xml:space="preserve">2170816912                    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15.46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3">
        <v>1</v>
      </c>
      <c r="BI1018" s="3">
        <v>1</v>
      </c>
      <c r="BJ1018" s="3">
        <v>0.2</v>
      </c>
      <c r="BK1018" s="3">
        <v>1</v>
      </c>
      <c r="BL1018" s="3">
        <v>59</v>
      </c>
      <c r="BM1018" s="3">
        <v>8.85</v>
      </c>
      <c r="BN1018" s="3">
        <v>67.849999999999994</v>
      </c>
      <c r="BO1018" s="3">
        <v>67.849999999999994</v>
      </c>
      <c r="BQ1018" s="3" t="s">
        <v>83</v>
      </c>
      <c r="BR1018" s="3" t="s">
        <v>84</v>
      </c>
      <c r="BS1018" s="4">
        <v>44579</v>
      </c>
      <c r="BT1018" s="5">
        <v>0.32361111111111113</v>
      </c>
      <c r="BU1018" s="3" t="s">
        <v>585</v>
      </c>
      <c r="BV1018" s="3" t="s">
        <v>105</v>
      </c>
      <c r="BY1018" s="3">
        <v>1200</v>
      </c>
      <c r="CA1018" s="3" t="s">
        <v>543</v>
      </c>
      <c r="CC1018" s="3" t="s">
        <v>91</v>
      </c>
      <c r="CD1018" s="3">
        <v>7530</v>
      </c>
      <c r="CE1018" s="3" t="s">
        <v>93</v>
      </c>
      <c r="CF1018" s="4">
        <v>44580</v>
      </c>
      <c r="CI1018" s="3">
        <v>1</v>
      </c>
      <c r="CJ1018" s="3">
        <v>1</v>
      </c>
      <c r="CK1018" s="3">
        <v>21</v>
      </c>
      <c r="CL1018" s="3" t="s">
        <v>87</v>
      </c>
    </row>
    <row r="1019" spans="1:90" x14ac:dyDescent="0.2">
      <c r="A1019" s="3" t="s">
        <v>72</v>
      </c>
      <c r="B1019" s="3" t="s">
        <v>73</v>
      </c>
      <c r="C1019" s="3" t="s">
        <v>74</v>
      </c>
      <c r="E1019" s="3" t="str">
        <f>"FES1162845317"</f>
        <v>FES1162845317</v>
      </c>
      <c r="F1019" s="4">
        <v>44578</v>
      </c>
      <c r="G1019" s="3">
        <v>202207</v>
      </c>
      <c r="H1019" s="3" t="s">
        <v>75</v>
      </c>
      <c r="I1019" s="3" t="s">
        <v>76</v>
      </c>
      <c r="J1019" s="3" t="s">
        <v>77</v>
      </c>
      <c r="K1019" s="3" t="s">
        <v>78</v>
      </c>
      <c r="L1019" s="3" t="s">
        <v>162</v>
      </c>
      <c r="M1019" s="3" t="s">
        <v>163</v>
      </c>
      <c r="N1019" s="3" t="s">
        <v>1419</v>
      </c>
      <c r="O1019" s="3" t="s">
        <v>82</v>
      </c>
      <c r="P1019" s="3" t="str">
        <f>"2170816870                    "</f>
        <v xml:space="preserve">2170816870                    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12.07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1</v>
      </c>
      <c r="BI1019" s="3">
        <v>1</v>
      </c>
      <c r="BJ1019" s="3">
        <v>1.1000000000000001</v>
      </c>
      <c r="BK1019" s="3">
        <v>1.5</v>
      </c>
      <c r="BL1019" s="3">
        <v>46.08</v>
      </c>
      <c r="BM1019" s="3">
        <v>6.91</v>
      </c>
      <c r="BN1019" s="3">
        <v>52.99</v>
      </c>
      <c r="BO1019" s="3">
        <v>52.99</v>
      </c>
      <c r="BQ1019" s="3" t="s">
        <v>750</v>
      </c>
      <c r="BR1019" s="3" t="s">
        <v>84</v>
      </c>
      <c r="BS1019" s="4">
        <v>44579</v>
      </c>
      <c r="BT1019" s="5">
        <v>0.3527777777777778</v>
      </c>
      <c r="BU1019" s="3" t="s">
        <v>1420</v>
      </c>
      <c r="BV1019" s="3" t="s">
        <v>105</v>
      </c>
      <c r="BY1019" s="3">
        <v>5320</v>
      </c>
      <c r="CA1019" s="3" t="s">
        <v>591</v>
      </c>
      <c r="CC1019" s="3" t="s">
        <v>163</v>
      </c>
      <c r="CD1019" s="3">
        <v>1401</v>
      </c>
      <c r="CE1019" s="3" t="s">
        <v>86</v>
      </c>
      <c r="CF1019" s="4">
        <v>44579</v>
      </c>
      <c r="CI1019" s="3">
        <v>1</v>
      </c>
      <c r="CJ1019" s="3">
        <v>1</v>
      </c>
      <c r="CK1019" s="3">
        <v>22</v>
      </c>
      <c r="CL1019" s="3" t="s">
        <v>87</v>
      </c>
    </row>
    <row r="1020" spans="1:90" x14ac:dyDescent="0.2">
      <c r="A1020" s="3" t="s">
        <v>72</v>
      </c>
      <c r="B1020" s="3" t="s">
        <v>73</v>
      </c>
      <c r="C1020" s="3" t="s">
        <v>74</v>
      </c>
      <c r="E1020" s="3" t="str">
        <f>"FES1162845364"</f>
        <v>FES1162845364</v>
      </c>
      <c r="F1020" s="4">
        <v>44578</v>
      </c>
      <c r="G1020" s="3">
        <v>202207</v>
      </c>
      <c r="H1020" s="3" t="s">
        <v>75</v>
      </c>
      <c r="I1020" s="3" t="s">
        <v>76</v>
      </c>
      <c r="J1020" s="3" t="s">
        <v>77</v>
      </c>
      <c r="K1020" s="3" t="s">
        <v>78</v>
      </c>
      <c r="L1020" s="3" t="s">
        <v>115</v>
      </c>
      <c r="M1020" s="3" t="s">
        <v>116</v>
      </c>
      <c r="N1020" s="3" t="s">
        <v>877</v>
      </c>
      <c r="O1020" s="3" t="s">
        <v>82</v>
      </c>
      <c r="P1020" s="3" t="str">
        <f>"2170816298                    "</f>
        <v xml:space="preserve">2170816298                    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12.07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  <c r="BH1020" s="3">
        <v>1</v>
      </c>
      <c r="BI1020" s="3">
        <v>1</v>
      </c>
      <c r="BJ1020" s="3">
        <v>0.2</v>
      </c>
      <c r="BK1020" s="3">
        <v>1</v>
      </c>
      <c r="BL1020" s="3">
        <v>46.08</v>
      </c>
      <c r="BM1020" s="3">
        <v>6.91</v>
      </c>
      <c r="BN1020" s="3">
        <v>52.99</v>
      </c>
      <c r="BO1020" s="3">
        <v>52.99</v>
      </c>
      <c r="BQ1020" s="3" t="s">
        <v>126</v>
      </c>
      <c r="BR1020" s="3" t="s">
        <v>84</v>
      </c>
      <c r="BS1020" s="4">
        <v>44579</v>
      </c>
      <c r="BT1020" s="5">
        <v>0.4368055555555555</v>
      </c>
      <c r="BU1020" s="3" t="s">
        <v>1421</v>
      </c>
      <c r="BV1020" s="3" t="s">
        <v>105</v>
      </c>
      <c r="BY1020" s="3">
        <v>1200</v>
      </c>
      <c r="CA1020" s="3" t="s">
        <v>119</v>
      </c>
      <c r="CC1020" s="3" t="s">
        <v>116</v>
      </c>
      <c r="CD1020" s="3">
        <v>1559</v>
      </c>
      <c r="CE1020" s="3" t="s">
        <v>93</v>
      </c>
      <c r="CF1020" s="4">
        <v>44579</v>
      </c>
      <c r="CI1020" s="3">
        <v>1</v>
      </c>
      <c r="CJ1020" s="3">
        <v>1</v>
      </c>
      <c r="CK1020" s="3">
        <v>22</v>
      </c>
      <c r="CL1020" s="3" t="s">
        <v>87</v>
      </c>
    </row>
    <row r="1021" spans="1:90" x14ac:dyDescent="0.2">
      <c r="A1021" s="3" t="s">
        <v>72</v>
      </c>
      <c r="B1021" s="3" t="s">
        <v>73</v>
      </c>
      <c r="C1021" s="3" t="s">
        <v>74</v>
      </c>
      <c r="E1021" s="3" t="str">
        <f>"FES1162845303"</f>
        <v>FES1162845303</v>
      </c>
      <c r="F1021" s="4">
        <v>44578</v>
      </c>
      <c r="G1021" s="3">
        <v>202207</v>
      </c>
      <c r="H1021" s="3" t="s">
        <v>75</v>
      </c>
      <c r="I1021" s="3" t="s">
        <v>76</v>
      </c>
      <c r="J1021" s="3" t="s">
        <v>77</v>
      </c>
      <c r="K1021" s="3" t="s">
        <v>78</v>
      </c>
      <c r="L1021" s="3" t="s">
        <v>101</v>
      </c>
      <c r="M1021" s="3" t="s">
        <v>102</v>
      </c>
      <c r="N1021" s="3" t="s">
        <v>1422</v>
      </c>
      <c r="O1021" s="3" t="s">
        <v>82</v>
      </c>
      <c r="P1021" s="3" t="str">
        <f>"2170816552                    "</f>
        <v xml:space="preserve">2170816552                    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15.46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0</v>
      </c>
      <c r="AZ1021" s="3">
        <v>0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1</v>
      </c>
      <c r="BI1021" s="3">
        <v>1</v>
      </c>
      <c r="BJ1021" s="3">
        <v>0.2</v>
      </c>
      <c r="BK1021" s="3">
        <v>1</v>
      </c>
      <c r="BL1021" s="3">
        <v>59</v>
      </c>
      <c r="BM1021" s="3">
        <v>8.85</v>
      </c>
      <c r="BN1021" s="3">
        <v>67.849999999999994</v>
      </c>
      <c r="BO1021" s="3">
        <v>67.849999999999994</v>
      </c>
      <c r="BQ1021" s="3" t="s">
        <v>1423</v>
      </c>
      <c r="BR1021" s="3" t="s">
        <v>84</v>
      </c>
      <c r="BS1021" s="4">
        <v>44579</v>
      </c>
      <c r="BT1021" s="5">
        <v>0.3430555555555555</v>
      </c>
      <c r="BU1021" s="3" t="s">
        <v>1424</v>
      </c>
      <c r="BV1021" s="3" t="s">
        <v>105</v>
      </c>
      <c r="BY1021" s="3">
        <v>1200</v>
      </c>
      <c r="CA1021" s="3" t="s">
        <v>1318</v>
      </c>
      <c r="CC1021" s="3" t="s">
        <v>102</v>
      </c>
      <c r="CD1021" s="3">
        <v>4051</v>
      </c>
      <c r="CE1021" s="3" t="s">
        <v>93</v>
      </c>
      <c r="CF1021" s="4">
        <v>44580</v>
      </c>
      <c r="CI1021" s="3">
        <v>1</v>
      </c>
      <c r="CJ1021" s="3">
        <v>1</v>
      </c>
      <c r="CK1021" s="3">
        <v>21</v>
      </c>
      <c r="CL1021" s="3" t="s">
        <v>87</v>
      </c>
    </row>
    <row r="1022" spans="1:90" x14ac:dyDescent="0.2">
      <c r="A1022" s="3" t="s">
        <v>72</v>
      </c>
      <c r="B1022" s="3" t="s">
        <v>73</v>
      </c>
      <c r="C1022" s="3" t="s">
        <v>74</v>
      </c>
      <c r="E1022" s="3" t="str">
        <f>"FES1162845367"</f>
        <v>FES1162845367</v>
      </c>
      <c r="F1022" s="4">
        <v>44578</v>
      </c>
      <c r="G1022" s="3">
        <v>202207</v>
      </c>
      <c r="H1022" s="3" t="s">
        <v>75</v>
      </c>
      <c r="I1022" s="3" t="s">
        <v>76</v>
      </c>
      <c r="J1022" s="3" t="s">
        <v>77</v>
      </c>
      <c r="K1022" s="3" t="s">
        <v>78</v>
      </c>
      <c r="L1022" s="3" t="s">
        <v>138</v>
      </c>
      <c r="M1022" s="3" t="s">
        <v>139</v>
      </c>
      <c r="N1022" s="3" t="s">
        <v>238</v>
      </c>
      <c r="O1022" s="3" t="s">
        <v>82</v>
      </c>
      <c r="P1022" s="3" t="str">
        <f>"2170816548                    "</f>
        <v xml:space="preserve">2170816548                    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15.46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1</v>
      </c>
      <c r="BI1022" s="3">
        <v>1</v>
      </c>
      <c r="BJ1022" s="3">
        <v>0.2</v>
      </c>
      <c r="BK1022" s="3">
        <v>1</v>
      </c>
      <c r="BL1022" s="3">
        <v>59</v>
      </c>
      <c r="BM1022" s="3">
        <v>8.85</v>
      </c>
      <c r="BN1022" s="3">
        <v>67.849999999999994</v>
      </c>
      <c r="BO1022" s="3">
        <v>67.849999999999994</v>
      </c>
      <c r="BQ1022" s="3" t="s">
        <v>89</v>
      </c>
      <c r="BR1022" s="3" t="s">
        <v>84</v>
      </c>
      <c r="BS1022" s="4">
        <v>44579</v>
      </c>
      <c r="BT1022" s="5">
        <v>0.30624999999999997</v>
      </c>
      <c r="BU1022" s="3" t="s">
        <v>469</v>
      </c>
      <c r="BV1022" s="3" t="s">
        <v>105</v>
      </c>
      <c r="BY1022" s="3">
        <v>1200</v>
      </c>
      <c r="CA1022" s="3" t="s">
        <v>303</v>
      </c>
      <c r="CC1022" s="3" t="s">
        <v>139</v>
      </c>
      <c r="CD1022" s="3">
        <v>3610</v>
      </c>
      <c r="CE1022" s="3" t="s">
        <v>93</v>
      </c>
      <c r="CF1022" s="4">
        <v>44580</v>
      </c>
      <c r="CI1022" s="3">
        <v>1</v>
      </c>
      <c r="CJ1022" s="3">
        <v>1</v>
      </c>
      <c r="CK1022" s="3">
        <v>21</v>
      </c>
      <c r="CL1022" s="3" t="s">
        <v>87</v>
      </c>
    </row>
    <row r="1023" spans="1:90" x14ac:dyDescent="0.2">
      <c r="A1023" s="3" t="s">
        <v>72</v>
      </c>
      <c r="B1023" s="3" t="s">
        <v>73</v>
      </c>
      <c r="C1023" s="3" t="s">
        <v>74</v>
      </c>
      <c r="E1023" s="3" t="str">
        <f>"FES1162845330"</f>
        <v>FES1162845330</v>
      </c>
      <c r="F1023" s="4">
        <v>44578</v>
      </c>
      <c r="G1023" s="3">
        <v>202207</v>
      </c>
      <c r="H1023" s="3" t="s">
        <v>75</v>
      </c>
      <c r="I1023" s="3" t="s">
        <v>76</v>
      </c>
      <c r="J1023" s="3" t="s">
        <v>77</v>
      </c>
      <c r="K1023" s="3" t="s">
        <v>78</v>
      </c>
      <c r="L1023" s="3" t="s">
        <v>138</v>
      </c>
      <c r="M1023" s="3" t="s">
        <v>139</v>
      </c>
      <c r="N1023" s="3" t="s">
        <v>1425</v>
      </c>
      <c r="O1023" s="3" t="s">
        <v>82</v>
      </c>
      <c r="P1023" s="3" t="str">
        <f>"2170816764                    "</f>
        <v xml:space="preserve">2170816764                    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34.770000000000003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1</v>
      </c>
      <c r="BI1023" s="3">
        <v>3</v>
      </c>
      <c r="BJ1023" s="3">
        <v>4.0999999999999996</v>
      </c>
      <c r="BK1023" s="3">
        <v>4.5</v>
      </c>
      <c r="BL1023" s="3">
        <v>132.71</v>
      </c>
      <c r="BM1023" s="3">
        <v>19.91</v>
      </c>
      <c r="BN1023" s="3">
        <v>152.62</v>
      </c>
      <c r="BO1023" s="3">
        <v>152.62</v>
      </c>
      <c r="BR1023" s="3" t="s">
        <v>84</v>
      </c>
      <c r="BS1023" s="4">
        <v>44579</v>
      </c>
      <c r="BT1023" s="5">
        <v>0.55208333333333337</v>
      </c>
      <c r="BU1023" s="3" t="s">
        <v>1426</v>
      </c>
      <c r="BV1023" s="3" t="s">
        <v>87</v>
      </c>
      <c r="BW1023" s="3" t="s">
        <v>278</v>
      </c>
      <c r="BX1023" s="3" t="s">
        <v>279</v>
      </c>
      <c r="BY1023" s="3">
        <v>20358</v>
      </c>
      <c r="CA1023" s="3" t="s">
        <v>303</v>
      </c>
      <c r="CC1023" s="3" t="s">
        <v>139</v>
      </c>
      <c r="CD1023" s="3">
        <v>3600</v>
      </c>
      <c r="CE1023" s="3" t="s">
        <v>86</v>
      </c>
      <c r="CF1023" s="4">
        <v>44580</v>
      </c>
      <c r="CI1023" s="3">
        <v>1</v>
      </c>
      <c r="CJ1023" s="3">
        <v>1</v>
      </c>
      <c r="CK1023" s="3">
        <v>21</v>
      </c>
      <c r="CL1023" s="3" t="s">
        <v>87</v>
      </c>
    </row>
    <row r="1024" spans="1:90" x14ac:dyDescent="0.2">
      <c r="A1024" s="3" t="s">
        <v>72</v>
      </c>
      <c r="B1024" s="3" t="s">
        <v>73</v>
      </c>
      <c r="C1024" s="3" t="s">
        <v>74</v>
      </c>
      <c r="E1024" s="3" t="str">
        <f>"FES1162845349"</f>
        <v>FES1162845349</v>
      </c>
      <c r="F1024" s="4">
        <v>44578</v>
      </c>
      <c r="G1024" s="3">
        <v>202207</v>
      </c>
      <c r="H1024" s="3" t="s">
        <v>75</v>
      </c>
      <c r="I1024" s="3" t="s">
        <v>76</v>
      </c>
      <c r="J1024" s="3" t="s">
        <v>77</v>
      </c>
      <c r="K1024" s="3" t="s">
        <v>78</v>
      </c>
      <c r="L1024" s="3" t="s">
        <v>167</v>
      </c>
      <c r="M1024" s="3" t="s">
        <v>168</v>
      </c>
      <c r="N1024" s="3" t="s">
        <v>194</v>
      </c>
      <c r="O1024" s="3" t="s">
        <v>82</v>
      </c>
      <c r="P1024" s="3" t="str">
        <f>"2170815547                    "</f>
        <v xml:space="preserve">2170815547                    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15.46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0</v>
      </c>
      <c r="AZ1024" s="3">
        <v>0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1</v>
      </c>
      <c r="BI1024" s="3">
        <v>1</v>
      </c>
      <c r="BJ1024" s="3">
        <v>0.2</v>
      </c>
      <c r="BK1024" s="3">
        <v>1</v>
      </c>
      <c r="BL1024" s="3">
        <v>59</v>
      </c>
      <c r="BM1024" s="3">
        <v>8.85</v>
      </c>
      <c r="BN1024" s="3">
        <v>67.849999999999994</v>
      </c>
      <c r="BO1024" s="3">
        <v>67.849999999999994</v>
      </c>
      <c r="BQ1024" s="3" t="s">
        <v>89</v>
      </c>
      <c r="BR1024" s="3" t="s">
        <v>84</v>
      </c>
      <c r="BS1024" s="4">
        <v>44579</v>
      </c>
      <c r="BT1024" s="5">
        <v>0.57430555555555551</v>
      </c>
      <c r="BU1024" s="3" t="s">
        <v>1028</v>
      </c>
      <c r="BV1024" s="3" t="s">
        <v>87</v>
      </c>
      <c r="BW1024" s="3" t="s">
        <v>457</v>
      </c>
      <c r="BX1024" s="3" t="s">
        <v>486</v>
      </c>
      <c r="BY1024" s="3">
        <v>1200</v>
      </c>
      <c r="CA1024" s="3" t="s">
        <v>553</v>
      </c>
      <c r="CC1024" s="3" t="s">
        <v>168</v>
      </c>
      <c r="CD1024" s="3">
        <v>6229</v>
      </c>
      <c r="CE1024" s="3" t="s">
        <v>93</v>
      </c>
      <c r="CF1024" s="4">
        <v>44579</v>
      </c>
      <c r="CI1024" s="3">
        <v>1</v>
      </c>
      <c r="CJ1024" s="3">
        <v>1</v>
      </c>
      <c r="CK1024" s="3">
        <v>21</v>
      </c>
      <c r="CL1024" s="3" t="s">
        <v>87</v>
      </c>
    </row>
    <row r="1025" spans="1:90" x14ac:dyDescent="0.2">
      <c r="A1025" s="3" t="s">
        <v>72</v>
      </c>
      <c r="B1025" s="3" t="s">
        <v>73</v>
      </c>
      <c r="C1025" s="3" t="s">
        <v>74</v>
      </c>
      <c r="E1025" s="3" t="str">
        <f>"FES1162845331"</f>
        <v>FES1162845331</v>
      </c>
      <c r="F1025" s="4">
        <v>44578</v>
      </c>
      <c r="G1025" s="3">
        <v>202207</v>
      </c>
      <c r="H1025" s="3" t="s">
        <v>75</v>
      </c>
      <c r="I1025" s="3" t="s">
        <v>76</v>
      </c>
      <c r="J1025" s="3" t="s">
        <v>77</v>
      </c>
      <c r="K1025" s="3" t="s">
        <v>78</v>
      </c>
      <c r="L1025" s="3" t="s">
        <v>115</v>
      </c>
      <c r="M1025" s="3" t="s">
        <v>116</v>
      </c>
      <c r="N1025" s="3" t="s">
        <v>164</v>
      </c>
      <c r="O1025" s="3" t="s">
        <v>82</v>
      </c>
      <c r="P1025" s="3" t="str">
        <f>"2170816861                    "</f>
        <v xml:space="preserve">2170816861                    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12.07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0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1</v>
      </c>
      <c r="BI1025" s="3">
        <v>4</v>
      </c>
      <c r="BJ1025" s="3">
        <v>4.0999999999999996</v>
      </c>
      <c r="BK1025" s="3">
        <v>4.5</v>
      </c>
      <c r="BL1025" s="3">
        <v>46.08</v>
      </c>
      <c r="BM1025" s="3">
        <v>6.91</v>
      </c>
      <c r="BN1025" s="3">
        <v>52.99</v>
      </c>
      <c r="BO1025" s="3">
        <v>52.99</v>
      </c>
      <c r="BQ1025" s="3" t="s">
        <v>89</v>
      </c>
      <c r="BR1025" s="3" t="s">
        <v>84</v>
      </c>
      <c r="BS1025" s="4">
        <v>44579</v>
      </c>
      <c r="BT1025" s="5">
        <v>0.43333333333333335</v>
      </c>
      <c r="BU1025" s="3" t="s">
        <v>1427</v>
      </c>
      <c r="BV1025" s="3" t="s">
        <v>105</v>
      </c>
      <c r="BY1025" s="3">
        <v>20358</v>
      </c>
      <c r="CA1025" s="3" t="s">
        <v>119</v>
      </c>
      <c r="CC1025" s="3" t="s">
        <v>116</v>
      </c>
      <c r="CD1025" s="3">
        <v>1559</v>
      </c>
      <c r="CE1025" s="3" t="s">
        <v>86</v>
      </c>
      <c r="CF1025" s="4">
        <v>44579</v>
      </c>
      <c r="CI1025" s="3">
        <v>1</v>
      </c>
      <c r="CJ1025" s="3">
        <v>1</v>
      </c>
      <c r="CK1025" s="3">
        <v>22</v>
      </c>
      <c r="CL1025" s="3" t="s">
        <v>87</v>
      </c>
    </row>
    <row r="1026" spans="1:90" x14ac:dyDescent="0.2">
      <c r="A1026" s="3" t="s">
        <v>72</v>
      </c>
      <c r="B1026" s="3" t="s">
        <v>73</v>
      </c>
      <c r="C1026" s="3" t="s">
        <v>74</v>
      </c>
      <c r="E1026" s="3" t="str">
        <f>"FES1162845363"</f>
        <v>FES1162845363</v>
      </c>
      <c r="F1026" s="4">
        <v>44578</v>
      </c>
      <c r="G1026" s="3">
        <v>202207</v>
      </c>
      <c r="H1026" s="3" t="s">
        <v>75</v>
      </c>
      <c r="I1026" s="3" t="s">
        <v>76</v>
      </c>
      <c r="J1026" s="3" t="s">
        <v>77</v>
      </c>
      <c r="K1026" s="3" t="s">
        <v>78</v>
      </c>
      <c r="L1026" s="3" t="s">
        <v>115</v>
      </c>
      <c r="M1026" s="3" t="s">
        <v>116</v>
      </c>
      <c r="N1026" s="3" t="s">
        <v>877</v>
      </c>
      <c r="O1026" s="3" t="s">
        <v>82</v>
      </c>
      <c r="P1026" s="3" t="str">
        <f>"2170816273                    "</f>
        <v xml:space="preserve">2170816273                    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12.07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3">
        <v>1</v>
      </c>
      <c r="BI1026" s="3">
        <v>1</v>
      </c>
      <c r="BJ1026" s="3">
        <v>0.2</v>
      </c>
      <c r="BK1026" s="3">
        <v>1</v>
      </c>
      <c r="BL1026" s="3">
        <v>46.08</v>
      </c>
      <c r="BM1026" s="3">
        <v>6.91</v>
      </c>
      <c r="BN1026" s="3">
        <v>52.99</v>
      </c>
      <c r="BO1026" s="3">
        <v>52.99</v>
      </c>
      <c r="BQ1026" s="3" t="s">
        <v>126</v>
      </c>
      <c r="BR1026" s="3" t="s">
        <v>84</v>
      </c>
      <c r="BS1026" s="4">
        <v>44579</v>
      </c>
      <c r="BT1026" s="5">
        <v>0.4368055555555555</v>
      </c>
      <c r="BU1026" s="3" t="s">
        <v>1428</v>
      </c>
      <c r="BV1026" s="3" t="s">
        <v>105</v>
      </c>
      <c r="BY1026" s="3">
        <v>1200</v>
      </c>
      <c r="CA1026" s="3" t="s">
        <v>1350</v>
      </c>
      <c r="CC1026" s="3" t="s">
        <v>116</v>
      </c>
      <c r="CD1026" s="3">
        <v>1559</v>
      </c>
      <c r="CE1026" s="3" t="s">
        <v>93</v>
      </c>
      <c r="CF1026" s="4">
        <v>44579</v>
      </c>
      <c r="CI1026" s="3">
        <v>1</v>
      </c>
      <c r="CJ1026" s="3">
        <v>1</v>
      </c>
      <c r="CK1026" s="3">
        <v>22</v>
      </c>
      <c r="CL1026" s="3" t="s">
        <v>87</v>
      </c>
    </row>
    <row r="1027" spans="1:90" x14ac:dyDescent="0.2">
      <c r="A1027" s="3" t="s">
        <v>72</v>
      </c>
      <c r="B1027" s="3" t="s">
        <v>73</v>
      </c>
      <c r="C1027" s="3" t="s">
        <v>74</v>
      </c>
      <c r="E1027" s="3" t="str">
        <f>"FES1162845274"</f>
        <v>FES1162845274</v>
      </c>
      <c r="F1027" s="4">
        <v>44578</v>
      </c>
      <c r="G1027" s="3">
        <v>202207</v>
      </c>
      <c r="H1027" s="3" t="s">
        <v>75</v>
      </c>
      <c r="I1027" s="3" t="s">
        <v>76</v>
      </c>
      <c r="J1027" s="3" t="s">
        <v>77</v>
      </c>
      <c r="K1027" s="3" t="s">
        <v>78</v>
      </c>
      <c r="L1027" s="3" t="s">
        <v>90</v>
      </c>
      <c r="M1027" s="3" t="s">
        <v>91</v>
      </c>
      <c r="N1027" s="3" t="s">
        <v>1159</v>
      </c>
      <c r="O1027" s="3" t="s">
        <v>82</v>
      </c>
      <c r="P1027" s="3" t="str">
        <f>"2170816831                    "</f>
        <v xml:space="preserve">2170816831                    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73.39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0</v>
      </c>
      <c r="BC1027" s="3">
        <v>0</v>
      </c>
      <c r="BD1027" s="3">
        <v>0</v>
      </c>
      <c r="BE1027" s="3">
        <v>0</v>
      </c>
      <c r="BF1027" s="3">
        <v>0</v>
      </c>
      <c r="BG1027" s="3">
        <v>0</v>
      </c>
      <c r="BH1027" s="3">
        <v>1</v>
      </c>
      <c r="BI1027" s="3">
        <v>5</v>
      </c>
      <c r="BJ1027" s="3">
        <v>9.1</v>
      </c>
      <c r="BK1027" s="3">
        <v>9.5</v>
      </c>
      <c r="BL1027" s="3">
        <v>280.13</v>
      </c>
      <c r="BM1027" s="3">
        <v>42.02</v>
      </c>
      <c r="BN1027" s="3">
        <v>322.14999999999998</v>
      </c>
      <c r="BO1027" s="3">
        <v>322.14999999999998</v>
      </c>
      <c r="BQ1027" s="3" t="s">
        <v>89</v>
      </c>
      <c r="BR1027" s="3" t="s">
        <v>84</v>
      </c>
      <c r="BS1027" s="4">
        <v>44579</v>
      </c>
      <c r="BT1027" s="5">
        <v>0.41875000000000001</v>
      </c>
      <c r="BU1027" s="3" t="s">
        <v>1324</v>
      </c>
      <c r="BV1027" s="3" t="s">
        <v>105</v>
      </c>
      <c r="BY1027" s="3">
        <v>45632</v>
      </c>
      <c r="CA1027" s="3" t="s">
        <v>1046</v>
      </c>
      <c r="CC1027" s="3" t="s">
        <v>91</v>
      </c>
      <c r="CD1027" s="3">
        <v>7441</v>
      </c>
      <c r="CE1027" s="3" t="s">
        <v>86</v>
      </c>
      <c r="CF1027" s="4">
        <v>44580</v>
      </c>
      <c r="CI1027" s="3">
        <v>1</v>
      </c>
      <c r="CJ1027" s="3">
        <v>1</v>
      </c>
      <c r="CK1027" s="3">
        <v>21</v>
      </c>
      <c r="CL1027" s="3" t="s">
        <v>87</v>
      </c>
    </row>
    <row r="1028" spans="1:90" x14ac:dyDescent="0.2">
      <c r="A1028" s="3" t="s">
        <v>72</v>
      </c>
      <c r="B1028" s="3" t="s">
        <v>73</v>
      </c>
      <c r="C1028" s="3" t="s">
        <v>74</v>
      </c>
      <c r="E1028" s="3" t="str">
        <f>"FES1162845296"</f>
        <v>FES1162845296</v>
      </c>
      <c r="F1028" s="4">
        <v>44578</v>
      </c>
      <c r="G1028" s="3">
        <v>202207</v>
      </c>
      <c r="H1028" s="3" t="s">
        <v>75</v>
      </c>
      <c r="I1028" s="3" t="s">
        <v>76</v>
      </c>
      <c r="J1028" s="3" t="s">
        <v>77</v>
      </c>
      <c r="K1028" s="3" t="s">
        <v>78</v>
      </c>
      <c r="L1028" s="3" t="s">
        <v>138</v>
      </c>
      <c r="M1028" s="3" t="s">
        <v>139</v>
      </c>
      <c r="N1028" s="3" t="s">
        <v>152</v>
      </c>
      <c r="O1028" s="3" t="s">
        <v>82</v>
      </c>
      <c r="P1028" s="3" t="str">
        <f>"2170815062                    "</f>
        <v xml:space="preserve">2170815062                    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15.46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0</v>
      </c>
      <c r="BB1028" s="3">
        <v>0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1</v>
      </c>
      <c r="BI1028" s="3">
        <v>1</v>
      </c>
      <c r="BJ1028" s="3">
        <v>0.2</v>
      </c>
      <c r="BK1028" s="3">
        <v>1</v>
      </c>
      <c r="BL1028" s="3">
        <v>59</v>
      </c>
      <c r="BM1028" s="3">
        <v>8.85</v>
      </c>
      <c r="BN1028" s="3">
        <v>67.849999999999994</v>
      </c>
      <c r="BO1028" s="3">
        <v>67.849999999999994</v>
      </c>
      <c r="BQ1028" s="3" t="s">
        <v>83</v>
      </c>
      <c r="BR1028" s="3" t="s">
        <v>84</v>
      </c>
      <c r="BS1028" s="4">
        <v>44579</v>
      </c>
      <c r="BT1028" s="5">
        <v>0.3520833333333333</v>
      </c>
      <c r="BU1028" s="3" t="s">
        <v>655</v>
      </c>
      <c r="BV1028" s="3" t="s">
        <v>105</v>
      </c>
      <c r="BY1028" s="3">
        <v>1200</v>
      </c>
      <c r="CA1028" s="3" t="s">
        <v>303</v>
      </c>
      <c r="CC1028" s="3" t="s">
        <v>139</v>
      </c>
      <c r="CD1028" s="3">
        <v>3610</v>
      </c>
      <c r="CE1028" s="3" t="s">
        <v>93</v>
      </c>
      <c r="CF1028" s="4">
        <v>44580</v>
      </c>
      <c r="CI1028" s="3">
        <v>1</v>
      </c>
      <c r="CJ1028" s="3">
        <v>1</v>
      </c>
      <c r="CK1028" s="3">
        <v>21</v>
      </c>
      <c r="CL1028" s="3" t="s">
        <v>87</v>
      </c>
    </row>
    <row r="1029" spans="1:90" x14ac:dyDescent="0.2">
      <c r="A1029" s="3" t="s">
        <v>72</v>
      </c>
      <c r="B1029" s="3" t="s">
        <v>73</v>
      </c>
      <c r="C1029" s="3" t="s">
        <v>74</v>
      </c>
      <c r="E1029" s="3" t="str">
        <f>"FES1162845383"</f>
        <v>FES1162845383</v>
      </c>
      <c r="F1029" s="4">
        <v>44578</v>
      </c>
      <c r="G1029" s="3">
        <v>202207</v>
      </c>
      <c r="H1029" s="3" t="s">
        <v>75</v>
      </c>
      <c r="I1029" s="3" t="s">
        <v>76</v>
      </c>
      <c r="J1029" s="3" t="s">
        <v>77</v>
      </c>
      <c r="K1029" s="3" t="s">
        <v>78</v>
      </c>
      <c r="L1029" s="3" t="s">
        <v>101</v>
      </c>
      <c r="M1029" s="3" t="s">
        <v>102</v>
      </c>
      <c r="N1029" s="3" t="s">
        <v>272</v>
      </c>
      <c r="O1029" s="3" t="s">
        <v>82</v>
      </c>
      <c r="P1029" s="3" t="str">
        <f>"2170816909                    "</f>
        <v xml:space="preserve">2170816909                    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15.46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0</v>
      </c>
      <c r="AZ1029" s="3">
        <v>0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3">
        <v>1</v>
      </c>
      <c r="BI1029" s="3">
        <v>1</v>
      </c>
      <c r="BJ1029" s="3">
        <v>0.2</v>
      </c>
      <c r="BK1029" s="3">
        <v>1</v>
      </c>
      <c r="BL1029" s="3">
        <v>59</v>
      </c>
      <c r="BM1029" s="3">
        <v>8.85</v>
      </c>
      <c r="BN1029" s="3">
        <v>67.849999999999994</v>
      </c>
      <c r="BO1029" s="3">
        <v>67.849999999999994</v>
      </c>
      <c r="BQ1029" s="3" t="s">
        <v>273</v>
      </c>
      <c r="BR1029" s="3" t="s">
        <v>84</v>
      </c>
      <c r="BS1029" s="4">
        <v>44579</v>
      </c>
      <c r="BT1029" s="5">
        <v>0.36180555555555555</v>
      </c>
      <c r="BU1029" s="3" t="s">
        <v>274</v>
      </c>
      <c r="BV1029" s="3" t="s">
        <v>105</v>
      </c>
      <c r="BY1029" s="3">
        <v>1200</v>
      </c>
      <c r="CA1029" s="3" t="s">
        <v>275</v>
      </c>
      <c r="CC1029" s="3" t="s">
        <v>102</v>
      </c>
      <c r="CD1029" s="3">
        <v>4000</v>
      </c>
      <c r="CE1029" s="3" t="s">
        <v>93</v>
      </c>
      <c r="CF1029" s="4">
        <v>44580</v>
      </c>
      <c r="CI1029" s="3">
        <v>1</v>
      </c>
      <c r="CJ1029" s="3">
        <v>1</v>
      </c>
      <c r="CK1029" s="3">
        <v>21</v>
      </c>
      <c r="CL1029" s="3" t="s">
        <v>87</v>
      </c>
    </row>
    <row r="1030" spans="1:90" x14ac:dyDescent="0.2">
      <c r="A1030" s="3" t="s">
        <v>72</v>
      </c>
      <c r="B1030" s="3" t="s">
        <v>73</v>
      </c>
      <c r="C1030" s="3" t="s">
        <v>74</v>
      </c>
      <c r="E1030" s="3" t="str">
        <f>"FES1162845294"</f>
        <v>FES1162845294</v>
      </c>
      <c r="F1030" s="4">
        <v>44578</v>
      </c>
      <c r="G1030" s="3">
        <v>202207</v>
      </c>
      <c r="H1030" s="3" t="s">
        <v>75</v>
      </c>
      <c r="I1030" s="3" t="s">
        <v>76</v>
      </c>
      <c r="J1030" s="3" t="s">
        <v>77</v>
      </c>
      <c r="K1030" s="3" t="s">
        <v>78</v>
      </c>
      <c r="L1030" s="3" t="s">
        <v>94</v>
      </c>
      <c r="M1030" s="3" t="s">
        <v>95</v>
      </c>
      <c r="N1030" s="3" t="s">
        <v>179</v>
      </c>
      <c r="O1030" s="3" t="s">
        <v>82</v>
      </c>
      <c r="P1030" s="3" t="str">
        <f>"2170816851                    "</f>
        <v xml:space="preserve">2170816851                    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15.46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1</v>
      </c>
      <c r="BI1030" s="3">
        <v>1</v>
      </c>
      <c r="BJ1030" s="3">
        <v>0.2</v>
      </c>
      <c r="BK1030" s="3">
        <v>1</v>
      </c>
      <c r="BL1030" s="3">
        <v>59</v>
      </c>
      <c r="BM1030" s="3">
        <v>8.85</v>
      </c>
      <c r="BN1030" s="3">
        <v>67.849999999999994</v>
      </c>
      <c r="BO1030" s="3">
        <v>67.849999999999994</v>
      </c>
      <c r="BQ1030" s="3" t="s">
        <v>83</v>
      </c>
      <c r="BR1030" s="3" t="s">
        <v>84</v>
      </c>
      <c r="BS1030" s="4">
        <v>44579</v>
      </c>
      <c r="BT1030" s="5">
        <v>0.43472222222222223</v>
      </c>
      <c r="BU1030" s="3" t="s">
        <v>1138</v>
      </c>
      <c r="BV1030" s="3" t="s">
        <v>105</v>
      </c>
      <c r="BY1030" s="3">
        <v>1200</v>
      </c>
      <c r="CC1030" s="3" t="s">
        <v>95</v>
      </c>
      <c r="CD1030" s="3">
        <v>3201</v>
      </c>
      <c r="CE1030" s="3" t="s">
        <v>93</v>
      </c>
      <c r="CI1030" s="3">
        <v>1</v>
      </c>
      <c r="CJ1030" s="3">
        <v>1</v>
      </c>
      <c r="CK1030" s="3">
        <v>21</v>
      </c>
      <c r="CL1030" s="3" t="s">
        <v>87</v>
      </c>
    </row>
    <row r="1031" spans="1:90" x14ac:dyDescent="0.2">
      <c r="A1031" s="3" t="s">
        <v>72</v>
      </c>
      <c r="B1031" s="3" t="s">
        <v>73</v>
      </c>
      <c r="C1031" s="3" t="s">
        <v>74</v>
      </c>
      <c r="E1031" s="3" t="str">
        <f>"FES1162845311"</f>
        <v>FES1162845311</v>
      </c>
      <c r="F1031" s="4">
        <v>44578</v>
      </c>
      <c r="G1031" s="3">
        <v>202207</v>
      </c>
      <c r="H1031" s="3" t="s">
        <v>75</v>
      </c>
      <c r="I1031" s="3" t="s">
        <v>76</v>
      </c>
      <c r="J1031" s="3" t="s">
        <v>77</v>
      </c>
      <c r="K1031" s="3" t="s">
        <v>78</v>
      </c>
      <c r="L1031" s="3" t="s">
        <v>162</v>
      </c>
      <c r="M1031" s="3" t="s">
        <v>163</v>
      </c>
      <c r="N1031" s="3" t="s">
        <v>164</v>
      </c>
      <c r="O1031" s="3" t="s">
        <v>82</v>
      </c>
      <c r="P1031" s="3" t="str">
        <f>"2170816860                    "</f>
        <v xml:space="preserve">2170816860                    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12.07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v>0</v>
      </c>
      <c r="BA1031" s="3">
        <v>0</v>
      </c>
      <c r="BB1031" s="3">
        <v>0</v>
      </c>
      <c r="BC1031" s="3">
        <v>0</v>
      </c>
      <c r="BD1031" s="3">
        <v>0</v>
      </c>
      <c r="BE1031" s="3">
        <v>0</v>
      </c>
      <c r="BF1031" s="3">
        <v>0</v>
      </c>
      <c r="BG1031" s="3">
        <v>0</v>
      </c>
      <c r="BH1031" s="3">
        <v>1</v>
      </c>
      <c r="BI1031" s="3">
        <v>1</v>
      </c>
      <c r="BJ1031" s="3">
        <v>0.2</v>
      </c>
      <c r="BK1031" s="3">
        <v>1</v>
      </c>
      <c r="BL1031" s="3">
        <v>46.08</v>
      </c>
      <c r="BM1031" s="3">
        <v>6.91</v>
      </c>
      <c r="BN1031" s="3">
        <v>52.99</v>
      </c>
      <c r="BO1031" s="3">
        <v>52.99</v>
      </c>
      <c r="BQ1031" s="3" t="s">
        <v>89</v>
      </c>
      <c r="BR1031" s="3" t="s">
        <v>84</v>
      </c>
      <c r="BS1031" s="4">
        <v>44579</v>
      </c>
      <c r="BT1031" s="5">
        <v>0.44444444444444442</v>
      </c>
      <c r="BU1031" s="3" t="s">
        <v>1117</v>
      </c>
      <c r="BV1031" s="3" t="s">
        <v>87</v>
      </c>
      <c r="BW1031" s="3" t="s">
        <v>353</v>
      </c>
      <c r="BX1031" s="3" t="s">
        <v>1118</v>
      </c>
      <c r="BY1031" s="3">
        <v>1200</v>
      </c>
      <c r="CA1031" s="3" t="s">
        <v>591</v>
      </c>
      <c r="CC1031" s="3" t="s">
        <v>163</v>
      </c>
      <c r="CD1031" s="3">
        <v>1428</v>
      </c>
      <c r="CE1031" s="3" t="s">
        <v>93</v>
      </c>
      <c r="CF1031" s="4">
        <v>44579</v>
      </c>
      <c r="CI1031" s="3">
        <v>1</v>
      </c>
      <c r="CJ1031" s="3">
        <v>1</v>
      </c>
      <c r="CK1031" s="3">
        <v>22</v>
      </c>
      <c r="CL1031" s="3" t="s">
        <v>87</v>
      </c>
    </row>
    <row r="1032" spans="1:90" x14ac:dyDescent="0.2">
      <c r="A1032" s="3" t="s">
        <v>72</v>
      </c>
      <c r="B1032" s="3" t="s">
        <v>73</v>
      </c>
      <c r="C1032" s="3" t="s">
        <v>74</v>
      </c>
      <c r="E1032" s="3" t="str">
        <f>"FES1162845304"</f>
        <v>FES1162845304</v>
      </c>
      <c r="F1032" s="4">
        <v>44578</v>
      </c>
      <c r="G1032" s="3">
        <v>202207</v>
      </c>
      <c r="H1032" s="3" t="s">
        <v>75</v>
      </c>
      <c r="I1032" s="3" t="s">
        <v>76</v>
      </c>
      <c r="J1032" s="3" t="s">
        <v>77</v>
      </c>
      <c r="K1032" s="3" t="s">
        <v>78</v>
      </c>
      <c r="L1032" s="3" t="s">
        <v>211</v>
      </c>
      <c r="M1032" s="3" t="s">
        <v>212</v>
      </c>
      <c r="N1032" s="3" t="s">
        <v>642</v>
      </c>
      <c r="O1032" s="3" t="s">
        <v>82</v>
      </c>
      <c r="P1032" s="3" t="str">
        <f>"2170816739                    "</f>
        <v xml:space="preserve">2170816739                    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12.07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0</v>
      </c>
      <c r="AZ1032" s="3">
        <v>0</v>
      </c>
      <c r="BA1032" s="3">
        <v>0</v>
      </c>
      <c r="BB1032" s="3">
        <v>0</v>
      </c>
      <c r="BC1032" s="3">
        <v>0</v>
      </c>
      <c r="BD1032" s="3">
        <v>0</v>
      </c>
      <c r="BE1032" s="3">
        <v>0</v>
      </c>
      <c r="BF1032" s="3">
        <v>0</v>
      </c>
      <c r="BG1032" s="3">
        <v>0</v>
      </c>
      <c r="BH1032" s="3">
        <v>1</v>
      </c>
      <c r="BI1032" s="3">
        <v>1</v>
      </c>
      <c r="BJ1032" s="3">
        <v>0.2</v>
      </c>
      <c r="BK1032" s="3">
        <v>1</v>
      </c>
      <c r="BL1032" s="3">
        <v>46.08</v>
      </c>
      <c r="BM1032" s="3">
        <v>6.91</v>
      </c>
      <c r="BN1032" s="3">
        <v>52.99</v>
      </c>
      <c r="BO1032" s="3">
        <v>52.99</v>
      </c>
      <c r="BQ1032" s="3" t="s">
        <v>89</v>
      </c>
      <c r="BR1032" s="3" t="s">
        <v>84</v>
      </c>
      <c r="BS1032" s="4">
        <v>44579</v>
      </c>
      <c r="BT1032" s="5">
        <v>0.40972222222222227</v>
      </c>
      <c r="BU1032" s="3" t="s">
        <v>643</v>
      </c>
      <c r="BV1032" s="3" t="s">
        <v>105</v>
      </c>
      <c r="BY1032" s="3">
        <v>1200</v>
      </c>
      <c r="CA1032" s="3" t="s">
        <v>345</v>
      </c>
      <c r="CC1032" s="3" t="s">
        <v>212</v>
      </c>
      <c r="CD1032" s="3">
        <v>2163</v>
      </c>
      <c r="CE1032" s="3" t="s">
        <v>93</v>
      </c>
      <c r="CF1032" s="4">
        <v>44580</v>
      </c>
      <c r="CI1032" s="3">
        <v>1</v>
      </c>
      <c r="CJ1032" s="3">
        <v>1</v>
      </c>
      <c r="CK1032" s="3">
        <v>22</v>
      </c>
      <c r="CL1032" s="3" t="s">
        <v>87</v>
      </c>
    </row>
    <row r="1033" spans="1:90" x14ac:dyDescent="0.2">
      <c r="A1033" s="3" t="s">
        <v>72</v>
      </c>
      <c r="B1033" s="3" t="s">
        <v>73</v>
      </c>
      <c r="C1033" s="3" t="s">
        <v>74</v>
      </c>
      <c r="E1033" s="3" t="str">
        <f>"FES1162845326"</f>
        <v>FES1162845326</v>
      </c>
      <c r="F1033" s="4">
        <v>44578</v>
      </c>
      <c r="G1033" s="3">
        <v>202207</v>
      </c>
      <c r="H1033" s="3" t="s">
        <v>75</v>
      </c>
      <c r="I1033" s="3" t="s">
        <v>76</v>
      </c>
      <c r="J1033" s="3" t="s">
        <v>77</v>
      </c>
      <c r="K1033" s="3" t="s">
        <v>78</v>
      </c>
      <c r="L1033" s="3" t="s">
        <v>171</v>
      </c>
      <c r="M1033" s="3" t="s">
        <v>172</v>
      </c>
      <c r="N1033" s="3" t="s">
        <v>235</v>
      </c>
      <c r="O1033" s="3" t="s">
        <v>82</v>
      </c>
      <c r="P1033" s="3" t="str">
        <f>"2170816883                    "</f>
        <v xml:space="preserve">2170816883                    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15.46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0</v>
      </c>
      <c r="AZ1033" s="3">
        <v>0</v>
      </c>
      <c r="BA1033" s="3">
        <v>0</v>
      </c>
      <c r="BB1033" s="3">
        <v>0</v>
      </c>
      <c r="BC1033" s="3">
        <v>0</v>
      </c>
      <c r="BD1033" s="3">
        <v>0</v>
      </c>
      <c r="BE1033" s="3">
        <v>0</v>
      </c>
      <c r="BF1033" s="3">
        <v>0</v>
      </c>
      <c r="BG1033" s="3">
        <v>0</v>
      </c>
      <c r="BH1033" s="3">
        <v>1</v>
      </c>
      <c r="BI1033" s="3">
        <v>1</v>
      </c>
      <c r="BJ1033" s="3">
        <v>0.2</v>
      </c>
      <c r="BK1033" s="3">
        <v>1</v>
      </c>
      <c r="BL1033" s="3">
        <v>59</v>
      </c>
      <c r="BM1033" s="3">
        <v>8.85</v>
      </c>
      <c r="BN1033" s="3">
        <v>67.849999999999994</v>
      </c>
      <c r="BO1033" s="3">
        <v>67.849999999999994</v>
      </c>
      <c r="BQ1033" s="3" t="s">
        <v>83</v>
      </c>
      <c r="BR1033" s="3" t="s">
        <v>84</v>
      </c>
      <c r="BS1033" s="4">
        <v>44579</v>
      </c>
      <c r="BT1033" s="5">
        <v>0.57638888888888895</v>
      </c>
      <c r="BU1033" s="3" t="s">
        <v>1385</v>
      </c>
      <c r="BV1033" s="3" t="s">
        <v>87</v>
      </c>
      <c r="BW1033" s="3" t="s">
        <v>457</v>
      </c>
      <c r="BX1033" s="3" t="s">
        <v>458</v>
      </c>
      <c r="BY1033" s="3">
        <v>1200</v>
      </c>
      <c r="CA1033" s="3" t="s">
        <v>263</v>
      </c>
      <c r="CC1033" s="3" t="s">
        <v>172</v>
      </c>
      <c r="CD1033" s="3">
        <v>6001</v>
      </c>
      <c r="CE1033" s="3" t="s">
        <v>93</v>
      </c>
      <c r="CF1033" s="4">
        <v>44579</v>
      </c>
      <c r="CI1033" s="3">
        <v>1</v>
      </c>
      <c r="CJ1033" s="3">
        <v>1</v>
      </c>
      <c r="CK1033" s="3">
        <v>21</v>
      </c>
      <c r="CL1033" s="3" t="s">
        <v>87</v>
      </c>
    </row>
    <row r="1034" spans="1:90" x14ac:dyDescent="0.2">
      <c r="A1034" s="3" t="s">
        <v>72</v>
      </c>
      <c r="B1034" s="3" t="s">
        <v>73</v>
      </c>
      <c r="C1034" s="3" t="s">
        <v>74</v>
      </c>
      <c r="E1034" s="3" t="str">
        <f>"FES1162845292"</f>
        <v>FES1162845292</v>
      </c>
      <c r="F1034" s="4">
        <v>44578</v>
      </c>
      <c r="G1034" s="3">
        <v>202207</v>
      </c>
      <c r="H1034" s="3" t="s">
        <v>75</v>
      </c>
      <c r="I1034" s="3" t="s">
        <v>76</v>
      </c>
      <c r="J1034" s="3" t="s">
        <v>77</v>
      </c>
      <c r="K1034" s="3" t="s">
        <v>78</v>
      </c>
      <c r="L1034" s="3" t="s">
        <v>97</v>
      </c>
      <c r="M1034" s="3" t="s">
        <v>98</v>
      </c>
      <c r="N1034" s="3" t="s">
        <v>1068</v>
      </c>
      <c r="O1034" s="3" t="s">
        <v>82</v>
      </c>
      <c r="P1034" s="3" t="str">
        <f>"2170816845                    "</f>
        <v xml:space="preserve">2170816845                    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12.07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v>0</v>
      </c>
      <c r="BA1034" s="3">
        <v>0</v>
      </c>
      <c r="BB1034" s="3">
        <v>0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3">
        <v>1</v>
      </c>
      <c r="BI1034" s="3">
        <v>1</v>
      </c>
      <c r="BJ1034" s="3">
        <v>0.2</v>
      </c>
      <c r="BK1034" s="3">
        <v>1</v>
      </c>
      <c r="BL1034" s="3">
        <v>46.08</v>
      </c>
      <c r="BM1034" s="3">
        <v>6.91</v>
      </c>
      <c r="BN1034" s="3">
        <v>52.99</v>
      </c>
      <c r="BO1034" s="3">
        <v>52.99</v>
      </c>
      <c r="BR1034" s="3" t="s">
        <v>84</v>
      </c>
      <c r="BS1034" s="4">
        <v>44579</v>
      </c>
      <c r="BT1034" s="5">
        <v>0.33888888888888885</v>
      </c>
      <c r="BU1034" s="3" t="s">
        <v>1374</v>
      </c>
      <c r="BV1034" s="3" t="s">
        <v>105</v>
      </c>
      <c r="BY1034" s="3">
        <v>1200</v>
      </c>
      <c r="CA1034" s="3" t="s">
        <v>297</v>
      </c>
      <c r="CC1034" s="3" t="s">
        <v>98</v>
      </c>
      <c r="CD1034" s="3">
        <v>2013</v>
      </c>
      <c r="CE1034" s="3" t="s">
        <v>93</v>
      </c>
      <c r="CF1034" s="4">
        <v>44580</v>
      </c>
      <c r="CI1034" s="3">
        <v>1</v>
      </c>
      <c r="CJ1034" s="3">
        <v>1</v>
      </c>
      <c r="CK1034" s="3">
        <v>22</v>
      </c>
      <c r="CL1034" s="3" t="s">
        <v>87</v>
      </c>
    </row>
    <row r="1035" spans="1:90" x14ac:dyDescent="0.2">
      <c r="A1035" s="3" t="s">
        <v>72</v>
      </c>
      <c r="B1035" s="3" t="s">
        <v>73</v>
      </c>
      <c r="C1035" s="3" t="s">
        <v>74</v>
      </c>
      <c r="E1035" s="3" t="str">
        <f>"FES1162845361"</f>
        <v>FES1162845361</v>
      </c>
      <c r="F1035" s="4">
        <v>44578</v>
      </c>
      <c r="G1035" s="3">
        <v>202207</v>
      </c>
      <c r="H1035" s="3" t="s">
        <v>75</v>
      </c>
      <c r="I1035" s="3" t="s">
        <v>76</v>
      </c>
      <c r="J1035" s="3" t="s">
        <v>77</v>
      </c>
      <c r="K1035" s="3" t="s">
        <v>78</v>
      </c>
      <c r="L1035" s="3" t="s">
        <v>97</v>
      </c>
      <c r="M1035" s="3" t="s">
        <v>98</v>
      </c>
      <c r="N1035" s="3" t="s">
        <v>845</v>
      </c>
      <c r="O1035" s="3" t="s">
        <v>82</v>
      </c>
      <c r="P1035" s="3" t="str">
        <f>"2170816171                    "</f>
        <v xml:space="preserve">2170816171                    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12.07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  <c r="BH1035" s="3">
        <v>1</v>
      </c>
      <c r="BI1035" s="3">
        <v>1</v>
      </c>
      <c r="BJ1035" s="3">
        <v>0.2</v>
      </c>
      <c r="BK1035" s="3">
        <v>1</v>
      </c>
      <c r="BL1035" s="3">
        <v>46.08</v>
      </c>
      <c r="BM1035" s="3">
        <v>6.91</v>
      </c>
      <c r="BN1035" s="3">
        <v>52.99</v>
      </c>
      <c r="BO1035" s="3">
        <v>52.99</v>
      </c>
      <c r="BQ1035" s="3" t="s">
        <v>83</v>
      </c>
      <c r="BR1035" s="3" t="s">
        <v>84</v>
      </c>
      <c r="BS1035" s="4">
        <v>44579</v>
      </c>
      <c r="BT1035" s="5">
        <v>0.42222222222222222</v>
      </c>
      <c r="BU1035" s="3" t="s">
        <v>1429</v>
      </c>
      <c r="BV1035" s="3" t="s">
        <v>105</v>
      </c>
      <c r="BY1035" s="3">
        <v>1200</v>
      </c>
      <c r="CA1035" s="3" t="s">
        <v>847</v>
      </c>
      <c r="CC1035" s="3" t="s">
        <v>98</v>
      </c>
      <c r="CD1035" s="3">
        <v>2091</v>
      </c>
      <c r="CE1035" s="3" t="s">
        <v>93</v>
      </c>
      <c r="CF1035" s="4">
        <v>44579</v>
      </c>
      <c r="CI1035" s="3">
        <v>1</v>
      </c>
      <c r="CJ1035" s="3">
        <v>1</v>
      </c>
      <c r="CK1035" s="3">
        <v>22</v>
      </c>
      <c r="CL1035" s="3" t="s">
        <v>87</v>
      </c>
    </row>
    <row r="1036" spans="1:90" x14ac:dyDescent="0.2">
      <c r="A1036" s="3" t="s">
        <v>72</v>
      </c>
      <c r="B1036" s="3" t="s">
        <v>73</v>
      </c>
      <c r="C1036" s="3" t="s">
        <v>74</v>
      </c>
      <c r="E1036" s="3" t="str">
        <f>"FES1162845373"</f>
        <v>FES1162845373</v>
      </c>
      <c r="F1036" s="4">
        <v>44578</v>
      </c>
      <c r="G1036" s="3">
        <v>202207</v>
      </c>
      <c r="H1036" s="3" t="s">
        <v>75</v>
      </c>
      <c r="I1036" s="3" t="s">
        <v>76</v>
      </c>
      <c r="J1036" s="3" t="s">
        <v>77</v>
      </c>
      <c r="K1036" s="3" t="s">
        <v>78</v>
      </c>
      <c r="L1036" s="3" t="s">
        <v>79</v>
      </c>
      <c r="M1036" s="3" t="s">
        <v>80</v>
      </c>
      <c r="N1036" s="3" t="s">
        <v>1382</v>
      </c>
      <c r="O1036" s="3" t="s">
        <v>82</v>
      </c>
      <c r="P1036" s="3" t="str">
        <f>"2170816882                    "</f>
        <v xml:space="preserve">2170816882                    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15.46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  <c r="BH1036" s="3">
        <v>1</v>
      </c>
      <c r="BI1036" s="3">
        <v>1</v>
      </c>
      <c r="BJ1036" s="3">
        <v>0.2</v>
      </c>
      <c r="BK1036" s="3">
        <v>1</v>
      </c>
      <c r="BL1036" s="3">
        <v>59</v>
      </c>
      <c r="BM1036" s="3">
        <v>8.85</v>
      </c>
      <c r="BN1036" s="3">
        <v>67.849999999999994</v>
      </c>
      <c r="BO1036" s="3">
        <v>67.849999999999994</v>
      </c>
      <c r="BQ1036" s="3" t="s">
        <v>83</v>
      </c>
      <c r="BR1036" s="3" t="s">
        <v>84</v>
      </c>
      <c r="BS1036" s="4">
        <v>44579</v>
      </c>
      <c r="BT1036" s="5">
        <v>0.38541666666666669</v>
      </c>
      <c r="BU1036" s="3" t="s">
        <v>1383</v>
      </c>
      <c r="BV1036" s="3" t="s">
        <v>105</v>
      </c>
      <c r="BY1036" s="3">
        <v>1200</v>
      </c>
      <c r="CA1036" s="3" t="s">
        <v>366</v>
      </c>
      <c r="CC1036" s="3" t="s">
        <v>80</v>
      </c>
      <c r="CD1036" s="3">
        <v>200</v>
      </c>
      <c r="CE1036" s="3" t="s">
        <v>93</v>
      </c>
      <c r="CF1036" s="4">
        <v>44579</v>
      </c>
      <c r="CI1036" s="3">
        <v>1</v>
      </c>
      <c r="CJ1036" s="3">
        <v>1</v>
      </c>
      <c r="CK1036" s="3">
        <v>21</v>
      </c>
      <c r="CL1036" s="3" t="s">
        <v>87</v>
      </c>
    </row>
    <row r="1037" spans="1:90" x14ac:dyDescent="0.2">
      <c r="A1037" s="3" t="s">
        <v>72</v>
      </c>
      <c r="B1037" s="3" t="s">
        <v>73</v>
      </c>
      <c r="C1037" s="3" t="s">
        <v>74</v>
      </c>
      <c r="E1037" s="3" t="str">
        <f>"FES1162845287"</f>
        <v>FES1162845287</v>
      </c>
      <c r="F1037" s="4">
        <v>44578</v>
      </c>
      <c r="G1037" s="3">
        <v>202207</v>
      </c>
      <c r="H1037" s="3" t="s">
        <v>75</v>
      </c>
      <c r="I1037" s="3" t="s">
        <v>76</v>
      </c>
      <c r="J1037" s="3" t="s">
        <v>77</v>
      </c>
      <c r="K1037" s="3" t="s">
        <v>78</v>
      </c>
      <c r="L1037" s="3" t="s">
        <v>97</v>
      </c>
      <c r="M1037" s="3" t="s">
        <v>98</v>
      </c>
      <c r="N1037" s="3" t="s">
        <v>1087</v>
      </c>
      <c r="O1037" s="3" t="s">
        <v>82</v>
      </c>
      <c r="P1037" s="3" t="str">
        <f>"2170816839                    "</f>
        <v xml:space="preserve">2170816839                    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12.07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15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0</v>
      </c>
      <c r="AZ1037" s="3">
        <v>0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  <c r="BH1037" s="3">
        <v>1</v>
      </c>
      <c r="BI1037" s="3">
        <v>1</v>
      </c>
      <c r="BJ1037" s="3">
        <v>0.2</v>
      </c>
      <c r="BK1037" s="3">
        <v>1</v>
      </c>
      <c r="BL1037" s="3">
        <v>61.08</v>
      </c>
      <c r="BM1037" s="3">
        <v>9.16</v>
      </c>
      <c r="BN1037" s="3">
        <v>70.239999999999995</v>
      </c>
      <c r="BO1037" s="3">
        <v>70.239999999999995</v>
      </c>
      <c r="BR1037" s="3" t="s">
        <v>84</v>
      </c>
      <c r="BS1037" s="4">
        <v>44579</v>
      </c>
      <c r="BT1037" s="5">
        <v>0.33958333333333335</v>
      </c>
      <c r="BU1037" s="3" t="s">
        <v>1374</v>
      </c>
      <c r="BV1037" s="3" t="s">
        <v>105</v>
      </c>
      <c r="BY1037" s="3">
        <v>1200</v>
      </c>
      <c r="BZ1037" s="3" t="s">
        <v>30</v>
      </c>
      <c r="CA1037" s="3" t="s">
        <v>297</v>
      </c>
      <c r="CC1037" s="3" t="s">
        <v>98</v>
      </c>
      <c r="CD1037" s="3">
        <v>2000</v>
      </c>
      <c r="CE1037" s="3" t="s">
        <v>93</v>
      </c>
      <c r="CF1037" s="4">
        <v>44580</v>
      </c>
      <c r="CI1037" s="3">
        <v>1</v>
      </c>
      <c r="CJ1037" s="3">
        <v>1</v>
      </c>
      <c r="CK1037" s="3">
        <v>22</v>
      </c>
      <c r="CL1037" s="3" t="s">
        <v>87</v>
      </c>
    </row>
    <row r="1038" spans="1:90" x14ac:dyDescent="0.2">
      <c r="A1038" s="3" t="s">
        <v>72</v>
      </c>
      <c r="B1038" s="3" t="s">
        <v>73</v>
      </c>
      <c r="C1038" s="3" t="s">
        <v>74</v>
      </c>
      <c r="E1038" s="3" t="str">
        <f>"FES1162845368"</f>
        <v>FES1162845368</v>
      </c>
      <c r="F1038" s="4">
        <v>44578</v>
      </c>
      <c r="G1038" s="3">
        <v>202207</v>
      </c>
      <c r="H1038" s="3" t="s">
        <v>75</v>
      </c>
      <c r="I1038" s="3" t="s">
        <v>76</v>
      </c>
      <c r="J1038" s="3" t="s">
        <v>77</v>
      </c>
      <c r="K1038" s="3" t="s">
        <v>78</v>
      </c>
      <c r="L1038" s="3" t="s">
        <v>171</v>
      </c>
      <c r="M1038" s="3" t="s">
        <v>172</v>
      </c>
      <c r="N1038" s="3" t="s">
        <v>454</v>
      </c>
      <c r="O1038" s="3" t="s">
        <v>82</v>
      </c>
      <c r="P1038" s="3" t="str">
        <f>"2170816626                    "</f>
        <v xml:space="preserve">2170816626                    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15.46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1</v>
      </c>
      <c r="BI1038" s="3">
        <v>1</v>
      </c>
      <c r="BJ1038" s="3">
        <v>0.2</v>
      </c>
      <c r="BK1038" s="3">
        <v>1</v>
      </c>
      <c r="BL1038" s="3">
        <v>59</v>
      </c>
      <c r="BM1038" s="3">
        <v>8.85</v>
      </c>
      <c r="BN1038" s="3">
        <v>67.849999999999994</v>
      </c>
      <c r="BO1038" s="3">
        <v>67.849999999999994</v>
      </c>
      <c r="BQ1038" s="3" t="s">
        <v>89</v>
      </c>
      <c r="BR1038" s="3" t="s">
        <v>84</v>
      </c>
      <c r="BS1038" s="4">
        <v>44579</v>
      </c>
      <c r="BT1038" s="5">
        <v>0.47986111111111113</v>
      </c>
      <c r="BU1038" s="3" t="s">
        <v>1155</v>
      </c>
      <c r="BV1038" s="3" t="s">
        <v>87</v>
      </c>
      <c r="BW1038" s="3" t="s">
        <v>457</v>
      </c>
      <c r="BX1038" s="3" t="s">
        <v>458</v>
      </c>
      <c r="BY1038" s="3">
        <v>1200</v>
      </c>
      <c r="CA1038" s="3" t="s">
        <v>509</v>
      </c>
      <c r="CC1038" s="3" t="s">
        <v>172</v>
      </c>
      <c r="CD1038" s="3">
        <v>6001</v>
      </c>
      <c r="CE1038" s="3" t="s">
        <v>93</v>
      </c>
      <c r="CF1038" s="4">
        <v>44579</v>
      </c>
      <c r="CI1038" s="3">
        <v>1</v>
      </c>
      <c r="CJ1038" s="3">
        <v>1</v>
      </c>
      <c r="CK1038" s="3">
        <v>21</v>
      </c>
      <c r="CL1038" s="3" t="s">
        <v>87</v>
      </c>
    </row>
    <row r="1039" spans="1:90" x14ac:dyDescent="0.2">
      <c r="A1039" s="3" t="s">
        <v>72</v>
      </c>
      <c r="B1039" s="3" t="s">
        <v>73</v>
      </c>
      <c r="C1039" s="3" t="s">
        <v>74</v>
      </c>
      <c r="E1039" s="3" t="str">
        <f>"FES1162845384"</f>
        <v>FES1162845384</v>
      </c>
      <c r="F1039" s="4">
        <v>44578</v>
      </c>
      <c r="G1039" s="3">
        <v>202207</v>
      </c>
      <c r="H1039" s="3" t="s">
        <v>75</v>
      </c>
      <c r="I1039" s="3" t="s">
        <v>76</v>
      </c>
      <c r="J1039" s="3" t="s">
        <v>77</v>
      </c>
      <c r="K1039" s="3" t="s">
        <v>78</v>
      </c>
      <c r="L1039" s="3" t="s">
        <v>171</v>
      </c>
      <c r="M1039" s="3" t="s">
        <v>172</v>
      </c>
      <c r="N1039" s="3" t="s">
        <v>539</v>
      </c>
      <c r="O1039" s="3" t="s">
        <v>82</v>
      </c>
      <c r="P1039" s="3" t="str">
        <f>"2170816910                    "</f>
        <v xml:space="preserve">2170816910                    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15.46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  <c r="BH1039" s="3">
        <v>1</v>
      </c>
      <c r="BI1039" s="3">
        <v>1</v>
      </c>
      <c r="BJ1039" s="3">
        <v>0.2</v>
      </c>
      <c r="BK1039" s="3">
        <v>1</v>
      </c>
      <c r="BL1039" s="3">
        <v>59</v>
      </c>
      <c r="BM1039" s="3">
        <v>8.85</v>
      </c>
      <c r="BN1039" s="3">
        <v>67.849999999999994</v>
      </c>
      <c r="BO1039" s="3">
        <v>67.849999999999994</v>
      </c>
      <c r="BQ1039" s="3" t="s">
        <v>83</v>
      </c>
      <c r="BR1039" s="3" t="s">
        <v>84</v>
      </c>
      <c r="BS1039" s="4">
        <v>44579</v>
      </c>
      <c r="BT1039" s="5">
        <v>0.59652777777777777</v>
      </c>
      <c r="BU1039" s="3" t="s">
        <v>540</v>
      </c>
      <c r="BV1039" s="3" t="s">
        <v>87</v>
      </c>
      <c r="BW1039" s="3" t="s">
        <v>457</v>
      </c>
      <c r="BX1039" s="3" t="s">
        <v>458</v>
      </c>
      <c r="BY1039" s="3">
        <v>1200</v>
      </c>
      <c r="CA1039" s="3" t="s">
        <v>263</v>
      </c>
      <c r="CC1039" s="3" t="s">
        <v>172</v>
      </c>
      <c r="CD1039" s="3">
        <v>6012</v>
      </c>
      <c r="CE1039" s="3" t="s">
        <v>93</v>
      </c>
      <c r="CF1039" s="4">
        <v>44579</v>
      </c>
      <c r="CI1039" s="3">
        <v>1</v>
      </c>
      <c r="CJ1039" s="3">
        <v>1</v>
      </c>
      <c r="CK1039" s="3">
        <v>21</v>
      </c>
      <c r="CL1039" s="3" t="s">
        <v>87</v>
      </c>
    </row>
    <row r="1040" spans="1:90" x14ac:dyDescent="0.2">
      <c r="A1040" s="3" t="s">
        <v>72</v>
      </c>
      <c r="B1040" s="3" t="s">
        <v>73</v>
      </c>
      <c r="C1040" s="3" t="s">
        <v>74</v>
      </c>
      <c r="E1040" s="3" t="str">
        <f>"FES1162845523"</f>
        <v>FES1162845523</v>
      </c>
      <c r="F1040" s="4">
        <v>44578</v>
      </c>
      <c r="G1040" s="3">
        <v>202207</v>
      </c>
      <c r="H1040" s="3" t="s">
        <v>75</v>
      </c>
      <c r="I1040" s="3" t="s">
        <v>76</v>
      </c>
      <c r="J1040" s="3" t="s">
        <v>77</v>
      </c>
      <c r="K1040" s="3" t="s">
        <v>78</v>
      </c>
      <c r="L1040" s="3" t="s">
        <v>101</v>
      </c>
      <c r="M1040" s="3" t="s">
        <v>102</v>
      </c>
      <c r="N1040" s="3" t="s">
        <v>272</v>
      </c>
      <c r="O1040" s="3" t="s">
        <v>82</v>
      </c>
      <c r="P1040" s="3" t="str">
        <f>"2170817055                    "</f>
        <v xml:space="preserve">2170817055                    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15.46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1</v>
      </c>
      <c r="BI1040" s="3">
        <v>2</v>
      </c>
      <c r="BJ1040" s="3">
        <v>1.1000000000000001</v>
      </c>
      <c r="BK1040" s="3">
        <v>2</v>
      </c>
      <c r="BL1040" s="3">
        <v>59</v>
      </c>
      <c r="BM1040" s="3">
        <v>8.85</v>
      </c>
      <c r="BN1040" s="3">
        <v>67.849999999999994</v>
      </c>
      <c r="BO1040" s="3">
        <v>67.849999999999994</v>
      </c>
      <c r="BQ1040" s="3" t="s">
        <v>273</v>
      </c>
      <c r="BR1040" s="3" t="s">
        <v>84</v>
      </c>
      <c r="BS1040" s="4">
        <v>44579</v>
      </c>
      <c r="BT1040" s="5">
        <v>0.36180555555555555</v>
      </c>
      <c r="BU1040" s="3" t="s">
        <v>274</v>
      </c>
      <c r="BV1040" s="3" t="s">
        <v>105</v>
      </c>
      <c r="BY1040" s="3">
        <v>5320</v>
      </c>
      <c r="BZ1040" s="3" t="s">
        <v>165</v>
      </c>
      <c r="CA1040" s="3" t="s">
        <v>275</v>
      </c>
      <c r="CC1040" s="3" t="s">
        <v>102</v>
      </c>
      <c r="CD1040" s="3">
        <v>4000</v>
      </c>
      <c r="CE1040" s="3" t="s">
        <v>86</v>
      </c>
      <c r="CF1040" s="4">
        <v>44580</v>
      </c>
      <c r="CI1040" s="3">
        <v>1</v>
      </c>
      <c r="CJ1040" s="3">
        <v>1</v>
      </c>
      <c r="CK1040" s="3">
        <v>21</v>
      </c>
      <c r="CL1040" s="3" t="s">
        <v>87</v>
      </c>
    </row>
    <row r="1041" spans="1:90" x14ac:dyDescent="0.2">
      <c r="A1041" s="3" t="s">
        <v>72</v>
      </c>
      <c r="B1041" s="3" t="s">
        <v>73</v>
      </c>
      <c r="C1041" s="3" t="s">
        <v>74</v>
      </c>
      <c r="E1041" s="3" t="str">
        <f>"FES1162845516"</f>
        <v>FES1162845516</v>
      </c>
      <c r="F1041" s="4">
        <v>44578</v>
      </c>
      <c r="G1041" s="3">
        <v>202207</v>
      </c>
      <c r="H1041" s="3" t="s">
        <v>75</v>
      </c>
      <c r="I1041" s="3" t="s">
        <v>76</v>
      </c>
      <c r="J1041" s="3" t="s">
        <v>77</v>
      </c>
      <c r="K1041" s="3" t="s">
        <v>78</v>
      </c>
      <c r="L1041" s="3" t="s">
        <v>335</v>
      </c>
      <c r="M1041" s="3" t="s">
        <v>336</v>
      </c>
      <c r="N1041" s="3" t="s">
        <v>337</v>
      </c>
      <c r="O1041" s="3" t="s">
        <v>82</v>
      </c>
      <c r="P1041" s="3" t="str">
        <f>"2170817051                    "</f>
        <v xml:space="preserve">2170817051                    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15.46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0</v>
      </c>
      <c r="BF1041" s="3">
        <v>0</v>
      </c>
      <c r="BG1041" s="3">
        <v>0</v>
      </c>
      <c r="BH1041" s="3">
        <v>1</v>
      </c>
      <c r="BI1041" s="3">
        <v>1</v>
      </c>
      <c r="BJ1041" s="3">
        <v>0.2</v>
      </c>
      <c r="BK1041" s="3">
        <v>1</v>
      </c>
      <c r="BL1041" s="3">
        <v>59</v>
      </c>
      <c r="BM1041" s="3">
        <v>8.85</v>
      </c>
      <c r="BN1041" s="3">
        <v>67.849999999999994</v>
      </c>
      <c r="BO1041" s="3">
        <v>67.849999999999994</v>
      </c>
      <c r="BQ1041" s="3" t="s">
        <v>89</v>
      </c>
      <c r="BR1041" s="3" t="s">
        <v>84</v>
      </c>
      <c r="BS1041" s="4">
        <v>44579</v>
      </c>
      <c r="BT1041" s="5">
        <v>0.39861111111111108</v>
      </c>
      <c r="BU1041" s="3" t="s">
        <v>1031</v>
      </c>
      <c r="BV1041" s="3" t="s">
        <v>105</v>
      </c>
      <c r="BY1041" s="3">
        <v>1200</v>
      </c>
      <c r="BZ1041" s="3" t="s">
        <v>165</v>
      </c>
      <c r="CA1041" s="3" t="s">
        <v>528</v>
      </c>
      <c r="CC1041" s="3" t="s">
        <v>336</v>
      </c>
      <c r="CD1041" s="3">
        <v>4133</v>
      </c>
      <c r="CE1041" s="3" t="s">
        <v>93</v>
      </c>
      <c r="CF1041" s="4">
        <v>44580</v>
      </c>
      <c r="CI1041" s="3">
        <v>1</v>
      </c>
      <c r="CJ1041" s="3">
        <v>1</v>
      </c>
      <c r="CK1041" s="3">
        <v>21</v>
      </c>
      <c r="CL1041" s="3" t="s">
        <v>87</v>
      </c>
    </row>
    <row r="1042" spans="1:90" x14ac:dyDescent="0.2">
      <c r="A1042" s="3" t="s">
        <v>72</v>
      </c>
      <c r="B1042" s="3" t="s">
        <v>73</v>
      </c>
      <c r="C1042" s="3" t="s">
        <v>74</v>
      </c>
      <c r="E1042" s="3" t="str">
        <f>"FES1162845469"</f>
        <v>FES1162845469</v>
      </c>
      <c r="F1042" s="4">
        <v>44578</v>
      </c>
      <c r="G1042" s="3">
        <v>202207</v>
      </c>
      <c r="H1042" s="3" t="s">
        <v>75</v>
      </c>
      <c r="I1042" s="3" t="s">
        <v>76</v>
      </c>
      <c r="J1042" s="3" t="s">
        <v>77</v>
      </c>
      <c r="K1042" s="3" t="s">
        <v>78</v>
      </c>
      <c r="L1042" s="3" t="s">
        <v>94</v>
      </c>
      <c r="M1042" s="3" t="s">
        <v>95</v>
      </c>
      <c r="N1042" s="3" t="s">
        <v>1052</v>
      </c>
      <c r="O1042" s="3" t="s">
        <v>82</v>
      </c>
      <c r="P1042" s="3" t="str">
        <f>"2170817020                    "</f>
        <v xml:space="preserve">2170817020                    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30.91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0</v>
      </c>
      <c r="AZ1042" s="3">
        <v>0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  <c r="BH1042" s="3">
        <v>1</v>
      </c>
      <c r="BI1042" s="3">
        <v>4</v>
      </c>
      <c r="BJ1042" s="3">
        <v>2</v>
      </c>
      <c r="BK1042" s="3">
        <v>4</v>
      </c>
      <c r="BL1042" s="3">
        <v>117.97</v>
      </c>
      <c r="BM1042" s="3">
        <v>17.7</v>
      </c>
      <c r="BN1042" s="3">
        <v>135.66999999999999</v>
      </c>
      <c r="BO1042" s="3">
        <v>135.66999999999999</v>
      </c>
      <c r="BQ1042" s="3" t="s">
        <v>83</v>
      </c>
      <c r="BR1042" s="3" t="s">
        <v>84</v>
      </c>
      <c r="BS1042" s="4">
        <v>44579</v>
      </c>
      <c r="BT1042" s="5">
        <v>0.53125</v>
      </c>
      <c r="BU1042" s="3" t="s">
        <v>1430</v>
      </c>
      <c r="BV1042" s="3" t="s">
        <v>87</v>
      </c>
      <c r="BW1042" s="3" t="s">
        <v>453</v>
      </c>
      <c r="BX1042" s="3" t="s">
        <v>279</v>
      </c>
      <c r="BY1042" s="3">
        <v>9918</v>
      </c>
      <c r="BZ1042" s="3" t="s">
        <v>165</v>
      </c>
      <c r="CC1042" s="3" t="s">
        <v>95</v>
      </c>
      <c r="CD1042" s="3">
        <v>3201</v>
      </c>
      <c r="CE1042" s="3" t="s">
        <v>86</v>
      </c>
      <c r="CF1042" s="4">
        <v>44582</v>
      </c>
      <c r="CI1042" s="3">
        <v>1</v>
      </c>
      <c r="CJ1042" s="3">
        <v>1</v>
      </c>
      <c r="CK1042" s="3">
        <v>21</v>
      </c>
      <c r="CL1042" s="3" t="s">
        <v>87</v>
      </c>
    </row>
    <row r="1043" spans="1:90" x14ac:dyDescent="0.2">
      <c r="A1043" s="3" t="s">
        <v>72</v>
      </c>
      <c r="B1043" s="3" t="s">
        <v>73</v>
      </c>
      <c r="C1043" s="3" t="s">
        <v>74</v>
      </c>
      <c r="E1043" s="3" t="str">
        <f>"009942045052"</f>
        <v>009942045052</v>
      </c>
      <c r="F1043" s="4">
        <v>44578</v>
      </c>
      <c r="G1043" s="3">
        <v>202207</v>
      </c>
      <c r="H1043" s="3" t="s">
        <v>75</v>
      </c>
      <c r="I1043" s="3" t="s">
        <v>76</v>
      </c>
      <c r="J1043" s="3" t="s">
        <v>77</v>
      </c>
      <c r="K1043" s="3" t="s">
        <v>78</v>
      </c>
      <c r="L1043" s="3" t="s">
        <v>90</v>
      </c>
      <c r="M1043" s="3" t="s">
        <v>91</v>
      </c>
      <c r="N1043" s="3" t="s">
        <v>157</v>
      </c>
      <c r="O1043" s="3" t="s">
        <v>82</v>
      </c>
      <c r="P1043" s="3" t="str">
        <f>"1162844829                    "</f>
        <v xml:space="preserve">1162844829                    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15.46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1</v>
      </c>
      <c r="BI1043" s="3">
        <v>1</v>
      </c>
      <c r="BJ1043" s="3">
        <v>0.2</v>
      </c>
      <c r="BK1043" s="3">
        <v>1</v>
      </c>
      <c r="BL1043" s="3">
        <v>59</v>
      </c>
      <c r="BM1043" s="3">
        <v>8.85</v>
      </c>
      <c r="BN1043" s="3">
        <v>67.849999999999994</v>
      </c>
      <c r="BO1043" s="3">
        <v>67.849999999999994</v>
      </c>
      <c r="BQ1043" s="3" t="s">
        <v>89</v>
      </c>
      <c r="BR1043" s="3" t="s">
        <v>84</v>
      </c>
      <c r="BS1043" s="4">
        <v>44579</v>
      </c>
      <c r="BT1043" s="5">
        <v>0.51458333333333328</v>
      </c>
      <c r="BU1043" s="3" t="s">
        <v>693</v>
      </c>
      <c r="BV1043" s="3" t="s">
        <v>87</v>
      </c>
      <c r="BW1043" s="3" t="s">
        <v>353</v>
      </c>
      <c r="BX1043" s="3" t="s">
        <v>354</v>
      </c>
      <c r="BY1043" s="3">
        <v>1200</v>
      </c>
      <c r="BZ1043" s="3" t="s">
        <v>165</v>
      </c>
      <c r="CA1043" s="3" t="s">
        <v>1046</v>
      </c>
      <c r="CC1043" s="3" t="s">
        <v>91</v>
      </c>
      <c r="CD1043" s="3">
        <v>7441</v>
      </c>
      <c r="CE1043" s="3" t="s">
        <v>93</v>
      </c>
      <c r="CF1043" s="4">
        <v>44580</v>
      </c>
      <c r="CI1043" s="3">
        <v>1</v>
      </c>
      <c r="CJ1043" s="3">
        <v>1</v>
      </c>
      <c r="CK1043" s="3">
        <v>21</v>
      </c>
      <c r="CL1043" s="3" t="s">
        <v>87</v>
      </c>
    </row>
    <row r="1044" spans="1:90" x14ac:dyDescent="0.2">
      <c r="A1044" s="3" t="s">
        <v>72</v>
      </c>
      <c r="B1044" s="3" t="s">
        <v>73</v>
      </c>
      <c r="C1044" s="3" t="s">
        <v>74</v>
      </c>
      <c r="E1044" s="3" t="str">
        <f>"FES1162845518"</f>
        <v>FES1162845518</v>
      </c>
      <c r="F1044" s="4">
        <v>44578</v>
      </c>
      <c r="G1044" s="3">
        <v>202207</v>
      </c>
      <c r="H1044" s="3" t="s">
        <v>75</v>
      </c>
      <c r="I1044" s="3" t="s">
        <v>76</v>
      </c>
      <c r="J1044" s="3" t="s">
        <v>77</v>
      </c>
      <c r="K1044" s="3" t="s">
        <v>78</v>
      </c>
      <c r="L1044" s="3" t="s">
        <v>427</v>
      </c>
      <c r="M1044" s="3" t="s">
        <v>428</v>
      </c>
      <c r="N1044" s="3" t="s">
        <v>447</v>
      </c>
      <c r="O1044" s="3" t="s">
        <v>82</v>
      </c>
      <c r="P1044" s="3" t="str">
        <f>"2170817054                    "</f>
        <v xml:space="preserve">2170817054                    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29.95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0</v>
      </c>
      <c r="AZ1044" s="3">
        <v>0</v>
      </c>
      <c r="BA1044" s="3">
        <v>0</v>
      </c>
      <c r="BB1044" s="3">
        <v>0</v>
      </c>
      <c r="BC1044" s="3">
        <v>0</v>
      </c>
      <c r="BD1044" s="3">
        <v>0</v>
      </c>
      <c r="BE1044" s="3">
        <v>0</v>
      </c>
      <c r="BF1044" s="3">
        <v>0</v>
      </c>
      <c r="BG1044" s="3">
        <v>0</v>
      </c>
      <c r="BH1044" s="3">
        <v>1</v>
      </c>
      <c r="BI1044" s="3">
        <v>1</v>
      </c>
      <c r="BJ1044" s="3">
        <v>0.2</v>
      </c>
      <c r="BK1044" s="3">
        <v>1</v>
      </c>
      <c r="BL1044" s="3">
        <v>114.31</v>
      </c>
      <c r="BM1044" s="3">
        <v>17.149999999999999</v>
      </c>
      <c r="BN1044" s="3">
        <v>131.46</v>
      </c>
      <c r="BO1044" s="3">
        <v>131.46</v>
      </c>
      <c r="BQ1044" s="3" t="s">
        <v>89</v>
      </c>
      <c r="BR1044" s="3" t="s">
        <v>84</v>
      </c>
      <c r="BS1044" s="4">
        <v>44579</v>
      </c>
      <c r="BT1044" s="5">
        <v>0.59027777777777779</v>
      </c>
      <c r="BU1044" s="3" t="s">
        <v>874</v>
      </c>
      <c r="BV1044" s="3" t="s">
        <v>87</v>
      </c>
      <c r="BW1044" s="3" t="s">
        <v>353</v>
      </c>
      <c r="BX1044" s="3" t="s">
        <v>602</v>
      </c>
      <c r="BY1044" s="3">
        <v>1200</v>
      </c>
      <c r="BZ1044" s="3" t="s">
        <v>165</v>
      </c>
      <c r="CA1044" s="3" t="s">
        <v>488</v>
      </c>
      <c r="CC1044" s="3" t="s">
        <v>428</v>
      </c>
      <c r="CD1044" s="3">
        <v>7130</v>
      </c>
      <c r="CE1044" s="3" t="s">
        <v>93</v>
      </c>
      <c r="CF1044" s="4">
        <v>44580</v>
      </c>
      <c r="CI1044" s="3">
        <v>1</v>
      </c>
      <c r="CJ1044" s="3">
        <v>1</v>
      </c>
      <c r="CK1044" s="3">
        <v>23</v>
      </c>
      <c r="CL1044" s="3" t="s">
        <v>87</v>
      </c>
    </row>
    <row r="1045" spans="1:90" x14ac:dyDescent="0.2">
      <c r="A1045" s="3" t="s">
        <v>72</v>
      </c>
      <c r="B1045" s="3" t="s">
        <v>73</v>
      </c>
      <c r="C1045" s="3" t="s">
        <v>74</v>
      </c>
      <c r="E1045" s="3" t="str">
        <f>"FES1162845506"</f>
        <v>FES1162845506</v>
      </c>
      <c r="F1045" s="4">
        <v>44578</v>
      </c>
      <c r="G1045" s="3">
        <v>202207</v>
      </c>
      <c r="H1045" s="3" t="s">
        <v>75</v>
      </c>
      <c r="I1045" s="3" t="s">
        <v>76</v>
      </c>
      <c r="J1045" s="3" t="s">
        <v>77</v>
      </c>
      <c r="K1045" s="3" t="s">
        <v>78</v>
      </c>
      <c r="L1045" s="3" t="s">
        <v>90</v>
      </c>
      <c r="M1045" s="3" t="s">
        <v>91</v>
      </c>
      <c r="N1045" s="3" t="s">
        <v>444</v>
      </c>
      <c r="O1045" s="3" t="s">
        <v>82</v>
      </c>
      <c r="P1045" s="3" t="str">
        <f>"2170817044                    "</f>
        <v xml:space="preserve">2170817044                    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15.46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v>0</v>
      </c>
      <c r="BA1045" s="3">
        <v>0</v>
      </c>
      <c r="BB1045" s="3">
        <v>0</v>
      </c>
      <c r="BC1045" s="3">
        <v>0</v>
      </c>
      <c r="BD1045" s="3">
        <v>0</v>
      </c>
      <c r="BE1045" s="3">
        <v>0</v>
      </c>
      <c r="BF1045" s="3">
        <v>0</v>
      </c>
      <c r="BG1045" s="3">
        <v>0</v>
      </c>
      <c r="BH1045" s="3">
        <v>1</v>
      </c>
      <c r="BI1045" s="3">
        <v>1</v>
      </c>
      <c r="BJ1045" s="3">
        <v>0.2</v>
      </c>
      <c r="BK1045" s="3">
        <v>1</v>
      </c>
      <c r="BL1045" s="3">
        <v>59</v>
      </c>
      <c r="BM1045" s="3">
        <v>8.85</v>
      </c>
      <c r="BN1045" s="3">
        <v>67.849999999999994</v>
      </c>
      <c r="BO1045" s="3">
        <v>67.849999999999994</v>
      </c>
      <c r="BQ1045" s="3" t="s">
        <v>145</v>
      </c>
      <c r="BR1045" s="3" t="s">
        <v>84</v>
      </c>
      <c r="BS1045" s="4">
        <v>44579</v>
      </c>
      <c r="BT1045" s="5">
        <v>0.44791666666666669</v>
      </c>
      <c r="BU1045" s="3" t="s">
        <v>592</v>
      </c>
      <c r="BV1045" s="3" t="s">
        <v>87</v>
      </c>
      <c r="BW1045" s="3" t="s">
        <v>353</v>
      </c>
      <c r="BX1045" s="3" t="s">
        <v>602</v>
      </c>
      <c r="BY1045" s="3">
        <v>1200</v>
      </c>
      <c r="BZ1045" s="3" t="s">
        <v>165</v>
      </c>
      <c r="CA1045" s="3" t="s">
        <v>829</v>
      </c>
      <c r="CC1045" s="3" t="s">
        <v>91</v>
      </c>
      <c r="CD1045" s="3">
        <v>7500</v>
      </c>
      <c r="CE1045" s="3" t="s">
        <v>93</v>
      </c>
      <c r="CF1045" s="4">
        <v>44580</v>
      </c>
      <c r="CI1045" s="3">
        <v>1</v>
      </c>
      <c r="CJ1045" s="3">
        <v>1</v>
      </c>
      <c r="CK1045" s="3">
        <v>21</v>
      </c>
      <c r="CL1045" s="3" t="s">
        <v>87</v>
      </c>
    </row>
    <row r="1046" spans="1:90" x14ac:dyDescent="0.2">
      <c r="A1046" s="3" t="s">
        <v>72</v>
      </c>
      <c r="B1046" s="3" t="s">
        <v>73</v>
      </c>
      <c r="C1046" s="3" t="s">
        <v>74</v>
      </c>
      <c r="E1046" s="3" t="str">
        <f>"FES1162845504"</f>
        <v>FES1162845504</v>
      </c>
      <c r="F1046" s="4">
        <v>44578</v>
      </c>
      <c r="G1046" s="3">
        <v>202207</v>
      </c>
      <c r="H1046" s="3" t="s">
        <v>75</v>
      </c>
      <c r="I1046" s="3" t="s">
        <v>76</v>
      </c>
      <c r="J1046" s="3" t="s">
        <v>77</v>
      </c>
      <c r="K1046" s="3" t="s">
        <v>78</v>
      </c>
      <c r="L1046" s="3" t="s">
        <v>101</v>
      </c>
      <c r="M1046" s="3" t="s">
        <v>102</v>
      </c>
      <c r="N1046" s="3" t="s">
        <v>170</v>
      </c>
      <c r="O1046" s="3" t="s">
        <v>82</v>
      </c>
      <c r="P1046" s="3" t="str">
        <f>"2170817042                    "</f>
        <v xml:space="preserve">2170817042                    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15.46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0</v>
      </c>
      <c r="AZ1046" s="3">
        <v>0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1</v>
      </c>
      <c r="BI1046" s="3">
        <v>1</v>
      </c>
      <c r="BJ1046" s="3">
        <v>0.2</v>
      </c>
      <c r="BK1046" s="3">
        <v>1</v>
      </c>
      <c r="BL1046" s="3">
        <v>59</v>
      </c>
      <c r="BM1046" s="3">
        <v>8.85</v>
      </c>
      <c r="BN1046" s="3">
        <v>67.849999999999994</v>
      </c>
      <c r="BO1046" s="3">
        <v>67.849999999999994</v>
      </c>
      <c r="BQ1046" s="3" t="s">
        <v>89</v>
      </c>
      <c r="BR1046" s="3" t="s">
        <v>84</v>
      </c>
      <c r="BS1046" s="4">
        <v>44579</v>
      </c>
      <c r="BT1046" s="5">
        <v>0.59652777777777777</v>
      </c>
      <c r="BU1046" s="3" t="s">
        <v>369</v>
      </c>
      <c r="BV1046" s="3" t="s">
        <v>87</v>
      </c>
      <c r="BW1046" s="3" t="s">
        <v>457</v>
      </c>
      <c r="BX1046" s="3" t="s">
        <v>279</v>
      </c>
      <c r="BY1046" s="3">
        <v>1200</v>
      </c>
      <c r="BZ1046" s="3" t="s">
        <v>165</v>
      </c>
      <c r="CA1046" s="3" t="s">
        <v>280</v>
      </c>
      <c r="CC1046" s="3" t="s">
        <v>102</v>
      </c>
      <c r="CD1046" s="3">
        <v>4001</v>
      </c>
      <c r="CE1046" s="3" t="s">
        <v>93</v>
      </c>
      <c r="CF1046" s="4">
        <v>44580</v>
      </c>
      <c r="CI1046" s="3">
        <v>1</v>
      </c>
      <c r="CJ1046" s="3">
        <v>1</v>
      </c>
      <c r="CK1046" s="3">
        <v>21</v>
      </c>
      <c r="CL1046" s="3" t="s">
        <v>87</v>
      </c>
    </row>
    <row r="1047" spans="1:90" x14ac:dyDescent="0.2">
      <c r="A1047" s="3" t="s">
        <v>72</v>
      </c>
      <c r="B1047" s="3" t="s">
        <v>73</v>
      </c>
      <c r="C1047" s="3" t="s">
        <v>74</v>
      </c>
      <c r="E1047" s="3" t="str">
        <f>"FES1162845496"</f>
        <v>FES1162845496</v>
      </c>
      <c r="F1047" s="4">
        <v>44578</v>
      </c>
      <c r="G1047" s="3">
        <v>202207</v>
      </c>
      <c r="H1047" s="3" t="s">
        <v>75</v>
      </c>
      <c r="I1047" s="3" t="s">
        <v>76</v>
      </c>
      <c r="J1047" s="3" t="s">
        <v>77</v>
      </c>
      <c r="K1047" s="3" t="s">
        <v>78</v>
      </c>
      <c r="L1047" s="3" t="s">
        <v>138</v>
      </c>
      <c r="M1047" s="3" t="s">
        <v>139</v>
      </c>
      <c r="N1047" s="3" t="s">
        <v>478</v>
      </c>
      <c r="O1047" s="3" t="s">
        <v>82</v>
      </c>
      <c r="P1047" s="3" t="str">
        <f>"2170816872                    "</f>
        <v xml:space="preserve">2170816872                    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15.46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0</v>
      </c>
      <c r="AZ1047" s="3">
        <v>0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  <c r="BH1047" s="3">
        <v>1</v>
      </c>
      <c r="BI1047" s="3">
        <v>1</v>
      </c>
      <c r="BJ1047" s="3">
        <v>0.2</v>
      </c>
      <c r="BK1047" s="3">
        <v>1</v>
      </c>
      <c r="BL1047" s="3">
        <v>59</v>
      </c>
      <c r="BM1047" s="3">
        <v>8.85</v>
      </c>
      <c r="BN1047" s="3">
        <v>67.849999999999994</v>
      </c>
      <c r="BO1047" s="3">
        <v>67.849999999999994</v>
      </c>
      <c r="BQ1047" s="3" t="s">
        <v>83</v>
      </c>
      <c r="BR1047" s="3" t="s">
        <v>84</v>
      </c>
      <c r="BS1047" s="4">
        <v>44579</v>
      </c>
      <c r="BT1047" s="5">
        <v>0.38611111111111113</v>
      </c>
      <c r="BU1047" s="3" t="s">
        <v>1431</v>
      </c>
      <c r="BV1047" s="3" t="s">
        <v>105</v>
      </c>
      <c r="BY1047" s="3">
        <v>1200</v>
      </c>
      <c r="BZ1047" s="3" t="s">
        <v>165</v>
      </c>
      <c r="CA1047" s="3" t="s">
        <v>303</v>
      </c>
      <c r="CC1047" s="3" t="s">
        <v>139</v>
      </c>
      <c r="CD1047" s="3">
        <v>3610</v>
      </c>
      <c r="CE1047" s="3" t="s">
        <v>93</v>
      </c>
      <c r="CF1047" s="4">
        <v>44580</v>
      </c>
      <c r="CI1047" s="3">
        <v>1</v>
      </c>
      <c r="CJ1047" s="3">
        <v>1</v>
      </c>
      <c r="CK1047" s="3">
        <v>21</v>
      </c>
      <c r="CL1047" s="3" t="s">
        <v>87</v>
      </c>
    </row>
    <row r="1048" spans="1:90" x14ac:dyDescent="0.2">
      <c r="A1048" s="3" t="s">
        <v>72</v>
      </c>
      <c r="B1048" s="3" t="s">
        <v>73</v>
      </c>
      <c r="C1048" s="3" t="s">
        <v>74</v>
      </c>
      <c r="E1048" s="3" t="str">
        <f>"FES1162845499"</f>
        <v>FES1162845499</v>
      </c>
      <c r="F1048" s="4">
        <v>44578</v>
      </c>
      <c r="G1048" s="3">
        <v>202207</v>
      </c>
      <c r="H1048" s="3" t="s">
        <v>75</v>
      </c>
      <c r="I1048" s="3" t="s">
        <v>76</v>
      </c>
      <c r="J1048" s="3" t="s">
        <v>77</v>
      </c>
      <c r="K1048" s="3" t="s">
        <v>78</v>
      </c>
      <c r="L1048" s="3" t="s">
        <v>79</v>
      </c>
      <c r="M1048" s="3" t="s">
        <v>80</v>
      </c>
      <c r="N1048" s="3" t="s">
        <v>248</v>
      </c>
      <c r="O1048" s="3" t="s">
        <v>82</v>
      </c>
      <c r="P1048" s="3" t="str">
        <f>"2170817037                    "</f>
        <v xml:space="preserve">2170817037                    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15.46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  <c r="BH1048" s="3">
        <v>1</v>
      </c>
      <c r="BI1048" s="3">
        <v>1</v>
      </c>
      <c r="BJ1048" s="3">
        <v>0.2</v>
      </c>
      <c r="BK1048" s="3">
        <v>1</v>
      </c>
      <c r="BL1048" s="3">
        <v>59</v>
      </c>
      <c r="BM1048" s="3">
        <v>8.85</v>
      </c>
      <c r="BN1048" s="3">
        <v>67.849999999999994</v>
      </c>
      <c r="BO1048" s="3">
        <v>67.849999999999994</v>
      </c>
      <c r="BQ1048" s="3" t="s">
        <v>83</v>
      </c>
      <c r="BR1048" s="3" t="s">
        <v>84</v>
      </c>
      <c r="BS1048" s="4">
        <v>44579</v>
      </c>
      <c r="BT1048" s="5">
        <v>0.3743055555555555</v>
      </c>
      <c r="BU1048" s="3" t="s">
        <v>1008</v>
      </c>
      <c r="BV1048" s="3" t="s">
        <v>105</v>
      </c>
      <c r="BY1048" s="3">
        <v>1200</v>
      </c>
      <c r="BZ1048" s="3" t="s">
        <v>165</v>
      </c>
      <c r="CA1048" s="3" t="s">
        <v>362</v>
      </c>
      <c r="CC1048" s="3" t="s">
        <v>80</v>
      </c>
      <c r="CD1048" s="3">
        <v>1</v>
      </c>
      <c r="CE1048" s="3" t="s">
        <v>93</v>
      </c>
      <c r="CF1048" s="4">
        <v>44579</v>
      </c>
      <c r="CI1048" s="3">
        <v>1</v>
      </c>
      <c r="CJ1048" s="3">
        <v>1</v>
      </c>
      <c r="CK1048" s="3">
        <v>21</v>
      </c>
      <c r="CL1048" s="3" t="s">
        <v>87</v>
      </c>
    </row>
    <row r="1049" spans="1:90" x14ac:dyDescent="0.2">
      <c r="A1049" s="3" t="s">
        <v>72</v>
      </c>
      <c r="B1049" s="3" t="s">
        <v>73</v>
      </c>
      <c r="C1049" s="3" t="s">
        <v>74</v>
      </c>
      <c r="E1049" s="3" t="str">
        <f>"FES1162845464"</f>
        <v>FES1162845464</v>
      </c>
      <c r="F1049" s="4">
        <v>44578</v>
      </c>
      <c r="G1049" s="3">
        <v>202207</v>
      </c>
      <c r="H1049" s="3" t="s">
        <v>75</v>
      </c>
      <c r="I1049" s="3" t="s">
        <v>76</v>
      </c>
      <c r="J1049" s="3" t="s">
        <v>77</v>
      </c>
      <c r="K1049" s="3" t="s">
        <v>78</v>
      </c>
      <c r="L1049" s="3" t="s">
        <v>101</v>
      </c>
      <c r="M1049" s="3" t="s">
        <v>102</v>
      </c>
      <c r="N1049" s="3" t="s">
        <v>686</v>
      </c>
      <c r="O1049" s="3" t="s">
        <v>82</v>
      </c>
      <c r="P1049" s="3" t="str">
        <f>"2170817013                    "</f>
        <v xml:space="preserve">2170817013                    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15.46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1</v>
      </c>
      <c r="BI1049" s="3">
        <v>1</v>
      </c>
      <c r="BJ1049" s="3">
        <v>0.2</v>
      </c>
      <c r="BK1049" s="3">
        <v>1</v>
      </c>
      <c r="BL1049" s="3">
        <v>59</v>
      </c>
      <c r="BM1049" s="3">
        <v>8.85</v>
      </c>
      <c r="BN1049" s="3">
        <v>67.849999999999994</v>
      </c>
      <c r="BO1049" s="3">
        <v>67.849999999999994</v>
      </c>
      <c r="BQ1049" s="3" t="s">
        <v>83</v>
      </c>
      <c r="BR1049" s="3" t="s">
        <v>84</v>
      </c>
      <c r="BS1049" s="4">
        <v>44579</v>
      </c>
      <c r="BT1049" s="5">
        <v>0.59722222222222221</v>
      </c>
      <c r="BU1049" s="3" t="s">
        <v>277</v>
      </c>
      <c r="BV1049" s="3" t="s">
        <v>87</v>
      </c>
      <c r="BW1049" s="3" t="s">
        <v>457</v>
      </c>
      <c r="BX1049" s="3" t="s">
        <v>279</v>
      </c>
      <c r="BY1049" s="3">
        <v>1200</v>
      </c>
      <c r="BZ1049" s="3" t="s">
        <v>165</v>
      </c>
      <c r="CA1049" s="3" t="s">
        <v>280</v>
      </c>
      <c r="CC1049" s="3" t="s">
        <v>102</v>
      </c>
      <c r="CD1049" s="3">
        <v>4001</v>
      </c>
      <c r="CE1049" s="3" t="s">
        <v>93</v>
      </c>
      <c r="CF1049" s="4">
        <v>44580</v>
      </c>
      <c r="CI1049" s="3">
        <v>1</v>
      </c>
      <c r="CJ1049" s="3">
        <v>1</v>
      </c>
      <c r="CK1049" s="3">
        <v>21</v>
      </c>
      <c r="CL1049" s="3" t="s">
        <v>87</v>
      </c>
    </row>
    <row r="1050" spans="1:90" x14ac:dyDescent="0.2">
      <c r="A1050" s="3" t="s">
        <v>72</v>
      </c>
      <c r="B1050" s="3" t="s">
        <v>73</v>
      </c>
      <c r="C1050" s="3" t="s">
        <v>74</v>
      </c>
      <c r="E1050" s="3" t="str">
        <f>"FES1162845443"</f>
        <v>FES1162845443</v>
      </c>
      <c r="F1050" s="4">
        <v>44578</v>
      </c>
      <c r="G1050" s="3">
        <v>202207</v>
      </c>
      <c r="H1050" s="3" t="s">
        <v>75</v>
      </c>
      <c r="I1050" s="3" t="s">
        <v>76</v>
      </c>
      <c r="J1050" s="3" t="s">
        <v>77</v>
      </c>
      <c r="K1050" s="3" t="s">
        <v>78</v>
      </c>
      <c r="L1050" s="3" t="s">
        <v>171</v>
      </c>
      <c r="M1050" s="3" t="s">
        <v>172</v>
      </c>
      <c r="N1050" s="3" t="s">
        <v>1129</v>
      </c>
      <c r="O1050" s="3" t="s">
        <v>82</v>
      </c>
      <c r="P1050" s="3" t="str">
        <f>"2170816980                    "</f>
        <v xml:space="preserve">2170816980                    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15.46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0</v>
      </c>
      <c r="BB1050" s="3">
        <v>0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3">
        <v>1</v>
      </c>
      <c r="BI1050" s="3">
        <v>1</v>
      </c>
      <c r="BJ1050" s="3">
        <v>0.2</v>
      </c>
      <c r="BK1050" s="3">
        <v>1</v>
      </c>
      <c r="BL1050" s="3">
        <v>59</v>
      </c>
      <c r="BM1050" s="3">
        <v>8.85</v>
      </c>
      <c r="BN1050" s="3">
        <v>67.849999999999994</v>
      </c>
      <c r="BO1050" s="3">
        <v>67.849999999999994</v>
      </c>
      <c r="BQ1050" s="3" t="s">
        <v>89</v>
      </c>
      <c r="BR1050" s="3" t="s">
        <v>84</v>
      </c>
      <c r="BS1050" s="4">
        <v>44579</v>
      </c>
      <c r="BT1050" s="5">
        <v>0.52152777777777781</v>
      </c>
      <c r="BU1050" s="3" t="s">
        <v>1432</v>
      </c>
      <c r="BV1050" s="3" t="s">
        <v>87</v>
      </c>
      <c r="BW1050" s="3" t="s">
        <v>457</v>
      </c>
      <c r="BX1050" s="3" t="s">
        <v>458</v>
      </c>
      <c r="BY1050" s="3">
        <v>1200</v>
      </c>
      <c r="BZ1050" s="3" t="s">
        <v>165</v>
      </c>
      <c r="CA1050" s="3" t="s">
        <v>509</v>
      </c>
      <c r="CC1050" s="3" t="s">
        <v>172</v>
      </c>
      <c r="CD1050" s="3">
        <v>6000</v>
      </c>
      <c r="CE1050" s="3" t="s">
        <v>93</v>
      </c>
      <c r="CF1050" s="4">
        <v>44579</v>
      </c>
      <c r="CI1050" s="3">
        <v>1</v>
      </c>
      <c r="CJ1050" s="3">
        <v>1</v>
      </c>
      <c r="CK1050" s="3">
        <v>21</v>
      </c>
      <c r="CL1050" s="3" t="s">
        <v>87</v>
      </c>
    </row>
    <row r="1051" spans="1:90" x14ac:dyDescent="0.2">
      <c r="A1051" s="3" t="s">
        <v>72</v>
      </c>
      <c r="B1051" s="3" t="s">
        <v>73</v>
      </c>
      <c r="C1051" s="3" t="s">
        <v>74</v>
      </c>
      <c r="E1051" s="3" t="str">
        <f>"FES1162845500"</f>
        <v>FES1162845500</v>
      </c>
      <c r="F1051" s="4">
        <v>44578</v>
      </c>
      <c r="G1051" s="3">
        <v>202207</v>
      </c>
      <c r="H1051" s="3" t="s">
        <v>75</v>
      </c>
      <c r="I1051" s="3" t="s">
        <v>76</v>
      </c>
      <c r="J1051" s="3" t="s">
        <v>77</v>
      </c>
      <c r="K1051" s="3" t="s">
        <v>78</v>
      </c>
      <c r="L1051" s="3" t="s">
        <v>90</v>
      </c>
      <c r="M1051" s="3" t="s">
        <v>91</v>
      </c>
      <c r="N1051" s="3" t="s">
        <v>157</v>
      </c>
      <c r="O1051" s="3" t="s">
        <v>82</v>
      </c>
      <c r="P1051" s="3" t="str">
        <f>"2170817038                    "</f>
        <v xml:space="preserve">2170817038                    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15.46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  <c r="BH1051" s="3">
        <v>1</v>
      </c>
      <c r="BI1051" s="3">
        <v>1</v>
      </c>
      <c r="BJ1051" s="3">
        <v>0.2</v>
      </c>
      <c r="BK1051" s="3">
        <v>1</v>
      </c>
      <c r="BL1051" s="3">
        <v>59</v>
      </c>
      <c r="BM1051" s="3">
        <v>8.85</v>
      </c>
      <c r="BN1051" s="3">
        <v>67.849999999999994</v>
      </c>
      <c r="BO1051" s="3">
        <v>67.849999999999994</v>
      </c>
      <c r="BQ1051" s="3" t="s">
        <v>89</v>
      </c>
      <c r="BR1051" s="3" t="s">
        <v>84</v>
      </c>
      <c r="BS1051" s="4">
        <v>44579</v>
      </c>
      <c r="BT1051" s="5">
        <v>0.51458333333333328</v>
      </c>
      <c r="BU1051" s="3" t="s">
        <v>693</v>
      </c>
      <c r="BV1051" s="3" t="s">
        <v>87</v>
      </c>
      <c r="BW1051" s="3" t="s">
        <v>353</v>
      </c>
      <c r="BX1051" s="3" t="s">
        <v>354</v>
      </c>
      <c r="BY1051" s="3">
        <v>1200</v>
      </c>
      <c r="BZ1051" s="3" t="s">
        <v>165</v>
      </c>
      <c r="CA1051" s="3" t="s">
        <v>1046</v>
      </c>
      <c r="CC1051" s="3" t="s">
        <v>91</v>
      </c>
      <c r="CD1051" s="3">
        <v>7441</v>
      </c>
      <c r="CE1051" s="3" t="s">
        <v>93</v>
      </c>
      <c r="CF1051" s="4">
        <v>44580</v>
      </c>
      <c r="CI1051" s="3">
        <v>1</v>
      </c>
      <c r="CJ1051" s="3">
        <v>1</v>
      </c>
      <c r="CK1051" s="3">
        <v>21</v>
      </c>
      <c r="CL1051" s="3" t="s">
        <v>87</v>
      </c>
    </row>
    <row r="1052" spans="1:90" x14ac:dyDescent="0.2">
      <c r="A1052" s="3" t="s">
        <v>72</v>
      </c>
      <c r="B1052" s="3" t="s">
        <v>73</v>
      </c>
      <c r="C1052" s="3" t="s">
        <v>74</v>
      </c>
      <c r="E1052" s="3" t="str">
        <f>"FES1162845440"</f>
        <v>FES1162845440</v>
      </c>
      <c r="F1052" s="4">
        <v>44578</v>
      </c>
      <c r="G1052" s="3">
        <v>202207</v>
      </c>
      <c r="H1052" s="3" t="s">
        <v>75</v>
      </c>
      <c r="I1052" s="3" t="s">
        <v>76</v>
      </c>
      <c r="J1052" s="3" t="s">
        <v>77</v>
      </c>
      <c r="K1052" s="3" t="s">
        <v>78</v>
      </c>
      <c r="L1052" s="3" t="s">
        <v>162</v>
      </c>
      <c r="M1052" s="3" t="s">
        <v>163</v>
      </c>
      <c r="N1052" s="3" t="s">
        <v>1433</v>
      </c>
      <c r="O1052" s="3" t="s">
        <v>82</v>
      </c>
      <c r="P1052" s="3" t="str">
        <f>"2170816974                    "</f>
        <v xml:space="preserve">2170816974                    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12.07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1</v>
      </c>
      <c r="BI1052" s="3">
        <v>1</v>
      </c>
      <c r="BJ1052" s="3">
        <v>0.2</v>
      </c>
      <c r="BK1052" s="3">
        <v>1</v>
      </c>
      <c r="BL1052" s="3">
        <v>46.08</v>
      </c>
      <c r="BM1052" s="3">
        <v>6.91</v>
      </c>
      <c r="BN1052" s="3">
        <v>52.99</v>
      </c>
      <c r="BO1052" s="3">
        <v>52.99</v>
      </c>
      <c r="BQ1052" s="3" t="s">
        <v>83</v>
      </c>
      <c r="BR1052" s="3" t="s">
        <v>84</v>
      </c>
      <c r="BS1052" s="4">
        <v>44579</v>
      </c>
      <c r="BT1052" s="5">
        <v>0.42638888888888887</v>
      </c>
      <c r="BU1052" s="3" t="s">
        <v>1434</v>
      </c>
      <c r="BV1052" s="3" t="s">
        <v>105</v>
      </c>
      <c r="BY1052" s="3">
        <v>1200</v>
      </c>
      <c r="BZ1052" s="3" t="s">
        <v>165</v>
      </c>
      <c r="CA1052" s="3" t="s">
        <v>591</v>
      </c>
      <c r="CC1052" s="3" t="s">
        <v>163</v>
      </c>
      <c r="CD1052" s="3">
        <v>1422</v>
      </c>
      <c r="CE1052" s="3" t="s">
        <v>93</v>
      </c>
      <c r="CF1052" s="4">
        <v>44579</v>
      </c>
      <c r="CI1052" s="3">
        <v>1</v>
      </c>
      <c r="CJ1052" s="3">
        <v>1</v>
      </c>
      <c r="CK1052" s="3">
        <v>22</v>
      </c>
      <c r="CL1052" s="3" t="s">
        <v>87</v>
      </c>
    </row>
    <row r="1053" spans="1:90" x14ac:dyDescent="0.2">
      <c r="A1053" s="3" t="s">
        <v>72</v>
      </c>
      <c r="B1053" s="3" t="s">
        <v>73</v>
      </c>
      <c r="C1053" s="3" t="s">
        <v>74</v>
      </c>
      <c r="E1053" s="3" t="str">
        <f>"FES1162845436"</f>
        <v>FES1162845436</v>
      </c>
      <c r="F1053" s="4">
        <v>44578</v>
      </c>
      <c r="G1053" s="3">
        <v>202207</v>
      </c>
      <c r="H1053" s="3" t="s">
        <v>75</v>
      </c>
      <c r="I1053" s="3" t="s">
        <v>76</v>
      </c>
      <c r="J1053" s="3" t="s">
        <v>77</v>
      </c>
      <c r="K1053" s="3" t="s">
        <v>78</v>
      </c>
      <c r="L1053" s="3" t="s">
        <v>162</v>
      </c>
      <c r="M1053" s="3" t="s">
        <v>163</v>
      </c>
      <c r="N1053" s="3" t="s">
        <v>1185</v>
      </c>
      <c r="O1053" s="3" t="s">
        <v>148</v>
      </c>
      <c r="P1053" s="3" t="str">
        <f>"2170806277                    "</f>
        <v xml:space="preserve">2170806277                    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24.41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v>0</v>
      </c>
      <c r="BA1053" s="3">
        <v>0</v>
      </c>
      <c r="BB1053" s="3">
        <v>0</v>
      </c>
      <c r="BC1053" s="3">
        <v>0</v>
      </c>
      <c r="BD1053" s="3">
        <v>0</v>
      </c>
      <c r="BE1053" s="3">
        <v>0</v>
      </c>
      <c r="BF1053" s="3">
        <v>0</v>
      </c>
      <c r="BG1053" s="3">
        <v>0</v>
      </c>
      <c r="BH1053" s="3">
        <v>1</v>
      </c>
      <c r="BI1053" s="3">
        <v>17</v>
      </c>
      <c r="BJ1053" s="3">
        <v>13.7</v>
      </c>
      <c r="BK1053" s="3">
        <v>17</v>
      </c>
      <c r="BL1053" s="3">
        <v>98.43</v>
      </c>
      <c r="BM1053" s="3">
        <v>14.76</v>
      </c>
      <c r="BN1053" s="3">
        <v>113.19</v>
      </c>
      <c r="BO1053" s="3">
        <v>113.19</v>
      </c>
      <c r="BQ1053" s="3" t="s">
        <v>126</v>
      </c>
      <c r="BR1053" s="3" t="s">
        <v>84</v>
      </c>
      <c r="BS1053" s="4">
        <v>44579</v>
      </c>
      <c r="BT1053" s="5">
        <v>0.54027777777777775</v>
      </c>
      <c r="BU1053" s="3" t="s">
        <v>1435</v>
      </c>
      <c r="BV1053" s="3" t="s">
        <v>105</v>
      </c>
      <c r="BY1053" s="3">
        <v>68400</v>
      </c>
      <c r="BZ1053" s="3" t="s">
        <v>327</v>
      </c>
      <c r="CA1053" s="3" t="s">
        <v>1080</v>
      </c>
      <c r="CC1053" s="3" t="s">
        <v>163</v>
      </c>
      <c r="CD1053" s="3">
        <v>1401</v>
      </c>
      <c r="CE1053" s="3" t="s">
        <v>86</v>
      </c>
      <c r="CF1053" s="4">
        <v>44580</v>
      </c>
      <c r="CI1053" s="3">
        <v>1</v>
      </c>
      <c r="CJ1053" s="3">
        <v>1</v>
      </c>
      <c r="CK1053" s="3">
        <v>42</v>
      </c>
      <c r="CL1053" s="3" t="s">
        <v>87</v>
      </c>
    </row>
    <row r="1054" spans="1:90" x14ac:dyDescent="0.2">
      <c r="A1054" s="3" t="s">
        <v>72</v>
      </c>
      <c r="B1054" s="3" t="s">
        <v>73</v>
      </c>
      <c r="C1054" s="3" t="s">
        <v>74</v>
      </c>
      <c r="E1054" s="3" t="str">
        <f>"FES1162845445"</f>
        <v>FES1162845445</v>
      </c>
      <c r="F1054" s="4">
        <v>44578</v>
      </c>
      <c r="G1054" s="3">
        <v>202207</v>
      </c>
      <c r="H1054" s="3" t="s">
        <v>75</v>
      </c>
      <c r="I1054" s="3" t="s">
        <v>76</v>
      </c>
      <c r="J1054" s="3" t="s">
        <v>77</v>
      </c>
      <c r="K1054" s="3" t="s">
        <v>78</v>
      </c>
      <c r="L1054" s="3" t="s">
        <v>167</v>
      </c>
      <c r="M1054" s="3" t="s">
        <v>168</v>
      </c>
      <c r="N1054" s="3" t="s">
        <v>169</v>
      </c>
      <c r="O1054" s="3" t="s">
        <v>82</v>
      </c>
      <c r="P1054" s="3" t="str">
        <f>"2170816983                    "</f>
        <v xml:space="preserve">2170816983                    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15.46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  <c r="BH1054" s="3">
        <v>1</v>
      </c>
      <c r="BI1054" s="3">
        <v>2</v>
      </c>
      <c r="BJ1054" s="3">
        <v>1.5</v>
      </c>
      <c r="BK1054" s="3">
        <v>2</v>
      </c>
      <c r="BL1054" s="3">
        <v>59</v>
      </c>
      <c r="BM1054" s="3">
        <v>8.85</v>
      </c>
      <c r="BN1054" s="3">
        <v>67.849999999999994</v>
      </c>
      <c r="BO1054" s="3">
        <v>67.849999999999994</v>
      </c>
      <c r="BQ1054" s="3" t="s">
        <v>83</v>
      </c>
      <c r="BR1054" s="3" t="s">
        <v>84</v>
      </c>
      <c r="BS1054" s="4">
        <v>44579</v>
      </c>
      <c r="BT1054" s="5">
        <v>0.49374999999999997</v>
      </c>
      <c r="BU1054" s="3" t="s">
        <v>262</v>
      </c>
      <c r="BV1054" s="3" t="s">
        <v>87</v>
      </c>
      <c r="BW1054" s="3" t="s">
        <v>457</v>
      </c>
      <c r="BX1054" s="3" t="s">
        <v>458</v>
      </c>
      <c r="BY1054" s="3">
        <v>7540</v>
      </c>
      <c r="BZ1054" s="3" t="s">
        <v>165</v>
      </c>
      <c r="CA1054" s="3" t="s">
        <v>263</v>
      </c>
      <c r="CC1054" s="3" t="s">
        <v>168</v>
      </c>
      <c r="CD1054" s="3">
        <v>6220</v>
      </c>
      <c r="CE1054" s="3" t="s">
        <v>86</v>
      </c>
      <c r="CF1054" s="4">
        <v>44579</v>
      </c>
      <c r="CI1054" s="3">
        <v>1</v>
      </c>
      <c r="CJ1054" s="3">
        <v>1</v>
      </c>
      <c r="CK1054" s="3">
        <v>21</v>
      </c>
      <c r="CL1054" s="3" t="s">
        <v>87</v>
      </c>
    </row>
    <row r="1055" spans="1:90" x14ac:dyDescent="0.2">
      <c r="A1055" s="3" t="s">
        <v>72</v>
      </c>
      <c r="B1055" s="3" t="s">
        <v>73</v>
      </c>
      <c r="C1055" s="3" t="s">
        <v>74</v>
      </c>
      <c r="E1055" s="3" t="str">
        <f>"FES1162845437"</f>
        <v>FES1162845437</v>
      </c>
      <c r="F1055" s="4">
        <v>44578</v>
      </c>
      <c r="G1055" s="3">
        <v>202207</v>
      </c>
      <c r="H1055" s="3" t="s">
        <v>75</v>
      </c>
      <c r="I1055" s="3" t="s">
        <v>76</v>
      </c>
      <c r="J1055" s="3" t="s">
        <v>77</v>
      </c>
      <c r="K1055" s="3" t="s">
        <v>78</v>
      </c>
      <c r="L1055" s="3" t="s">
        <v>79</v>
      </c>
      <c r="M1055" s="3" t="s">
        <v>80</v>
      </c>
      <c r="N1055" s="3" t="s">
        <v>390</v>
      </c>
      <c r="O1055" s="3" t="s">
        <v>82</v>
      </c>
      <c r="P1055" s="3" t="str">
        <f>"2170810683                    "</f>
        <v xml:space="preserve">2170810683                    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34.770000000000003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1</v>
      </c>
      <c r="BI1055" s="3">
        <v>1</v>
      </c>
      <c r="BJ1055" s="3">
        <v>4.0999999999999996</v>
      </c>
      <c r="BK1055" s="3">
        <v>4.5</v>
      </c>
      <c r="BL1055" s="3">
        <v>132.71</v>
      </c>
      <c r="BM1055" s="3">
        <v>19.91</v>
      </c>
      <c r="BN1055" s="3">
        <v>152.62</v>
      </c>
      <c r="BO1055" s="3">
        <v>152.62</v>
      </c>
      <c r="BR1055" s="3" t="s">
        <v>84</v>
      </c>
      <c r="BS1055" s="4">
        <v>44579</v>
      </c>
      <c r="BT1055" s="5">
        <v>0.42708333333333331</v>
      </c>
      <c r="BU1055" s="3" t="s">
        <v>1436</v>
      </c>
      <c r="BV1055" s="3" t="s">
        <v>105</v>
      </c>
      <c r="BY1055" s="3">
        <v>20358</v>
      </c>
      <c r="BZ1055" s="3" t="s">
        <v>165</v>
      </c>
      <c r="CA1055" s="3" t="s">
        <v>366</v>
      </c>
      <c r="CC1055" s="3" t="s">
        <v>80</v>
      </c>
      <c r="CD1055" s="3">
        <v>200</v>
      </c>
      <c r="CE1055" s="3" t="s">
        <v>86</v>
      </c>
      <c r="CF1055" s="4">
        <v>44579</v>
      </c>
      <c r="CI1055" s="3">
        <v>1</v>
      </c>
      <c r="CJ1055" s="3">
        <v>1</v>
      </c>
      <c r="CK1055" s="3">
        <v>21</v>
      </c>
      <c r="CL1055" s="3" t="s">
        <v>87</v>
      </c>
    </row>
    <row r="1056" spans="1:90" x14ac:dyDescent="0.2">
      <c r="A1056" s="3" t="s">
        <v>72</v>
      </c>
      <c r="B1056" s="3" t="s">
        <v>73</v>
      </c>
      <c r="C1056" s="3" t="s">
        <v>74</v>
      </c>
      <c r="E1056" s="3" t="str">
        <f>"FES1162845449"</f>
        <v>FES1162845449</v>
      </c>
      <c r="F1056" s="4">
        <v>44578</v>
      </c>
      <c r="G1056" s="3">
        <v>202207</v>
      </c>
      <c r="H1056" s="3" t="s">
        <v>75</v>
      </c>
      <c r="I1056" s="3" t="s">
        <v>76</v>
      </c>
      <c r="J1056" s="3" t="s">
        <v>77</v>
      </c>
      <c r="K1056" s="3" t="s">
        <v>78</v>
      </c>
      <c r="L1056" s="3" t="s">
        <v>90</v>
      </c>
      <c r="M1056" s="3" t="s">
        <v>91</v>
      </c>
      <c r="N1056" s="3" t="s">
        <v>791</v>
      </c>
      <c r="O1056" s="3" t="s">
        <v>82</v>
      </c>
      <c r="P1056" s="3" t="str">
        <f>"2170816994                    "</f>
        <v xml:space="preserve">2170816994                    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15.46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1</v>
      </c>
      <c r="BI1056" s="3">
        <v>1</v>
      </c>
      <c r="BJ1056" s="3">
        <v>0.2</v>
      </c>
      <c r="BK1056" s="3">
        <v>1</v>
      </c>
      <c r="BL1056" s="3">
        <v>59</v>
      </c>
      <c r="BM1056" s="3">
        <v>8.85</v>
      </c>
      <c r="BN1056" s="3">
        <v>67.849999999999994</v>
      </c>
      <c r="BO1056" s="3">
        <v>67.849999999999994</v>
      </c>
      <c r="BQ1056" s="3" t="s">
        <v>145</v>
      </c>
      <c r="BR1056" s="3" t="s">
        <v>84</v>
      </c>
      <c r="BS1056" s="4">
        <v>44579</v>
      </c>
      <c r="BT1056" s="5">
        <v>0.52638888888888891</v>
      </c>
      <c r="BU1056" s="3" t="s">
        <v>792</v>
      </c>
      <c r="BV1056" s="3" t="s">
        <v>87</v>
      </c>
      <c r="BW1056" s="3" t="s">
        <v>376</v>
      </c>
      <c r="BX1056" s="3" t="s">
        <v>602</v>
      </c>
      <c r="BY1056" s="3">
        <v>1200</v>
      </c>
      <c r="BZ1056" s="3" t="s">
        <v>165</v>
      </c>
      <c r="CA1056" s="3" t="s">
        <v>623</v>
      </c>
      <c r="CC1056" s="3" t="s">
        <v>91</v>
      </c>
      <c r="CD1056" s="3">
        <v>7945</v>
      </c>
      <c r="CE1056" s="3" t="s">
        <v>93</v>
      </c>
      <c r="CF1056" s="4">
        <v>44580</v>
      </c>
      <c r="CI1056" s="3">
        <v>1</v>
      </c>
      <c r="CJ1056" s="3">
        <v>1</v>
      </c>
      <c r="CK1056" s="3">
        <v>21</v>
      </c>
      <c r="CL1056" s="3" t="s">
        <v>87</v>
      </c>
    </row>
    <row r="1057" spans="1:90" x14ac:dyDescent="0.2">
      <c r="A1057" s="3" t="s">
        <v>72</v>
      </c>
      <c r="B1057" s="3" t="s">
        <v>73</v>
      </c>
      <c r="C1057" s="3" t="s">
        <v>74</v>
      </c>
      <c r="E1057" s="3" t="str">
        <f>"FES1162845457"</f>
        <v>FES1162845457</v>
      </c>
      <c r="F1057" s="4">
        <v>44578</v>
      </c>
      <c r="G1057" s="3">
        <v>202207</v>
      </c>
      <c r="H1057" s="3" t="s">
        <v>75</v>
      </c>
      <c r="I1057" s="3" t="s">
        <v>76</v>
      </c>
      <c r="J1057" s="3" t="s">
        <v>77</v>
      </c>
      <c r="K1057" s="3" t="s">
        <v>78</v>
      </c>
      <c r="L1057" s="3" t="s">
        <v>158</v>
      </c>
      <c r="M1057" s="3" t="s">
        <v>159</v>
      </c>
      <c r="N1057" s="3" t="s">
        <v>223</v>
      </c>
      <c r="O1057" s="3" t="s">
        <v>82</v>
      </c>
      <c r="P1057" s="3" t="str">
        <f>"2170816987                    "</f>
        <v xml:space="preserve">2170816987                    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12.07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1</v>
      </c>
      <c r="BI1057" s="3">
        <v>1</v>
      </c>
      <c r="BJ1057" s="3">
        <v>0.2</v>
      </c>
      <c r="BK1057" s="3">
        <v>1</v>
      </c>
      <c r="BL1057" s="3">
        <v>46.08</v>
      </c>
      <c r="BM1057" s="3">
        <v>6.91</v>
      </c>
      <c r="BN1057" s="3">
        <v>52.99</v>
      </c>
      <c r="BO1057" s="3">
        <v>52.99</v>
      </c>
      <c r="BQ1057" s="3" t="s">
        <v>89</v>
      </c>
      <c r="BR1057" s="3" t="s">
        <v>84</v>
      </c>
      <c r="BS1057" s="4">
        <v>44579</v>
      </c>
      <c r="BT1057" s="5">
        <v>0.33263888888888887</v>
      </c>
      <c r="BU1057" s="3" t="s">
        <v>1190</v>
      </c>
      <c r="BV1057" s="3" t="s">
        <v>105</v>
      </c>
      <c r="BY1057" s="3">
        <v>1200</v>
      </c>
      <c r="BZ1057" s="3" t="s">
        <v>165</v>
      </c>
      <c r="CC1057" s="3" t="s">
        <v>159</v>
      </c>
      <c r="CD1057" s="3">
        <v>1459</v>
      </c>
      <c r="CE1057" s="3" t="s">
        <v>93</v>
      </c>
      <c r="CF1057" s="4">
        <v>44579</v>
      </c>
      <c r="CI1057" s="3">
        <v>1</v>
      </c>
      <c r="CJ1057" s="3">
        <v>1</v>
      </c>
      <c r="CK1057" s="3">
        <v>22</v>
      </c>
      <c r="CL1057" s="3" t="s">
        <v>87</v>
      </c>
    </row>
    <row r="1058" spans="1:90" x14ac:dyDescent="0.2">
      <c r="A1058" s="3" t="s">
        <v>72</v>
      </c>
      <c r="B1058" s="3" t="s">
        <v>73</v>
      </c>
      <c r="C1058" s="3" t="s">
        <v>74</v>
      </c>
      <c r="E1058" s="3" t="str">
        <f>"FES1162845259"</f>
        <v>FES1162845259</v>
      </c>
      <c r="F1058" s="4">
        <v>44575</v>
      </c>
      <c r="G1058" s="3">
        <v>202207</v>
      </c>
      <c r="H1058" s="3" t="s">
        <v>75</v>
      </c>
      <c r="I1058" s="3" t="s">
        <v>76</v>
      </c>
      <c r="J1058" s="3" t="s">
        <v>77</v>
      </c>
      <c r="K1058" s="3" t="s">
        <v>78</v>
      </c>
      <c r="L1058" s="3" t="s">
        <v>94</v>
      </c>
      <c r="M1058" s="3" t="s">
        <v>95</v>
      </c>
      <c r="N1058" s="3" t="s">
        <v>1437</v>
      </c>
      <c r="O1058" s="3" t="s">
        <v>82</v>
      </c>
      <c r="P1058" s="3" t="str">
        <f>"2170816813                    "</f>
        <v xml:space="preserve">2170816813                    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15.46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1</v>
      </c>
      <c r="BI1058" s="3">
        <v>1</v>
      </c>
      <c r="BJ1058" s="3">
        <v>0.2</v>
      </c>
      <c r="BK1058" s="3">
        <v>1</v>
      </c>
      <c r="BL1058" s="3">
        <v>59</v>
      </c>
      <c r="BM1058" s="3">
        <v>8.85</v>
      </c>
      <c r="BN1058" s="3">
        <v>67.849999999999994</v>
      </c>
      <c r="BO1058" s="3">
        <v>67.849999999999994</v>
      </c>
      <c r="BQ1058" s="3" t="s">
        <v>89</v>
      </c>
      <c r="BR1058" s="3" t="s">
        <v>84</v>
      </c>
      <c r="BS1058" s="4">
        <v>44579</v>
      </c>
      <c r="BT1058" s="5">
        <v>0.52083333333333337</v>
      </c>
      <c r="BU1058" s="3" t="s">
        <v>1438</v>
      </c>
      <c r="BV1058" s="3" t="s">
        <v>87</v>
      </c>
      <c r="BW1058" s="3" t="s">
        <v>453</v>
      </c>
      <c r="BX1058" s="3" t="s">
        <v>279</v>
      </c>
      <c r="BY1058" s="3">
        <v>1200</v>
      </c>
      <c r="BZ1058" s="3" t="s">
        <v>165</v>
      </c>
      <c r="CC1058" s="3" t="s">
        <v>95</v>
      </c>
      <c r="CD1058" s="3">
        <v>3200</v>
      </c>
      <c r="CE1058" s="3" t="s">
        <v>93</v>
      </c>
      <c r="CF1058" s="4">
        <v>44582</v>
      </c>
      <c r="CI1058" s="3">
        <v>1</v>
      </c>
      <c r="CJ1058" s="3">
        <v>2</v>
      </c>
      <c r="CK1058" s="3">
        <v>21</v>
      </c>
      <c r="CL1058" s="3" t="s">
        <v>87</v>
      </c>
    </row>
    <row r="1059" spans="1:90" x14ac:dyDescent="0.2">
      <c r="A1059" s="3" t="s">
        <v>72</v>
      </c>
      <c r="B1059" s="3" t="s">
        <v>73</v>
      </c>
      <c r="C1059" s="3" t="s">
        <v>74</v>
      </c>
      <c r="E1059" s="3" t="str">
        <f>"FES1162845264"</f>
        <v>FES1162845264</v>
      </c>
      <c r="F1059" s="4">
        <v>44575</v>
      </c>
      <c r="G1059" s="3">
        <v>202207</v>
      </c>
      <c r="H1059" s="3" t="s">
        <v>75</v>
      </c>
      <c r="I1059" s="3" t="s">
        <v>76</v>
      </c>
      <c r="J1059" s="3" t="s">
        <v>77</v>
      </c>
      <c r="K1059" s="3" t="s">
        <v>78</v>
      </c>
      <c r="L1059" s="3" t="s">
        <v>94</v>
      </c>
      <c r="M1059" s="3" t="s">
        <v>95</v>
      </c>
      <c r="N1059" s="3" t="s">
        <v>179</v>
      </c>
      <c r="O1059" s="3" t="s">
        <v>82</v>
      </c>
      <c r="P1059" s="3" t="str">
        <f>"2170816818                    "</f>
        <v xml:space="preserve">2170816818                    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15.46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1</v>
      </c>
      <c r="BI1059" s="3">
        <v>1</v>
      </c>
      <c r="BJ1059" s="3">
        <v>0.2</v>
      </c>
      <c r="BK1059" s="3">
        <v>1</v>
      </c>
      <c r="BL1059" s="3">
        <v>59</v>
      </c>
      <c r="BM1059" s="3">
        <v>8.85</v>
      </c>
      <c r="BN1059" s="3">
        <v>67.849999999999994</v>
      </c>
      <c r="BO1059" s="3">
        <v>67.849999999999994</v>
      </c>
      <c r="BQ1059" s="3" t="s">
        <v>83</v>
      </c>
      <c r="BR1059" s="3" t="s">
        <v>84</v>
      </c>
      <c r="BS1059" s="4">
        <v>44578</v>
      </c>
      <c r="BT1059" s="5">
        <v>0.45833333333333331</v>
      </c>
      <c r="BU1059" s="3" t="s">
        <v>1138</v>
      </c>
      <c r="BV1059" s="3" t="s">
        <v>87</v>
      </c>
      <c r="BW1059" s="3" t="s">
        <v>453</v>
      </c>
      <c r="BX1059" s="3" t="s">
        <v>279</v>
      </c>
      <c r="BY1059" s="3">
        <v>1200</v>
      </c>
      <c r="BZ1059" s="3" t="s">
        <v>165</v>
      </c>
      <c r="CC1059" s="3" t="s">
        <v>95</v>
      </c>
      <c r="CD1059" s="3">
        <v>3201</v>
      </c>
      <c r="CE1059" s="3" t="s">
        <v>93</v>
      </c>
      <c r="CF1059" s="4">
        <v>44581</v>
      </c>
      <c r="CI1059" s="3">
        <v>1</v>
      </c>
      <c r="CJ1059" s="3">
        <v>1</v>
      </c>
      <c r="CK1059" s="3">
        <v>21</v>
      </c>
      <c r="CL1059" s="3" t="s">
        <v>87</v>
      </c>
    </row>
    <row r="1060" spans="1:90" x14ac:dyDescent="0.2">
      <c r="A1060" s="3" t="s">
        <v>72</v>
      </c>
      <c r="B1060" s="3" t="s">
        <v>73</v>
      </c>
      <c r="C1060" s="3" t="s">
        <v>74</v>
      </c>
      <c r="E1060" s="3" t="str">
        <f>"FES1162845286"</f>
        <v>FES1162845286</v>
      </c>
      <c r="F1060" s="4">
        <v>44575</v>
      </c>
      <c r="G1060" s="3">
        <v>202207</v>
      </c>
      <c r="H1060" s="3" t="s">
        <v>75</v>
      </c>
      <c r="I1060" s="3" t="s">
        <v>76</v>
      </c>
      <c r="J1060" s="3" t="s">
        <v>77</v>
      </c>
      <c r="K1060" s="3" t="s">
        <v>78</v>
      </c>
      <c r="L1060" s="3" t="s">
        <v>79</v>
      </c>
      <c r="M1060" s="3" t="s">
        <v>80</v>
      </c>
      <c r="N1060" s="3" t="s">
        <v>248</v>
      </c>
      <c r="O1060" s="3" t="s">
        <v>82</v>
      </c>
      <c r="P1060" s="3" t="str">
        <f>"2170816838                    "</f>
        <v xml:space="preserve">2170816838                    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23.18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3">
        <v>1</v>
      </c>
      <c r="BI1060" s="3">
        <v>3</v>
      </c>
      <c r="BJ1060" s="3">
        <v>1.8</v>
      </c>
      <c r="BK1060" s="3">
        <v>3</v>
      </c>
      <c r="BL1060" s="3">
        <v>88.48</v>
      </c>
      <c r="BM1060" s="3">
        <v>13.27</v>
      </c>
      <c r="BN1060" s="3">
        <v>101.75</v>
      </c>
      <c r="BO1060" s="3">
        <v>101.75</v>
      </c>
      <c r="BQ1060" s="3" t="s">
        <v>83</v>
      </c>
      <c r="BR1060" s="3" t="s">
        <v>84</v>
      </c>
      <c r="BS1060" s="4">
        <v>44578</v>
      </c>
      <c r="BT1060" s="5">
        <v>0.38819444444444445</v>
      </c>
      <c r="BU1060" s="3" t="s">
        <v>1008</v>
      </c>
      <c r="BV1060" s="3" t="s">
        <v>105</v>
      </c>
      <c r="BY1060" s="3">
        <v>9000</v>
      </c>
      <c r="BZ1060" s="3" t="s">
        <v>165</v>
      </c>
      <c r="CA1060" s="3" t="s">
        <v>362</v>
      </c>
      <c r="CC1060" s="3" t="s">
        <v>80</v>
      </c>
      <c r="CD1060" s="3">
        <v>1</v>
      </c>
      <c r="CE1060" s="3" t="s">
        <v>86</v>
      </c>
      <c r="CF1060" s="4">
        <v>44578</v>
      </c>
      <c r="CI1060" s="3">
        <v>1</v>
      </c>
      <c r="CJ1060" s="3">
        <v>1</v>
      </c>
      <c r="CK1060" s="3">
        <v>21</v>
      </c>
      <c r="CL1060" s="3" t="s">
        <v>87</v>
      </c>
    </row>
    <row r="1061" spans="1:90" x14ac:dyDescent="0.2">
      <c r="A1061" s="3" t="s">
        <v>72</v>
      </c>
      <c r="B1061" s="3" t="s">
        <v>73</v>
      </c>
      <c r="C1061" s="3" t="s">
        <v>74</v>
      </c>
      <c r="E1061" s="3" t="str">
        <f>"FES1162845235"</f>
        <v>FES1162845235</v>
      </c>
      <c r="F1061" s="4">
        <v>44575</v>
      </c>
      <c r="G1061" s="3">
        <v>202207</v>
      </c>
      <c r="H1061" s="3" t="s">
        <v>75</v>
      </c>
      <c r="I1061" s="3" t="s">
        <v>76</v>
      </c>
      <c r="J1061" s="3" t="s">
        <v>77</v>
      </c>
      <c r="K1061" s="3" t="s">
        <v>78</v>
      </c>
      <c r="L1061" s="3" t="s">
        <v>94</v>
      </c>
      <c r="M1061" s="3" t="s">
        <v>95</v>
      </c>
      <c r="N1061" s="3" t="s">
        <v>179</v>
      </c>
      <c r="O1061" s="3" t="s">
        <v>82</v>
      </c>
      <c r="P1061" s="3" t="str">
        <f>"2170816776                    "</f>
        <v xml:space="preserve">2170816776                    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15.46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0</v>
      </c>
      <c r="AZ1061" s="3">
        <v>0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1</v>
      </c>
      <c r="BI1061" s="3">
        <v>1</v>
      </c>
      <c r="BJ1061" s="3">
        <v>0.2</v>
      </c>
      <c r="BK1061" s="3">
        <v>1</v>
      </c>
      <c r="BL1061" s="3">
        <v>59</v>
      </c>
      <c r="BM1061" s="3">
        <v>8.85</v>
      </c>
      <c r="BN1061" s="3">
        <v>67.849999999999994</v>
      </c>
      <c r="BO1061" s="3">
        <v>67.849999999999994</v>
      </c>
      <c r="BQ1061" s="3" t="s">
        <v>83</v>
      </c>
      <c r="BR1061" s="3" t="s">
        <v>84</v>
      </c>
      <c r="BS1061" s="4">
        <v>44578</v>
      </c>
      <c r="BT1061" s="5">
        <v>0.45833333333333331</v>
      </c>
      <c r="BU1061" s="3" t="s">
        <v>1138</v>
      </c>
      <c r="BV1061" s="3" t="s">
        <v>87</v>
      </c>
      <c r="BW1061" s="3" t="s">
        <v>453</v>
      </c>
      <c r="BX1061" s="3" t="s">
        <v>279</v>
      </c>
      <c r="BY1061" s="3">
        <v>1200</v>
      </c>
      <c r="BZ1061" s="3" t="s">
        <v>165</v>
      </c>
      <c r="CC1061" s="3" t="s">
        <v>95</v>
      </c>
      <c r="CD1061" s="3">
        <v>3201</v>
      </c>
      <c r="CE1061" s="3" t="s">
        <v>93</v>
      </c>
      <c r="CF1061" s="4">
        <v>44581</v>
      </c>
      <c r="CI1061" s="3">
        <v>1</v>
      </c>
      <c r="CJ1061" s="3">
        <v>1</v>
      </c>
      <c r="CK1061" s="3">
        <v>21</v>
      </c>
      <c r="CL1061" s="3" t="s">
        <v>87</v>
      </c>
    </row>
    <row r="1062" spans="1:90" x14ac:dyDescent="0.2">
      <c r="A1062" s="3" t="s">
        <v>72</v>
      </c>
      <c r="B1062" s="3" t="s">
        <v>73</v>
      </c>
      <c r="C1062" s="3" t="s">
        <v>74</v>
      </c>
      <c r="E1062" s="3" t="str">
        <f>"FES1162845248"</f>
        <v>FES1162845248</v>
      </c>
      <c r="F1062" s="4">
        <v>44575</v>
      </c>
      <c r="G1062" s="3">
        <v>202207</v>
      </c>
      <c r="H1062" s="3" t="s">
        <v>75</v>
      </c>
      <c r="I1062" s="3" t="s">
        <v>76</v>
      </c>
      <c r="J1062" s="3" t="s">
        <v>77</v>
      </c>
      <c r="K1062" s="3" t="s">
        <v>78</v>
      </c>
      <c r="L1062" s="3" t="s">
        <v>107</v>
      </c>
      <c r="M1062" s="3" t="s">
        <v>108</v>
      </c>
      <c r="N1062" s="3" t="s">
        <v>392</v>
      </c>
      <c r="O1062" s="3" t="s">
        <v>148</v>
      </c>
      <c r="P1062" s="3" t="str">
        <f>"2170816026                    "</f>
        <v xml:space="preserve">2170816026                    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50.78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1</v>
      </c>
      <c r="BI1062" s="3">
        <v>8</v>
      </c>
      <c r="BJ1062" s="3">
        <v>18.3</v>
      </c>
      <c r="BK1062" s="3">
        <v>19</v>
      </c>
      <c r="BL1062" s="3">
        <v>199.06</v>
      </c>
      <c r="BM1062" s="3">
        <v>29.86</v>
      </c>
      <c r="BN1062" s="3">
        <v>228.92</v>
      </c>
      <c r="BO1062" s="3">
        <v>228.92</v>
      </c>
      <c r="BQ1062" s="3" t="s">
        <v>83</v>
      </c>
      <c r="BR1062" s="3" t="s">
        <v>84</v>
      </c>
      <c r="BS1062" s="4">
        <v>44578</v>
      </c>
      <c r="BT1062" s="5">
        <v>0.49027777777777781</v>
      </c>
      <c r="BU1062" s="3" t="s">
        <v>592</v>
      </c>
      <c r="BV1062" s="3" t="s">
        <v>105</v>
      </c>
      <c r="BY1062" s="3">
        <v>91264</v>
      </c>
      <c r="BZ1062" s="3" t="s">
        <v>327</v>
      </c>
      <c r="CA1062" s="3" t="s">
        <v>394</v>
      </c>
      <c r="CC1062" s="3" t="s">
        <v>108</v>
      </c>
      <c r="CD1062" s="3">
        <v>6849</v>
      </c>
      <c r="CE1062" s="3" t="s">
        <v>86</v>
      </c>
      <c r="CF1062" s="4">
        <v>44579</v>
      </c>
      <c r="CI1062" s="3">
        <v>3</v>
      </c>
      <c r="CJ1062" s="3">
        <v>1</v>
      </c>
      <c r="CK1062" s="3">
        <v>43</v>
      </c>
      <c r="CL1062" s="3" t="s">
        <v>87</v>
      </c>
    </row>
    <row r="1063" spans="1:90" x14ac:dyDescent="0.2">
      <c r="A1063" s="3" t="s">
        <v>72</v>
      </c>
      <c r="B1063" s="3" t="s">
        <v>73</v>
      </c>
      <c r="C1063" s="3" t="s">
        <v>74</v>
      </c>
      <c r="E1063" s="3" t="str">
        <f>"FES1162845260"</f>
        <v>FES1162845260</v>
      </c>
      <c r="F1063" s="4">
        <v>44575</v>
      </c>
      <c r="G1063" s="3">
        <v>202207</v>
      </c>
      <c r="H1063" s="3" t="s">
        <v>75</v>
      </c>
      <c r="I1063" s="3" t="s">
        <v>76</v>
      </c>
      <c r="J1063" s="3" t="s">
        <v>77</v>
      </c>
      <c r="K1063" s="3" t="s">
        <v>78</v>
      </c>
      <c r="L1063" s="3" t="s">
        <v>75</v>
      </c>
      <c r="M1063" s="3" t="s">
        <v>76</v>
      </c>
      <c r="N1063" s="3" t="s">
        <v>147</v>
      </c>
      <c r="O1063" s="3" t="s">
        <v>82</v>
      </c>
      <c r="P1063" s="3" t="str">
        <f>"2170816814                    "</f>
        <v xml:space="preserve">2170816814                    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12.07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0</v>
      </c>
      <c r="BG1063" s="3">
        <v>0</v>
      </c>
      <c r="BH1063" s="3">
        <v>1</v>
      </c>
      <c r="BI1063" s="3">
        <v>1</v>
      </c>
      <c r="BJ1063" s="3">
        <v>1.1000000000000001</v>
      </c>
      <c r="BK1063" s="3">
        <v>1.5</v>
      </c>
      <c r="BL1063" s="3">
        <v>46.08</v>
      </c>
      <c r="BM1063" s="3">
        <v>6.91</v>
      </c>
      <c r="BN1063" s="3">
        <v>52.99</v>
      </c>
      <c r="BO1063" s="3">
        <v>52.99</v>
      </c>
      <c r="BQ1063" s="3" t="s">
        <v>89</v>
      </c>
      <c r="BR1063" s="3" t="s">
        <v>84</v>
      </c>
      <c r="BS1063" s="4">
        <v>44578</v>
      </c>
      <c r="BT1063" s="5">
        <v>0.39652777777777781</v>
      </c>
      <c r="BU1063" s="3" t="s">
        <v>476</v>
      </c>
      <c r="BV1063" s="3" t="s">
        <v>105</v>
      </c>
      <c r="BY1063" s="3">
        <v>5320</v>
      </c>
      <c r="BZ1063" s="3" t="s">
        <v>165</v>
      </c>
      <c r="CA1063" s="3" t="s">
        <v>477</v>
      </c>
      <c r="CC1063" s="3" t="s">
        <v>76</v>
      </c>
      <c r="CD1063" s="3">
        <v>1645</v>
      </c>
      <c r="CE1063" s="3" t="s">
        <v>86</v>
      </c>
      <c r="CF1063" s="4">
        <v>44579</v>
      </c>
      <c r="CI1063" s="3">
        <v>1</v>
      </c>
      <c r="CJ1063" s="3">
        <v>1</v>
      </c>
      <c r="CK1063" s="3">
        <v>22</v>
      </c>
      <c r="CL1063" s="3" t="s">
        <v>87</v>
      </c>
    </row>
    <row r="1064" spans="1:90" x14ac:dyDescent="0.2">
      <c r="A1064" s="3" t="s">
        <v>72</v>
      </c>
      <c r="B1064" s="3" t="s">
        <v>73</v>
      </c>
      <c r="C1064" s="3" t="s">
        <v>74</v>
      </c>
      <c r="E1064" s="3" t="str">
        <f>"FES1162845290"</f>
        <v>FES1162845290</v>
      </c>
      <c r="F1064" s="4">
        <v>44575</v>
      </c>
      <c r="G1064" s="3">
        <v>202207</v>
      </c>
      <c r="H1064" s="3" t="s">
        <v>75</v>
      </c>
      <c r="I1064" s="3" t="s">
        <v>76</v>
      </c>
      <c r="J1064" s="3" t="s">
        <v>77</v>
      </c>
      <c r="K1064" s="3" t="s">
        <v>78</v>
      </c>
      <c r="L1064" s="3" t="s">
        <v>1179</v>
      </c>
      <c r="M1064" s="3" t="s">
        <v>1180</v>
      </c>
      <c r="N1064" s="3" t="s">
        <v>1282</v>
      </c>
      <c r="O1064" s="3" t="s">
        <v>82</v>
      </c>
      <c r="P1064" s="3" t="str">
        <f>"2170816842                    "</f>
        <v xml:space="preserve">2170816842                    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29.95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15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0</v>
      </c>
      <c r="AZ1064" s="3">
        <v>0</v>
      </c>
      <c r="BA1064" s="3">
        <v>0</v>
      </c>
      <c r="BB1064" s="3">
        <v>0</v>
      </c>
      <c r="BC1064" s="3">
        <v>0</v>
      </c>
      <c r="BD1064" s="3">
        <v>0</v>
      </c>
      <c r="BE1064" s="3">
        <v>0</v>
      </c>
      <c r="BF1064" s="3">
        <v>0</v>
      </c>
      <c r="BG1064" s="3">
        <v>0</v>
      </c>
      <c r="BH1064" s="3">
        <v>1</v>
      </c>
      <c r="BI1064" s="3">
        <v>1</v>
      </c>
      <c r="BJ1064" s="3">
        <v>0.2</v>
      </c>
      <c r="BK1064" s="3">
        <v>1</v>
      </c>
      <c r="BL1064" s="3">
        <v>129.31</v>
      </c>
      <c r="BM1064" s="3">
        <v>19.399999999999999</v>
      </c>
      <c r="BN1064" s="3">
        <v>148.71</v>
      </c>
      <c r="BO1064" s="3">
        <v>148.71</v>
      </c>
      <c r="BQ1064" s="3" t="s">
        <v>1283</v>
      </c>
      <c r="BR1064" s="3" t="s">
        <v>84</v>
      </c>
      <c r="BS1064" s="4">
        <v>44578</v>
      </c>
      <c r="BT1064" s="5">
        <v>0.77013888888888893</v>
      </c>
      <c r="BU1064" s="3" t="s">
        <v>1439</v>
      </c>
      <c r="BV1064" s="3" t="s">
        <v>87</v>
      </c>
      <c r="BY1064" s="3">
        <v>1200</v>
      </c>
      <c r="BZ1064" s="3" t="s">
        <v>446</v>
      </c>
      <c r="CA1064" s="3" t="s">
        <v>1183</v>
      </c>
      <c r="CC1064" s="3" t="s">
        <v>1180</v>
      </c>
      <c r="CD1064" s="3">
        <v>208</v>
      </c>
      <c r="CE1064" s="3" t="s">
        <v>93</v>
      </c>
      <c r="CF1064" s="4">
        <v>44578</v>
      </c>
      <c r="CI1064" s="3">
        <v>1</v>
      </c>
      <c r="CJ1064" s="3">
        <v>1</v>
      </c>
      <c r="CK1064" s="3">
        <v>23</v>
      </c>
      <c r="CL1064" s="3" t="s">
        <v>87</v>
      </c>
    </row>
    <row r="1065" spans="1:90" x14ac:dyDescent="0.2">
      <c r="A1065" s="3" t="s">
        <v>72</v>
      </c>
      <c r="B1065" s="3" t="s">
        <v>73</v>
      </c>
      <c r="C1065" s="3" t="s">
        <v>74</v>
      </c>
      <c r="E1065" s="3" t="str">
        <f>"FES1162845263"</f>
        <v>FES1162845263</v>
      </c>
      <c r="F1065" s="4">
        <v>44575</v>
      </c>
      <c r="G1065" s="3">
        <v>202207</v>
      </c>
      <c r="H1065" s="3" t="s">
        <v>75</v>
      </c>
      <c r="I1065" s="3" t="s">
        <v>76</v>
      </c>
      <c r="J1065" s="3" t="s">
        <v>77</v>
      </c>
      <c r="K1065" s="3" t="s">
        <v>78</v>
      </c>
      <c r="L1065" s="3" t="s">
        <v>254</v>
      </c>
      <c r="M1065" s="3" t="s">
        <v>255</v>
      </c>
      <c r="N1065" s="3" t="s">
        <v>256</v>
      </c>
      <c r="O1065" s="3" t="s">
        <v>148</v>
      </c>
      <c r="P1065" s="3" t="str">
        <f>"2170816817                    "</f>
        <v xml:space="preserve">2170816817                    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36.049999999999997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0</v>
      </c>
      <c r="AZ1065" s="3">
        <v>0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3">
        <v>1</v>
      </c>
      <c r="BI1065" s="3">
        <v>20</v>
      </c>
      <c r="BJ1065" s="3">
        <v>9.1</v>
      </c>
      <c r="BK1065" s="3">
        <v>20</v>
      </c>
      <c r="BL1065" s="3">
        <v>142.85</v>
      </c>
      <c r="BM1065" s="3">
        <v>21.43</v>
      </c>
      <c r="BN1065" s="3">
        <v>164.28</v>
      </c>
      <c r="BO1065" s="3">
        <v>164.28</v>
      </c>
      <c r="BQ1065" s="3" t="s">
        <v>89</v>
      </c>
      <c r="BR1065" s="3" t="s">
        <v>84</v>
      </c>
      <c r="BS1065" s="4">
        <v>44578</v>
      </c>
      <c r="BT1065" s="5">
        <v>0.53611111111111109</v>
      </c>
      <c r="BU1065" s="3" t="s">
        <v>1440</v>
      </c>
      <c r="BV1065" s="3" t="s">
        <v>105</v>
      </c>
      <c r="BY1065" s="3">
        <v>45500</v>
      </c>
      <c r="BZ1065" s="3" t="s">
        <v>327</v>
      </c>
      <c r="CA1065" s="3" t="s">
        <v>328</v>
      </c>
      <c r="CC1065" s="3" t="s">
        <v>255</v>
      </c>
      <c r="CD1065" s="3">
        <v>6536</v>
      </c>
      <c r="CE1065" s="3" t="s">
        <v>86</v>
      </c>
      <c r="CF1065" s="4">
        <v>44579</v>
      </c>
      <c r="CI1065" s="3">
        <v>2</v>
      </c>
      <c r="CJ1065" s="3">
        <v>1</v>
      </c>
      <c r="CK1065" s="3">
        <v>41</v>
      </c>
      <c r="CL1065" s="3" t="s">
        <v>87</v>
      </c>
    </row>
    <row r="1066" spans="1:90" x14ac:dyDescent="0.2">
      <c r="A1066" s="3" t="s">
        <v>72</v>
      </c>
      <c r="B1066" s="3" t="s">
        <v>73</v>
      </c>
      <c r="C1066" s="3" t="s">
        <v>74</v>
      </c>
      <c r="E1066" s="3" t="str">
        <f>"FES1162845293"</f>
        <v>FES1162845293</v>
      </c>
      <c r="F1066" s="4">
        <v>44575</v>
      </c>
      <c r="G1066" s="3">
        <v>202207</v>
      </c>
      <c r="H1066" s="3" t="s">
        <v>75</v>
      </c>
      <c r="I1066" s="3" t="s">
        <v>76</v>
      </c>
      <c r="J1066" s="3" t="s">
        <v>77</v>
      </c>
      <c r="K1066" s="3" t="s">
        <v>78</v>
      </c>
      <c r="L1066" s="3" t="s">
        <v>158</v>
      </c>
      <c r="M1066" s="3" t="s">
        <v>159</v>
      </c>
      <c r="N1066" s="3" t="s">
        <v>768</v>
      </c>
      <c r="O1066" s="3" t="s">
        <v>82</v>
      </c>
      <c r="P1066" s="3" t="str">
        <f>"2170816846                    "</f>
        <v xml:space="preserve">2170816846                    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12.07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3">
        <v>1</v>
      </c>
      <c r="BI1066" s="3">
        <v>1</v>
      </c>
      <c r="BJ1066" s="3">
        <v>0.2</v>
      </c>
      <c r="BK1066" s="3">
        <v>1</v>
      </c>
      <c r="BL1066" s="3">
        <v>46.08</v>
      </c>
      <c r="BM1066" s="3">
        <v>6.91</v>
      </c>
      <c r="BN1066" s="3">
        <v>52.99</v>
      </c>
      <c r="BO1066" s="3">
        <v>52.99</v>
      </c>
      <c r="BQ1066" s="3" t="s">
        <v>83</v>
      </c>
      <c r="BR1066" s="3" t="s">
        <v>84</v>
      </c>
      <c r="BS1066" s="4">
        <v>44578</v>
      </c>
      <c r="BT1066" s="5">
        <v>0.34236111111111112</v>
      </c>
      <c r="BU1066" s="3" t="s">
        <v>769</v>
      </c>
      <c r="BV1066" s="3" t="s">
        <v>105</v>
      </c>
      <c r="BY1066" s="3">
        <v>1200</v>
      </c>
      <c r="BZ1066" s="3" t="s">
        <v>165</v>
      </c>
      <c r="CA1066" s="3" t="s">
        <v>653</v>
      </c>
      <c r="CC1066" s="3" t="s">
        <v>159</v>
      </c>
      <c r="CD1066" s="3">
        <v>1459</v>
      </c>
      <c r="CE1066" s="3" t="s">
        <v>93</v>
      </c>
      <c r="CF1066" s="4">
        <v>44579</v>
      </c>
      <c r="CI1066" s="3">
        <v>1</v>
      </c>
      <c r="CJ1066" s="3">
        <v>1</v>
      </c>
      <c r="CK1066" s="3">
        <v>22</v>
      </c>
      <c r="CL1066" s="3" t="s">
        <v>87</v>
      </c>
    </row>
    <row r="1067" spans="1:90" x14ac:dyDescent="0.2">
      <c r="A1067" s="3" t="s">
        <v>72</v>
      </c>
      <c r="B1067" s="3" t="s">
        <v>73</v>
      </c>
      <c r="C1067" s="3" t="s">
        <v>74</v>
      </c>
      <c r="E1067" s="3" t="str">
        <f>"FES1162845269"</f>
        <v>FES1162845269</v>
      </c>
      <c r="F1067" s="4">
        <v>44575</v>
      </c>
      <c r="G1067" s="3">
        <v>202207</v>
      </c>
      <c r="H1067" s="3" t="s">
        <v>75</v>
      </c>
      <c r="I1067" s="3" t="s">
        <v>76</v>
      </c>
      <c r="J1067" s="3" t="s">
        <v>77</v>
      </c>
      <c r="K1067" s="3" t="s">
        <v>78</v>
      </c>
      <c r="L1067" s="3" t="s">
        <v>195</v>
      </c>
      <c r="M1067" s="3" t="s">
        <v>196</v>
      </c>
      <c r="N1067" s="3" t="s">
        <v>197</v>
      </c>
      <c r="O1067" s="3" t="s">
        <v>82</v>
      </c>
      <c r="P1067" s="3" t="str">
        <f>"2170816693                    "</f>
        <v xml:space="preserve">2170816693                    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23.18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0</v>
      </c>
      <c r="AZ1067" s="3">
        <v>0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1</v>
      </c>
      <c r="BI1067" s="3">
        <v>3</v>
      </c>
      <c r="BJ1067" s="3">
        <v>2</v>
      </c>
      <c r="BK1067" s="3">
        <v>3</v>
      </c>
      <c r="BL1067" s="3">
        <v>88.48</v>
      </c>
      <c r="BM1067" s="3">
        <v>13.27</v>
      </c>
      <c r="BN1067" s="3">
        <v>101.75</v>
      </c>
      <c r="BO1067" s="3">
        <v>101.75</v>
      </c>
      <c r="BQ1067" s="3" t="s">
        <v>89</v>
      </c>
      <c r="BR1067" s="3" t="s">
        <v>84</v>
      </c>
      <c r="BS1067" s="4">
        <v>44578</v>
      </c>
      <c r="BT1067" s="5">
        <v>0.40972222222222227</v>
      </c>
      <c r="BU1067" s="3" t="s">
        <v>1441</v>
      </c>
      <c r="BV1067" s="3" t="s">
        <v>105</v>
      </c>
      <c r="BY1067" s="3">
        <v>9918</v>
      </c>
      <c r="BZ1067" s="3" t="s">
        <v>165</v>
      </c>
      <c r="CA1067" s="3" t="s">
        <v>1442</v>
      </c>
      <c r="CC1067" s="3" t="s">
        <v>196</v>
      </c>
      <c r="CD1067" s="3">
        <v>4302</v>
      </c>
      <c r="CE1067" s="3" t="s">
        <v>86</v>
      </c>
      <c r="CF1067" s="4">
        <v>44579</v>
      </c>
      <c r="CI1067" s="3">
        <v>1</v>
      </c>
      <c r="CJ1067" s="3">
        <v>1</v>
      </c>
      <c r="CK1067" s="3">
        <v>21</v>
      </c>
      <c r="CL1067" s="3" t="s">
        <v>87</v>
      </c>
    </row>
    <row r="1068" spans="1:90" x14ac:dyDescent="0.2">
      <c r="A1068" s="3" t="s">
        <v>72</v>
      </c>
      <c r="B1068" s="3" t="s">
        <v>73</v>
      </c>
      <c r="C1068" s="3" t="s">
        <v>74</v>
      </c>
      <c r="E1068" s="3" t="str">
        <f>"FES1162845285"</f>
        <v>FES1162845285</v>
      </c>
      <c r="F1068" s="4">
        <v>44575</v>
      </c>
      <c r="G1068" s="3">
        <v>202207</v>
      </c>
      <c r="H1068" s="3" t="s">
        <v>75</v>
      </c>
      <c r="I1068" s="3" t="s">
        <v>76</v>
      </c>
      <c r="J1068" s="3" t="s">
        <v>77</v>
      </c>
      <c r="K1068" s="3" t="s">
        <v>78</v>
      </c>
      <c r="L1068" s="3" t="s">
        <v>335</v>
      </c>
      <c r="M1068" s="3" t="s">
        <v>336</v>
      </c>
      <c r="N1068" s="3" t="s">
        <v>1113</v>
      </c>
      <c r="O1068" s="3" t="s">
        <v>82</v>
      </c>
      <c r="P1068" s="3" t="str">
        <f>"2170816677                    "</f>
        <v xml:space="preserve">2170816677                    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15.46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15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0</v>
      </c>
      <c r="AZ1068" s="3">
        <v>0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3">
        <v>1</v>
      </c>
      <c r="BI1068" s="3">
        <v>1</v>
      </c>
      <c r="BJ1068" s="3">
        <v>0.2</v>
      </c>
      <c r="BK1068" s="3">
        <v>1</v>
      </c>
      <c r="BL1068" s="3">
        <v>74</v>
      </c>
      <c r="BM1068" s="3">
        <v>11.1</v>
      </c>
      <c r="BN1068" s="3">
        <v>85.1</v>
      </c>
      <c r="BO1068" s="3">
        <v>85.1</v>
      </c>
      <c r="BQ1068" s="3" t="s">
        <v>126</v>
      </c>
      <c r="BR1068" s="3" t="s">
        <v>84</v>
      </c>
      <c r="BS1068" s="4">
        <v>44578</v>
      </c>
      <c r="BT1068" s="5">
        <v>0.37916666666666665</v>
      </c>
      <c r="BU1068" s="3" t="s">
        <v>1114</v>
      </c>
      <c r="BV1068" s="3" t="s">
        <v>105</v>
      </c>
      <c r="BY1068" s="3">
        <v>1200</v>
      </c>
      <c r="BZ1068" s="3" t="s">
        <v>446</v>
      </c>
      <c r="CA1068" s="3" t="s">
        <v>528</v>
      </c>
      <c r="CC1068" s="3" t="s">
        <v>336</v>
      </c>
      <c r="CD1068" s="3">
        <v>4110</v>
      </c>
      <c r="CE1068" s="3" t="s">
        <v>93</v>
      </c>
      <c r="CF1068" s="4">
        <v>44579</v>
      </c>
      <c r="CI1068" s="3">
        <v>1</v>
      </c>
      <c r="CJ1068" s="3">
        <v>1</v>
      </c>
      <c r="CK1068" s="3">
        <v>21</v>
      </c>
      <c r="CL1068" s="3" t="s">
        <v>87</v>
      </c>
    </row>
    <row r="1069" spans="1:90" x14ac:dyDescent="0.2">
      <c r="A1069" s="3" t="s">
        <v>72</v>
      </c>
      <c r="B1069" s="3" t="s">
        <v>73</v>
      </c>
      <c r="C1069" s="3" t="s">
        <v>74</v>
      </c>
      <c r="E1069" s="3" t="str">
        <f>"FES1162845239"</f>
        <v>FES1162845239</v>
      </c>
      <c r="F1069" s="4">
        <v>44575</v>
      </c>
      <c r="G1069" s="3">
        <v>202207</v>
      </c>
      <c r="H1069" s="3" t="s">
        <v>75</v>
      </c>
      <c r="I1069" s="3" t="s">
        <v>76</v>
      </c>
      <c r="J1069" s="3" t="s">
        <v>77</v>
      </c>
      <c r="K1069" s="3" t="s">
        <v>78</v>
      </c>
      <c r="L1069" s="3" t="s">
        <v>94</v>
      </c>
      <c r="M1069" s="3" t="s">
        <v>95</v>
      </c>
      <c r="N1069" s="3" t="s">
        <v>1443</v>
      </c>
      <c r="O1069" s="3" t="s">
        <v>82</v>
      </c>
      <c r="P1069" s="3" t="str">
        <f>"2170816780                    "</f>
        <v xml:space="preserve">2170816780                    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15.46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3">
        <v>1</v>
      </c>
      <c r="BI1069" s="3">
        <v>1</v>
      </c>
      <c r="BJ1069" s="3">
        <v>0.2</v>
      </c>
      <c r="BK1069" s="3">
        <v>1</v>
      </c>
      <c r="BL1069" s="3">
        <v>59</v>
      </c>
      <c r="BM1069" s="3">
        <v>8.85</v>
      </c>
      <c r="BN1069" s="3">
        <v>67.849999999999994</v>
      </c>
      <c r="BO1069" s="3">
        <v>67.849999999999994</v>
      </c>
      <c r="BR1069" s="3" t="s">
        <v>84</v>
      </c>
      <c r="BS1069" s="4">
        <v>44578</v>
      </c>
      <c r="BT1069" s="5">
        <v>0.47916666666666669</v>
      </c>
      <c r="BU1069" s="3" t="s">
        <v>1444</v>
      </c>
      <c r="BV1069" s="3" t="s">
        <v>87</v>
      </c>
      <c r="BW1069" s="3" t="s">
        <v>453</v>
      </c>
      <c r="BX1069" s="3" t="s">
        <v>279</v>
      </c>
      <c r="BY1069" s="3">
        <v>1200</v>
      </c>
      <c r="BZ1069" s="3" t="s">
        <v>165</v>
      </c>
      <c r="CC1069" s="3" t="s">
        <v>95</v>
      </c>
      <c r="CD1069" s="3">
        <v>3200</v>
      </c>
      <c r="CE1069" s="3" t="s">
        <v>93</v>
      </c>
      <c r="CF1069" s="4">
        <v>44581</v>
      </c>
      <c r="CI1069" s="3">
        <v>1</v>
      </c>
      <c r="CJ1069" s="3">
        <v>1</v>
      </c>
      <c r="CK1069" s="3">
        <v>21</v>
      </c>
      <c r="CL1069" s="3" t="s">
        <v>87</v>
      </c>
    </row>
    <row r="1070" spans="1:90" x14ac:dyDescent="0.2">
      <c r="A1070" s="3" t="s">
        <v>72</v>
      </c>
      <c r="B1070" s="3" t="s">
        <v>73</v>
      </c>
      <c r="C1070" s="3" t="s">
        <v>74</v>
      </c>
      <c r="E1070" s="3" t="str">
        <f>"FES1162845241"</f>
        <v>FES1162845241</v>
      </c>
      <c r="F1070" s="4">
        <v>44575</v>
      </c>
      <c r="G1070" s="3">
        <v>202207</v>
      </c>
      <c r="H1070" s="3" t="s">
        <v>75</v>
      </c>
      <c r="I1070" s="3" t="s">
        <v>76</v>
      </c>
      <c r="J1070" s="3" t="s">
        <v>77</v>
      </c>
      <c r="K1070" s="3" t="s">
        <v>78</v>
      </c>
      <c r="L1070" s="3" t="s">
        <v>211</v>
      </c>
      <c r="M1070" s="3" t="s">
        <v>212</v>
      </c>
      <c r="N1070" s="3" t="s">
        <v>642</v>
      </c>
      <c r="O1070" s="3" t="s">
        <v>82</v>
      </c>
      <c r="P1070" s="3" t="str">
        <f>"2170816786                    "</f>
        <v xml:space="preserve">2170816786                    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26.56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0</v>
      </c>
      <c r="AZ1070" s="3">
        <v>0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1</v>
      </c>
      <c r="BI1070" s="3">
        <v>13</v>
      </c>
      <c r="BJ1070" s="3">
        <v>9.1</v>
      </c>
      <c r="BK1070" s="3">
        <v>13</v>
      </c>
      <c r="BL1070" s="3">
        <v>101.37</v>
      </c>
      <c r="BM1070" s="3">
        <v>15.21</v>
      </c>
      <c r="BN1070" s="3">
        <v>116.58</v>
      </c>
      <c r="BO1070" s="3">
        <v>116.58</v>
      </c>
      <c r="BQ1070" s="3" t="s">
        <v>89</v>
      </c>
      <c r="BR1070" s="3" t="s">
        <v>84</v>
      </c>
      <c r="BS1070" s="4">
        <v>44578</v>
      </c>
      <c r="BT1070" s="5">
        <v>0.375</v>
      </c>
      <c r="BU1070" s="3" t="s">
        <v>1200</v>
      </c>
      <c r="BV1070" s="3" t="s">
        <v>105</v>
      </c>
      <c r="BY1070" s="3">
        <v>45632</v>
      </c>
      <c r="BZ1070" s="3" t="s">
        <v>165</v>
      </c>
      <c r="CA1070" s="3" t="s">
        <v>345</v>
      </c>
      <c r="CC1070" s="3" t="s">
        <v>212</v>
      </c>
      <c r="CD1070" s="3">
        <v>2163</v>
      </c>
      <c r="CE1070" s="3" t="s">
        <v>86</v>
      </c>
      <c r="CF1070" s="4">
        <v>44578</v>
      </c>
      <c r="CI1070" s="3">
        <v>1</v>
      </c>
      <c r="CJ1070" s="3">
        <v>1</v>
      </c>
      <c r="CK1070" s="3">
        <v>22</v>
      </c>
      <c r="CL1070" s="3" t="s">
        <v>87</v>
      </c>
    </row>
    <row r="1071" spans="1:90" x14ac:dyDescent="0.2">
      <c r="A1071" s="3" t="s">
        <v>72</v>
      </c>
      <c r="B1071" s="3" t="s">
        <v>73</v>
      </c>
      <c r="C1071" s="3" t="s">
        <v>74</v>
      </c>
      <c r="E1071" s="3" t="str">
        <f>"FES1162845172"</f>
        <v>FES1162845172</v>
      </c>
      <c r="F1071" s="4">
        <v>44575</v>
      </c>
      <c r="G1071" s="3">
        <v>202207</v>
      </c>
      <c r="H1071" s="3" t="s">
        <v>75</v>
      </c>
      <c r="I1071" s="3" t="s">
        <v>76</v>
      </c>
      <c r="J1071" s="3" t="s">
        <v>77</v>
      </c>
      <c r="K1071" s="3" t="s">
        <v>78</v>
      </c>
      <c r="L1071" s="3" t="s">
        <v>75</v>
      </c>
      <c r="M1071" s="3" t="s">
        <v>76</v>
      </c>
      <c r="N1071" s="3" t="s">
        <v>153</v>
      </c>
      <c r="O1071" s="3" t="s">
        <v>82</v>
      </c>
      <c r="P1071" s="3" t="str">
        <f>"2170815796                    "</f>
        <v xml:space="preserve">2170815796                    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12.07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  <c r="BH1071" s="3">
        <v>1</v>
      </c>
      <c r="BI1071" s="3">
        <v>1</v>
      </c>
      <c r="BJ1071" s="3">
        <v>0.2</v>
      </c>
      <c r="BK1071" s="3">
        <v>1</v>
      </c>
      <c r="BL1071" s="3">
        <v>46.08</v>
      </c>
      <c r="BM1071" s="3">
        <v>6.91</v>
      </c>
      <c r="BN1071" s="3">
        <v>52.99</v>
      </c>
      <c r="BO1071" s="3">
        <v>52.99</v>
      </c>
      <c r="BR1071" s="3" t="s">
        <v>84</v>
      </c>
      <c r="BS1071" s="4">
        <v>44578</v>
      </c>
      <c r="BT1071" s="5">
        <v>0.3979166666666667</v>
      </c>
      <c r="BU1071" s="3" t="s">
        <v>1445</v>
      </c>
      <c r="BV1071" s="3" t="s">
        <v>105</v>
      </c>
      <c r="BY1071" s="3">
        <v>1200</v>
      </c>
      <c r="BZ1071" s="3" t="s">
        <v>165</v>
      </c>
      <c r="CA1071" s="3" t="s">
        <v>227</v>
      </c>
      <c r="CC1071" s="3" t="s">
        <v>76</v>
      </c>
      <c r="CD1071" s="3">
        <v>1600</v>
      </c>
      <c r="CE1071" s="3" t="s">
        <v>93</v>
      </c>
      <c r="CF1071" s="4">
        <v>44578</v>
      </c>
      <c r="CI1071" s="3">
        <v>1</v>
      </c>
      <c r="CJ1071" s="3">
        <v>1</v>
      </c>
      <c r="CK1071" s="3">
        <v>22</v>
      </c>
      <c r="CL1071" s="3" t="s">
        <v>87</v>
      </c>
    </row>
    <row r="1072" spans="1:90" x14ac:dyDescent="0.2">
      <c r="A1072" s="3" t="s">
        <v>72</v>
      </c>
      <c r="B1072" s="3" t="s">
        <v>73</v>
      </c>
      <c r="C1072" s="3" t="s">
        <v>74</v>
      </c>
      <c r="E1072" s="3" t="str">
        <f>"FES1162845258"</f>
        <v>FES1162845258</v>
      </c>
      <c r="F1072" s="4">
        <v>44575</v>
      </c>
      <c r="G1072" s="3">
        <v>202207</v>
      </c>
      <c r="H1072" s="3" t="s">
        <v>75</v>
      </c>
      <c r="I1072" s="3" t="s">
        <v>76</v>
      </c>
      <c r="J1072" s="3" t="s">
        <v>77</v>
      </c>
      <c r="K1072" s="3" t="s">
        <v>78</v>
      </c>
      <c r="L1072" s="3" t="s">
        <v>171</v>
      </c>
      <c r="M1072" s="3" t="s">
        <v>172</v>
      </c>
      <c r="N1072" s="3" t="s">
        <v>200</v>
      </c>
      <c r="O1072" s="3" t="s">
        <v>82</v>
      </c>
      <c r="P1072" s="3" t="str">
        <f>"2170816810                    "</f>
        <v xml:space="preserve">2170816810                    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34.770000000000003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0</v>
      </c>
      <c r="AZ1072" s="3">
        <v>0</v>
      </c>
      <c r="BA1072" s="3">
        <v>0</v>
      </c>
      <c r="BB1072" s="3">
        <v>0</v>
      </c>
      <c r="BC1072" s="3">
        <v>0</v>
      </c>
      <c r="BD1072" s="3">
        <v>0</v>
      </c>
      <c r="BE1072" s="3">
        <v>0</v>
      </c>
      <c r="BF1072" s="3">
        <v>0</v>
      </c>
      <c r="BG1072" s="3">
        <v>0</v>
      </c>
      <c r="BH1072" s="3">
        <v>1</v>
      </c>
      <c r="BI1072" s="3">
        <v>3</v>
      </c>
      <c r="BJ1072" s="3">
        <v>4.0999999999999996</v>
      </c>
      <c r="BK1072" s="3">
        <v>4.5</v>
      </c>
      <c r="BL1072" s="3">
        <v>132.71</v>
      </c>
      <c r="BM1072" s="3">
        <v>19.91</v>
      </c>
      <c r="BN1072" s="3">
        <v>152.62</v>
      </c>
      <c r="BO1072" s="3">
        <v>152.62</v>
      </c>
      <c r="BQ1072" s="3" t="s">
        <v>89</v>
      </c>
      <c r="BR1072" s="3" t="s">
        <v>84</v>
      </c>
      <c r="BS1072" s="4">
        <v>44578</v>
      </c>
      <c r="BT1072" s="5">
        <v>0.38125000000000003</v>
      </c>
      <c r="BU1072" s="3" t="s">
        <v>908</v>
      </c>
      <c r="BV1072" s="3" t="s">
        <v>105</v>
      </c>
      <c r="BY1072" s="3">
        <v>20358</v>
      </c>
      <c r="BZ1072" s="3" t="s">
        <v>165</v>
      </c>
      <c r="CA1072" s="3" t="s">
        <v>814</v>
      </c>
      <c r="CC1072" s="3" t="s">
        <v>172</v>
      </c>
      <c r="CD1072" s="3">
        <v>6001</v>
      </c>
      <c r="CE1072" s="3" t="s">
        <v>86</v>
      </c>
      <c r="CF1072" s="4">
        <v>44579</v>
      </c>
      <c r="CI1072" s="3">
        <v>1</v>
      </c>
      <c r="CJ1072" s="3">
        <v>1</v>
      </c>
      <c r="CK1072" s="3">
        <v>21</v>
      </c>
      <c r="CL1072" s="3" t="s">
        <v>87</v>
      </c>
    </row>
    <row r="1073" spans="1:90" x14ac:dyDescent="0.2">
      <c r="A1073" s="3" t="s">
        <v>72</v>
      </c>
      <c r="B1073" s="3" t="s">
        <v>73</v>
      </c>
      <c r="C1073" s="3" t="s">
        <v>74</v>
      </c>
      <c r="E1073" s="3" t="str">
        <f>"FES1162845102"</f>
        <v>FES1162845102</v>
      </c>
      <c r="F1073" s="4">
        <v>44575</v>
      </c>
      <c r="G1073" s="3">
        <v>202207</v>
      </c>
      <c r="H1073" s="3" t="s">
        <v>75</v>
      </c>
      <c r="I1073" s="3" t="s">
        <v>76</v>
      </c>
      <c r="J1073" s="3" t="s">
        <v>77</v>
      </c>
      <c r="K1073" s="3" t="s">
        <v>78</v>
      </c>
      <c r="L1073" s="3" t="s">
        <v>90</v>
      </c>
      <c r="M1073" s="3" t="s">
        <v>91</v>
      </c>
      <c r="N1073" s="3" t="s">
        <v>584</v>
      </c>
      <c r="O1073" s="3" t="s">
        <v>82</v>
      </c>
      <c r="P1073" s="3" t="str">
        <f>"1162845102                    "</f>
        <v xml:space="preserve">1162845102                    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15.46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0</v>
      </c>
      <c r="AZ1073" s="3">
        <v>0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1</v>
      </c>
      <c r="BI1073" s="3">
        <v>1</v>
      </c>
      <c r="BJ1073" s="3">
        <v>0.2</v>
      </c>
      <c r="BK1073" s="3">
        <v>1</v>
      </c>
      <c r="BL1073" s="3">
        <v>59</v>
      </c>
      <c r="BM1073" s="3">
        <v>8.85</v>
      </c>
      <c r="BN1073" s="3">
        <v>67.849999999999994</v>
      </c>
      <c r="BO1073" s="3">
        <v>67.849999999999994</v>
      </c>
      <c r="BQ1073" s="3" t="s">
        <v>83</v>
      </c>
      <c r="BR1073" s="3" t="s">
        <v>84</v>
      </c>
      <c r="BS1073" s="4">
        <v>44578</v>
      </c>
      <c r="BT1073" s="5">
        <v>0.31805555555555554</v>
      </c>
      <c r="BU1073" s="3" t="s">
        <v>1060</v>
      </c>
      <c r="BV1073" s="3" t="s">
        <v>105</v>
      </c>
      <c r="BY1073" s="3">
        <v>1200</v>
      </c>
      <c r="BZ1073" s="3" t="s">
        <v>165</v>
      </c>
      <c r="CA1073" s="3" t="s">
        <v>1061</v>
      </c>
      <c r="CC1073" s="3" t="s">
        <v>91</v>
      </c>
      <c r="CD1073" s="3">
        <v>7530</v>
      </c>
      <c r="CE1073" s="3" t="s">
        <v>93</v>
      </c>
      <c r="CF1073" s="4">
        <v>44579</v>
      </c>
      <c r="CI1073" s="3">
        <v>1</v>
      </c>
      <c r="CJ1073" s="3">
        <v>1</v>
      </c>
      <c r="CK1073" s="3">
        <v>21</v>
      </c>
      <c r="CL1073" s="3" t="s">
        <v>87</v>
      </c>
    </row>
    <row r="1074" spans="1:90" x14ac:dyDescent="0.2">
      <c r="A1074" s="3" t="s">
        <v>72</v>
      </c>
      <c r="B1074" s="3" t="s">
        <v>73</v>
      </c>
      <c r="C1074" s="3" t="s">
        <v>74</v>
      </c>
      <c r="E1074" s="3" t="str">
        <f>"FES1162845252"</f>
        <v>FES1162845252</v>
      </c>
      <c r="F1074" s="4">
        <v>44575</v>
      </c>
      <c r="G1074" s="3">
        <v>202207</v>
      </c>
      <c r="H1074" s="3" t="s">
        <v>75</v>
      </c>
      <c r="I1074" s="3" t="s">
        <v>76</v>
      </c>
      <c r="J1074" s="3" t="s">
        <v>77</v>
      </c>
      <c r="K1074" s="3" t="s">
        <v>78</v>
      </c>
      <c r="L1074" s="3" t="s">
        <v>94</v>
      </c>
      <c r="M1074" s="3" t="s">
        <v>95</v>
      </c>
      <c r="N1074" s="3" t="s">
        <v>443</v>
      </c>
      <c r="O1074" s="3" t="s">
        <v>82</v>
      </c>
      <c r="P1074" s="3" t="str">
        <f>"2170816803                    "</f>
        <v xml:space="preserve">2170816803                    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15.46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1</v>
      </c>
      <c r="BI1074" s="3">
        <v>1</v>
      </c>
      <c r="BJ1074" s="3">
        <v>0.2</v>
      </c>
      <c r="BK1074" s="3">
        <v>1</v>
      </c>
      <c r="BL1074" s="3">
        <v>59</v>
      </c>
      <c r="BM1074" s="3">
        <v>8.85</v>
      </c>
      <c r="BN1074" s="3">
        <v>67.849999999999994</v>
      </c>
      <c r="BO1074" s="3">
        <v>67.849999999999994</v>
      </c>
      <c r="BQ1074" s="3" t="s">
        <v>83</v>
      </c>
      <c r="BR1074" s="3" t="s">
        <v>84</v>
      </c>
      <c r="BS1074" s="4">
        <v>44579</v>
      </c>
      <c r="BT1074" s="5">
        <v>0.3888888888888889</v>
      </c>
      <c r="BU1074" s="3" t="s">
        <v>1446</v>
      </c>
      <c r="BV1074" s="3" t="s">
        <v>87</v>
      </c>
      <c r="BW1074" s="3" t="s">
        <v>453</v>
      </c>
      <c r="BX1074" s="3" t="s">
        <v>279</v>
      </c>
      <c r="BY1074" s="3">
        <v>1200</v>
      </c>
      <c r="BZ1074" s="3" t="s">
        <v>165</v>
      </c>
      <c r="CC1074" s="3" t="s">
        <v>95</v>
      </c>
      <c r="CD1074" s="3">
        <v>3212</v>
      </c>
      <c r="CE1074" s="3" t="s">
        <v>93</v>
      </c>
      <c r="CF1074" s="4">
        <v>44582</v>
      </c>
      <c r="CI1074" s="3">
        <v>1</v>
      </c>
      <c r="CJ1074" s="3">
        <v>2</v>
      </c>
      <c r="CK1074" s="3">
        <v>21</v>
      </c>
      <c r="CL1074" s="3" t="s">
        <v>87</v>
      </c>
    </row>
    <row r="1075" spans="1:90" x14ac:dyDescent="0.2">
      <c r="A1075" s="3" t="s">
        <v>72</v>
      </c>
      <c r="B1075" s="3" t="s">
        <v>73</v>
      </c>
      <c r="C1075" s="3" t="s">
        <v>74</v>
      </c>
      <c r="E1075" s="3" t="str">
        <f>"FES1162845113"</f>
        <v>FES1162845113</v>
      </c>
      <c r="F1075" s="4">
        <v>44575</v>
      </c>
      <c r="G1075" s="3">
        <v>202207</v>
      </c>
      <c r="H1075" s="3" t="s">
        <v>75</v>
      </c>
      <c r="I1075" s="3" t="s">
        <v>76</v>
      </c>
      <c r="J1075" s="3" t="s">
        <v>77</v>
      </c>
      <c r="K1075" s="3" t="s">
        <v>78</v>
      </c>
      <c r="L1075" s="3" t="s">
        <v>171</v>
      </c>
      <c r="M1075" s="3" t="s">
        <v>172</v>
      </c>
      <c r="N1075" s="3" t="s">
        <v>174</v>
      </c>
      <c r="O1075" s="3" t="s">
        <v>82</v>
      </c>
      <c r="P1075" s="3" t="str">
        <f>"2170816703                    "</f>
        <v xml:space="preserve">2170816703                    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15.46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0</v>
      </c>
      <c r="AZ1075" s="3">
        <v>0</v>
      </c>
      <c r="BA1075" s="3">
        <v>0</v>
      </c>
      <c r="BB1075" s="3">
        <v>0</v>
      </c>
      <c r="BC1075" s="3">
        <v>0</v>
      </c>
      <c r="BD1075" s="3">
        <v>0</v>
      </c>
      <c r="BE1075" s="3">
        <v>0</v>
      </c>
      <c r="BF1075" s="3">
        <v>0</v>
      </c>
      <c r="BG1075" s="3">
        <v>0</v>
      </c>
      <c r="BH1075" s="3">
        <v>1</v>
      </c>
      <c r="BI1075" s="3">
        <v>1</v>
      </c>
      <c r="BJ1075" s="3">
        <v>0.2</v>
      </c>
      <c r="BK1075" s="3">
        <v>1</v>
      </c>
      <c r="BL1075" s="3">
        <v>59</v>
      </c>
      <c r="BM1075" s="3">
        <v>8.85</v>
      </c>
      <c r="BN1075" s="3">
        <v>67.849999999999994</v>
      </c>
      <c r="BO1075" s="3">
        <v>67.849999999999994</v>
      </c>
      <c r="BQ1075" s="3" t="s">
        <v>83</v>
      </c>
      <c r="BR1075" s="3" t="s">
        <v>84</v>
      </c>
      <c r="BS1075" s="4">
        <v>44578</v>
      </c>
      <c r="BT1075" s="5">
        <v>0.40833333333333338</v>
      </c>
      <c r="BU1075" s="3" t="s">
        <v>1447</v>
      </c>
      <c r="BV1075" s="3" t="s">
        <v>105</v>
      </c>
      <c r="BY1075" s="3">
        <v>1200</v>
      </c>
      <c r="BZ1075" s="3" t="s">
        <v>165</v>
      </c>
      <c r="CA1075" s="3" t="s">
        <v>263</v>
      </c>
      <c r="CC1075" s="3" t="s">
        <v>172</v>
      </c>
      <c r="CD1075" s="3">
        <v>6001</v>
      </c>
      <c r="CE1075" s="3" t="s">
        <v>93</v>
      </c>
      <c r="CF1075" s="4">
        <v>44579</v>
      </c>
      <c r="CI1075" s="3">
        <v>1</v>
      </c>
      <c r="CJ1075" s="3">
        <v>1</v>
      </c>
      <c r="CK1075" s="3">
        <v>21</v>
      </c>
      <c r="CL1075" s="3" t="s">
        <v>87</v>
      </c>
    </row>
    <row r="1076" spans="1:90" x14ac:dyDescent="0.2">
      <c r="A1076" s="3" t="s">
        <v>72</v>
      </c>
      <c r="B1076" s="3" t="s">
        <v>73</v>
      </c>
      <c r="C1076" s="3" t="s">
        <v>74</v>
      </c>
      <c r="E1076" s="3" t="str">
        <f>"FES1162845184"</f>
        <v>FES1162845184</v>
      </c>
      <c r="F1076" s="4">
        <v>44575</v>
      </c>
      <c r="G1076" s="3">
        <v>202207</v>
      </c>
      <c r="H1076" s="3" t="s">
        <v>75</v>
      </c>
      <c r="I1076" s="3" t="s">
        <v>76</v>
      </c>
      <c r="J1076" s="3" t="s">
        <v>77</v>
      </c>
      <c r="K1076" s="3" t="s">
        <v>78</v>
      </c>
      <c r="L1076" s="3" t="s">
        <v>427</v>
      </c>
      <c r="M1076" s="3" t="s">
        <v>428</v>
      </c>
      <c r="N1076" s="3" t="s">
        <v>447</v>
      </c>
      <c r="O1076" s="3" t="s">
        <v>148</v>
      </c>
      <c r="P1076" s="3" t="str">
        <f>"2170816434                    "</f>
        <v xml:space="preserve">2170816434                    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0</v>
      </c>
      <c r="AJ1076" s="3">
        <v>0</v>
      </c>
      <c r="AK1076" s="3">
        <v>42.16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1</v>
      </c>
      <c r="BI1076" s="3">
        <v>12</v>
      </c>
      <c r="BJ1076" s="3">
        <v>3</v>
      </c>
      <c r="BK1076" s="3">
        <v>12</v>
      </c>
      <c r="BL1076" s="3">
        <v>166.16</v>
      </c>
      <c r="BM1076" s="3">
        <v>24.92</v>
      </c>
      <c r="BN1076" s="3">
        <v>191.08</v>
      </c>
      <c r="BO1076" s="3">
        <v>191.08</v>
      </c>
      <c r="BQ1076" s="3" t="s">
        <v>89</v>
      </c>
      <c r="BR1076" s="3" t="s">
        <v>84</v>
      </c>
      <c r="BS1076" s="4">
        <v>44578</v>
      </c>
      <c r="BT1076" s="5">
        <v>0.52083333333333337</v>
      </c>
      <c r="BU1076" s="3" t="s">
        <v>1448</v>
      </c>
      <c r="BV1076" s="3" t="s">
        <v>105</v>
      </c>
      <c r="BY1076" s="3">
        <v>14940</v>
      </c>
      <c r="BZ1076" s="3" t="s">
        <v>327</v>
      </c>
      <c r="CA1076" s="3" t="s">
        <v>488</v>
      </c>
      <c r="CC1076" s="3" t="s">
        <v>428</v>
      </c>
      <c r="CD1076" s="3">
        <v>7130</v>
      </c>
      <c r="CE1076" s="3" t="s">
        <v>86</v>
      </c>
      <c r="CF1076" s="4">
        <v>44579</v>
      </c>
      <c r="CI1076" s="3">
        <v>2</v>
      </c>
      <c r="CJ1076" s="3">
        <v>1</v>
      </c>
      <c r="CK1076" s="3">
        <v>43</v>
      </c>
      <c r="CL1076" s="3" t="s">
        <v>87</v>
      </c>
    </row>
    <row r="1077" spans="1:90" x14ac:dyDescent="0.2">
      <c r="A1077" s="3" t="s">
        <v>72</v>
      </c>
      <c r="B1077" s="3" t="s">
        <v>73</v>
      </c>
      <c r="C1077" s="3" t="s">
        <v>74</v>
      </c>
      <c r="E1077" s="3" t="str">
        <f>"FES1162845185"</f>
        <v>FES1162845185</v>
      </c>
      <c r="F1077" s="4">
        <v>44575</v>
      </c>
      <c r="G1077" s="3">
        <v>202207</v>
      </c>
      <c r="H1077" s="3" t="s">
        <v>75</v>
      </c>
      <c r="I1077" s="3" t="s">
        <v>76</v>
      </c>
      <c r="J1077" s="3" t="s">
        <v>77</v>
      </c>
      <c r="K1077" s="3" t="s">
        <v>78</v>
      </c>
      <c r="L1077" s="3" t="s">
        <v>162</v>
      </c>
      <c r="M1077" s="3" t="s">
        <v>163</v>
      </c>
      <c r="N1077" s="3" t="s">
        <v>1393</v>
      </c>
      <c r="O1077" s="3" t="s">
        <v>148</v>
      </c>
      <c r="P1077" s="3" t="str">
        <f>"2170816183                    "</f>
        <v xml:space="preserve">2170816183                    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23.06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0</v>
      </c>
      <c r="BF1077" s="3">
        <v>0</v>
      </c>
      <c r="BG1077" s="3">
        <v>0</v>
      </c>
      <c r="BH1077" s="3">
        <v>2</v>
      </c>
      <c r="BI1077" s="3">
        <v>9</v>
      </c>
      <c r="BJ1077" s="3">
        <v>4</v>
      </c>
      <c r="BK1077" s="3">
        <v>9</v>
      </c>
      <c r="BL1077" s="3">
        <v>93.28</v>
      </c>
      <c r="BM1077" s="3">
        <v>13.99</v>
      </c>
      <c r="BN1077" s="3">
        <v>107.27</v>
      </c>
      <c r="BO1077" s="3">
        <v>107.27</v>
      </c>
      <c r="BQ1077" s="3" t="s">
        <v>1449</v>
      </c>
      <c r="BR1077" s="3" t="s">
        <v>84</v>
      </c>
      <c r="BS1077" s="4">
        <v>44578</v>
      </c>
      <c r="BT1077" s="5">
        <v>0.40486111111111112</v>
      </c>
      <c r="BU1077" s="3" t="s">
        <v>1450</v>
      </c>
      <c r="BV1077" s="3" t="s">
        <v>105</v>
      </c>
      <c r="BY1077" s="3">
        <v>19900</v>
      </c>
      <c r="BZ1077" s="3" t="s">
        <v>327</v>
      </c>
      <c r="CA1077" s="3" t="s">
        <v>591</v>
      </c>
      <c r="CC1077" s="3" t="s">
        <v>163</v>
      </c>
      <c r="CD1077" s="3">
        <v>1422</v>
      </c>
      <c r="CE1077" s="3" t="s">
        <v>221</v>
      </c>
      <c r="CF1077" s="4">
        <v>44578</v>
      </c>
      <c r="CI1077" s="3">
        <v>1</v>
      </c>
      <c r="CJ1077" s="3">
        <v>1</v>
      </c>
      <c r="CK1077" s="3">
        <v>42</v>
      </c>
      <c r="CL1077" s="3" t="s">
        <v>87</v>
      </c>
    </row>
    <row r="1078" spans="1:90" x14ac:dyDescent="0.2">
      <c r="A1078" s="3" t="s">
        <v>72</v>
      </c>
      <c r="B1078" s="3" t="s">
        <v>73</v>
      </c>
      <c r="C1078" s="3" t="s">
        <v>74</v>
      </c>
      <c r="E1078" s="3" t="str">
        <f>"FES1162845247"</f>
        <v>FES1162845247</v>
      </c>
      <c r="F1078" s="4">
        <v>44575</v>
      </c>
      <c r="G1078" s="3">
        <v>202207</v>
      </c>
      <c r="H1078" s="3" t="s">
        <v>75</v>
      </c>
      <c r="I1078" s="3" t="s">
        <v>76</v>
      </c>
      <c r="J1078" s="3" t="s">
        <v>77</v>
      </c>
      <c r="K1078" s="3" t="s">
        <v>78</v>
      </c>
      <c r="L1078" s="3" t="s">
        <v>75</v>
      </c>
      <c r="M1078" s="3" t="s">
        <v>76</v>
      </c>
      <c r="N1078" s="3" t="s">
        <v>1451</v>
      </c>
      <c r="O1078" s="3" t="s">
        <v>148</v>
      </c>
      <c r="P1078" s="3" t="str">
        <f>"2170815401                    "</f>
        <v xml:space="preserve">2170815401                    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23.74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1</v>
      </c>
      <c r="BI1078" s="3">
        <v>16</v>
      </c>
      <c r="BJ1078" s="3">
        <v>9.1</v>
      </c>
      <c r="BK1078" s="3">
        <v>16</v>
      </c>
      <c r="BL1078" s="3">
        <v>95.86</v>
      </c>
      <c r="BM1078" s="3">
        <v>14.38</v>
      </c>
      <c r="BN1078" s="3">
        <v>110.24</v>
      </c>
      <c r="BO1078" s="3">
        <v>110.24</v>
      </c>
      <c r="BR1078" s="3" t="s">
        <v>84</v>
      </c>
      <c r="BS1078" s="4">
        <v>44578</v>
      </c>
      <c r="BT1078" s="5">
        <v>0.66666666666666663</v>
      </c>
      <c r="BU1078" s="3" t="s">
        <v>1452</v>
      </c>
      <c r="BV1078" s="3" t="s">
        <v>105</v>
      </c>
      <c r="BY1078" s="3">
        <v>45632</v>
      </c>
      <c r="BZ1078" s="3" t="s">
        <v>327</v>
      </c>
      <c r="CC1078" s="3" t="s">
        <v>76</v>
      </c>
      <c r="CD1078" s="3">
        <v>1600</v>
      </c>
      <c r="CE1078" s="3" t="s">
        <v>86</v>
      </c>
      <c r="CF1078" s="4">
        <v>44578</v>
      </c>
      <c r="CI1078" s="3">
        <v>1</v>
      </c>
      <c r="CJ1078" s="3">
        <v>1</v>
      </c>
      <c r="CK1078" s="3">
        <v>42</v>
      </c>
      <c r="CL1078" s="3" t="s">
        <v>87</v>
      </c>
    </row>
    <row r="1079" spans="1:90" x14ac:dyDescent="0.2">
      <c r="A1079" s="3" t="s">
        <v>72</v>
      </c>
      <c r="B1079" s="3" t="s">
        <v>73</v>
      </c>
      <c r="C1079" s="3" t="s">
        <v>74</v>
      </c>
      <c r="E1079" s="3" t="str">
        <f>"FES1162845174"</f>
        <v>FES1162845174</v>
      </c>
      <c r="F1079" s="4">
        <v>44575</v>
      </c>
      <c r="G1079" s="3">
        <v>202207</v>
      </c>
      <c r="H1079" s="3" t="s">
        <v>75</v>
      </c>
      <c r="I1079" s="3" t="s">
        <v>76</v>
      </c>
      <c r="J1079" s="3" t="s">
        <v>77</v>
      </c>
      <c r="K1079" s="3" t="s">
        <v>78</v>
      </c>
      <c r="L1079" s="3" t="s">
        <v>75</v>
      </c>
      <c r="M1079" s="3" t="s">
        <v>76</v>
      </c>
      <c r="N1079" s="3" t="s">
        <v>153</v>
      </c>
      <c r="O1079" s="3" t="s">
        <v>82</v>
      </c>
      <c r="P1079" s="3" t="str">
        <f>"2170815896                    "</f>
        <v xml:space="preserve">2170815896                    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12.07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1</v>
      </c>
      <c r="BI1079" s="3">
        <v>1</v>
      </c>
      <c r="BJ1079" s="3">
        <v>0.2</v>
      </c>
      <c r="BK1079" s="3">
        <v>1</v>
      </c>
      <c r="BL1079" s="3">
        <v>46.08</v>
      </c>
      <c r="BM1079" s="3">
        <v>6.91</v>
      </c>
      <c r="BN1079" s="3">
        <v>52.99</v>
      </c>
      <c r="BO1079" s="3">
        <v>52.99</v>
      </c>
      <c r="BR1079" s="3" t="s">
        <v>84</v>
      </c>
      <c r="BS1079" s="4">
        <v>44578</v>
      </c>
      <c r="BT1079" s="5">
        <v>0.3979166666666667</v>
      </c>
      <c r="BU1079" s="3" t="s">
        <v>1445</v>
      </c>
      <c r="BV1079" s="3" t="s">
        <v>105</v>
      </c>
      <c r="BY1079" s="3">
        <v>1200</v>
      </c>
      <c r="BZ1079" s="3" t="s">
        <v>165</v>
      </c>
      <c r="CA1079" s="3" t="s">
        <v>227</v>
      </c>
      <c r="CC1079" s="3" t="s">
        <v>76</v>
      </c>
      <c r="CD1079" s="3">
        <v>1600</v>
      </c>
      <c r="CE1079" s="3" t="s">
        <v>93</v>
      </c>
      <c r="CF1079" s="4">
        <v>44578</v>
      </c>
      <c r="CI1079" s="3">
        <v>1</v>
      </c>
      <c r="CJ1079" s="3">
        <v>1</v>
      </c>
      <c r="CK1079" s="3">
        <v>22</v>
      </c>
      <c r="CL1079" s="3" t="s">
        <v>87</v>
      </c>
    </row>
    <row r="1080" spans="1:90" x14ac:dyDescent="0.2">
      <c r="A1080" s="3" t="s">
        <v>72</v>
      </c>
      <c r="B1080" s="3" t="s">
        <v>73</v>
      </c>
      <c r="C1080" s="3" t="s">
        <v>74</v>
      </c>
      <c r="E1080" s="3" t="str">
        <f>"FES1162845199"</f>
        <v>FES1162845199</v>
      </c>
      <c r="F1080" s="4">
        <v>44575</v>
      </c>
      <c r="G1080" s="3">
        <v>202207</v>
      </c>
      <c r="H1080" s="3" t="s">
        <v>75</v>
      </c>
      <c r="I1080" s="3" t="s">
        <v>76</v>
      </c>
      <c r="J1080" s="3" t="s">
        <v>77</v>
      </c>
      <c r="K1080" s="3" t="s">
        <v>78</v>
      </c>
      <c r="L1080" s="3" t="s">
        <v>218</v>
      </c>
      <c r="M1080" s="3" t="s">
        <v>219</v>
      </c>
      <c r="N1080" s="3" t="s">
        <v>1453</v>
      </c>
      <c r="O1080" s="3" t="s">
        <v>82</v>
      </c>
      <c r="P1080" s="3" t="str">
        <f>"2170816736                    "</f>
        <v xml:space="preserve">2170816736                    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15.46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0</v>
      </c>
      <c r="AZ1080" s="3">
        <v>0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3">
        <v>1</v>
      </c>
      <c r="BI1080" s="3">
        <v>1</v>
      </c>
      <c r="BJ1080" s="3">
        <v>0.2</v>
      </c>
      <c r="BK1080" s="3">
        <v>1</v>
      </c>
      <c r="BL1080" s="3">
        <v>59</v>
      </c>
      <c r="BM1080" s="3">
        <v>8.85</v>
      </c>
      <c r="BN1080" s="3">
        <v>67.849999999999994</v>
      </c>
      <c r="BO1080" s="3">
        <v>67.849999999999994</v>
      </c>
      <c r="BQ1080" s="3" t="s">
        <v>1454</v>
      </c>
      <c r="BR1080" s="3" t="s">
        <v>84</v>
      </c>
      <c r="BS1080" s="4">
        <v>44578</v>
      </c>
      <c r="BT1080" s="5">
        <v>0.41666666666666669</v>
      </c>
      <c r="BU1080" s="3" t="s">
        <v>1455</v>
      </c>
      <c r="BV1080" s="3" t="s">
        <v>105</v>
      </c>
      <c r="BY1080" s="3">
        <v>1200</v>
      </c>
      <c r="BZ1080" s="3" t="s">
        <v>165</v>
      </c>
      <c r="CA1080" s="3" t="s">
        <v>1346</v>
      </c>
      <c r="CC1080" s="3" t="s">
        <v>219</v>
      </c>
      <c r="CD1080" s="3">
        <v>157</v>
      </c>
      <c r="CE1080" s="3" t="s">
        <v>93</v>
      </c>
      <c r="CF1080" s="4">
        <v>44578</v>
      </c>
      <c r="CI1080" s="3">
        <v>1</v>
      </c>
      <c r="CJ1080" s="3">
        <v>1</v>
      </c>
      <c r="CK1080" s="3">
        <v>21</v>
      </c>
      <c r="CL1080" s="3" t="s">
        <v>87</v>
      </c>
    </row>
    <row r="1081" spans="1:90" x14ac:dyDescent="0.2">
      <c r="A1081" s="3" t="s">
        <v>72</v>
      </c>
      <c r="B1081" s="3" t="s">
        <v>73</v>
      </c>
      <c r="C1081" s="3" t="s">
        <v>74</v>
      </c>
      <c r="E1081" s="3" t="str">
        <f>"FES1162845217"</f>
        <v>FES1162845217</v>
      </c>
      <c r="F1081" s="4">
        <v>44575</v>
      </c>
      <c r="G1081" s="3">
        <v>202207</v>
      </c>
      <c r="H1081" s="3" t="s">
        <v>75</v>
      </c>
      <c r="I1081" s="3" t="s">
        <v>76</v>
      </c>
      <c r="J1081" s="3" t="s">
        <v>77</v>
      </c>
      <c r="K1081" s="3" t="s">
        <v>78</v>
      </c>
      <c r="L1081" s="3" t="s">
        <v>75</v>
      </c>
      <c r="M1081" s="3" t="s">
        <v>76</v>
      </c>
      <c r="N1081" s="3" t="s">
        <v>166</v>
      </c>
      <c r="O1081" s="3" t="s">
        <v>82</v>
      </c>
      <c r="P1081" s="3" t="str">
        <f>"2170816754                    "</f>
        <v xml:space="preserve">2170816754                    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12.07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0</v>
      </c>
      <c r="BF1081" s="3">
        <v>0</v>
      </c>
      <c r="BG1081" s="3">
        <v>0</v>
      </c>
      <c r="BH1081" s="3">
        <v>1</v>
      </c>
      <c r="BI1081" s="3">
        <v>1</v>
      </c>
      <c r="BJ1081" s="3">
        <v>0.2</v>
      </c>
      <c r="BK1081" s="3">
        <v>1</v>
      </c>
      <c r="BL1081" s="3">
        <v>46.08</v>
      </c>
      <c r="BM1081" s="3">
        <v>6.91</v>
      </c>
      <c r="BN1081" s="3">
        <v>52.99</v>
      </c>
      <c r="BO1081" s="3">
        <v>52.99</v>
      </c>
      <c r="BQ1081" s="3" t="s">
        <v>89</v>
      </c>
      <c r="BR1081" s="3" t="s">
        <v>84</v>
      </c>
      <c r="BS1081" s="4">
        <v>44578</v>
      </c>
      <c r="BT1081" s="5">
        <v>0.35902777777777778</v>
      </c>
      <c r="BU1081" s="3" t="s">
        <v>780</v>
      </c>
      <c r="BV1081" s="3" t="s">
        <v>105</v>
      </c>
      <c r="BY1081" s="3">
        <v>1200</v>
      </c>
      <c r="BZ1081" s="3" t="s">
        <v>165</v>
      </c>
      <c r="CA1081" s="3" t="s">
        <v>607</v>
      </c>
      <c r="CC1081" s="3" t="s">
        <v>76</v>
      </c>
      <c r="CD1081" s="3">
        <v>1665</v>
      </c>
      <c r="CE1081" s="3" t="s">
        <v>93</v>
      </c>
      <c r="CF1081" s="4">
        <v>44579</v>
      </c>
      <c r="CI1081" s="3">
        <v>1</v>
      </c>
      <c r="CJ1081" s="3">
        <v>1</v>
      </c>
      <c r="CK1081" s="3">
        <v>22</v>
      </c>
      <c r="CL1081" s="3" t="s">
        <v>87</v>
      </c>
    </row>
    <row r="1082" spans="1:90" x14ac:dyDescent="0.2">
      <c r="A1082" s="3" t="s">
        <v>72</v>
      </c>
      <c r="B1082" s="3" t="s">
        <v>73</v>
      </c>
      <c r="C1082" s="3" t="s">
        <v>74</v>
      </c>
      <c r="E1082" s="3" t="str">
        <f>"FES1162845219"</f>
        <v>FES1162845219</v>
      </c>
      <c r="F1082" s="4">
        <v>44575</v>
      </c>
      <c r="G1082" s="3">
        <v>202207</v>
      </c>
      <c r="H1082" s="3" t="s">
        <v>75</v>
      </c>
      <c r="I1082" s="3" t="s">
        <v>76</v>
      </c>
      <c r="J1082" s="3" t="s">
        <v>77</v>
      </c>
      <c r="K1082" s="3" t="s">
        <v>78</v>
      </c>
      <c r="L1082" s="3" t="s">
        <v>101</v>
      </c>
      <c r="M1082" s="3" t="s">
        <v>102</v>
      </c>
      <c r="N1082" s="3" t="s">
        <v>935</v>
      </c>
      <c r="O1082" s="3" t="s">
        <v>82</v>
      </c>
      <c r="P1082" s="3" t="str">
        <f>"2170816758                    "</f>
        <v xml:space="preserve">2170816758                    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15.46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1</v>
      </c>
      <c r="BI1082" s="3">
        <v>1</v>
      </c>
      <c r="BJ1082" s="3">
        <v>0.2</v>
      </c>
      <c r="BK1082" s="3">
        <v>1</v>
      </c>
      <c r="BL1082" s="3">
        <v>59</v>
      </c>
      <c r="BM1082" s="3">
        <v>8.85</v>
      </c>
      <c r="BN1082" s="3">
        <v>67.849999999999994</v>
      </c>
      <c r="BO1082" s="3">
        <v>67.849999999999994</v>
      </c>
      <c r="BQ1082" s="3" t="s">
        <v>89</v>
      </c>
      <c r="BR1082" s="3" t="s">
        <v>84</v>
      </c>
      <c r="BS1082" s="4">
        <v>44578</v>
      </c>
      <c r="BT1082" s="5">
        <v>0.35486111111111113</v>
      </c>
      <c r="BU1082" s="3" t="s">
        <v>1456</v>
      </c>
      <c r="BV1082" s="3" t="s">
        <v>105</v>
      </c>
      <c r="BY1082" s="3">
        <v>1200</v>
      </c>
      <c r="BZ1082" s="3" t="s">
        <v>165</v>
      </c>
      <c r="CA1082" s="3" t="s">
        <v>1040</v>
      </c>
      <c r="CC1082" s="3" t="s">
        <v>102</v>
      </c>
      <c r="CD1082" s="3">
        <v>4001</v>
      </c>
      <c r="CE1082" s="3" t="s">
        <v>93</v>
      </c>
      <c r="CF1082" s="4">
        <v>44579</v>
      </c>
      <c r="CI1082" s="3">
        <v>1</v>
      </c>
      <c r="CJ1082" s="3">
        <v>1</v>
      </c>
      <c r="CK1082" s="3">
        <v>21</v>
      </c>
      <c r="CL1082" s="3" t="s">
        <v>87</v>
      </c>
    </row>
    <row r="1083" spans="1:90" x14ac:dyDescent="0.2">
      <c r="A1083" s="3" t="s">
        <v>72</v>
      </c>
      <c r="B1083" s="3" t="s">
        <v>73</v>
      </c>
      <c r="C1083" s="3" t="s">
        <v>74</v>
      </c>
      <c r="E1083" s="3" t="str">
        <f>"FES1162845209"</f>
        <v>FES1162845209</v>
      </c>
      <c r="F1083" s="4">
        <v>44575</v>
      </c>
      <c r="G1083" s="3">
        <v>202207</v>
      </c>
      <c r="H1083" s="3" t="s">
        <v>75</v>
      </c>
      <c r="I1083" s="3" t="s">
        <v>76</v>
      </c>
      <c r="J1083" s="3" t="s">
        <v>77</v>
      </c>
      <c r="K1083" s="3" t="s">
        <v>78</v>
      </c>
      <c r="L1083" s="3" t="s">
        <v>158</v>
      </c>
      <c r="M1083" s="3" t="s">
        <v>159</v>
      </c>
      <c r="N1083" s="3" t="s">
        <v>1457</v>
      </c>
      <c r="O1083" s="3" t="s">
        <v>82</v>
      </c>
      <c r="P1083" s="3" t="str">
        <f>"2170816747                    "</f>
        <v xml:space="preserve">2170816747                    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12.07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0</v>
      </c>
      <c r="AZ1083" s="3">
        <v>0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1</v>
      </c>
      <c r="BI1083" s="3">
        <v>3</v>
      </c>
      <c r="BJ1083" s="3">
        <v>4.0999999999999996</v>
      </c>
      <c r="BK1083" s="3">
        <v>4.5</v>
      </c>
      <c r="BL1083" s="3">
        <v>46.08</v>
      </c>
      <c r="BM1083" s="3">
        <v>6.91</v>
      </c>
      <c r="BN1083" s="3">
        <v>52.99</v>
      </c>
      <c r="BO1083" s="3">
        <v>52.99</v>
      </c>
      <c r="BQ1083" s="3" t="s">
        <v>89</v>
      </c>
      <c r="BR1083" s="3" t="s">
        <v>84</v>
      </c>
      <c r="BS1083" s="4">
        <v>44578</v>
      </c>
      <c r="BT1083" s="5">
        <v>0.29444444444444445</v>
      </c>
      <c r="BU1083" s="3" t="s">
        <v>1458</v>
      </c>
      <c r="BV1083" s="3" t="s">
        <v>105</v>
      </c>
      <c r="BY1083" s="3">
        <v>20358</v>
      </c>
      <c r="BZ1083" s="3" t="s">
        <v>165</v>
      </c>
      <c r="CA1083" s="3" t="s">
        <v>763</v>
      </c>
      <c r="CC1083" s="3" t="s">
        <v>159</v>
      </c>
      <c r="CD1083" s="3">
        <v>1459</v>
      </c>
      <c r="CE1083" s="3" t="s">
        <v>86</v>
      </c>
      <c r="CF1083" s="4">
        <v>44578</v>
      </c>
      <c r="CI1083" s="3">
        <v>1</v>
      </c>
      <c r="CJ1083" s="3">
        <v>1</v>
      </c>
      <c r="CK1083" s="3">
        <v>22</v>
      </c>
      <c r="CL1083" s="3" t="s">
        <v>87</v>
      </c>
    </row>
    <row r="1084" spans="1:90" x14ac:dyDescent="0.2">
      <c r="A1084" s="3" t="s">
        <v>72</v>
      </c>
      <c r="B1084" s="3" t="s">
        <v>73</v>
      </c>
      <c r="C1084" s="3" t="s">
        <v>74</v>
      </c>
      <c r="E1084" s="3" t="str">
        <f>"FES1162845559"</f>
        <v>FES1162845559</v>
      </c>
      <c r="F1084" s="4">
        <v>44579</v>
      </c>
      <c r="G1084" s="3">
        <v>202207</v>
      </c>
      <c r="H1084" s="3" t="s">
        <v>75</v>
      </c>
      <c r="I1084" s="3" t="s">
        <v>76</v>
      </c>
      <c r="J1084" s="3" t="s">
        <v>77</v>
      </c>
      <c r="K1084" s="3" t="s">
        <v>78</v>
      </c>
      <c r="L1084" s="3" t="s">
        <v>162</v>
      </c>
      <c r="M1084" s="3" t="s">
        <v>163</v>
      </c>
      <c r="N1084" s="3" t="s">
        <v>983</v>
      </c>
      <c r="O1084" s="3" t="s">
        <v>82</v>
      </c>
      <c r="P1084" s="3" t="str">
        <f>"2170817081                    "</f>
        <v xml:space="preserve">2170817081                    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12.07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0</v>
      </c>
      <c r="AZ1084" s="3">
        <v>0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3">
        <v>1</v>
      </c>
      <c r="BI1084" s="3">
        <v>1</v>
      </c>
      <c r="BJ1084" s="3">
        <v>0.2</v>
      </c>
      <c r="BK1084" s="3">
        <v>1</v>
      </c>
      <c r="BL1084" s="3">
        <v>46.08</v>
      </c>
      <c r="BM1084" s="3">
        <v>6.91</v>
      </c>
      <c r="BN1084" s="3">
        <v>52.99</v>
      </c>
      <c r="BO1084" s="3">
        <v>52.99</v>
      </c>
      <c r="BQ1084" s="3" t="s">
        <v>126</v>
      </c>
      <c r="BR1084" s="3" t="s">
        <v>84</v>
      </c>
      <c r="BS1084" s="4">
        <v>44580</v>
      </c>
      <c r="BT1084" s="5">
        <v>0.41180555555555554</v>
      </c>
      <c r="BU1084" s="3" t="s">
        <v>984</v>
      </c>
      <c r="BV1084" s="3" t="s">
        <v>105</v>
      </c>
      <c r="BY1084" s="3">
        <v>1200</v>
      </c>
      <c r="BZ1084" s="3" t="s">
        <v>165</v>
      </c>
      <c r="CA1084" s="3" t="s">
        <v>588</v>
      </c>
      <c r="CC1084" s="3" t="s">
        <v>163</v>
      </c>
      <c r="CD1084" s="3">
        <v>1401</v>
      </c>
      <c r="CE1084" s="3" t="s">
        <v>93</v>
      </c>
      <c r="CF1084" s="4">
        <v>44580</v>
      </c>
      <c r="CI1084" s="3">
        <v>1</v>
      </c>
      <c r="CJ1084" s="3">
        <v>1</v>
      </c>
      <c r="CK1084" s="3">
        <v>22</v>
      </c>
      <c r="CL1084" s="3" t="s">
        <v>87</v>
      </c>
    </row>
    <row r="1085" spans="1:90" x14ac:dyDescent="0.2">
      <c r="A1085" s="3" t="s">
        <v>72</v>
      </c>
      <c r="B1085" s="3" t="s">
        <v>73</v>
      </c>
      <c r="C1085" s="3" t="s">
        <v>74</v>
      </c>
      <c r="E1085" s="3" t="str">
        <f>"FES1162845658"</f>
        <v>FES1162845658</v>
      </c>
      <c r="F1085" s="4">
        <v>44579</v>
      </c>
      <c r="G1085" s="3">
        <v>202207</v>
      </c>
      <c r="H1085" s="3" t="s">
        <v>75</v>
      </c>
      <c r="I1085" s="3" t="s">
        <v>76</v>
      </c>
      <c r="J1085" s="3" t="s">
        <v>77</v>
      </c>
      <c r="K1085" s="3" t="s">
        <v>78</v>
      </c>
      <c r="L1085" s="3" t="s">
        <v>244</v>
      </c>
      <c r="M1085" s="3" t="s">
        <v>245</v>
      </c>
      <c r="N1085" s="3" t="s">
        <v>400</v>
      </c>
      <c r="O1085" s="3" t="s">
        <v>82</v>
      </c>
      <c r="P1085" s="3" t="str">
        <f>"2170817164                    "</f>
        <v xml:space="preserve">2170817164                    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29.95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1</v>
      </c>
      <c r="BI1085" s="3">
        <v>1</v>
      </c>
      <c r="BJ1085" s="3">
        <v>0.2</v>
      </c>
      <c r="BK1085" s="3">
        <v>1</v>
      </c>
      <c r="BL1085" s="3">
        <v>114.31</v>
      </c>
      <c r="BM1085" s="3">
        <v>17.149999999999999</v>
      </c>
      <c r="BN1085" s="3">
        <v>131.46</v>
      </c>
      <c r="BO1085" s="3">
        <v>131.46</v>
      </c>
      <c r="BQ1085" s="3" t="s">
        <v>83</v>
      </c>
      <c r="BR1085" s="3" t="s">
        <v>84</v>
      </c>
      <c r="BS1085" s="4">
        <v>44580</v>
      </c>
      <c r="BT1085" s="5">
        <v>0.50208333333333333</v>
      </c>
      <c r="BU1085" s="3" t="s">
        <v>401</v>
      </c>
      <c r="BV1085" s="3" t="s">
        <v>87</v>
      </c>
      <c r="BW1085" s="3" t="s">
        <v>353</v>
      </c>
      <c r="BX1085" s="3" t="s">
        <v>723</v>
      </c>
      <c r="BY1085" s="3">
        <v>1200</v>
      </c>
      <c r="CA1085" s="3" t="s">
        <v>402</v>
      </c>
      <c r="CC1085" s="3" t="s">
        <v>245</v>
      </c>
      <c r="CD1085" s="3">
        <v>1947</v>
      </c>
      <c r="CE1085" s="3" t="s">
        <v>93</v>
      </c>
      <c r="CF1085" s="4">
        <v>44581</v>
      </c>
      <c r="CI1085" s="3">
        <v>1</v>
      </c>
      <c r="CJ1085" s="3">
        <v>1</v>
      </c>
      <c r="CK1085" s="3">
        <v>23</v>
      </c>
      <c r="CL1085" s="3" t="s">
        <v>87</v>
      </c>
    </row>
    <row r="1086" spans="1:90" x14ac:dyDescent="0.2">
      <c r="A1086" s="3" t="s">
        <v>72</v>
      </c>
      <c r="B1086" s="3" t="s">
        <v>73</v>
      </c>
      <c r="C1086" s="3" t="s">
        <v>74</v>
      </c>
      <c r="E1086" s="3" t="str">
        <f>"FES1162845610"</f>
        <v>FES1162845610</v>
      </c>
      <c r="F1086" s="4">
        <v>44579</v>
      </c>
      <c r="G1086" s="3">
        <v>202207</v>
      </c>
      <c r="H1086" s="3" t="s">
        <v>75</v>
      </c>
      <c r="I1086" s="3" t="s">
        <v>76</v>
      </c>
      <c r="J1086" s="3" t="s">
        <v>77</v>
      </c>
      <c r="K1086" s="3" t="s">
        <v>78</v>
      </c>
      <c r="L1086" s="3" t="s">
        <v>123</v>
      </c>
      <c r="M1086" s="3" t="s">
        <v>124</v>
      </c>
      <c r="N1086" s="3" t="s">
        <v>261</v>
      </c>
      <c r="O1086" s="3" t="s">
        <v>82</v>
      </c>
      <c r="P1086" s="3" t="str">
        <f>"2170815203                    "</f>
        <v xml:space="preserve">2170815203                    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12.07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0</v>
      </c>
      <c r="AZ1086" s="3">
        <v>0</v>
      </c>
      <c r="BA1086" s="3">
        <v>0</v>
      </c>
      <c r="BB1086" s="3">
        <v>0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3">
        <v>1</v>
      </c>
      <c r="BI1086" s="3">
        <v>1</v>
      </c>
      <c r="BJ1086" s="3">
        <v>0.2</v>
      </c>
      <c r="BK1086" s="3">
        <v>1</v>
      </c>
      <c r="BL1086" s="3">
        <v>46.08</v>
      </c>
      <c r="BM1086" s="3">
        <v>6.91</v>
      </c>
      <c r="BN1086" s="3">
        <v>52.99</v>
      </c>
      <c r="BO1086" s="3">
        <v>52.99</v>
      </c>
      <c r="BQ1086" s="3" t="s">
        <v>83</v>
      </c>
      <c r="BR1086" s="3" t="s">
        <v>84</v>
      </c>
      <c r="BS1086" s="4">
        <v>44586</v>
      </c>
      <c r="BT1086" s="5">
        <v>0.81874999999999998</v>
      </c>
      <c r="BU1086" s="3" t="s">
        <v>634</v>
      </c>
      <c r="BV1086" s="3" t="s">
        <v>87</v>
      </c>
      <c r="BY1086" s="3">
        <v>1200</v>
      </c>
      <c r="BZ1086" s="3" t="s">
        <v>165</v>
      </c>
      <c r="CA1086" s="3" t="s">
        <v>635</v>
      </c>
      <c r="CC1086" s="3" t="s">
        <v>124</v>
      </c>
      <c r="CD1086" s="3">
        <v>1709</v>
      </c>
      <c r="CE1086" s="3" t="s">
        <v>93</v>
      </c>
      <c r="CF1086" s="4">
        <v>44588</v>
      </c>
      <c r="CI1086" s="3">
        <v>1</v>
      </c>
      <c r="CJ1086" s="3">
        <v>5</v>
      </c>
      <c r="CK1086" s="3">
        <v>22</v>
      </c>
      <c r="CL1086" s="3" t="s">
        <v>87</v>
      </c>
    </row>
    <row r="1087" spans="1:90" x14ac:dyDescent="0.2">
      <c r="A1087" s="3" t="s">
        <v>72</v>
      </c>
      <c r="B1087" s="3" t="s">
        <v>73</v>
      </c>
      <c r="C1087" s="3" t="s">
        <v>74</v>
      </c>
      <c r="E1087" s="3" t="str">
        <f>"FES1162844082"</f>
        <v>FES1162844082</v>
      </c>
      <c r="F1087" s="4">
        <v>44579</v>
      </c>
      <c r="G1087" s="3">
        <v>202207</v>
      </c>
      <c r="H1087" s="3" t="s">
        <v>75</v>
      </c>
      <c r="I1087" s="3" t="s">
        <v>76</v>
      </c>
      <c r="J1087" s="3" t="s">
        <v>77</v>
      </c>
      <c r="K1087" s="3" t="s">
        <v>78</v>
      </c>
      <c r="L1087" s="3" t="s">
        <v>90</v>
      </c>
      <c r="M1087" s="3" t="s">
        <v>91</v>
      </c>
      <c r="N1087" s="3" t="s">
        <v>1159</v>
      </c>
      <c r="O1087" s="3" t="s">
        <v>148</v>
      </c>
      <c r="P1087" s="3" t="str">
        <f>"2170813666                    "</f>
        <v xml:space="preserve">2170813666                    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34.82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  <c r="BH1087" s="3">
        <v>1</v>
      </c>
      <c r="BI1087" s="3">
        <v>13</v>
      </c>
      <c r="BJ1087" s="3">
        <v>18.3</v>
      </c>
      <c r="BK1087" s="3">
        <v>19</v>
      </c>
      <c r="BL1087" s="3">
        <v>138.15</v>
      </c>
      <c r="BM1087" s="3">
        <v>20.72</v>
      </c>
      <c r="BN1087" s="3">
        <v>158.87</v>
      </c>
      <c r="BO1087" s="3">
        <v>158.87</v>
      </c>
      <c r="BQ1087" s="3" t="s">
        <v>89</v>
      </c>
      <c r="BR1087" s="3" t="s">
        <v>84</v>
      </c>
      <c r="BS1087" s="4">
        <v>44582</v>
      </c>
      <c r="BT1087" s="5">
        <v>0.52152777777777781</v>
      </c>
      <c r="BU1087" s="3" t="s">
        <v>1459</v>
      </c>
      <c r="BV1087" s="3" t="s">
        <v>87</v>
      </c>
      <c r="BW1087" s="3" t="s">
        <v>353</v>
      </c>
      <c r="BX1087" s="3" t="s">
        <v>602</v>
      </c>
      <c r="BY1087" s="3">
        <v>91264</v>
      </c>
      <c r="CA1087" s="3" t="s">
        <v>1046</v>
      </c>
      <c r="CC1087" s="3" t="s">
        <v>91</v>
      </c>
      <c r="CD1087" s="3">
        <v>7441</v>
      </c>
      <c r="CE1087" s="3" t="s">
        <v>86</v>
      </c>
      <c r="CF1087" s="4">
        <v>44585</v>
      </c>
      <c r="CI1087" s="3">
        <v>2</v>
      </c>
      <c r="CJ1087" s="3">
        <v>3</v>
      </c>
      <c r="CK1087" s="3">
        <v>41</v>
      </c>
      <c r="CL1087" s="3" t="s">
        <v>87</v>
      </c>
    </row>
    <row r="1088" spans="1:90" x14ac:dyDescent="0.2">
      <c r="A1088" s="3" t="s">
        <v>72</v>
      </c>
      <c r="B1088" s="3" t="s">
        <v>73</v>
      </c>
      <c r="C1088" s="3" t="s">
        <v>74</v>
      </c>
      <c r="E1088" s="3" t="str">
        <f>"FES1162845625"</f>
        <v>FES1162845625</v>
      </c>
      <c r="F1088" s="4">
        <v>44579</v>
      </c>
      <c r="G1088" s="3">
        <v>202207</v>
      </c>
      <c r="H1088" s="3" t="s">
        <v>75</v>
      </c>
      <c r="I1088" s="3" t="s">
        <v>76</v>
      </c>
      <c r="J1088" s="3" t="s">
        <v>77</v>
      </c>
      <c r="K1088" s="3" t="s">
        <v>78</v>
      </c>
      <c r="L1088" s="3" t="s">
        <v>138</v>
      </c>
      <c r="M1088" s="3" t="s">
        <v>139</v>
      </c>
      <c r="N1088" s="3" t="s">
        <v>140</v>
      </c>
      <c r="O1088" s="3" t="s">
        <v>82</v>
      </c>
      <c r="P1088" s="3" t="str">
        <f>"2170815640                    "</f>
        <v xml:space="preserve">2170815640                    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23.18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3">
        <v>1</v>
      </c>
      <c r="BI1088" s="3">
        <v>3</v>
      </c>
      <c r="BJ1088" s="3">
        <v>0.8</v>
      </c>
      <c r="BK1088" s="3">
        <v>3</v>
      </c>
      <c r="BL1088" s="3">
        <v>88.48</v>
      </c>
      <c r="BM1088" s="3">
        <v>13.27</v>
      </c>
      <c r="BN1088" s="3">
        <v>101.75</v>
      </c>
      <c r="BO1088" s="3">
        <v>101.75</v>
      </c>
      <c r="BQ1088" s="3" t="s">
        <v>126</v>
      </c>
      <c r="BR1088" s="3" t="s">
        <v>84</v>
      </c>
      <c r="BS1088" s="4">
        <v>44580</v>
      </c>
      <c r="BT1088" s="5">
        <v>0.36249999999999999</v>
      </c>
      <c r="BU1088" s="3" t="s">
        <v>819</v>
      </c>
      <c r="BV1088" s="3" t="s">
        <v>105</v>
      </c>
      <c r="BY1088" s="3">
        <v>4000</v>
      </c>
      <c r="CA1088" s="3" t="s">
        <v>334</v>
      </c>
      <c r="CC1088" s="3" t="s">
        <v>139</v>
      </c>
      <c r="CD1088" s="3">
        <v>3610</v>
      </c>
      <c r="CE1088" s="3" t="s">
        <v>86</v>
      </c>
      <c r="CF1088" s="4">
        <v>44581</v>
      </c>
      <c r="CI1088" s="3">
        <v>1</v>
      </c>
      <c r="CJ1088" s="3">
        <v>1</v>
      </c>
      <c r="CK1088" s="3">
        <v>21</v>
      </c>
      <c r="CL1088" s="3" t="s">
        <v>87</v>
      </c>
    </row>
    <row r="1089" spans="1:90" x14ac:dyDescent="0.2">
      <c r="A1089" s="3" t="s">
        <v>72</v>
      </c>
      <c r="B1089" s="3" t="s">
        <v>73</v>
      </c>
      <c r="C1089" s="3" t="s">
        <v>74</v>
      </c>
      <c r="E1089" s="3" t="str">
        <f>"FES1162845676"</f>
        <v>FES1162845676</v>
      </c>
      <c r="F1089" s="4">
        <v>44579</v>
      </c>
      <c r="G1089" s="3">
        <v>202207</v>
      </c>
      <c r="H1089" s="3" t="s">
        <v>75</v>
      </c>
      <c r="I1089" s="3" t="s">
        <v>76</v>
      </c>
      <c r="J1089" s="3" t="s">
        <v>77</v>
      </c>
      <c r="K1089" s="3" t="s">
        <v>78</v>
      </c>
      <c r="L1089" s="3" t="s">
        <v>489</v>
      </c>
      <c r="M1089" s="3" t="s">
        <v>490</v>
      </c>
      <c r="N1089" s="3" t="s">
        <v>1460</v>
      </c>
      <c r="O1089" s="3" t="s">
        <v>148</v>
      </c>
      <c r="P1089" s="3" t="str">
        <f>"2170817183                    "</f>
        <v xml:space="preserve">2170817183                    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42.16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15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0</v>
      </c>
      <c r="AZ1089" s="3">
        <v>0</v>
      </c>
      <c r="BA1089" s="3">
        <v>0</v>
      </c>
      <c r="BB1089" s="3">
        <v>0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1</v>
      </c>
      <c r="BI1089" s="3">
        <v>12</v>
      </c>
      <c r="BJ1089" s="3">
        <v>5.4</v>
      </c>
      <c r="BK1089" s="3">
        <v>12</v>
      </c>
      <c r="BL1089" s="3">
        <v>181.16</v>
      </c>
      <c r="BM1089" s="3">
        <v>27.17</v>
      </c>
      <c r="BN1089" s="3">
        <v>208.33</v>
      </c>
      <c r="BO1089" s="3">
        <v>208.33</v>
      </c>
      <c r="BQ1089" s="3" t="s">
        <v>89</v>
      </c>
      <c r="BR1089" s="3" t="s">
        <v>84</v>
      </c>
      <c r="BS1089" s="4">
        <v>44580</v>
      </c>
      <c r="BT1089" s="5">
        <v>0.62708333333333333</v>
      </c>
      <c r="BU1089" s="3" t="s">
        <v>1461</v>
      </c>
      <c r="BV1089" s="3" t="s">
        <v>105</v>
      </c>
      <c r="BY1089" s="3">
        <v>27144</v>
      </c>
      <c r="BZ1089" s="3" t="s">
        <v>30</v>
      </c>
      <c r="CA1089" s="3" t="s">
        <v>495</v>
      </c>
      <c r="CC1089" s="3" t="s">
        <v>490</v>
      </c>
      <c r="CD1089" s="3">
        <v>250</v>
      </c>
      <c r="CE1089" s="3" t="s">
        <v>86</v>
      </c>
      <c r="CF1089" s="4">
        <v>44580</v>
      </c>
      <c r="CI1089" s="3">
        <v>1</v>
      </c>
      <c r="CJ1089" s="3">
        <v>1</v>
      </c>
      <c r="CK1089" s="3">
        <v>43</v>
      </c>
      <c r="CL1089" s="3" t="s">
        <v>87</v>
      </c>
    </row>
    <row r="1090" spans="1:90" x14ac:dyDescent="0.2">
      <c r="A1090" s="3" t="s">
        <v>72</v>
      </c>
      <c r="B1090" s="3" t="s">
        <v>73</v>
      </c>
      <c r="C1090" s="3" t="s">
        <v>74</v>
      </c>
      <c r="E1090" s="3" t="str">
        <f>"FES1162845652"</f>
        <v>FES1162845652</v>
      </c>
      <c r="F1090" s="4">
        <v>44579</v>
      </c>
      <c r="G1090" s="3">
        <v>202207</v>
      </c>
      <c r="H1090" s="3" t="s">
        <v>75</v>
      </c>
      <c r="I1090" s="3" t="s">
        <v>76</v>
      </c>
      <c r="J1090" s="3" t="s">
        <v>77</v>
      </c>
      <c r="K1090" s="3" t="s">
        <v>78</v>
      </c>
      <c r="L1090" s="3" t="s">
        <v>94</v>
      </c>
      <c r="M1090" s="3" t="s">
        <v>95</v>
      </c>
      <c r="N1090" s="3" t="s">
        <v>613</v>
      </c>
      <c r="O1090" s="3" t="s">
        <v>82</v>
      </c>
      <c r="P1090" s="3" t="str">
        <f>"2170817155                    "</f>
        <v xml:space="preserve">2170817155                    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77.260000000000005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0</v>
      </c>
      <c r="AZ1090" s="3">
        <v>0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1</v>
      </c>
      <c r="BI1090" s="3">
        <v>10</v>
      </c>
      <c r="BJ1090" s="3">
        <v>7.8</v>
      </c>
      <c r="BK1090" s="3">
        <v>10</v>
      </c>
      <c r="BL1090" s="3">
        <v>294.88</v>
      </c>
      <c r="BM1090" s="3">
        <v>44.23</v>
      </c>
      <c r="BN1090" s="3">
        <v>339.11</v>
      </c>
      <c r="BO1090" s="3">
        <v>339.11</v>
      </c>
      <c r="BQ1090" s="3" t="s">
        <v>89</v>
      </c>
      <c r="BR1090" s="3" t="s">
        <v>84</v>
      </c>
      <c r="BS1090" s="4">
        <v>44580</v>
      </c>
      <c r="BT1090" s="5">
        <v>0.44513888888888892</v>
      </c>
      <c r="BU1090" s="3" t="s">
        <v>1462</v>
      </c>
      <c r="BV1090" s="3" t="s">
        <v>105</v>
      </c>
      <c r="BY1090" s="3">
        <v>39015</v>
      </c>
      <c r="CC1090" s="3" t="s">
        <v>95</v>
      </c>
      <c r="CD1090" s="3">
        <v>3212</v>
      </c>
      <c r="CE1090" s="3" t="s">
        <v>86</v>
      </c>
      <c r="CI1090" s="3">
        <v>1</v>
      </c>
      <c r="CJ1090" s="3">
        <v>1</v>
      </c>
      <c r="CK1090" s="3">
        <v>21</v>
      </c>
      <c r="CL1090" s="3" t="s">
        <v>87</v>
      </c>
    </row>
    <row r="1091" spans="1:90" x14ac:dyDescent="0.2">
      <c r="A1091" s="3" t="s">
        <v>72</v>
      </c>
      <c r="B1091" s="3" t="s">
        <v>73</v>
      </c>
      <c r="C1091" s="3" t="s">
        <v>74</v>
      </c>
      <c r="E1091" s="3" t="str">
        <f>"FES1162845710"</f>
        <v>FES1162845710</v>
      </c>
      <c r="F1091" s="4">
        <v>44579</v>
      </c>
      <c r="G1091" s="3">
        <v>202207</v>
      </c>
      <c r="H1091" s="3" t="s">
        <v>75</v>
      </c>
      <c r="I1091" s="3" t="s">
        <v>76</v>
      </c>
      <c r="J1091" s="3" t="s">
        <v>77</v>
      </c>
      <c r="K1091" s="3" t="s">
        <v>78</v>
      </c>
      <c r="L1091" s="3" t="s">
        <v>97</v>
      </c>
      <c r="M1091" s="3" t="s">
        <v>98</v>
      </c>
      <c r="N1091" s="3" t="s">
        <v>943</v>
      </c>
      <c r="O1091" s="3" t="s">
        <v>82</v>
      </c>
      <c r="P1091" s="3" t="str">
        <f>"2170817189                    "</f>
        <v xml:space="preserve">2170817189                    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12.07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0</v>
      </c>
      <c r="AZ1091" s="3">
        <v>0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1</v>
      </c>
      <c r="BI1091" s="3">
        <v>1</v>
      </c>
      <c r="BJ1091" s="3">
        <v>0.9</v>
      </c>
      <c r="BK1091" s="3">
        <v>1</v>
      </c>
      <c r="BL1091" s="3">
        <v>46.08</v>
      </c>
      <c r="BM1091" s="3">
        <v>6.91</v>
      </c>
      <c r="BN1091" s="3">
        <v>52.99</v>
      </c>
      <c r="BO1091" s="3">
        <v>52.99</v>
      </c>
      <c r="BQ1091" s="3" t="s">
        <v>89</v>
      </c>
      <c r="BR1091" s="3" t="s">
        <v>84</v>
      </c>
      <c r="BS1091" s="4">
        <v>44580</v>
      </c>
      <c r="BT1091" s="5">
        <v>0.37222222222222223</v>
      </c>
      <c r="BU1091" s="3" t="s">
        <v>1374</v>
      </c>
      <c r="BV1091" s="3" t="s">
        <v>105</v>
      </c>
      <c r="BY1091" s="3">
        <v>4522</v>
      </c>
      <c r="CA1091" s="3" t="s">
        <v>297</v>
      </c>
      <c r="CC1091" s="3" t="s">
        <v>98</v>
      </c>
      <c r="CD1091" s="3">
        <v>2013</v>
      </c>
      <c r="CE1091" s="3" t="s">
        <v>86</v>
      </c>
      <c r="CF1091" s="4">
        <v>44581</v>
      </c>
      <c r="CI1091" s="3">
        <v>1</v>
      </c>
      <c r="CJ1091" s="3">
        <v>1</v>
      </c>
      <c r="CK1091" s="3">
        <v>22</v>
      </c>
      <c r="CL1091" s="3" t="s">
        <v>87</v>
      </c>
    </row>
    <row r="1092" spans="1:90" x14ac:dyDescent="0.2">
      <c r="A1092" s="3" t="s">
        <v>72</v>
      </c>
      <c r="B1092" s="3" t="s">
        <v>73</v>
      </c>
      <c r="C1092" s="3" t="s">
        <v>74</v>
      </c>
      <c r="E1092" s="3" t="str">
        <f>"FES1162845514"</f>
        <v>FES1162845514</v>
      </c>
      <c r="F1092" s="4">
        <v>44579</v>
      </c>
      <c r="G1092" s="3">
        <v>202207</v>
      </c>
      <c r="H1092" s="3" t="s">
        <v>75</v>
      </c>
      <c r="I1092" s="3" t="s">
        <v>76</v>
      </c>
      <c r="J1092" s="3" t="s">
        <v>77</v>
      </c>
      <c r="K1092" s="3" t="s">
        <v>78</v>
      </c>
      <c r="L1092" s="3" t="s">
        <v>218</v>
      </c>
      <c r="M1092" s="3" t="s">
        <v>219</v>
      </c>
      <c r="N1092" s="3" t="s">
        <v>766</v>
      </c>
      <c r="O1092" s="3" t="s">
        <v>82</v>
      </c>
      <c r="P1092" s="3" t="str">
        <f>"2170814817                    "</f>
        <v xml:space="preserve">2170814817                    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15.46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1</v>
      </c>
      <c r="BI1092" s="3">
        <v>1</v>
      </c>
      <c r="BJ1092" s="3">
        <v>0.2</v>
      </c>
      <c r="BK1092" s="3">
        <v>1</v>
      </c>
      <c r="BL1092" s="3">
        <v>59</v>
      </c>
      <c r="BM1092" s="3">
        <v>8.85</v>
      </c>
      <c r="BN1092" s="3">
        <v>67.849999999999994</v>
      </c>
      <c r="BO1092" s="3">
        <v>67.849999999999994</v>
      </c>
      <c r="BR1092" s="3" t="s">
        <v>84</v>
      </c>
      <c r="BS1092" s="4">
        <v>44580</v>
      </c>
      <c r="BT1092" s="5">
        <v>0.42569444444444443</v>
      </c>
      <c r="BU1092" s="3" t="s">
        <v>767</v>
      </c>
      <c r="BV1092" s="3" t="s">
        <v>105</v>
      </c>
      <c r="BY1092" s="3">
        <v>1200</v>
      </c>
      <c r="BZ1092" s="3" t="s">
        <v>165</v>
      </c>
      <c r="CA1092" s="3" t="s">
        <v>362</v>
      </c>
      <c r="CC1092" s="3" t="s">
        <v>219</v>
      </c>
      <c r="CD1092" s="3">
        <v>157</v>
      </c>
      <c r="CE1092" s="3" t="s">
        <v>93</v>
      </c>
      <c r="CF1092" s="4">
        <v>44580</v>
      </c>
      <c r="CI1092" s="3">
        <v>1</v>
      </c>
      <c r="CJ1092" s="3">
        <v>1</v>
      </c>
      <c r="CK1092" s="3">
        <v>21</v>
      </c>
      <c r="CL1092" s="3" t="s">
        <v>87</v>
      </c>
    </row>
    <row r="1093" spans="1:90" x14ac:dyDescent="0.2">
      <c r="A1093" s="3" t="s">
        <v>72</v>
      </c>
      <c r="B1093" s="3" t="s">
        <v>73</v>
      </c>
      <c r="C1093" s="3" t="s">
        <v>74</v>
      </c>
      <c r="E1093" s="3" t="str">
        <f>"FES1162845764"</f>
        <v>FES1162845764</v>
      </c>
      <c r="F1093" s="4">
        <v>44579</v>
      </c>
      <c r="G1093" s="3">
        <v>202207</v>
      </c>
      <c r="H1093" s="3" t="s">
        <v>75</v>
      </c>
      <c r="I1093" s="3" t="s">
        <v>76</v>
      </c>
      <c r="J1093" s="3" t="s">
        <v>77</v>
      </c>
      <c r="K1093" s="3" t="s">
        <v>78</v>
      </c>
      <c r="L1093" s="3" t="s">
        <v>101</v>
      </c>
      <c r="M1093" s="3" t="s">
        <v>102</v>
      </c>
      <c r="N1093" s="3" t="s">
        <v>1463</v>
      </c>
      <c r="O1093" s="3" t="s">
        <v>82</v>
      </c>
      <c r="P1093" s="3" t="str">
        <f>"2170817258                    "</f>
        <v xml:space="preserve">2170817258                    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15.46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3">
        <v>1</v>
      </c>
      <c r="BI1093" s="3">
        <v>1</v>
      </c>
      <c r="BJ1093" s="3">
        <v>1.1000000000000001</v>
      </c>
      <c r="BK1093" s="3">
        <v>1.5</v>
      </c>
      <c r="BL1093" s="3">
        <v>59</v>
      </c>
      <c r="BM1093" s="3">
        <v>8.85</v>
      </c>
      <c r="BN1093" s="3">
        <v>67.849999999999994</v>
      </c>
      <c r="BO1093" s="3">
        <v>67.849999999999994</v>
      </c>
      <c r="BQ1093" s="3" t="s">
        <v>1464</v>
      </c>
      <c r="BR1093" s="3" t="s">
        <v>84</v>
      </c>
      <c r="BS1093" s="4">
        <v>44580</v>
      </c>
      <c r="BT1093" s="5">
        <v>0.37291666666666662</v>
      </c>
      <c r="BU1093" s="3" t="s">
        <v>1465</v>
      </c>
      <c r="BV1093" s="3" t="s">
        <v>105</v>
      </c>
      <c r="BY1093" s="3">
        <v>5320</v>
      </c>
      <c r="CA1093" s="3" t="s">
        <v>303</v>
      </c>
      <c r="CC1093" s="3" t="s">
        <v>102</v>
      </c>
      <c r="CD1093" s="3">
        <v>4001</v>
      </c>
      <c r="CE1093" s="3" t="s">
        <v>86</v>
      </c>
      <c r="CF1093" s="4">
        <v>44581</v>
      </c>
      <c r="CI1093" s="3">
        <v>1</v>
      </c>
      <c r="CJ1093" s="3">
        <v>1</v>
      </c>
      <c r="CK1093" s="3">
        <v>21</v>
      </c>
      <c r="CL1093" s="3" t="s">
        <v>87</v>
      </c>
    </row>
    <row r="1094" spans="1:90" x14ac:dyDescent="0.2">
      <c r="A1094" s="3" t="s">
        <v>72</v>
      </c>
      <c r="B1094" s="3" t="s">
        <v>73</v>
      </c>
      <c r="C1094" s="3" t="s">
        <v>74</v>
      </c>
      <c r="E1094" s="3" t="str">
        <f>"FES1162845543"</f>
        <v>FES1162845543</v>
      </c>
      <c r="F1094" s="4">
        <v>44579</v>
      </c>
      <c r="G1094" s="3">
        <v>202207</v>
      </c>
      <c r="H1094" s="3" t="s">
        <v>75</v>
      </c>
      <c r="I1094" s="3" t="s">
        <v>76</v>
      </c>
      <c r="J1094" s="3" t="s">
        <v>77</v>
      </c>
      <c r="K1094" s="3" t="s">
        <v>78</v>
      </c>
      <c r="L1094" s="3" t="s">
        <v>94</v>
      </c>
      <c r="M1094" s="3" t="s">
        <v>95</v>
      </c>
      <c r="N1094" s="3" t="s">
        <v>1411</v>
      </c>
      <c r="O1094" s="3" t="s">
        <v>82</v>
      </c>
      <c r="P1094" s="3" t="str">
        <f>"2170816288                    "</f>
        <v xml:space="preserve">2170816288                    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15.46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15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1</v>
      </c>
      <c r="BI1094" s="3">
        <v>1</v>
      </c>
      <c r="BJ1094" s="3">
        <v>0.2</v>
      </c>
      <c r="BK1094" s="3">
        <v>1</v>
      </c>
      <c r="BL1094" s="3">
        <v>74</v>
      </c>
      <c r="BM1094" s="3">
        <v>11.1</v>
      </c>
      <c r="BN1094" s="3">
        <v>85.1</v>
      </c>
      <c r="BO1094" s="3">
        <v>85.1</v>
      </c>
      <c r="BQ1094" s="3" t="s">
        <v>83</v>
      </c>
      <c r="BR1094" s="3" t="s">
        <v>84</v>
      </c>
      <c r="BS1094" s="4">
        <v>44580</v>
      </c>
      <c r="BT1094" s="5">
        <v>0.50069444444444444</v>
      </c>
      <c r="BU1094" s="3" t="s">
        <v>1466</v>
      </c>
      <c r="BV1094" s="3" t="s">
        <v>105</v>
      </c>
      <c r="BY1094" s="3">
        <v>1200</v>
      </c>
      <c r="BZ1094" s="3" t="s">
        <v>446</v>
      </c>
      <c r="CC1094" s="3" t="s">
        <v>95</v>
      </c>
      <c r="CD1094" s="3">
        <v>3699</v>
      </c>
      <c r="CE1094" s="3" t="s">
        <v>93</v>
      </c>
      <c r="CF1094" s="4">
        <v>44585</v>
      </c>
      <c r="CI1094" s="3">
        <v>1</v>
      </c>
      <c r="CJ1094" s="3">
        <v>1</v>
      </c>
      <c r="CK1094" s="3">
        <v>21</v>
      </c>
      <c r="CL1094" s="3" t="s">
        <v>87</v>
      </c>
    </row>
    <row r="1095" spans="1:90" x14ac:dyDescent="0.2">
      <c r="A1095" s="3" t="s">
        <v>72</v>
      </c>
      <c r="B1095" s="3" t="s">
        <v>73</v>
      </c>
      <c r="C1095" s="3" t="s">
        <v>74</v>
      </c>
      <c r="E1095" s="3" t="str">
        <f>"FES1162845488"</f>
        <v>FES1162845488</v>
      </c>
      <c r="F1095" s="4">
        <v>44579</v>
      </c>
      <c r="G1095" s="3">
        <v>202207</v>
      </c>
      <c r="H1095" s="3" t="s">
        <v>75</v>
      </c>
      <c r="I1095" s="3" t="s">
        <v>76</v>
      </c>
      <c r="J1095" s="3" t="s">
        <v>77</v>
      </c>
      <c r="K1095" s="3" t="s">
        <v>78</v>
      </c>
      <c r="L1095" s="3" t="s">
        <v>1467</v>
      </c>
      <c r="M1095" s="3" t="s">
        <v>1468</v>
      </c>
      <c r="N1095" s="3" t="s">
        <v>1469</v>
      </c>
      <c r="O1095" s="3" t="s">
        <v>148</v>
      </c>
      <c r="P1095" s="3" t="str">
        <f>"2170809109                    "</f>
        <v xml:space="preserve">2170809109                    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50.78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15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3">
        <v>1</v>
      </c>
      <c r="BI1095" s="3">
        <v>19</v>
      </c>
      <c r="BJ1095" s="3">
        <v>18.3</v>
      </c>
      <c r="BK1095" s="3">
        <v>19</v>
      </c>
      <c r="BL1095" s="3">
        <v>214.06</v>
      </c>
      <c r="BM1095" s="3">
        <v>32.11</v>
      </c>
      <c r="BN1095" s="3">
        <v>246.17</v>
      </c>
      <c r="BO1095" s="3">
        <v>246.17</v>
      </c>
      <c r="BR1095" s="3" t="s">
        <v>84</v>
      </c>
      <c r="BS1095" s="4">
        <v>44581</v>
      </c>
      <c r="BT1095" s="5">
        <v>0.65555555555555556</v>
      </c>
      <c r="BU1095" s="3" t="s">
        <v>1470</v>
      </c>
      <c r="BV1095" s="3" t="s">
        <v>105</v>
      </c>
      <c r="BY1095" s="3">
        <v>91264</v>
      </c>
      <c r="BZ1095" s="3" t="s">
        <v>30</v>
      </c>
      <c r="CA1095" s="3" t="s">
        <v>1471</v>
      </c>
      <c r="CC1095" s="3" t="s">
        <v>1468</v>
      </c>
      <c r="CD1095" s="3">
        <v>1133</v>
      </c>
      <c r="CE1095" s="3" t="s">
        <v>86</v>
      </c>
      <c r="CF1095" s="4">
        <v>44581</v>
      </c>
      <c r="CI1095" s="3">
        <v>2</v>
      </c>
      <c r="CJ1095" s="3">
        <v>2</v>
      </c>
      <c r="CK1095" s="3">
        <v>43</v>
      </c>
      <c r="CL1095" s="3" t="s">
        <v>87</v>
      </c>
    </row>
    <row r="1096" spans="1:90" x14ac:dyDescent="0.2">
      <c r="A1096" s="3" t="s">
        <v>72</v>
      </c>
      <c r="B1096" s="3" t="s">
        <v>73</v>
      </c>
      <c r="C1096" s="3" t="s">
        <v>74</v>
      </c>
      <c r="E1096" s="3" t="str">
        <f>"FES1162845650"</f>
        <v>FES1162845650</v>
      </c>
      <c r="F1096" s="4">
        <v>44579</v>
      </c>
      <c r="G1096" s="3">
        <v>202207</v>
      </c>
      <c r="H1096" s="3" t="s">
        <v>75</v>
      </c>
      <c r="I1096" s="3" t="s">
        <v>76</v>
      </c>
      <c r="J1096" s="3" t="s">
        <v>77</v>
      </c>
      <c r="K1096" s="3" t="s">
        <v>78</v>
      </c>
      <c r="L1096" s="3" t="s">
        <v>97</v>
      </c>
      <c r="M1096" s="3" t="s">
        <v>98</v>
      </c>
      <c r="N1096" s="3" t="s">
        <v>1142</v>
      </c>
      <c r="O1096" s="3" t="s">
        <v>82</v>
      </c>
      <c r="P1096" s="3" t="str">
        <f>"2170817153                    "</f>
        <v xml:space="preserve">2170817153                    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12.07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0</v>
      </c>
      <c r="AZ1096" s="3">
        <v>0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1</v>
      </c>
      <c r="BI1096" s="3">
        <v>2</v>
      </c>
      <c r="BJ1096" s="3">
        <v>2</v>
      </c>
      <c r="BK1096" s="3">
        <v>2</v>
      </c>
      <c r="BL1096" s="3">
        <v>46.08</v>
      </c>
      <c r="BM1096" s="3">
        <v>6.91</v>
      </c>
      <c r="BN1096" s="3">
        <v>52.99</v>
      </c>
      <c r="BO1096" s="3">
        <v>52.99</v>
      </c>
      <c r="BQ1096" s="3" t="s">
        <v>89</v>
      </c>
      <c r="BR1096" s="3" t="s">
        <v>84</v>
      </c>
      <c r="BS1096" s="4">
        <v>44580</v>
      </c>
      <c r="BT1096" s="5">
        <v>0.4284722222222222</v>
      </c>
      <c r="BU1096" s="3" t="s">
        <v>1472</v>
      </c>
      <c r="BV1096" s="3" t="s">
        <v>105</v>
      </c>
      <c r="BY1096" s="3">
        <v>9918</v>
      </c>
      <c r="CA1096" s="3" t="s">
        <v>297</v>
      </c>
      <c r="CC1096" s="3" t="s">
        <v>98</v>
      </c>
      <c r="CD1096" s="3">
        <v>2091</v>
      </c>
      <c r="CE1096" s="3" t="s">
        <v>86</v>
      </c>
      <c r="CF1096" s="4">
        <v>44581</v>
      </c>
      <c r="CI1096" s="3">
        <v>1</v>
      </c>
      <c r="CJ1096" s="3">
        <v>1</v>
      </c>
      <c r="CK1096" s="3">
        <v>22</v>
      </c>
      <c r="CL1096" s="3" t="s">
        <v>87</v>
      </c>
    </row>
    <row r="1097" spans="1:90" x14ac:dyDescent="0.2">
      <c r="A1097" s="3" t="s">
        <v>72</v>
      </c>
      <c r="B1097" s="3" t="s">
        <v>73</v>
      </c>
      <c r="C1097" s="3" t="s">
        <v>74</v>
      </c>
      <c r="E1097" s="3" t="str">
        <f>"FES1162845723"</f>
        <v>FES1162845723</v>
      </c>
      <c r="F1097" s="4">
        <v>44579</v>
      </c>
      <c r="G1097" s="3">
        <v>202207</v>
      </c>
      <c r="H1097" s="3" t="s">
        <v>75</v>
      </c>
      <c r="I1097" s="3" t="s">
        <v>76</v>
      </c>
      <c r="J1097" s="3" t="s">
        <v>77</v>
      </c>
      <c r="K1097" s="3" t="s">
        <v>78</v>
      </c>
      <c r="L1097" s="3" t="s">
        <v>489</v>
      </c>
      <c r="M1097" s="3" t="s">
        <v>490</v>
      </c>
      <c r="N1097" s="3" t="s">
        <v>1473</v>
      </c>
      <c r="O1097" s="3" t="s">
        <v>148</v>
      </c>
      <c r="P1097" s="3" t="str">
        <f>"2170817206                    "</f>
        <v xml:space="preserve">2170817206                    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50.78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15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0</v>
      </c>
      <c r="AZ1097" s="3">
        <v>0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1</v>
      </c>
      <c r="BI1097" s="3">
        <v>6</v>
      </c>
      <c r="BJ1097" s="3">
        <v>18.3</v>
      </c>
      <c r="BK1097" s="3">
        <v>19</v>
      </c>
      <c r="BL1097" s="3">
        <v>214.06</v>
      </c>
      <c r="BM1097" s="3">
        <v>32.11</v>
      </c>
      <c r="BN1097" s="3">
        <v>246.17</v>
      </c>
      <c r="BO1097" s="3">
        <v>246.17</v>
      </c>
      <c r="BQ1097" s="3" t="s">
        <v>1474</v>
      </c>
      <c r="BR1097" s="3" t="s">
        <v>84</v>
      </c>
      <c r="BS1097" s="4">
        <v>44580</v>
      </c>
      <c r="BT1097" s="5">
        <v>0.48749999999999999</v>
      </c>
      <c r="BU1097" s="3" t="s">
        <v>1475</v>
      </c>
      <c r="BV1097" s="3" t="s">
        <v>105</v>
      </c>
      <c r="BY1097" s="3">
        <v>91264</v>
      </c>
      <c r="BZ1097" s="3" t="s">
        <v>30</v>
      </c>
      <c r="CA1097" s="3" t="s">
        <v>495</v>
      </c>
      <c r="CC1097" s="3" t="s">
        <v>490</v>
      </c>
      <c r="CD1097" s="3">
        <v>250</v>
      </c>
      <c r="CE1097" s="3" t="s">
        <v>86</v>
      </c>
      <c r="CF1097" s="4">
        <v>44580</v>
      </c>
      <c r="CI1097" s="3">
        <v>1</v>
      </c>
      <c r="CJ1097" s="3">
        <v>1</v>
      </c>
      <c r="CK1097" s="3">
        <v>43</v>
      </c>
      <c r="CL1097" s="3" t="s">
        <v>87</v>
      </c>
    </row>
    <row r="1098" spans="1:90" x14ac:dyDescent="0.2">
      <c r="A1098" s="3" t="s">
        <v>72</v>
      </c>
      <c r="B1098" s="3" t="s">
        <v>73</v>
      </c>
      <c r="C1098" s="3" t="s">
        <v>74</v>
      </c>
      <c r="E1098" s="3" t="str">
        <f>"FES1162845695"</f>
        <v>FES1162845695</v>
      </c>
      <c r="F1098" s="4">
        <v>44579</v>
      </c>
      <c r="G1098" s="3">
        <v>202207</v>
      </c>
      <c r="H1098" s="3" t="s">
        <v>75</v>
      </c>
      <c r="I1098" s="3" t="s">
        <v>76</v>
      </c>
      <c r="J1098" s="3" t="s">
        <v>77</v>
      </c>
      <c r="K1098" s="3" t="s">
        <v>78</v>
      </c>
      <c r="L1098" s="3" t="s">
        <v>948</v>
      </c>
      <c r="M1098" s="3" t="s">
        <v>949</v>
      </c>
      <c r="N1098" s="3" t="s">
        <v>1294</v>
      </c>
      <c r="O1098" s="3" t="s">
        <v>82</v>
      </c>
      <c r="P1098" s="3" t="str">
        <f>"2170815966                    "</f>
        <v xml:space="preserve">2170815966                    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21.74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3">
        <v>1</v>
      </c>
      <c r="BI1098" s="3">
        <v>1</v>
      </c>
      <c r="BJ1098" s="3">
        <v>0.2</v>
      </c>
      <c r="BK1098" s="3">
        <v>1</v>
      </c>
      <c r="BL1098" s="3">
        <v>82.98</v>
      </c>
      <c r="BM1098" s="3">
        <v>12.45</v>
      </c>
      <c r="BN1098" s="3">
        <v>95.43</v>
      </c>
      <c r="BO1098" s="3">
        <v>95.43</v>
      </c>
      <c r="BR1098" s="3" t="s">
        <v>84</v>
      </c>
      <c r="BS1098" s="4">
        <v>44580</v>
      </c>
      <c r="BT1098" s="5">
        <v>0.56527777777777777</v>
      </c>
      <c r="BU1098" s="3" t="s">
        <v>1107</v>
      </c>
      <c r="BV1098" s="3" t="s">
        <v>105</v>
      </c>
      <c r="BY1098" s="3">
        <v>1200</v>
      </c>
      <c r="CA1098" s="3" t="s">
        <v>952</v>
      </c>
      <c r="CC1098" s="3" t="s">
        <v>949</v>
      </c>
      <c r="CD1098" s="3">
        <v>1759</v>
      </c>
      <c r="CE1098" s="3" t="s">
        <v>93</v>
      </c>
      <c r="CF1098" s="4">
        <v>44581</v>
      </c>
      <c r="CI1098" s="3">
        <v>1</v>
      </c>
      <c r="CJ1098" s="3">
        <v>1</v>
      </c>
      <c r="CK1098" s="3">
        <v>24</v>
      </c>
      <c r="CL1098" s="3" t="s">
        <v>87</v>
      </c>
    </row>
    <row r="1099" spans="1:90" x14ac:dyDescent="0.2">
      <c r="A1099" s="3" t="s">
        <v>72</v>
      </c>
      <c r="B1099" s="3" t="s">
        <v>73</v>
      </c>
      <c r="C1099" s="3" t="s">
        <v>74</v>
      </c>
      <c r="E1099" s="3" t="str">
        <f>"FES1162845608"</f>
        <v>FES1162845608</v>
      </c>
      <c r="F1099" s="4">
        <v>44579</v>
      </c>
      <c r="G1099" s="3">
        <v>202207</v>
      </c>
      <c r="H1099" s="3" t="s">
        <v>75</v>
      </c>
      <c r="I1099" s="3" t="s">
        <v>76</v>
      </c>
      <c r="J1099" s="3" t="s">
        <v>77</v>
      </c>
      <c r="K1099" s="3" t="s">
        <v>78</v>
      </c>
      <c r="L1099" s="3" t="s">
        <v>805</v>
      </c>
      <c r="M1099" s="3" t="s">
        <v>806</v>
      </c>
      <c r="N1099" s="3" t="s">
        <v>807</v>
      </c>
      <c r="O1099" s="3" t="s">
        <v>148</v>
      </c>
      <c r="P1099" s="3" t="str">
        <f>"2170815152                    "</f>
        <v xml:space="preserve">2170815152                    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57.24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2</v>
      </c>
      <c r="BI1099" s="3">
        <v>22</v>
      </c>
      <c r="BJ1099" s="3">
        <v>12.2</v>
      </c>
      <c r="BK1099" s="3">
        <v>22</v>
      </c>
      <c r="BL1099" s="3">
        <v>223.73</v>
      </c>
      <c r="BM1099" s="3">
        <v>33.56</v>
      </c>
      <c r="BN1099" s="3">
        <v>257.29000000000002</v>
      </c>
      <c r="BO1099" s="3">
        <v>257.29000000000002</v>
      </c>
      <c r="BQ1099" s="3" t="s">
        <v>808</v>
      </c>
      <c r="BR1099" s="3" t="s">
        <v>84</v>
      </c>
      <c r="BS1099" s="4">
        <v>44581</v>
      </c>
      <c r="BT1099" s="5">
        <v>0.57361111111111118</v>
      </c>
      <c r="BU1099" s="3" t="s">
        <v>1472</v>
      </c>
      <c r="BV1099" s="3" t="s">
        <v>87</v>
      </c>
      <c r="BW1099" s="3" t="s">
        <v>457</v>
      </c>
      <c r="BX1099" s="3" t="s">
        <v>279</v>
      </c>
      <c r="BY1099" s="3">
        <v>61139</v>
      </c>
      <c r="CA1099" s="3" t="s">
        <v>809</v>
      </c>
      <c r="CC1099" s="3" t="s">
        <v>806</v>
      </c>
      <c r="CD1099" s="3">
        <v>4400</v>
      </c>
      <c r="CE1099" s="3" t="s">
        <v>221</v>
      </c>
      <c r="CF1099" s="4">
        <v>44582</v>
      </c>
      <c r="CI1099" s="3">
        <v>1</v>
      </c>
      <c r="CJ1099" s="3">
        <v>2</v>
      </c>
      <c r="CK1099" s="3">
        <v>43</v>
      </c>
      <c r="CL1099" s="3" t="s">
        <v>87</v>
      </c>
    </row>
    <row r="1100" spans="1:90" x14ac:dyDescent="0.2">
      <c r="A1100" s="3" t="s">
        <v>72</v>
      </c>
      <c r="B1100" s="3" t="s">
        <v>73</v>
      </c>
      <c r="C1100" s="3" t="s">
        <v>74</v>
      </c>
      <c r="E1100" s="3" t="str">
        <f>"FES1162845550"</f>
        <v>FES1162845550</v>
      </c>
      <c r="F1100" s="4">
        <v>44579</v>
      </c>
      <c r="G1100" s="3">
        <v>202207</v>
      </c>
      <c r="H1100" s="3" t="s">
        <v>75</v>
      </c>
      <c r="I1100" s="3" t="s">
        <v>76</v>
      </c>
      <c r="J1100" s="3" t="s">
        <v>77</v>
      </c>
      <c r="K1100" s="3" t="s">
        <v>78</v>
      </c>
      <c r="L1100" s="3" t="s">
        <v>176</v>
      </c>
      <c r="M1100" s="3" t="s">
        <v>177</v>
      </c>
      <c r="N1100" s="3" t="s">
        <v>1476</v>
      </c>
      <c r="O1100" s="3" t="s">
        <v>82</v>
      </c>
      <c r="P1100" s="3" t="str">
        <f>"2170816799                    "</f>
        <v xml:space="preserve">2170816799                    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15.46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0</v>
      </c>
      <c r="AZ1100" s="3">
        <v>0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1</v>
      </c>
      <c r="BI1100" s="3">
        <v>1</v>
      </c>
      <c r="BJ1100" s="3">
        <v>0.2</v>
      </c>
      <c r="BK1100" s="3">
        <v>1</v>
      </c>
      <c r="BL1100" s="3">
        <v>59</v>
      </c>
      <c r="BM1100" s="3">
        <v>8.85</v>
      </c>
      <c r="BN1100" s="3">
        <v>67.849999999999994</v>
      </c>
      <c r="BO1100" s="3">
        <v>67.849999999999994</v>
      </c>
      <c r="BQ1100" s="3" t="s">
        <v>750</v>
      </c>
      <c r="BR1100" s="3" t="s">
        <v>84</v>
      </c>
      <c r="BS1100" s="4">
        <v>44580</v>
      </c>
      <c r="BT1100" s="5">
        <v>0.37291666666666662</v>
      </c>
      <c r="BU1100" s="3" t="s">
        <v>1477</v>
      </c>
      <c r="BV1100" s="3" t="s">
        <v>105</v>
      </c>
      <c r="BY1100" s="3">
        <v>1200</v>
      </c>
      <c r="BZ1100" s="3" t="s">
        <v>165</v>
      </c>
      <c r="CA1100" s="3" t="s">
        <v>528</v>
      </c>
      <c r="CC1100" s="3" t="s">
        <v>177</v>
      </c>
      <c r="CD1100" s="3">
        <v>4026</v>
      </c>
      <c r="CE1100" s="3" t="s">
        <v>93</v>
      </c>
      <c r="CF1100" s="4">
        <v>44581</v>
      </c>
      <c r="CI1100" s="3">
        <v>1</v>
      </c>
      <c r="CJ1100" s="3">
        <v>1</v>
      </c>
      <c r="CK1100" s="3">
        <v>21</v>
      </c>
      <c r="CL1100" s="3" t="s">
        <v>87</v>
      </c>
    </row>
    <row r="1101" spans="1:90" x14ac:dyDescent="0.2">
      <c r="A1101" s="3" t="s">
        <v>72</v>
      </c>
      <c r="B1101" s="3" t="s">
        <v>73</v>
      </c>
      <c r="C1101" s="3" t="s">
        <v>74</v>
      </c>
      <c r="E1101" s="3" t="str">
        <f>"FES1162845657"</f>
        <v>FES1162845657</v>
      </c>
      <c r="F1101" s="4">
        <v>44579</v>
      </c>
      <c r="G1101" s="3">
        <v>202207</v>
      </c>
      <c r="H1101" s="3" t="s">
        <v>75</v>
      </c>
      <c r="I1101" s="3" t="s">
        <v>76</v>
      </c>
      <c r="J1101" s="3" t="s">
        <v>77</v>
      </c>
      <c r="K1101" s="3" t="s">
        <v>78</v>
      </c>
      <c r="L1101" s="3" t="s">
        <v>244</v>
      </c>
      <c r="M1101" s="3" t="s">
        <v>245</v>
      </c>
      <c r="N1101" s="3" t="s">
        <v>400</v>
      </c>
      <c r="O1101" s="3" t="s">
        <v>82</v>
      </c>
      <c r="P1101" s="3" t="str">
        <f>"2170817163                    "</f>
        <v xml:space="preserve">2170817163                    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29.95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1</v>
      </c>
      <c r="BI1101" s="3">
        <v>1</v>
      </c>
      <c r="BJ1101" s="3">
        <v>0.2</v>
      </c>
      <c r="BK1101" s="3">
        <v>1</v>
      </c>
      <c r="BL1101" s="3">
        <v>114.31</v>
      </c>
      <c r="BM1101" s="3">
        <v>17.149999999999999</v>
      </c>
      <c r="BN1101" s="3">
        <v>131.46</v>
      </c>
      <c r="BO1101" s="3">
        <v>131.46</v>
      </c>
      <c r="BQ1101" s="3" t="s">
        <v>83</v>
      </c>
      <c r="BR1101" s="3" t="s">
        <v>84</v>
      </c>
      <c r="BS1101" s="4">
        <v>44580</v>
      </c>
      <c r="BT1101" s="5">
        <v>0.50208333333333333</v>
      </c>
      <c r="BU1101" s="3" t="s">
        <v>401</v>
      </c>
      <c r="BV1101" s="3" t="s">
        <v>87</v>
      </c>
      <c r="BW1101" s="3" t="s">
        <v>353</v>
      </c>
      <c r="BX1101" s="3" t="s">
        <v>723</v>
      </c>
      <c r="BY1101" s="3">
        <v>1200</v>
      </c>
      <c r="CA1101" s="3" t="s">
        <v>402</v>
      </c>
      <c r="CC1101" s="3" t="s">
        <v>245</v>
      </c>
      <c r="CD1101" s="3">
        <v>1947</v>
      </c>
      <c r="CE1101" s="3" t="s">
        <v>93</v>
      </c>
      <c r="CF1101" s="4">
        <v>44581</v>
      </c>
      <c r="CI1101" s="3">
        <v>1</v>
      </c>
      <c r="CJ1101" s="3">
        <v>1</v>
      </c>
      <c r="CK1101" s="3">
        <v>23</v>
      </c>
      <c r="CL1101" s="3" t="s">
        <v>87</v>
      </c>
    </row>
    <row r="1102" spans="1:90" x14ac:dyDescent="0.2">
      <c r="A1102" s="3" t="s">
        <v>72</v>
      </c>
      <c r="B1102" s="3" t="s">
        <v>73</v>
      </c>
      <c r="C1102" s="3" t="s">
        <v>74</v>
      </c>
      <c r="E1102" s="3" t="str">
        <f>"FES1162845611"</f>
        <v>FES1162845611</v>
      </c>
      <c r="F1102" s="4">
        <v>44579</v>
      </c>
      <c r="G1102" s="3">
        <v>202207</v>
      </c>
      <c r="H1102" s="3" t="s">
        <v>75</v>
      </c>
      <c r="I1102" s="3" t="s">
        <v>76</v>
      </c>
      <c r="J1102" s="3" t="s">
        <v>77</v>
      </c>
      <c r="K1102" s="3" t="s">
        <v>78</v>
      </c>
      <c r="L1102" s="3" t="s">
        <v>154</v>
      </c>
      <c r="M1102" s="3" t="s">
        <v>155</v>
      </c>
      <c r="N1102" s="3" t="s">
        <v>1478</v>
      </c>
      <c r="O1102" s="3" t="s">
        <v>82</v>
      </c>
      <c r="P1102" s="3" t="str">
        <f>"2170815296                    "</f>
        <v xml:space="preserve">2170815296                    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12.07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0</v>
      </c>
      <c r="AZ1102" s="3">
        <v>0</v>
      </c>
      <c r="BA1102" s="3">
        <v>0</v>
      </c>
      <c r="BB1102" s="3">
        <v>0</v>
      </c>
      <c r="BC1102" s="3">
        <v>0</v>
      </c>
      <c r="BD1102" s="3">
        <v>0</v>
      </c>
      <c r="BE1102" s="3">
        <v>0</v>
      </c>
      <c r="BF1102" s="3">
        <v>0</v>
      </c>
      <c r="BG1102" s="3">
        <v>0</v>
      </c>
      <c r="BH1102" s="3">
        <v>1</v>
      </c>
      <c r="BI1102" s="3">
        <v>1</v>
      </c>
      <c r="BJ1102" s="3">
        <v>0.2</v>
      </c>
      <c r="BK1102" s="3">
        <v>1</v>
      </c>
      <c r="BL1102" s="3">
        <v>46.08</v>
      </c>
      <c r="BM1102" s="3">
        <v>6.91</v>
      </c>
      <c r="BN1102" s="3">
        <v>52.99</v>
      </c>
      <c r="BO1102" s="3">
        <v>52.99</v>
      </c>
      <c r="BR1102" s="3" t="s">
        <v>84</v>
      </c>
      <c r="BS1102" s="4">
        <v>44580</v>
      </c>
      <c r="BT1102" s="5">
        <v>0.44375000000000003</v>
      </c>
      <c r="BU1102" s="3" t="s">
        <v>1479</v>
      </c>
      <c r="BV1102" s="3" t="s">
        <v>87</v>
      </c>
      <c r="BW1102" s="3" t="s">
        <v>353</v>
      </c>
      <c r="BX1102" s="3" t="s">
        <v>723</v>
      </c>
      <c r="BY1102" s="3">
        <v>1200</v>
      </c>
      <c r="BZ1102" s="3" t="s">
        <v>165</v>
      </c>
      <c r="CA1102" s="3" t="s">
        <v>965</v>
      </c>
      <c r="CC1102" s="3" t="s">
        <v>155</v>
      </c>
      <c r="CD1102" s="3">
        <v>1682</v>
      </c>
      <c r="CE1102" s="3" t="s">
        <v>93</v>
      </c>
      <c r="CF1102" s="4">
        <v>44581</v>
      </c>
      <c r="CI1102" s="3">
        <v>1</v>
      </c>
      <c r="CJ1102" s="3">
        <v>1</v>
      </c>
      <c r="CK1102" s="3">
        <v>22</v>
      </c>
      <c r="CL1102" s="3" t="s">
        <v>87</v>
      </c>
    </row>
    <row r="1103" spans="1:90" x14ac:dyDescent="0.2">
      <c r="A1103" s="3" t="s">
        <v>72</v>
      </c>
      <c r="B1103" s="3" t="s">
        <v>73</v>
      </c>
      <c r="C1103" s="3" t="s">
        <v>74</v>
      </c>
      <c r="E1103" s="3" t="str">
        <f>"FES1162845711"</f>
        <v>FES1162845711</v>
      </c>
      <c r="F1103" s="4">
        <v>44579</v>
      </c>
      <c r="G1103" s="3">
        <v>202207</v>
      </c>
      <c r="H1103" s="3" t="s">
        <v>75</v>
      </c>
      <c r="I1103" s="3" t="s">
        <v>76</v>
      </c>
      <c r="J1103" s="3" t="s">
        <v>77</v>
      </c>
      <c r="K1103" s="3" t="s">
        <v>78</v>
      </c>
      <c r="L1103" s="3" t="s">
        <v>94</v>
      </c>
      <c r="M1103" s="3" t="s">
        <v>95</v>
      </c>
      <c r="N1103" s="3" t="s">
        <v>179</v>
      </c>
      <c r="O1103" s="3" t="s">
        <v>82</v>
      </c>
      <c r="P1103" s="3" t="str">
        <f>"2170817190                    "</f>
        <v xml:space="preserve">2170817190                    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15.46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1</v>
      </c>
      <c r="BI1103" s="3">
        <v>1</v>
      </c>
      <c r="BJ1103" s="3">
        <v>1.1000000000000001</v>
      </c>
      <c r="BK1103" s="3">
        <v>1.5</v>
      </c>
      <c r="BL1103" s="3">
        <v>59</v>
      </c>
      <c r="BM1103" s="3">
        <v>8.85</v>
      </c>
      <c r="BN1103" s="3">
        <v>67.849999999999994</v>
      </c>
      <c r="BO1103" s="3">
        <v>67.849999999999994</v>
      </c>
      <c r="BQ1103" s="3" t="s">
        <v>83</v>
      </c>
      <c r="BR1103" s="3" t="s">
        <v>84</v>
      </c>
      <c r="BS1103" s="4">
        <v>44580</v>
      </c>
      <c r="BT1103" s="5">
        <v>0.46875</v>
      </c>
      <c r="BU1103" s="3" t="s">
        <v>1480</v>
      </c>
      <c r="BV1103" s="3" t="s">
        <v>87</v>
      </c>
      <c r="BW1103" s="3" t="s">
        <v>453</v>
      </c>
      <c r="BX1103" s="3" t="s">
        <v>279</v>
      </c>
      <c r="BY1103" s="3">
        <v>5320</v>
      </c>
      <c r="CC1103" s="3" t="s">
        <v>95</v>
      </c>
      <c r="CD1103" s="3">
        <v>3201</v>
      </c>
      <c r="CE1103" s="3" t="s">
        <v>86</v>
      </c>
      <c r="CF1103" s="4">
        <v>44585</v>
      </c>
      <c r="CI1103" s="3">
        <v>1</v>
      </c>
      <c r="CJ1103" s="3">
        <v>1</v>
      </c>
      <c r="CK1103" s="3">
        <v>21</v>
      </c>
      <c r="CL1103" s="3" t="s">
        <v>87</v>
      </c>
    </row>
    <row r="1104" spans="1:90" x14ac:dyDescent="0.2">
      <c r="A1104" s="3" t="s">
        <v>72</v>
      </c>
      <c r="B1104" s="3" t="s">
        <v>73</v>
      </c>
      <c r="C1104" s="3" t="s">
        <v>74</v>
      </c>
      <c r="E1104" s="3" t="str">
        <f>"FES1162845641"</f>
        <v>FES1162845641</v>
      </c>
      <c r="F1104" s="4">
        <v>44579</v>
      </c>
      <c r="G1104" s="3">
        <v>202207</v>
      </c>
      <c r="H1104" s="3" t="s">
        <v>75</v>
      </c>
      <c r="I1104" s="3" t="s">
        <v>76</v>
      </c>
      <c r="J1104" s="3" t="s">
        <v>77</v>
      </c>
      <c r="K1104" s="3" t="s">
        <v>78</v>
      </c>
      <c r="L1104" s="3" t="s">
        <v>110</v>
      </c>
      <c r="M1104" s="3" t="s">
        <v>110</v>
      </c>
      <c r="N1104" s="3" t="s">
        <v>111</v>
      </c>
      <c r="O1104" s="3" t="s">
        <v>82</v>
      </c>
      <c r="P1104" s="3" t="str">
        <f>"2170817145                    "</f>
        <v xml:space="preserve">2170817145                    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29.95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3">
        <v>1</v>
      </c>
      <c r="BI1104" s="3">
        <v>1</v>
      </c>
      <c r="BJ1104" s="3">
        <v>0.2</v>
      </c>
      <c r="BK1104" s="3">
        <v>1</v>
      </c>
      <c r="BL1104" s="3">
        <v>114.31</v>
      </c>
      <c r="BM1104" s="3">
        <v>17.149999999999999</v>
      </c>
      <c r="BN1104" s="3">
        <v>131.46</v>
      </c>
      <c r="BO1104" s="3">
        <v>131.46</v>
      </c>
      <c r="BQ1104" s="3" t="s">
        <v>89</v>
      </c>
      <c r="BR1104" s="3" t="s">
        <v>84</v>
      </c>
      <c r="BS1104" s="4">
        <v>44580</v>
      </c>
      <c r="BT1104" s="5">
        <v>0.53194444444444444</v>
      </c>
      <c r="BU1104" s="3" t="s">
        <v>620</v>
      </c>
      <c r="BV1104" s="3" t="s">
        <v>105</v>
      </c>
      <c r="BY1104" s="3">
        <v>1200</v>
      </c>
      <c r="CA1104" s="3" t="s">
        <v>563</v>
      </c>
      <c r="CC1104" s="3" t="s">
        <v>110</v>
      </c>
      <c r="CD1104" s="3">
        <v>7646</v>
      </c>
      <c r="CE1104" s="3" t="s">
        <v>93</v>
      </c>
      <c r="CF1104" s="4">
        <v>44581</v>
      </c>
      <c r="CI1104" s="3">
        <v>1</v>
      </c>
      <c r="CJ1104" s="3">
        <v>1</v>
      </c>
      <c r="CK1104" s="3">
        <v>23</v>
      </c>
      <c r="CL1104" s="3" t="s">
        <v>87</v>
      </c>
    </row>
    <row r="1105" spans="1:90" x14ac:dyDescent="0.2">
      <c r="A1105" s="3" t="s">
        <v>72</v>
      </c>
      <c r="B1105" s="3" t="s">
        <v>73</v>
      </c>
      <c r="C1105" s="3" t="s">
        <v>74</v>
      </c>
      <c r="E1105" s="3" t="str">
        <f>"FES1162845569"</f>
        <v>FES1162845569</v>
      </c>
      <c r="F1105" s="4">
        <v>44579</v>
      </c>
      <c r="G1105" s="3">
        <v>202207</v>
      </c>
      <c r="H1105" s="3" t="s">
        <v>75</v>
      </c>
      <c r="I1105" s="3" t="s">
        <v>76</v>
      </c>
      <c r="J1105" s="3" t="s">
        <v>77</v>
      </c>
      <c r="K1105" s="3" t="s">
        <v>78</v>
      </c>
      <c r="L1105" s="3" t="s">
        <v>948</v>
      </c>
      <c r="M1105" s="3" t="s">
        <v>949</v>
      </c>
      <c r="N1105" s="3" t="s">
        <v>1294</v>
      </c>
      <c r="O1105" s="3" t="s">
        <v>82</v>
      </c>
      <c r="P1105" s="3" t="str">
        <f>"2170817095                    "</f>
        <v xml:space="preserve">2170817095                    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21.74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0</v>
      </c>
      <c r="AZ1105" s="3">
        <v>0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1</v>
      </c>
      <c r="BI1105" s="3">
        <v>1</v>
      </c>
      <c r="BJ1105" s="3">
        <v>0.2</v>
      </c>
      <c r="BK1105" s="3">
        <v>1</v>
      </c>
      <c r="BL1105" s="3">
        <v>82.98</v>
      </c>
      <c r="BM1105" s="3">
        <v>12.45</v>
      </c>
      <c r="BN1105" s="3">
        <v>95.43</v>
      </c>
      <c r="BO1105" s="3">
        <v>95.43</v>
      </c>
      <c r="BR1105" s="3" t="s">
        <v>84</v>
      </c>
      <c r="BS1105" s="4">
        <v>44580</v>
      </c>
      <c r="BT1105" s="5">
        <v>0.56736111111111109</v>
      </c>
      <c r="BU1105" s="3" t="s">
        <v>1107</v>
      </c>
      <c r="BV1105" s="3" t="s">
        <v>105</v>
      </c>
      <c r="BY1105" s="3">
        <v>1200</v>
      </c>
      <c r="BZ1105" s="3" t="s">
        <v>165</v>
      </c>
      <c r="CA1105" s="3" t="s">
        <v>952</v>
      </c>
      <c r="CC1105" s="3" t="s">
        <v>949</v>
      </c>
      <c r="CD1105" s="3">
        <v>1759</v>
      </c>
      <c r="CE1105" s="3" t="s">
        <v>93</v>
      </c>
      <c r="CF1105" s="4">
        <v>44581</v>
      </c>
      <c r="CI1105" s="3">
        <v>1</v>
      </c>
      <c r="CJ1105" s="3">
        <v>1</v>
      </c>
      <c r="CK1105" s="3">
        <v>24</v>
      </c>
      <c r="CL1105" s="3" t="s">
        <v>87</v>
      </c>
    </row>
    <row r="1106" spans="1:90" x14ac:dyDescent="0.2">
      <c r="A1106" s="3" t="s">
        <v>72</v>
      </c>
      <c r="B1106" s="3" t="s">
        <v>73</v>
      </c>
      <c r="C1106" s="3" t="s">
        <v>74</v>
      </c>
      <c r="E1106" s="3" t="str">
        <f>"FES1162845665"</f>
        <v>FES1162845665</v>
      </c>
      <c r="F1106" s="4">
        <v>44579</v>
      </c>
      <c r="G1106" s="3">
        <v>202207</v>
      </c>
      <c r="H1106" s="3" t="s">
        <v>75</v>
      </c>
      <c r="I1106" s="3" t="s">
        <v>76</v>
      </c>
      <c r="J1106" s="3" t="s">
        <v>77</v>
      </c>
      <c r="K1106" s="3" t="s">
        <v>78</v>
      </c>
      <c r="L1106" s="3" t="s">
        <v>180</v>
      </c>
      <c r="M1106" s="3" t="s">
        <v>181</v>
      </c>
      <c r="N1106" s="3" t="s">
        <v>1481</v>
      </c>
      <c r="O1106" s="3" t="s">
        <v>82</v>
      </c>
      <c r="P1106" s="3" t="str">
        <f>"2170817173                    "</f>
        <v xml:space="preserve">2170817173                    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27.03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0</v>
      </c>
      <c r="AZ1106" s="3">
        <v>0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3">
        <v>1</v>
      </c>
      <c r="BI1106" s="3">
        <v>1</v>
      </c>
      <c r="BJ1106" s="3">
        <v>2.5</v>
      </c>
      <c r="BK1106" s="3">
        <v>2.5</v>
      </c>
      <c r="BL1106" s="3">
        <v>103.18</v>
      </c>
      <c r="BM1106" s="3">
        <v>15.48</v>
      </c>
      <c r="BN1106" s="3">
        <v>118.66</v>
      </c>
      <c r="BO1106" s="3">
        <v>118.66</v>
      </c>
      <c r="BQ1106" s="3" t="s">
        <v>83</v>
      </c>
      <c r="BR1106" s="3" t="s">
        <v>84</v>
      </c>
      <c r="BS1106" s="4">
        <v>44580</v>
      </c>
      <c r="BT1106" s="5">
        <v>0.56527777777777777</v>
      </c>
      <c r="BU1106" s="3" t="s">
        <v>347</v>
      </c>
      <c r="BV1106" s="3" t="s">
        <v>87</v>
      </c>
      <c r="BW1106" s="3" t="s">
        <v>353</v>
      </c>
      <c r="BX1106" s="3" t="s">
        <v>723</v>
      </c>
      <c r="BY1106" s="3">
        <v>12288</v>
      </c>
      <c r="BZ1106" s="3" t="s">
        <v>165</v>
      </c>
      <c r="CA1106" s="3" t="s">
        <v>1166</v>
      </c>
      <c r="CC1106" s="3" t="s">
        <v>181</v>
      </c>
      <c r="CD1106" s="3">
        <v>1934</v>
      </c>
      <c r="CE1106" s="3" t="s">
        <v>86</v>
      </c>
      <c r="CF1106" s="4">
        <v>44581</v>
      </c>
      <c r="CI1106" s="3">
        <v>1</v>
      </c>
      <c r="CJ1106" s="3">
        <v>1</v>
      </c>
      <c r="CK1106" s="3">
        <v>24</v>
      </c>
      <c r="CL1106" s="3" t="s">
        <v>87</v>
      </c>
    </row>
    <row r="1107" spans="1:90" x14ac:dyDescent="0.2">
      <c r="A1107" s="3" t="s">
        <v>72</v>
      </c>
      <c r="B1107" s="3" t="s">
        <v>73</v>
      </c>
      <c r="C1107" s="3" t="s">
        <v>74</v>
      </c>
      <c r="E1107" s="3" t="str">
        <f>"FES1162845551"</f>
        <v>FES1162845551</v>
      </c>
      <c r="F1107" s="4">
        <v>44579</v>
      </c>
      <c r="G1107" s="3">
        <v>202207</v>
      </c>
      <c r="H1107" s="3" t="s">
        <v>75</v>
      </c>
      <c r="I1107" s="3" t="s">
        <v>76</v>
      </c>
      <c r="J1107" s="3" t="s">
        <v>77</v>
      </c>
      <c r="K1107" s="3" t="s">
        <v>78</v>
      </c>
      <c r="L1107" s="3" t="s">
        <v>107</v>
      </c>
      <c r="M1107" s="3" t="s">
        <v>108</v>
      </c>
      <c r="N1107" s="3" t="s">
        <v>582</v>
      </c>
      <c r="O1107" s="3" t="s">
        <v>82</v>
      </c>
      <c r="P1107" s="3" t="str">
        <f>"2170816897                    "</f>
        <v xml:space="preserve">2170816897                    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29.95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</v>
      </c>
      <c r="BF1107" s="3">
        <v>0</v>
      </c>
      <c r="BG1107" s="3">
        <v>0</v>
      </c>
      <c r="BH1107" s="3">
        <v>1</v>
      </c>
      <c r="BI1107" s="3">
        <v>1</v>
      </c>
      <c r="BJ1107" s="3">
        <v>0.2</v>
      </c>
      <c r="BK1107" s="3">
        <v>1</v>
      </c>
      <c r="BL1107" s="3">
        <v>114.31</v>
      </c>
      <c r="BM1107" s="3">
        <v>17.149999999999999</v>
      </c>
      <c r="BN1107" s="3">
        <v>131.46</v>
      </c>
      <c r="BO1107" s="3">
        <v>131.46</v>
      </c>
      <c r="BQ1107" s="3" t="s">
        <v>126</v>
      </c>
      <c r="BR1107" s="3" t="s">
        <v>84</v>
      </c>
      <c r="BS1107" s="4">
        <v>44580</v>
      </c>
      <c r="BT1107" s="5">
        <v>0.4916666666666667</v>
      </c>
      <c r="BU1107" s="3" t="s">
        <v>1482</v>
      </c>
      <c r="BV1107" s="3" t="s">
        <v>105</v>
      </c>
      <c r="BY1107" s="3">
        <v>1200</v>
      </c>
      <c r="BZ1107" s="3" t="s">
        <v>165</v>
      </c>
      <c r="CA1107" s="3" t="s">
        <v>1483</v>
      </c>
      <c r="CC1107" s="3" t="s">
        <v>108</v>
      </c>
      <c r="CD1107" s="3">
        <v>6850</v>
      </c>
      <c r="CE1107" s="3" t="s">
        <v>93</v>
      </c>
      <c r="CF1107" s="4">
        <v>44582</v>
      </c>
      <c r="CI1107" s="3">
        <v>2</v>
      </c>
      <c r="CJ1107" s="3">
        <v>1</v>
      </c>
      <c r="CK1107" s="3">
        <v>23</v>
      </c>
      <c r="CL1107" s="3" t="s">
        <v>87</v>
      </c>
    </row>
    <row r="1108" spans="1:90" x14ac:dyDescent="0.2">
      <c r="A1108" s="3" t="s">
        <v>72</v>
      </c>
      <c r="B1108" s="3" t="s">
        <v>73</v>
      </c>
      <c r="C1108" s="3" t="s">
        <v>74</v>
      </c>
      <c r="E1108" s="3" t="str">
        <f>"FES1162845536"</f>
        <v>FES1162845536</v>
      </c>
      <c r="F1108" s="4">
        <v>44579</v>
      </c>
      <c r="G1108" s="3">
        <v>202207</v>
      </c>
      <c r="H1108" s="3" t="s">
        <v>75</v>
      </c>
      <c r="I1108" s="3" t="s">
        <v>76</v>
      </c>
      <c r="J1108" s="3" t="s">
        <v>77</v>
      </c>
      <c r="K1108" s="3" t="s">
        <v>78</v>
      </c>
      <c r="L1108" s="3" t="s">
        <v>171</v>
      </c>
      <c r="M1108" s="3" t="s">
        <v>172</v>
      </c>
      <c r="N1108" s="3" t="s">
        <v>249</v>
      </c>
      <c r="O1108" s="3" t="s">
        <v>82</v>
      </c>
      <c r="P1108" s="3" t="str">
        <f>"2170815515                    "</f>
        <v xml:space="preserve">2170815515                    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15.46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0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1</v>
      </c>
      <c r="BI1108" s="3">
        <v>1</v>
      </c>
      <c r="BJ1108" s="3">
        <v>0.2</v>
      </c>
      <c r="BK1108" s="3">
        <v>1</v>
      </c>
      <c r="BL1108" s="3">
        <v>59</v>
      </c>
      <c r="BM1108" s="3">
        <v>8.85</v>
      </c>
      <c r="BN1108" s="3">
        <v>67.849999999999994</v>
      </c>
      <c r="BO1108" s="3">
        <v>67.849999999999994</v>
      </c>
      <c r="BQ1108" s="3" t="s">
        <v>89</v>
      </c>
      <c r="BR1108" s="3" t="s">
        <v>84</v>
      </c>
      <c r="BS1108" s="4">
        <v>44581</v>
      </c>
      <c r="BT1108" s="5">
        <v>0.41666666666666669</v>
      </c>
      <c r="BU1108" s="3" t="s">
        <v>1484</v>
      </c>
      <c r="BV1108" s="3" t="s">
        <v>87</v>
      </c>
      <c r="BW1108" s="3" t="s">
        <v>457</v>
      </c>
      <c r="BX1108" s="3" t="s">
        <v>458</v>
      </c>
      <c r="BY1108" s="3">
        <v>1200</v>
      </c>
      <c r="BZ1108" s="3" t="s">
        <v>165</v>
      </c>
      <c r="CC1108" s="3" t="s">
        <v>172</v>
      </c>
      <c r="CD1108" s="3">
        <v>6001</v>
      </c>
      <c r="CE1108" s="3" t="s">
        <v>93</v>
      </c>
      <c r="CF1108" s="4">
        <v>44582</v>
      </c>
      <c r="CI1108" s="3">
        <v>1</v>
      </c>
      <c r="CJ1108" s="3">
        <v>2</v>
      </c>
      <c r="CK1108" s="3">
        <v>21</v>
      </c>
      <c r="CL1108" s="3" t="s">
        <v>87</v>
      </c>
    </row>
    <row r="1109" spans="1:90" x14ac:dyDescent="0.2">
      <c r="A1109" s="3" t="s">
        <v>72</v>
      </c>
      <c r="B1109" s="3" t="s">
        <v>73</v>
      </c>
      <c r="C1109" s="3" t="s">
        <v>74</v>
      </c>
      <c r="E1109" s="3" t="str">
        <f>"FES1162845545"</f>
        <v>FES1162845545</v>
      </c>
      <c r="F1109" s="4">
        <v>44579</v>
      </c>
      <c r="G1109" s="3">
        <v>202207</v>
      </c>
      <c r="H1109" s="3" t="s">
        <v>75</v>
      </c>
      <c r="I1109" s="3" t="s">
        <v>76</v>
      </c>
      <c r="J1109" s="3" t="s">
        <v>77</v>
      </c>
      <c r="K1109" s="3" t="s">
        <v>78</v>
      </c>
      <c r="L1109" s="3" t="s">
        <v>867</v>
      </c>
      <c r="M1109" s="3" t="s">
        <v>868</v>
      </c>
      <c r="N1109" s="3" t="s">
        <v>869</v>
      </c>
      <c r="O1109" s="3" t="s">
        <v>82</v>
      </c>
      <c r="P1109" s="3" t="str">
        <f>"2170816331                    "</f>
        <v xml:space="preserve">2170816331                    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29.95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1</v>
      </c>
      <c r="BI1109" s="3">
        <v>1</v>
      </c>
      <c r="BJ1109" s="3">
        <v>0.2</v>
      </c>
      <c r="BK1109" s="3">
        <v>1</v>
      </c>
      <c r="BL1109" s="3">
        <v>114.31</v>
      </c>
      <c r="BM1109" s="3">
        <v>17.149999999999999</v>
      </c>
      <c r="BN1109" s="3">
        <v>131.46</v>
      </c>
      <c r="BO1109" s="3">
        <v>131.46</v>
      </c>
      <c r="BR1109" s="3" t="s">
        <v>84</v>
      </c>
      <c r="BS1109" s="4">
        <v>44580</v>
      </c>
      <c r="BT1109" s="5">
        <v>0.41666666666666669</v>
      </c>
      <c r="BU1109" s="3" t="s">
        <v>1390</v>
      </c>
      <c r="BV1109" s="3" t="s">
        <v>105</v>
      </c>
      <c r="BY1109" s="3">
        <v>1200</v>
      </c>
      <c r="BZ1109" s="3" t="s">
        <v>165</v>
      </c>
      <c r="CC1109" s="3" t="s">
        <v>868</v>
      </c>
      <c r="CD1109" s="3">
        <v>4170</v>
      </c>
      <c r="CE1109" s="3" t="s">
        <v>93</v>
      </c>
      <c r="CF1109" s="4">
        <v>44581</v>
      </c>
      <c r="CI1109" s="3">
        <v>1</v>
      </c>
      <c r="CJ1109" s="3">
        <v>1</v>
      </c>
      <c r="CK1109" s="3">
        <v>23</v>
      </c>
      <c r="CL1109" s="3" t="s">
        <v>87</v>
      </c>
    </row>
    <row r="1110" spans="1:90" x14ac:dyDescent="0.2">
      <c r="A1110" s="3" t="s">
        <v>72</v>
      </c>
      <c r="B1110" s="3" t="s">
        <v>73</v>
      </c>
      <c r="C1110" s="3" t="s">
        <v>74</v>
      </c>
      <c r="E1110" s="3" t="str">
        <f>"FES1162845598"</f>
        <v>FES1162845598</v>
      </c>
      <c r="F1110" s="4">
        <v>44579</v>
      </c>
      <c r="G1110" s="3">
        <v>202207</v>
      </c>
      <c r="H1110" s="3" t="s">
        <v>75</v>
      </c>
      <c r="I1110" s="3" t="s">
        <v>76</v>
      </c>
      <c r="J1110" s="3" t="s">
        <v>77</v>
      </c>
      <c r="K1110" s="3" t="s">
        <v>78</v>
      </c>
      <c r="L1110" s="3" t="s">
        <v>250</v>
      </c>
      <c r="M1110" s="3" t="s">
        <v>251</v>
      </c>
      <c r="N1110" s="3" t="s">
        <v>252</v>
      </c>
      <c r="O1110" s="3" t="s">
        <v>82</v>
      </c>
      <c r="P1110" s="3" t="str">
        <f>"2170810999                    "</f>
        <v xml:space="preserve">2170810999                    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29.95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0</v>
      </c>
      <c r="AZ1110" s="3">
        <v>0</v>
      </c>
      <c r="BA1110" s="3">
        <v>0</v>
      </c>
      <c r="BB1110" s="3">
        <v>0</v>
      </c>
      <c r="BC1110" s="3">
        <v>0</v>
      </c>
      <c r="BD1110" s="3">
        <v>0</v>
      </c>
      <c r="BE1110" s="3">
        <v>0</v>
      </c>
      <c r="BF1110" s="3">
        <v>0</v>
      </c>
      <c r="BG1110" s="3">
        <v>0</v>
      </c>
      <c r="BH1110" s="3">
        <v>1</v>
      </c>
      <c r="BI1110" s="3">
        <v>1</v>
      </c>
      <c r="BJ1110" s="3">
        <v>0.2</v>
      </c>
      <c r="BK1110" s="3">
        <v>1</v>
      </c>
      <c r="BL1110" s="3">
        <v>114.31</v>
      </c>
      <c r="BM1110" s="3">
        <v>17.149999999999999</v>
      </c>
      <c r="BN1110" s="3">
        <v>131.46</v>
      </c>
      <c r="BO1110" s="3">
        <v>131.46</v>
      </c>
      <c r="BQ1110" s="3" t="s">
        <v>253</v>
      </c>
      <c r="BR1110" s="3" t="s">
        <v>84</v>
      </c>
      <c r="BS1110" s="4">
        <v>44581</v>
      </c>
      <c r="BT1110" s="5">
        <v>0.62152777777777779</v>
      </c>
      <c r="BU1110" s="3" t="s">
        <v>1485</v>
      </c>
      <c r="BV1110" s="3" t="s">
        <v>105</v>
      </c>
      <c r="BY1110" s="3">
        <v>1200</v>
      </c>
      <c r="BZ1110" s="3" t="s">
        <v>165</v>
      </c>
      <c r="CC1110" s="3" t="s">
        <v>251</v>
      </c>
      <c r="CD1110" s="3">
        <v>6300</v>
      </c>
      <c r="CE1110" s="3" t="s">
        <v>93</v>
      </c>
      <c r="CF1110" s="4">
        <v>44582</v>
      </c>
      <c r="CI1110" s="3">
        <v>2</v>
      </c>
      <c r="CJ1110" s="3">
        <v>2</v>
      </c>
      <c r="CK1110" s="3">
        <v>23</v>
      </c>
      <c r="CL1110" s="3" t="s">
        <v>87</v>
      </c>
    </row>
    <row r="1111" spans="1:90" x14ac:dyDescent="0.2">
      <c r="A1111" s="3" t="s">
        <v>72</v>
      </c>
      <c r="B1111" s="3" t="s">
        <v>73</v>
      </c>
      <c r="C1111" s="3" t="s">
        <v>74</v>
      </c>
      <c r="E1111" s="3" t="str">
        <f>"FES1162845701"</f>
        <v>FES1162845701</v>
      </c>
      <c r="F1111" s="4">
        <v>44579</v>
      </c>
      <c r="G1111" s="3">
        <v>202207</v>
      </c>
      <c r="H1111" s="3" t="s">
        <v>75</v>
      </c>
      <c r="I1111" s="3" t="s">
        <v>76</v>
      </c>
      <c r="J1111" s="3" t="s">
        <v>77</v>
      </c>
      <c r="K1111" s="3" t="s">
        <v>78</v>
      </c>
      <c r="L1111" s="3" t="s">
        <v>184</v>
      </c>
      <c r="M1111" s="3" t="s">
        <v>185</v>
      </c>
      <c r="N1111" s="3" t="s">
        <v>503</v>
      </c>
      <c r="O1111" s="3" t="s">
        <v>82</v>
      </c>
      <c r="P1111" s="3" t="str">
        <f>"2170816490                    "</f>
        <v xml:space="preserve">2170816490                    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15.46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0</v>
      </c>
      <c r="AX1111" s="3">
        <v>0</v>
      </c>
      <c r="AY1111" s="3">
        <v>0</v>
      </c>
      <c r="AZ1111" s="3">
        <v>0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3">
        <v>1</v>
      </c>
      <c r="BI1111" s="3">
        <v>1</v>
      </c>
      <c r="BJ1111" s="3">
        <v>1.5</v>
      </c>
      <c r="BK1111" s="3">
        <v>1.5</v>
      </c>
      <c r="BL1111" s="3">
        <v>59</v>
      </c>
      <c r="BM1111" s="3">
        <v>8.85</v>
      </c>
      <c r="BN1111" s="3">
        <v>67.849999999999994</v>
      </c>
      <c r="BO1111" s="3">
        <v>67.849999999999994</v>
      </c>
      <c r="BQ1111" s="3" t="s">
        <v>89</v>
      </c>
      <c r="BR1111" s="3" t="s">
        <v>84</v>
      </c>
      <c r="BS1111" s="4">
        <v>44580</v>
      </c>
      <c r="BT1111" s="5">
        <v>0.51388888888888895</v>
      </c>
      <c r="BU1111" s="3" t="s">
        <v>504</v>
      </c>
      <c r="BV1111" s="3" t="s">
        <v>87</v>
      </c>
      <c r="BW1111" s="3" t="s">
        <v>353</v>
      </c>
      <c r="BX1111" s="3" t="s">
        <v>648</v>
      </c>
      <c r="BY1111" s="3">
        <v>7540</v>
      </c>
      <c r="CA1111" s="3" t="s">
        <v>357</v>
      </c>
      <c r="CC1111" s="3" t="s">
        <v>185</v>
      </c>
      <c r="CD1111" s="3">
        <v>5201</v>
      </c>
      <c r="CE1111" s="3" t="s">
        <v>86</v>
      </c>
      <c r="CF1111" s="4">
        <v>44580</v>
      </c>
      <c r="CI1111" s="3">
        <v>1</v>
      </c>
      <c r="CJ1111" s="3">
        <v>1</v>
      </c>
      <c r="CK1111" s="3">
        <v>21</v>
      </c>
      <c r="CL1111" s="3" t="s">
        <v>87</v>
      </c>
    </row>
    <row r="1112" spans="1:90" x14ac:dyDescent="0.2">
      <c r="A1112" s="3" t="s">
        <v>72</v>
      </c>
      <c r="B1112" s="3" t="s">
        <v>73</v>
      </c>
      <c r="C1112" s="3" t="s">
        <v>74</v>
      </c>
      <c r="E1112" s="3" t="str">
        <f>"FES1162845638"</f>
        <v>FES1162845638</v>
      </c>
      <c r="F1112" s="4">
        <v>44579</v>
      </c>
      <c r="G1112" s="3">
        <v>202207</v>
      </c>
      <c r="H1112" s="3" t="s">
        <v>75</v>
      </c>
      <c r="I1112" s="3" t="s">
        <v>76</v>
      </c>
      <c r="J1112" s="3" t="s">
        <v>77</v>
      </c>
      <c r="K1112" s="3" t="s">
        <v>78</v>
      </c>
      <c r="L1112" s="3" t="s">
        <v>171</v>
      </c>
      <c r="M1112" s="3" t="s">
        <v>172</v>
      </c>
      <c r="N1112" s="3" t="s">
        <v>329</v>
      </c>
      <c r="O1112" s="3" t="s">
        <v>82</v>
      </c>
      <c r="P1112" s="3" t="str">
        <f>"2170806150                    "</f>
        <v xml:space="preserve">2170806150                    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15.46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0</v>
      </c>
      <c r="AZ1112" s="3">
        <v>0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1</v>
      </c>
      <c r="BI1112" s="3">
        <v>1</v>
      </c>
      <c r="BJ1112" s="3">
        <v>0.2</v>
      </c>
      <c r="BK1112" s="3">
        <v>1</v>
      </c>
      <c r="BL1112" s="3">
        <v>59</v>
      </c>
      <c r="BM1112" s="3">
        <v>8.85</v>
      </c>
      <c r="BN1112" s="3">
        <v>67.849999999999994</v>
      </c>
      <c r="BO1112" s="3">
        <v>67.849999999999994</v>
      </c>
      <c r="BQ1112" s="3" t="s">
        <v>83</v>
      </c>
      <c r="BR1112" s="3" t="s">
        <v>84</v>
      </c>
      <c r="BS1112" s="4">
        <v>44580</v>
      </c>
      <c r="BT1112" s="5">
        <v>0.31666666666666665</v>
      </c>
      <c r="BU1112" s="3" t="s">
        <v>330</v>
      </c>
      <c r="BV1112" s="3" t="s">
        <v>105</v>
      </c>
      <c r="BY1112" s="3">
        <v>1200</v>
      </c>
      <c r="CA1112" s="3" t="s">
        <v>331</v>
      </c>
      <c r="CC1112" s="3" t="s">
        <v>172</v>
      </c>
      <c r="CD1112" s="3">
        <v>6001</v>
      </c>
      <c r="CE1112" s="3" t="s">
        <v>93</v>
      </c>
      <c r="CF1112" s="4">
        <v>44581</v>
      </c>
      <c r="CI1112" s="3">
        <v>1</v>
      </c>
      <c r="CJ1112" s="3">
        <v>1</v>
      </c>
      <c r="CK1112" s="3">
        <v>21</v>
      </c>
      <c r="CL1112" s="3" t="s">
        <v>87</v>
      </c>
    </row>
    <row r="1113" spans="1:90" x14ac:dyDescent="0.2">
      <c r="A1113" s="3" t="s">
        <v>72</v>
      </c>
      <c r="B1113" s="3" t="s">
        <v>73</v>
      </c>
      <c r="C1113" s="3" t="s">
        <v>74</v>
      </c>
      <c r="E1113" s="3" t="str">
        <f>"FES1162845682"</f>
        <v>FES1162845682</v>
      </c>
      <c r="F1113" s="4">
        <v>44579</v>
      </c>
      <c r="G1113" s="3">
        <v>202207</v>
      </c>
      <c r="H1113" s="3" t="s">
        <v>75</v>
      </c>
      <c r="I1113" s="3" t="s">
        <v>76</v>
      </c>
      <c r="J1113" s="3" t="s">
        <v>77</v>
      </c>
      <c r="K1113" s="3" t="s">
        <v>78</v>
      </c>
      <c r="L1113" s="3" t="s">
        <v>101</v>
      </c>
      <c r="M1113" s="3" t="s">
        <v>102</v>
      </c>
      <c r="N1113" s="3" t="s">
        <v>272</v>
      </c>
      <c r="O1113" s="3" t="s">
        <v>148</v>
      </c>
      <c r="P1113" s="3" t="str">
        <f>"2170813470                    "</f>
        <v xml:space="preserve">2170813470                    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0</v>
      </c>
      <c r="AK1113" s="3">
        <v>29.89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0</v>
      </c>
      <c r="BA1113" s="3">
        <v>0</v>
      </c>
      <c r="BB1113" s="3">
        <v>0</v>
      </c>
      <c r="BC1113" s="3">
        <v>0</v>
      </c>
      <c r="BD1113" s="3">
        <v>0</v>
      </c>
      <c r="BE1113" s="3">
        <v>0</v>
      </c>
      <c r="BF1113" s="3">
        <v>0</v>
      </c>
      <c r="BG1113" s="3">
        <v>0</v>
      </c>
      <c r="BH1113" s="3">
        <v>1</v>
      </c>
      <c r="BI1113" s="3">
        <v>7</v>
      </c>
      <c r="BJ1113" s="3">
        <v>8.8000000000000007</v>
      </c>
      <c r="BK1113" s="3">
        <v>9</v>
      </c>
      <c r="BL1113" s="3">
        <v>119.34</v>
      </c>
      <c r="BM1113" s="3">
        <v>17.899999999999999</v>
      </c>
      <c r="BN1113" s="3">
        <v>137.24</v>
      </c>
      <c r="BO1113" s="3">
        <v>137.24</v>
      </c>
      <c r="BQ1113" s="3" t="s">
        <v>273</v>
      </c>
      <c r="BR1113" s="3" t="s">
        <v>84</v>
      </c>
      <c r="BS1113" s="4">
        <v>44581</v>
      </c>
      <c r="BT1113" s="5">
        <v>0.43333333333333335</v>
      </c>
      <c r="BU1113" s="3" t="s">
        <v>274</v>
      </c>
      <c r="BV1113" s="3" t="s">
        <v>87</v>
      </c>
      <c r="BW1113" s="3" t="s">
        <v>278</v>
      </c>
      <c r="BX1113" s="3" t="s">
        <v>279</v>
      </c>
      <c r="BY1113" s="3">
        <v>43750</v>
      </c>
      <c r="CA1113" s="3">
        <v>80010370151</v>
      </c>
      <c r="CC1113" s="3" t="s">
        <v>102</v>
      </c>
      <c r="CD1113" s="3">
        <v>4000</v>
      </c>
      <c r="CE1113" s="3" t="s">
        <v>86</v>
      </c>
      <c r="CF1113" s="4">
        <v>44582</v>
      </c>
      <c r="CI1113" s="3">
        <v>1</v>
      </c>
      <c r="CJ1113" s="3">
        <v>2</v>
      </c>
      <c r="CK1113" s="3">
        <v>41</v>
      </c>
      <c r="CL1113" s="3" t="s">
        <v>87</v>
      </c>
    </row>
    <row r="1114" spans="1:90" x14ac:dyDescent="0.2">
      <c r="A1114" s="3" t="s">
        <v>72</v>
      </c>
      <c r="B1114" s="3" t="s">
        <v>73</v>
      </c>
      <c r="C1114" s="3" t="s">
        <v>74</v>
      </c>
      <c r="E1114" s="3" t="str">
        <f>"FES1162845595"</f>
        <v>FES1162845595</v>
      </c>
      <c r="F1114" s="4">
        <v>44579</v>
      </c>
      <c r="G1114" s="3">
        <v>202207</v>
      </c>
      <c r="H1114" s="3" t="s">
        <v>75</v>
      </c>
      <c r="I1114" s="3" t="s">
        <v>76</v>
      </c>
      <c r="J1114" s="3" t="s">
        <v>77</v>
      </c>
      <c r="K1114" s="3" t="s">
        <v>78</v>
      </c>
      <c r="L1114" s="3" t="s">
        <v>79</v>
      </c>
      <c r="M1114" s="3" t="s">
        <v>80</v>
      </c>
      <c r="N1114" s="3" t="s">
        <v>1239</v>
      </c>
      <c r="O1114" s="3" t="s">
        <v>82</v>
      </c>
      <c r="P1114" s="3" t="str">
        <f>"2170809522                    "</f>
        <v xml:space="preserve">2170809522                    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15.46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0</v>
      </c>
      <c r="AZ1114" s="3">
        <v>0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3">
        <v>1</v>
      </c>
      <c r="BI1114" s="3">
        <v>1</v>
      </c>
      <c r="BJ1114" s="3">
        <v>0.2</v>
      </c>
      <c r="BK1114" s="3">
        <v>1</v>
      </c>
      <c r="BL1114" s="3">
        <v>59</v>
      </c>
      <c r="BM1114" s="3">
        <v>8.85</v>
      </c>
      <c r="BN1114" s="3">
        <v>67.849999999999994</v>
      </c>
      <c r="BO1114" s="3">
        <v>67.849999999999994</v>
      </c>
      <c r="BQ1114" s="3" t="s">
        <v>126</v>
      </c>
      <c r="BR1114" s="3" t="s">
        <v>84</v>
      </c>
      <c r="BS1114" s="4">
        <v>44580</v>
      </c>
      <c r="BT1114" s="5">
        <v>0.43055555555555558</v>
      </c>
      <c r="BU1114" s="3" t="s">
        <v>1486</v>
      </c>
      <c r="BV1114" s="3" t="s">
        <v>105</v>
      </c>
      <c r="BY1114" s="3">
        <v>1200</v>
      </c>
      <c r="BZ1114" s="3" t="s">
        <v>165</v>
      </c>
      <c r="CA1114" s="3" t="s">
        <v>366</v>
      </c>
      <c r="CC1114" s="3" t="s">
        <v>80</v>
      </c>
      <c r="CD1114" s="3">
        <v>200</v>
      </c>
      <c r="CE1114" s="3" t="s">
        <v>93</v>
      </c>
      <c r="CF1114" s="4">
        <v>44580</v>
      </c>
      <c r="CI1114" s="3">
        <v>1</v>
      </c>
      <c r="CJ1114" s="3">
        <v>1</v>
      </c>
      <c r="CK1114" s="3">
        <v>21</v>
      </c>
      <c r="CL1114" s="3" t="s">
        <v>87</v>
      </c>
    </row>
    <row r="1115" spans="1:90" x14ac:dyDescent="0.2">
      <c r="A1115" s="3" t="s">
        <v>72</v>
      </c>
      <c r="B1115" s="3" t="s">
        <v>73</v>
      </c>
      <c r="C1115" s="3" t="s">
        <v>74</v>
      </c>
      <c r="E1115" s="3" t="str">
        <f>"FES1162845728"</f>
        <v>FES1162845728</v>
      </c>
      <c r="F1115" s="4">
        <v>44579</v>
      </c>
      <c r="G1115" s="3">
        <v>202207</v>
      </c>
      <c r="H1115" s="3" t="s">
        <v>75</v>
      </c>
      <c r="I1115" s="3" t="s">
        <v>76</v>
      </c>
      <c r="J1115" s="3" t="s">
        <v>77</v>
      </c>
      <c r="K1115" s="3" t="s">
        <v>78</v>
      </c>
      <c r="L1115" s="3" t="s">
        <v>90</v>
      </c>
      <c r="M1115" s="3" t="s">
        <v>91</v>
      </c>
      <c r="N1115" s="3" t="s">
        <v>444</v>
      </c>
      <c r="O1115" s="3" t="s">
        <v>82</v>
      </c>
      <c r="P1115" s="3" t="str">
        <f>"2170817204                    "</f>
        <v xml:space="preserve">2170817204                    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15.46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3">
        <v>1</v>
      </c>
      <c r="BI1115" s="3">
        <v>1</v>
      </c>
      <c r="BJ1115" s="3">
        <v>0.2</v>
      </c>
      <c r="BK1115" s="3">
        <v>1</v>
      </c>
      <c r="BL1115" s="3">
        <v>59</v>
      </c>
      <c r="BM1115" s="3">
        <v>8.85</v>
      </c>
      <c r="BN1115" s="3">
        <v>67.849999999999994</v>
      </c>
      <c r="BO1115" s="3">
        <v>67.849999999999994</v>
      </c>
      <c r="BQ1115" s="3" t="s">
        <v>145</v>
      </c>
      <c r="BR1115" s="3" t="s">
        <v>84</v>
      </c>
      <c r="BS1115" s="4">
        <v>44581</v>
      </c>
      <c r="BT1115" s="5">
        <v>0.48680555555555555</v>
      </c>
      <c r="BU1115" s="3" t="s">
        <v>1487</v>
      </c>
      <c r="BV1115" s="3" t="s">
        <v>87</v>
      </c>
      <c r="BW1115" s="3" t="s">
        <v>376</v>
      </c>
      <c r="BX1115" s="3" t="s">
        <v>758</v>
      </c>
      <c r="BY1115" s="3">
        <v>1200</v>
      </c>
      <c r="CA1115" s="3" t="s">
        <v>748</v>
      </c>
      <c r="CC1115" s="3" t="s">
        <v>91</v>
      </c>
      <c r="CD1115" s="3">
        <v>7500</v>
      </c>
      <c r="CE1115" s="3" t="s">
        <v>93</v>
      </c>
      <c r="CF1115" s="4">
        <v>44582</v>
      </c>
      <c r="CI1115" s="3">
        <v>1</v>
      </c>
      <c r="CJ1115" s="3">
        <v>2</v>
      </c>
      <c r="CK1115" s="3">
        <v>21</v>
      </c>
      <c r="CL1115" s="3" t="s">
        <v>87</v>
      </c>
    </row>
    <row r="1116" spans="1:90" x14ac:dyDescent="0.2">
      <c r="A1116" s="3" t="s">
        <v>72</v>
      </c>
      <c r="B1116" s="3" t="s">
        <v>73</v>
      </c>
      <c r="C1116" s="3" t="s">
        <v>74</v>
      </c>
      <c r="E1116" s="3" t="str">
        <f>"FES1162845277"</f>
        <v>FES1162845277</v>
      </c>
      <c r="F1116" s="4">
        <v>44579</v>
      </c>
      <c r="G1116" s="3">
        <v>202207</v>
      </c>
      <c r="H1116" s="3" t="s">
        <v>75</v>
      </c>
      <c r="I1116" s="3" t="s">
        <v>76</v>
      </c>
      <c r="J1116" s="3" t="s">
        <v>77</v>
      </c>
      <c r="K1116" s="3" t="s">
        <v>78</v>
      </c>
      <c r="L1116" s="3" t="s">
        <v>101</v>
      </c>
      <c r="M1116" s="3" t="s">
        <v>102</v>
      </c>
      <c r="N1116" s="3" t="s">
        <v>170</v>
      </c>
      <c r="O1116" s="3" t="s">
        <v>82</v>
      </c>
      <c r="P1116" s="3" t="str">
        <f>"2170816834                    "</f>
        <v xml:space="preserve">2170816834                    </v>
      </c>
      <c r="Q1116" s="3">
        <v>0</v>
      </c>
      <c r="R1116" s="3">
        <v>0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0</v>
      </c>
      <c r="AJ1116" s="3">
        <v>0</v>
      </c>
      <c r="AK1116" s="3">
        <v>15.46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0</v>
      </c>
      <c r="BB1116" s="3">
        <v>0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3">
        <v>1</v>
      </c>
      <c r="BI1116" s="3">
        <v>1</v>
      </c>
      <c r="BJ1116" s="3">
        <v>0.2</v>
      </c>
      <c r="BK1116" s="3">
        <v>1</v>
      </c>
      <c r="BL1116" s="3">
        <v>59</v>
      </c>
      <c r="BM1116" s="3">
        <v>8.85</v>
      </c>
      <c r="BN1116" s="3">
        <v>67.849999999999994</v>
      </c>
      <c r="BO1116" s="3">
        <v>67.849999999999994</v>
      </c>
      <c r="BQ1116" s="3" t="s">
        <v>89</v>
      </c>
      <c r="BR1116" s="3" t="s">
        <v>84</v>
      </c>
      <c r="BS1116" s="4">
        <v>44580</v>
      </c>
      <c r="BT1116" s="5">
        <v>0.45416666666666666</v>
      </c>
      <c r="BU1116" s="3" t="s">
        <v>369</v>
      </c>
      <c r="BV1116" s="3" t="s">
        <v>87</v>
      </c>
      <c r="BW1116" s="3" t="s">
        <v>278</v>
      </c>
      <c r="BX1116" s="3" t="s">
        <v>279</v>
      </c>
      <c r="BY1116" s="3">
        <v>1200</v>
      </c>
      <c r="BZ1116" s="3" t="s">
        <v>165</v>
      </c>
      <c r="CA1116" s="3" t="s">
        <v>280</v>
      </c>
      <c r="CC1116" s="3" t="s">
        <v>102</v>
      </c>
      <c r="CD1116" s="3">
        <v>4001</v>
      </c>
      <c r="CE1116" s="3" t="s">
        <v>93</v>
      </c>
      <c r="CF1116" s="4">
        <v>44581</v>
      </c>
      <c r="CI1116" s="3">
        <v>1</v>
      </c>
      <c r="CJ1116" s="3">
        <v>1</v>
      </c>
      <c r="CK1116" s="3">
        <v>21</v>
      </c>
      <c r="CL1116" s="3" t="s">
        <v>87</v>
      </c>
    </row>
    <row r="1117" spans="1:90" x14ac:dyDescent="0.2">
      <c r="A1117" s="3" t="s">
        <v>72</v>
      </c>
      <c r="B1117" s="3" t="s">
        <v>73</v>
      </c>
      <c r="C1117" s="3" t="s">
        <v>74</v>
      </c>
      <c r="E1117" s="3" t="str">
        <f>"FES1162845554"</f>
        <v>FES1162845554</v>
      </c>
      <c r="F1117" s="4">
        <v>44579</v>
      </c>
      <c r="G1117" s="3">
        <v>202207</v>
      </c>
      <c r="H1117" s="3" t="s">
        <v>75</v>
      </c>
      <c r="I1117" s="3" t="s">
        <v>76</v>
      </c>
      <c r="J1117" s="3" t="s">
        <v>77</v>
      </c>
      <c r="K1117" s="3" t="s">
        <v>78</v>
      </c>
      <c r="L1117" s="3" t="s">
        <v>90</v>
      </c>
      <c r="M1117" s="3" t="s">
        <v>91</v>
      </c>
      <c r="N1117" s="3" t="s">
        <v>157</v>
      </c>
      <c r="O1117" s="3" t="s">
        <v>82</v>
      </c>
      <c r="P1117" s="3" t="str">
        <f>"2170817072                    "</f>
        <v xml:space="preserve">2170817072                    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15.46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0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0</v>
      </c>
      <c r="AZ1117" s="3">
        <v>0</v>
      </c>
      <c r="BA1117" s="3">
        <v>0</v>
      </c>
      <c r="BB1117" s="3">
        <v>0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  <c r="BH1117" s="3">
        <v>1</v>
      </c>
      <c r="BI1117" s="3">
        <v>1</v>
      </c>
      <c r="BJ1117" s="3">
        <v>0.2</v>
      </c>
      <c r="BK1117" s="3">
        <v>1</v>
      </c>
      <c r="BL1117" s="3">
        <v>59</v>
      </c>
      <c r="BM1117" s="3">
        <v>8.85</v>
      </c>
      <c r="BN1117" s="3">
        <v>67.849999999999994</v>
      </c>
      <c r="BO1117" s="3">
        <v>67.849999999999994</v>
      </c>
      <c r="BQ1117" s="3" t="s">
        <v>89</v>
      </c>
      <c r="BR1117" s="3" t="s">
        <v>84</v>
      </c>
      <c r="BS1117" s="4">
        <v>44580</v>
      </c>
      <c r="BT1117" s="5">
        <v>0.37847222222222227</v>
      </c>
      <c r="BU1117" s="3" t="s">
        <v>693</v>
      </c>
      <c r="BV1117" s="3" t="s">
        <v>105</v>
      </c>
      <c r="BY1117" s="3">
        <v>1200</v>
      </c>
      <c r="BZ1117" s="3" t="s">
        <v>165</v>
      </c>
      <c r="CA1117" s="3" t="s">
        <v>289</v>
      </c>
      <c r="CC1117" s="3" t="s">
        <v>91</v>
      </c>
      <c r="CD1117" s="3">
        <v>7441</v>
      </c>
      <c r="CE1117" s="3" t="s">
        <v>93</v>
      </c>
      <c r="CF1117" s="4">
        <v>44581</v>
      </c>
      <c r="CI1117" s="3">
        <v>1</v>
      </c>
      <c r="CJ1117" s="3">
        <v>1</v>
      </c>
      <c r="CK1117" s="3">
        <v>21</v>
      </c>
      <c r="CL1117" s="3" t="s">
        <v>87</v>
      </c>
    </row>
    <row r="1118" spans="1:90" x14ac:dyDescent="0.2">
      <c r="A1118" s="3" t="s">
        <v>72</v>
      </c>
      <c r="B1118" s="3" t="s">
        <v>73</v>
      </c>
      <c r="C1118" s="3" t="s">
        <v>74</v>
      </c>
      <c r="E1118" s="3" t="str">
        <f>"FES1162845649"</f>
        <v>FES1162845649</v>
      </c>
      <c r="F1118" s="4">
        <v>44579</v>
      </c>
      <c r="G1118" s="3">
        <v>202207</v>
      </c>
      <c r="H1118" s="3" t="s">
        <v>75</v>
      </c>
      <c r="I1118" s="3" t="s">
        <v>76</v>
      </c>
      <c r="J1118" s="3" t="s">
        <v>77</v>
      </c>
      <c r="K1118" s="3" t="s">
        <v>78</v>
      </c>
      <c r="L1118" s="3" t="s">
        <v>120</v>
      </c>
      <c r="M1118" s="3" t="s">
        <v>121</v>
      </c>
      <c r="N1118" s="3" t="s">
        <v>122</v>
      </c>
      <c r="O1118" s="3" t="s">
        <v>82</v>
      </c>
      <c r="P1118" s="3" t="str">
        <f>"2170817150                    "</f>
        <v xml:space="preserve">2170817150                    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15.46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3">
        <v>0</v>
      </c>
      <c r="AY1118" s="3">
        <v>0</v>
      </c>
      <c r="AZ1118" s="3">
        <v>0</v>
      </c>
      <c r="BA1118" s="3">
        <v>0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3">
        <v>1</v>
      </c>
      <c r="BI1118" s="3">
        <v>1</v>
      </c>
      <c r="BJ1118" s="3">
        <v>0.2</v>
      </c>
      <c r="BK1118" s="3">
        <v>1</v>
      </c>
      <c r="BL1118" s="3">
        <v>59</v>
      </c>
      <c r="BM1118" s="3">
        <v>8.85</v>
      </c>
      <c r="BN1118" s="3">
        <v>67.849999999999994</v>
      </c>
      <c r="BO1118" s="3">
        <v>67.849999999999994</v>
      </c>
      <c r="BQ1118" s="3" t="s">
        <v>89</v>
      </c>
      <c r="BR1118" s="3" t="s">
        <v>84</v>
      </c>
      <c r="BS1118" s="4">
        <v>44581</v>
      </c>
      <c r="BT1118" s="5">
        <v>0.42152777777777778</v>
      </c>
      <c r="BU1118" s="3" t="s">
        <v>1488</v>
      </c>
      <c r="BV1118" s="3" t="s">
        <v>87</v>
      </c>
      <c r="BW1118" s="3" t="s">
        <v>457</v>
      </c>
      <c r="BX1118" s="3" t="s">
        <v>458</v>
      </c>
      <c r="BY1118" s="3">
        <v>1200</v>
      </c>
      <c r="BZ1118" s="3" t="s">
        <v>165</v>
      </c>
      <c r="CA1118" s="3" t="s">
        <v>553</v>
      </c>
      <c r="CC1118" s="3" t="s">
        <v>121</v>
      </c>
      <c r="CD1118" s="3">
        <v>6230</v>
      </c>
      <c r="CE1118" s="3" t="s">
        <v>93</v>
      </c>
      <c r="CF1118" s="4">
        <v>44581</v>
      </c>
      <c r="CI1118" s="3">
        <v>1</v>
      </c>
      <c r="CJ1118" s="3">
        <v>2</v>
      </c>
      <c r="CK1118" s="3">
        <v>21</v>
      </c>
      <c r="CL1118" s="3" t="s">
        <v>87</v>
      </c>
    </row>
    <row r="1119" spans="1:90" x14ac:dyDescent="0.2">
      <c r="A1119" s="3" t="s">
        <v>72</v>
      </c>
      <c r="B1119" s="3" t="s">
        <v>73</v>
      </c>
      <c r="C1119" s="3" t="s">
        <v>74</v>
      </c>
      <c r="E1119" s="3" t="str">
        <f>"FES1162845553"</f>
        <v>FES1162845553</v>
      </c>
      <c r="F1119" s="4">
        <v>44579</v>
      </c>
      <c r="G1119" s="3">
        <v>202207</v>
      </c>
      <c r="H1119" s="3" t="s">
        <v>75</v>
      </c>
      <c r="I1119" s="3" t="s">
        <v>76</v>
      </c>
      <c r="J1119" s="3" t="s">
        <v>77</v>
      </c>
      <c r="K1119" s="3" t="s">
        <v>78</v>
      </c>
      <c r="L1119" s="3" t="s">
        <v>90</v>
      </c>
      <c r="M1119" s="3" t="s">
        <v>91</v>
      </c>
      <c r="N1119" s="3" t="s">
        <v>92</v>
      </c>
      <c r="O1119" s="3" t="s">
        <v>82</v>
      </c>
      <c r="P1119" s="3" t="str">
        <f>"2170817071                    "</f>
        <v xml:space="preserve">2170817071                    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15.46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  <c r="BH1119" s="3">
        <v>1</v>
      </c>
      <c r="BI1119" s="3">
        <v>1</v>
      </c>
      <c r="BJ1119" s="3">
        <v>0.2</v>
      </c>
      <c r="BK1119" s="3">
        <v>1</v>
      </c>
      <c r="BL1119" s="3">
        <v>59</v>
      </c>
      <c r="BM1119" s="3">
        <v>8.85</v>
      </c>
      <c r="BN1119" s="3">
        <v>67.849999999999994</v>
      </c>
      <c r="BO1119" s="3">
        <v>67.849999999999994</v>
      </c>
      <c r="BQ1119" s="3" t="s">
        <v>83</v>
      </c>
      <c r="BR1119" s="3" t="s">
        <v>84</v>
      </c>
      <c r="BS1119" s="4">
        <v>44580</v>
      </c>
      <c r="BT1119" s="5">
        <v>0.41666666666666669</v>
      </c>
      <c r="BU1119" s="3" t="s">
        <v>1489</v>
      </c>
      <c r="BV1119" s="3" t="s">
        <v>105</v>
      </c>
      <c r="BY1119" s="3">
        <v>1200</v>
      </c>
      <c r="BZ1119" s="3" t="s">
        <v>165</v>
      </c>
      <c r="CA1119" s="3" t="s">
        <v>596</v>
      </c>
      <c r="CC1119" s="3" t="s">
        <v>91</v>
      </c>
      <c r="CD1119" s="3">
        <v>7530</v>
      </c>
      <c r="CE1119" s="3" t="s">
        <v>93</v>
      </c>
      <c r="CF1119" s="4">
        <v>44581</v>
      </c>
      <c r="CI1119" s="3">
        <v>1</v>
      </c>
      <c r="CJ1119" s="3">
        <v>1</v>
      </c>
      <c r="CK1119" s="3">
        <v>21</v>
      </c>
      <c r="CL1119" s="3" t="s">
        <v>87</v>
      </c>
    </row>
    <row r="1120" spans="1:90" x14ac:dyDescent="0.2">
      <c r="A1120" s="3" t="s">
        <v>72</v>
      </c>
      <c r="B1120" s="3" t="s">
        <v>73</v>
      </c>
      <c r="C1120" s="3" t="s">
        <v>74</v>
      </c>
      <c r="E1120" s="3" t="str">
        <f>"FES1162845626"</f>
        <v>FES1162845626</v>
      </c>
      <c r="F1120" s="4">
        <v>44579</v>
      </c>
      <c r="G1120" s="3">
        <v>202207</v>
      </c>
      <c r="H1120" s="3" t="s">
        <v>75</v>
      </c>
      <c r="I1120" s="3" t="s">
        <v>76</v>
      </c>
      <c r="J1120" s="3" t="s">
        <v>77</v>
      </c>
      <c r="K1120" s="3" t="s">
        <v>78</v>
      </c>
      <c r="L1120" s="3" t="s">
        <v>94</v>
      </c>
      <c r="M1120" s="3" t="s">
        <v>95</v>
      </c>
      <c r="N1120" s="3" t="s">
        <v>613</v>
      </c>
      <c r="O1120" s="3" t="s">
        <v>82</v>
      </c>
      <c r="P1120" s="3" t="str">
        <f>"2170815651                    "</f>
        <v xml:space="preserve">2170815651                    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15.46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0</v>
      </c>
      <c r="AZ1120" s="3">
        <v>0</v>
      </c>
      <c r="BA1120" s="3">
        <v>0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  <c r="BH1120" s="3">
        <v>1</v>
      </c>
      <c r="BI1120" s="3">
        <v>1</v>
      </c>
      <c r="BJ1120" s="3">
        <v>0.2</v>
      </c>
      <c r="BK1120" s="3">
        <v>1</v>
      </c>
      <c r="BL1120" s="3">
        <v>59</v>
      </c>
      <c r="BM1120" s="3">
        <v>8.85</v>
      </c>
      <c r="BN1120" s="3">
        <v>67.849999999999994</v>
      </c>
      <c r="BO1120" s="3">
        <v>67.849999999999994</v>
      </c>
      <c r="BQ1120" s="3" t="s">
        <v>89</v>
      </c>
      <c r="BR1120" s="3" t="s">
        <v>84</v>
      </c>
      <c r="BS1120" s="4">
        <v>44580</v>
      </c>
      <c r="BT1120" s="5">
        <v>0.44513888888888892</v>
      </c>
      <c r="BU1120" s="3" t="s">
        <v>1462</v>
      </c>
      <c r="BV1120" s="3" t="s">
        <v>105</v>
      </c>
      <c r="BY1120" s="3">
        <v>1200</v>
      </c>
      <c r="CC1120" s="3" t="s">
        <v>95</v>
      </c>
      <c r="CD1120" s="3">
        <v>3212</v>
      </c>
      <c r="CE1120" s="3" t="s">
        <v>93</v>
      </c>
      <c r="CI1120" s="3">
        <v>1</v>
      </c>
      <c r="CJ1120" s="3">
        <v>1</v>
      </c>
      <c r="CK1120" s="3">
        <v>21</v>
      </c>
      <c r="CL1120" s="3" t="s">
        <v>87</v>
      </c>
    </row>
    <row r="1121" spans="1:90" x14ac:dyDescent="0.2">
      <c r="A1121" s="3" t="s">
        <v>72</v>
      </c>
      <c r="B1121" s="3" t="s">
        <v>73</v>
      </c>
      <c r="C1121" s="3" t="s">
        <v>74</v>
      </c>
      <c r="E1121" s="3" t="str">
        <f>"FES1162845562"</f>
        <v>FES1162845562</v>
      </c>
      <c r="F1121" s="4">
        <v>44579</v>
      </c>
      <c r="G1121" s="3">
        <v>202207</v>
      </c>
      <c r="H1121" s="3" t="s">
        <v>75</v>
      </c>
      <c r="I1121" s="3" t="s">
        <v>76</v>
      </c>
      <c r="J1121" s="3" t="s">
        <v>77</v>
      </c>
      <c r="K1121" s="3" t="s">
        <v>78</v>
      </c>
      <c r="L1121" s="3" t="s">
        <v>101</v>
      </c>
      <c r="M1121" s="3" t="s">
        <v>102</v>
      </c>
      <c r="N1121" s="3" t="s">
        <v>935</v>
      </c>
      <c r="O1121" s="3" t="s">
        <v>82</v>
      </c>
      <c r="P1121" s="3" t="str">
        <f>"2170817085                    "</f>
        <v xml:space="preserve">2170817085                    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15.46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0</v>
      </c>
      <c r="AZ1121" s="3">
        <v>0</v>
      </c>
      <c r="BA1121" s="3">
        <v>0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3">
        <v>1</v>
      </c>
      <c r="BI1121" s="3">
        <v>1</v>
      </c>
      <c r="BJ1121" s="3">
        <v>0.2</v>
      </c>
      <c r="BK1121" s="3">
        <v>1</v>
      </c>
      <c r="BL1121" s="3">
        <v>59</v>
      </c>
      <c r="BM1121" s="3">
        <v>8.85</v>
      </c>
      <c r="BN1121" s="3">
        <v>67.849999999999994</v>
      </c>
      <c r="BO1121" s="3">
        <v>67.849999999999994</v>
      </c>
      <c r="BQ1121" s="3" t="s">
        <v>89</v>
      </c>
      <c r="BR1121" s="3" t="s">
        <v>84</v>
      </c>
      <c r="BS1121" s="4">
        <v>44580</v>
      </c>
      <c r="BT1121" s="5">
        <v>0.35555555555555557</v>
      </c>
      <c r="BU1121" s="3" t="s">
        <v>1357</v>
      </c>
      <c r="BV1121" s="3" t="s">
        <v>105</v>
      </c>
      <c r="BY1121" s="3">
        <v>1200</v>
      </c>
      <c r="BZ1121" s="3" t="s">
        <v>165</v>
      </c>
      <c r="CA1121" s="3" t="s">
        <v>615</v>
      </c>
      <c r="CC1121" s="3" t="s">
        <v>102</v>
      </c>
      <c r="CD1121" s="3">
        <v>4001</v>
      </c>
      <c r="CE1121" s="3" t="s">
        <v>93</v>
      </c>
      <c r="CF1121" s="4">
        <v>44581</v>
      </c>
      <c r="CI1121" s="3">
        <v>1</v>
      </c>
      <c r="CJ1121" s="3">
        <v>1</v>
      </c>
      <c r="CK1121" s="3">
        <v>21</v>
      </c>
      <c r="CL1121" s="3" t="s">
        <v>87</v>
      </c>
    </row>
    <row r="1122" spans="1:90" x14ac:dyDescent="0.2">
      <c r="A1122" s="3" t="s">
        <v>72</v>
      </c>
      <c r="B1122" s="3" t="s">
        <v>73</v>
      </c>
      <c r="C1122" s="3" t="s">
        <v>74</v>
      </c>
      <c r="E1122" s="3" t="str">
        <f>"FES1162845581"</f>
        <v>FES1162845581</v>
      </c>
      <c r="F1122" s="4">
        <v>44579</v>
      </c>
      <c r="G1122" s="3">
        <v>202207</v>
      </c>
      <c r="H1122" s="3" t="s">
        <v>75</v>
      </c>
      <c r="I1122" s="3" t="s">
        <v>76</v>
      </c>
      <c r="J1122" s="3" t="s">
        <v>77</v>
      </c>
      <c r="K1122" s="3" t="s">
        <v>78</v>
      </c>
      <c r="L1122" s="3" t="s">
        <v>75</v>
      </c>
      <c r="M1122" s="3" t="s">
        <v>76</v>
      </c>
      <c r="N1122" s="3" t="s">
        <v>153</v>
      </c>
      <c r="O1122" s="3" t="s">
        <v>82</v>
      </c>
      <c r="P1122" s="3" t="str">
        <f>"2170817113                    "</f>
        <v xml:space="preserve">2170817113                    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12.07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0</v>
      </c>
      <c r="AZ1122" s="3">
        <v>0</v>
      </c>
      <c r="BA1122" s="3">
        <v>0</v>
      </c>
      <c r="BB1122" s="3">
        <v>0</v>
      </c>
      <c r="BC1122" s="3">
        <v>0</v>
      </c>
      <c r="BD1122" s="3">
        <v>0</v>
      </c>
      <c r="BE1122" s="3">
        <v>0</v>
      </c>
      <c r="BF1122" s="3">
        <v>0</v>
      </c>
      <c r="BG1122" s="3">
        <v>0</v>
      </c>
      <c r="BH1122" s="3">
        <v>1</v>
      </c>
      <c r="BI1122" s="3">
        <v>1</v>
      </c>
      <c r="BJ1122" s="3">
        <v>4.0999999999999996</v>
      </c>
      <c r="BK1122" s="3">
        <v>4.5</v>
      </c>
      <c r="BL1122" s="3">
        <v>46.08</v>
      </c>
      <c r="BM1122" s="3">
        <v>6.91</v>
      </c>
      <c r="BN1122" s="3">
        <v>52.99</v>
      </c>
      <c r="BO1122" s="3">
        <v>52.99</v>
      </c>
      <c r="BR1122" s="3" t="s">
        <v>84</v>
      </c>
      <c r="BS1122" s="4">
        <v>44580</v>
      </c>
      <c r="BT1122" s="5">
        <v>0.42083333333333334</v>
      </c>
      <c r="BU1122" s="3" t="s">
        <v>1490</v>
      </c>
      <c r="BV1122" s="3" t="s">
        <v>105</v>
      </c>
      <c r="BY1122" s="3">
        <v>20358</v>
      </c>
      <c r="BZ1122" s="3" t="s">
        <v>165</v>
      </c>
      <c r="CA1122" s="3" t="s">
        <v>227</v>
      </c>
      <c r="CC1122" s="3" t="s">
        <v>76</v>
      </c>
      <c r="CD1122" s="3">
        <v>1600</v>
      </c>
      <c r="CE1122" s="3" t="s">
        <v>86</v>
      </c>
      <c r="CF1122" s="4">
        <v>44580</v>
      </c>
      <c r="CI1122" s="3">
        <v>1</v>
      </c>
      <c r="CJ1122" s="3">
        <v>1</v>
      </c>
      <c r="CK1122" s="3">
        <v>22</v>
      </c>
      <c r="CL1122" s="3" t="s">
        <v>87</v>
      </c>
    </row>
    <row r="1123" spans="1:90" x14ac:dyDescent="0.2">
      <c r="A1123" s="3" t="s">
        <v>72</v>
      </c>
      <c r="B1123" s="3" t="s">
        <v>73</v>
      </c>
      <c r="C1123" s="3" t="s">
        <v>74</v>
      </c>
      <c r="E1123" s="3" t="str">
        <f>"FES1162845548"</f>
        <v>FES1162845548</v>
      </c>
      <c r="F1123" s="4">
        <v>44579</v>
      </c>
      <c r="G1123" s="3">
        <v>202207</v>
      </c>
      <c r="H1123" s="3" t="s">
        <v>75</v>
      </c>
      <c r="I1123" s="3" t="s">
        <v>76</v>
      </c>
      <c r="J1123" s="3" t="s">
        <v>77</v>
      </c>
      <c r="K1123" s="3" t="s">
        <v>78</v>
      </c>
      <c r="L1123" s="3" t="s">
        <v>1491</v>
      </c>
      <c r="M1123" s="3" t="s">
        <v>1492</v>
      </c>
      <c r="N1123" s="3" t="s">
        <v>1493</v>
      </c>
      <c r="O1123" s="3" t="s">
        <v>82</v>
      </c>
      <c r="P1123" s="3" t="str">
        <f>"2170816720                    "</f>
        <v xml:space="preserve">2170816720                    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0</v>
      </c>
      <c r="AJ1123" s="3">
        <v>0</v>
      </c>
      <c r="AK1123" s="3">
        <v>15.46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0</v>
      </c>
      <c r="AZ1123" s="3">
        <v>0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1</v>
      </c>
      <c r="BI1123" s="3">
        <v>1</v>
      </c>
      <c r="BJ1123" s="3">
        <v>0.2</v>
      </c>
      <c r="BK1123" s="3">
        <v>1</v>
      </c>
      <c r="BL1123" s="3">
        <v>59</v>
      </c>
      <c r="BM1123" s="3">
        <v>8.85</v>
      </c>
      <c r="BN1123" s="3">
        <v>67.849999999999994</v>
      </c>
      <c r="BO1123" s="3">
        <v>67.849999999999994</v>
      </c>
      <c r="BQ1123" s="3" t="s">
        <v>1494</v>
      </c>
      <c r="BR1123" s="3" t="s">
        <v>84</v>
      </c>
      <c r="BS1123" s="4">
        <v>44580</v>
      </c>
      <c r="BT1123" s="5">
        <v>0.9291666666666667</v>
      </c>
      <c r="BU1123" s="3" t="s">
        <v>1495</v>
      </c>
      <c r="BV1123" s="3" t="s">
        <v>87</v>
      </c>
      <c r="BW1123" s="3" t="s">
        <v>278</v>
      </c>
      <c r="BX1123" s="3" t="s">
        <v>279</v>
      </c>
      <c r="BY1123" s="3">
        <v>1200</v>
      </c>
      <c r="BZ1123" s="3" t="s">
        <v>165</v>
      </c>
      <c r="CA1123" s="3" t="s">
        <v>1496</v>
      </c>
      <c r="CC1123" s="3" t="s">
        <v>1492</v>
      </c>
      <c r="CD1123" s="3">
        <v>4120</v>
      </c>
      <c r="CE1123" s="3" t="s">
        <v>93</v>
      </c>
      <c r="CF1123" s="4">
        <v>44581</v>
      </c>
      <c r="CI1123" s="3">
        <v>1</v>
      </c>
      <c r="CJ1123" s="3">
        <v>1</v>
      </c>
      <c r="CK1123" s="3">
        <v>21</v>
      </c>
      <c r="CL1123" s="3" t="s">
        <v>87</v>
      </c>
    </row>
    <row r="1124" spans="1:90" x14ac:dyDescent="0.2">
      <c r="A1124" s="3" t="s">
        <v>72</v>
      </c>
      <c r="B1124" s="3" t="s">
        <v>73</v>
      </c>
      <c r="C1124" s="3" t="s">
        <v>74</v>
      </c>
      <c r="E1124" s="3" t="str">
        <f>"FES1162845617"</f>
        <v>FES1162845617</v>
      </c>
      <c r="F1124" s="4">
        <v>44579</v>
      </c>
      <c r="G1124" s="3">
        <v>202207</v>
      </c>
      <c r="H1124" s="3" t="s">
        <v>75</v>
      </c>
      <c r="I1124" s="3" t="s">
        <v>76</v>
      </c>
      <c r="J1124" s="3" t="s">
        <v>77</v>
      </c>
      <c r="K1124" s="3" t="s">
        <v>78</v>
      </c>
      <c r="L1124" s="3" t="s">
        <v>1179</v>
      </c>
      <c r="M1124" s="3" t="s">
        <v>1180</v>
      </c>
      <c r="N1124" s="3" t="s">
        <v>1497</v>
      </c>
      <c r="O1124" s="3" t="s">
        <v>82</v>
      </c>
      <c r="P1124" s="3" t="str">
        <f>"2170815453                    "</f>
        <v xml:space="preserve">2170815453                    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0</v>
      </c>
      <c r="AJ1124" s="3">
        <v>0</v>
      </c>
      <c r="AK1124" s="3">
        <v>29.95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15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1</v>
      </c>
      <c r="BI1124" s="3">
        <v>1</v>
      </c>
      <c r="BJ1124" s="3">
        <v>0.2</v>
      </c>
      <c r="BK1124" s="3">
        <v>1</v>
      </c>
      <c r="BL1124" s="3">
        <v>129.31</v>
      </c>
      <c r="BM1124" s="3">
        <v>19.399999999999999</v>
      </c>
      <c r="BN1124" s="3">
        <v>148.71</v>
      </c>
      <c r="BO1124" s="3">
        <v>148.71</v>
      </c>
      <c r="BQ1124" s="3" t="s">
        <v>89</v>
      </c>
      <c r="BR1124" s="3" t="s">
        <v>84</v>
      </c>
      <c r="BS1124" s="4">
        <v>44580</v>
      </c>
      <c r="BT1124" s="5">
        <v>0.59027777777777779</v>
      </c>
      <c r="BU1124" s="3" t="s">
        <v>1498</v>
      </c>
      <c r="BV1124" s="3" t="s">
        <v>105</v>
      </c>
      <c r="BY1124" s="3">
        <v>1200</v>
      </c>
      <c r="BZ1124" s="3" t="s">
        <v>446</v>
      </c>
      <c r="CA1124" s="3" t="s">
        <v>1499</v>
      </c>
      <c r="CC1124" s="3" t="s">
        <v>1180</v>
      </c>
      <c r="CD1124" s="3">
        <v>407</v>
      </c>
      <c r="CE1124" s="3" t="s">
        <v>93</v>
      </c>
      <c r="CF1124" s="4">
        <v>44580</v>
      </c>
      <c r="CI1124" s="3">
        <v>1</v>
      </c>
      <c r="CJ1124" s="3">
        <v>1</v>
      </c>
      <c r="CK1124" s="3">
        <v>23</v>
      </c>
      <c r="CL1124" s="3" t="s">
        <v>87</v>
      </c>
    </row>
    <row r="1125" spans="1:90" x14ac:dyDescent="0.2">
      <c r="A1125" s="3" t="s">
        <v>72</v>
      </c>
      <c r="B1125" s="3" t="s">
        <v>73</v>
      </c>
      <c r="C1125" s="3" t="s">
        <v>74</v>
      </c>
      <c r="E1125" s="3" t="str">
        <f>"FES1162845709"</f>
        <v>FES1162845709</v>
      </c>
      <c r="F1125" s="4">
        <v>44579</v>
      </c>
      <c r="G1125" s="3">
        <v>202207</v>
      </c>
      <c r="H1125" s="3" t="s">
        <v>75</v>
      </c>
      <c r="I1125" s="3" t="s">
        <v>76</v>
      </c>
      <c r="J1125" s="3" t="s">
        <v>77</v>
      </c>
      <c r="K1125" s="3" t="s">
        <v>78</v>
      </c>
      <c r="L1125" s="3" t="s">
        <v>90</v>
      </c>
      <c r="M1125" s="3" t="s">
        <v>91</v>
      </c>
      <c r="N1125" s="3" t="s">
        <v>114</v>
      </c>
      <c r="O1125" s="3" t="s">
        <v>82</v>
      </c>
      <c r="P1125" s="3" t="str">
        <f>"2170817188                    "</f>
        <v xml:space="preserve">2170817188                    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42.49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0</v>
      </c>
      <c r="AZ1125" s="3">
        <v>0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3">
        <v>1</v>
      </c>
      <c r="BI1125" s="3">
        <v>3</v>
      </c>
      <c r="BJ1125" s="3">
        <v>5.4</v>
      </c>
      <c r="BK1125" s="3">
        <v>5.5</v>
      </c>
      <c r="BL1125" s="3">
        <v>162.19</v>
      </c>
      <c r="BM1125" s="3">
        <v>24.33</v>
      </c>
      <c r="BN1125" s="3">
        <v>186.52</v>
      </c>
      <c r="BO1125" s="3">
        <v>186.52</v>
      </c>
      <c r="BQ1125" s="3" t="s">
        <v>89</v>
      </c>
      <c r="BR1125" s="3" t="s">
        <v>84</v>
      </c>
      <c r="BS1125" s="4">
        <v>44580</v>
      </c>
      <c r="BT1125" s="5">
        <v>0.38750000000000001</v>
      </c>
      <c r="BU1125" s="3" t="s">
        <v>1205</v>
      </c>
      <c r="BV1125" s="3" t="s">
        <v>105</v>
      </c>
      <c r="BY1125" s="3">
        <v>27225</v>
      </c>
      <c r="CA1125" s="3" t="s">
        <v>289</v>
      </c>
      <c r="CC1125" s="3" t="s">
        <v>91</v>
      </c>
      <c r="CD1125" s="3">
        <v>7441</v>
      </c>
      <c r="CE1125" s="3" t="s">
        <v>86</v>
      </c>
      <c r="CF1125" s="4">
        <v>44581</v>
      </c>
      <c r="CI1125" s="3">
        <v>1</v>
      </c>
      <c r="CJ1125" s="3">
        <v>1</v>
      </c>
      <c r="CK1125" s="3">
        <v>21</v>
      </c>
      <c r="CL1125" s="3" t="s">
        <v>87</v>
      </c>
    </row>
    <row r="1126" spans="1:90" x14ac:dyDescent="0.2">
      <c r="A1126" s="3" t="s">
        <v>72</v>
      </c>
      <c r="B1126" s="3" t="s">
        <v>73</v>
      </c>
      <c r="C1126" s="3" t="s">
        <v>74</v>
      </c>
      <c r="E1126" s="3" t="str">
        <f>"FES1162845640"</f>
        <v>FES1162845640</v>
      </c>
      <c r="F1126" s="4">
        <v>44579</v>
      </c>
      <c r="G1126" s="3">
        <v>202207</v>
      </c>
      <c r="H1126" s="3" t="s">
        <v>75</v>
      </c>
      <c r="I1126" s="3" t="s">
        <v>76</v>
      </c>
      <c r="J1126" s="3" t="s">
        <v>77</v>
      </c>
      <c r="K1126" s="3" t="s">
        <v>78</v>
      </c>
      <c r="L1126" s="3" t="s">
        <v>171</v>
      </c>
      <c r="M1126" s="3" t="s">
        <v>172</v>
      </c>
      <c r="N1126" s="3" t="s">
        <v>199</v>
      </c>
      <c r="O1126" s="3" t="s">
        <v>82</v>
      </c>
      <c r="P1126" s="3" t="str">
        <f>"2170813027                    "</f>
        <v xml:space="preserve">2170813027                    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15.46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0</v>
      </c>
      <c r="AZ1126" s="3">
        <v>0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3">
        <v>1</v>
      </c>
      <c r="BI1126" s="3">
        <v>1</v>
      </c>
      <c r="BJ1126" s="3">
        <v>0.2</v>
      </c>
      <c r="BK1126" s="3">
        <v>1</v>
      </c>
      <c r="BL1126" s="3">
        <v>59</v>
      </c>
      <c r="BM1126" s="3">
        <v>8.85</v>
      </c>
      <c r="BN1126" s="3">
        <v>67.849999999999994</v>
      </c>
      <c r="BO1126" s="3">
        <v>67.849999999999994</v>
      </c>
      <c r="BR1126" s="3" t="s">
        <v>84</v>
      </c>
      <c r="BS1126" s="4">
        <v>44580</v>
      </c>
      <c r="BT1126" s="5">
        <v>0.32361111111111113</v>
      </c>
      <c r="BU1126" s="3" t="s">
        <v>1500</v>
      </c>
      <c r="BV1126" s="3" t="s">
        <v>105</v>
      </c>
      <c r="BY1126" s="3">
        <v>1200</v>
      </c>
      <c r="CA1126" s="3" t="s">
        <v>408</v>
      </c>
      <c r="CC1126" s="3" t="s">
        <v>172</v>
      </c>
      <c r="CD1126" s="3">
        <v>6000</v>
      </c>
      <c r="CE1126" s="3" t="s">
        <v>93</v>
      </c>
      <c r="CF1126" s="4">
        <v>44581</v>
      </c>
      <c r="CI1126" s="3">
        <v>1</v>
      </c>
      <c r="CJ1126" s="3">
        <v>1</v>
      </c>
      <c r="CK1126" s="3">
        <v>21</v>
      </c>
      <c r="CL1126" s="3" t="s">
        <v>87</v>
      </c>
    </row>
    <row r="1127" spans="1:90" x14ac:dyDescent="0.2">
      <c r="A1127" s="3" t="s">
        <v>72</v>
      </c>
      <c r="B1127" s="3" t="s">
        <v>73</v>
      </c>
      <c r="C1127" s="3" t="s">
        <v>74</v>
      </c>
      <c r="E1127" s="3" t="str">
        <f>"FES1162845644"</f>
        <v>FES1162845644</v>
      </c>
      <c r="F1127" s="4">
        <v>44579</v>
      </c>
      <c r="G1127" s="3">
        <v>202207</v>
      </c>
      <c r="H1127" s="3" t="s">
        <v>75</v>
      </c>
      <c r="I1127" s="3" t="s">
        <v>76</v>
      </c>
      <c r="J1127" s="3" t="s">
        <v>77</v>
      </c>
      <c r="K1127" s="3" t="s">
        <v>78</v>
      </c>
      <c r="L1127" s="3" t="s">
        <v>195</v>
      </c>
      <c r="M1127" s="3" t="s">
        <v>196</v>
      </c>
      <c r="N1127" s="3" t="s">
        <v>1501</v>
      </c>
      <c r="O1127" s="3" t="s">
        <v>82</v>
      </c>
      <c r="P1127" s="3" t="str">
        <f>"2170817149                    "</f>
        <v xml:space="preserve">2170817149                    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46.36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0</v>
      </c>
      <c r="AZ1127" s="3">
        <v>0</v>
      </c>
      <c r="BA1127" s="3">
        <v>0</v>
      </c>
      <c r="BB1127" s="3">
        <v>0</v>
      </c>
      <c r="BC1127" s="3">
        <v>0</v>
      </c>
      <c r="BD1127" s="3">
        <v>0</v>
      </c>
      <c r="BE1127" s="3">
        <v>0</v>
      </c>
      <c r="BF1127" s="3">
        <v>0</v>
      </c>
      <c r="BG1127" s="3">
        <v>0</v>
      </c>
      <c r="BH1127" s="3">
        <v>1</v>
      </c>
      <c r="BI1127" s="3">
        <v>6</v>
      </c>
      <c r="BJ1127" s="3">
        <v>3.8</v>
      </c>
      <c r="BK1127" s="3">
        <v>6</v>
      </c>
      <c r="BL1127" s="3">
        <v>176.94</v>
      </c>
      <c r="BM1127" s="3">
        <v>26.54</v>
      </c>
      <c r="BN1127" s="3">
        <v>203.48</v>
      </c>
      <c r="BO1127" s="3">
        <v>203.48</v>
      </c>
      <c r="BR1127" s="3" t="s">
        <v>84</v>
      </c>
      <c r="BS1127" s="4">
        <v>44582</v>
      </c>
      <c r="BT1127" s="5">
        <v>0.41319444444444442</v>
      </c>
      <c r="BU1127" s="3" t="s">
        <v>1502</v>
      </c>
      <c r="BV1127" s="3" t="s">
        <v>87</v>
      </c>
      <c r="BW1127" s="3" t="s">
        <v>278</v>
      </c>
      <c r="BX1127" s="3" t="s">
        <v>279</v>
      </c>
      <c r="BY1127" s="3">
        <v>19040</v>
      </c>
      <c r="BZ1127" s="3" t="s">
        <v>165</v>
      </c>
      <c r="CA1127" s="3" t="s">
        <v>1503</v>
      </c>
      <c r="CC1127" s="3" t="s">
        <v>196</v>
      </c>
      <c r="CD1127" s="3">
        <v>4156</v>
      </c>
      <c r="CE1127" s="3" t="s">
        <v>86</v>
      </c>
      <c r="CF1127" s="4">
        <v>44585</v>
      </c>
      <c r="CI1127" s="3">
        <v>1</v>
      </c>
      <c r="CJ1127" s="3">
        <v>3</v>
      </c>
      <c r="CK1127" s="3">
        <v>21</v>
      </c>
      <c r="CL1127" s="3" t="s">
        <v>87</v>
      </c>
    </row>
    <row r="1128" spans="1:90" x14ac:dyDescent="0.2">
      <c r="A1128" s="3" t="s">
        <v>72</v>
      </c>
      <c r="B1128" s="3" t="s">
        <v>73</v>
      </c>
      <c r="C1128" s="3" t="s">
        <v>74</v>
      </c>
      <c r="E1128" s="3" t="str">
        <f>"FES1162845585"</f>
        <v>FES1162845585</v>
      </c>
      <c r="F1128" s="4">
        <v>44579</v>
      </c>
      <c r="G1128" s="3">
        <v>202207</v>
      </c>
      <c r="H1128" s="3" t="s">
        <v>75</v>
      </c>
      <c r="I1128" s="3" t="s">
        <v>76</v>
      </c>
      <c r="J1128" s="3" t="s">
        <v>77</v>
      </c>
      <c r="K1128" s="3" t="s">
        <v>78</v>
      </c>
      <c r="L1128" s="3" t="s">
        <v>90</v>
      </c>
      <c r="M1128" s="3" t="s">
        <v>91</v>
      </c>
      <c r="N1128" s="3" t="s">
        <v>157</v>
      </c>
      <c r="O1128" s="3" t="s">
        <v>82</v>
      </c>
      <c r="P1128" s="3" t="str">
        <f>"2170817119                    "</f>
        <v xml:space="preserve">2170817119                    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15.46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0</v>
      </c>
      <c r="AZ1128" s="3">
        <v>0</v>
      </c>
      <c r="BA1128" s="3">
        <v>0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3">
        <v>1</v>
      </c>
      <c r="BI1128" s="3">
        <v>1</v>
      </c>
      <c r="BJ1128" s="3">
        <v>0.2</v>
      </c>
      <c r="BK1128" s="3">
        <v>1</v>
      </c>
      <c r="BL1128" s="3">
        <v>59</v>
      </c>
      <c r="BM1128" s="3">
        <v>8.85</v>
      </c>
      <c r="BN1128" s="3">
        <v>67.849999999999994</v>
      </c>
      <c r="BO1128" s="3">
        <v>67.849999999999994</v>
      </c>
      <c r="BQ1128" s="3" t="s">
        <v>89</v>
      </c>
      <c r="BR1128" s="3" t="s">
        <v>84</v>
      </c>
      <c r="BS1128" s="4">
        <v>44580</v>
      </c>
      <c r="BT1128" s="5">
        <v>0.37847222222222227</v>
      </c>
      <c r="BU1128" s="3" t="s">
        <v>693</v>
      </c>
      <c r="BV1128" s="3" t="s">
        <v>105</v>
      </c>
      <c r="BY1128" s="3">
        <v>1200</v>
      </c>
      <c r="BZ1128" s="3" t="s">
        <v>165</v>
      </c>
      <c r="CA1128" s="3" t="s">
        <v>289</v>
      </c>
      <c r="CC1128" s="3" t="s">
        <v>91</v>
      </c>
      <c r="CD1128" s="3">
        <v>7441</v>
      </c>
      <c r="CE1128" s="3" t="s">
        <v>93</v>
      </c>
      <c r="CF1128" s="4">
        <v>44581</v>
      </c>
      <c r="CI1128" s="3">
        <v>1</v>
      </c>
      <c r="CJ1128" s="3">
        <v>1</v>
      </c>
      <c r="CK1128" s="3">
        <v>21</v>
      </c>
      <c r="CL1128" s="3" t="s">
        <v>87</v>
      </c>
    </row>
    <row r="1129" spans="1:90" x14ac:dyDescent="0.2">
      <c r="A1129" s="3" t="s">
        <v>72</v>
      </c>
      <c r="B1129" s="3" t="s">
        <v>73</v>
      </c>
      <c r="C1129" s="3" t="s">
        <v>74</v>
      </c>
      <c r="E1129" s="3" t="str">
        <f>"009942045055"</f>
        <v>009942045055</v>
      </c>
      <c r="F1129" s="4">
        <v>44579</v>
      </c>
      <c r="G1129" s="3">
        <v>202207</v>
      </c>
      <c r="H1129" s="3" t="s">
        <v>75</v>
      </c>
      <c r="I1129" s="3" t="s">
        <v>76</v>
      </c>
      <c r="J1129" s="3" t="s">
        <v>77</v>
      </c>
      <c r="K1129" s="3" t="s">
        <v>78</v>
      </c>
      <c r="L1129" s="3" t="s">
        <v>176</v>
      </c>
      <c r="M1129" s="3" t="s">
        <v>177</v>
      </c>
      <c r="N1129" s="3" t="s">
        <v>178</v>
      </c>
      <c r="O1129" s="3" t="s">
        <v>82</v>
      </c>
      <c r="P1129" s="3" t="str">
        <f>"1162845253                    "</f>
        <v xml:space="preserve">1162845253                    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15.46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0</v>
      </c>
      <c r="AZ1129" s="3">
        <v>0</v>
      </c>
      <c r="BA1129" s="3">
        <v>0</v>
      </c>
      <c r="BB1129" s="3">
        <v>0</v>
      </c>
      <c r="BC1129" s="3">
        <v>0</v>
      </c>
      <c r="BD1129" s="3">
        <v>0</v>
      </c>
      <c r="BE1129" s="3">
        <v>0</v>
      </c>
      <c r="BF1129" s="3">
        <v>0</v>
      </c>
      <c r="BG1129" s="3">
        <v>0</v>
      </c>
      <c r="BH1129" s="3">
        <v>1</v>
      </c>
      <c r="BI1129" s="3">
        <v>1</v>
      </c>
      <c r="BJ1129" s="3">
        <v>0.2</v>
      </c>
      <c r="BK1129" s="3">
        <v>1</v>
      </c>
      <c r="BL1129" s="3">
        <v>59</v>
      </c>
      <c r="BM1129" s="3">
        <v>8.85</v>
      </c>
      <c r="BN1129" s="3">
        <v>67.849999999999994</v>
      </c>
      <c r="BO1129" s="3">
        <v>67.849999999999994</v>
      </c>
      <c r="BQ1129" s="3" t="s">
        <v>83</v>
      </c>
      <c r="BR1129" s="3" t="s">
        <v>84</v>
      </c>
      <c r="BS1129" s="4">
        <v>44580</v>
      </c>
      <c r="BT1129" s="5">
        <v>0.43333333333333335</v>
      </c>
      <c r="BU1129" s="3" t="s">
        <v>1504</v>
      </c>
      <c r="BV1129" s="3" t="s">
        <v>105</v>
      </c>
      <c r="BY1129" s="3">
        <v>1200</v>
      </c>
      <c r="CA1129" s="3" t="s">
        <v>615</v>
      </c>
      <c r="CC1129" s="3" t="s">
        <v>177</v>
      </c>
      <c r="CD1129" s="3">
        <v>4026</v>
      </c>
      <c r="CE1129" s="3" t="s">
        <v>93</v>
      </c>
      <c r="CF1129" s="4">
        <v>44581</v>
      </c>
      <c r="CI1129" s="3">
        <v>1</v>
      </c>
      <c r="CJ1129" s="3">
        <v>1</v>
      </c>
      <c r="CK1129" s="3">
        <v>21</v>
      </c>
      <c r="CL1129" s="3" t="s">
        <v>87</v>
      </c>
    </row>
    <row r="1130" spans="1:90" x14ac:dyDescent="0.2">
      <c r="A1130" s="3" t="s">
        <v>72</v>
      </c>
      <c r="B1130" s="3" t="s">
        <v>73</v>
      </c>
      <c r="C1130" s="3" t="s">
        <v>74</v>
      </c>
      <c r="E1130" s="3" t="str">
        <f>"FES1162845669"</f>
        <v>FES1162845669</v>
      </c>
      <c r="F1130" s="4">
        <v>44579</v>
      </c>
      <c r="G1130" s="3">
        <v>202207</v>
      </c>
      <c r="H1130" s="3" t="s">
        <v>75</v>
      </c>
      <c r="I1130" s="3" t="s">
        <v>76</v>
      </c>
      <c r="J1130" s="3" t="s">
        <v>77</v>
      </c>
      <c r="K1130" s="3" t="s">
        <v>78</v>
      </c>
      <c r="L1130" s="3" t="s">
        <v>94</v>
      </c>
      <c r="M1130" s="3" t="s">
        <v>95</v>
      </c>
      <c r="N1130" s="3" t="s">
        <v>96</v>
      </c>
      <c r="O1130" s="3" t="s">
        <v>82</v>
      </c>
      <c r="P1130" s="3" t="str">
        <f>"2170817160                    "</f>
        <v xml:space="preserve">2170817160                    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84.98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0</v>
      </c>
      <c r="AZ1130" s="3">
        <v>0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1</v>
      </c>
      <c r="BI1130" s="3">
        <v>11</v>
      </c>
      <c r="BJ1130" s="3">
        <v>9.1</v>
      </c>
      <c r="BK1130" s="3">
        <v>11</v>
      </c>
      <c r="BL1130" s="3">
        <v>324.36</v>
      </c>
      <c r="BM1130" s="3">
        <v>48.65</v>
      </c>
      <c r="BN1130" s="3">
        <v>373.01</v>
      </c>
      <c r="BO1130" s="3">
        <v>373.01</v>
      </c>
      <c r="BQ1130" s="3" t="s">
        <v>89</v>
      </c>
      <c r="BR1130" s="3" t="s">
        <v>84</v>
      </c>
      <c r="BS1130" s="4">
        <v>44580</v>
      </c>
      <c r="BT1130" s="5">
        <v>0.58750000000000002</v>
      </c>
      <c r="BU1130" s="3" t="s">
        <v>821</v>
      </c>
      <c r="BV1130" s="3" t="s">
        <v>87</v>
      </c>
      <c r="BW1130" s="3" t="s">
        <v>453</v>
      </c>
      <c r="BX1130" s="3" t="s">
        <v>279</v>
      </c>
      <c r="BY1130" s="3">
        <v>45632</v>
      </c>
      <c r="CC1130" s="3" t="s">
        <v>95</v>
      </c>
      <c r="CD1130" s="3">
        <v>3201</v>
      </c>
      <c r="CE1130" s="3" t="s">
        <v>86</v>
      </c>
      <c r="CF1130" s="4">
        <v>44585</v>
      </c>
      <c r="CI1130" s="3">
        <v>1</v>
      </c>
      <c r="CJ1130" s="3">
        <v>1</v>
      </c>
      <c r="CK1130" s="3">
        <v>21</v>
      </c>
      <c r="CL1130" s="3" t="s">
        <v>87</v>
      </c>
    </row>
    <row r="1131" spans="1:90" x14ac:dyDescent="0.2">
      <c r="A1131" s="3" t="s">
        <v>72</v>
      </c>
      <c r="B1131" s="3" t="s">
        <v>73</v>
      </c>
      <c r="C1131" s="3" t="s">
        <v>74</v>
      </c>
      <c r="E1131" s="3" t="str">
        <f>"FES1162845552"</f>
        <v>FES1162845552</v>
      </c>
      <c r="F1131" s="4">
        <v>44579</v>
      </c>
      <c r="G1131" s="3">
        <v>202207</v>
      </c>
      <c r="H1131" s="3" t="s">
        <v>75</v>
      </c>
      <c r="I1131" s="3" t="s">
        <v>76</v>
      </c>
      <c r="J1131" s="3" t="s">
        <v>77</v>
      </c>
      <c r="K1131" s="3" t="s">
        <v>78</v>
      </c>
      <c r="L1131" s="3" t="s">
        <v>158</v>
      </c>
      <c r="M1131" s="3" t="s">
        <v>159</v>
      </c>
      <c r="N1131" s="3" t="s">
        <v>1505</v>
      </c>
      <c r="O1131" s="3" t="s">
        <v>82</v>
      </c>
      <c r="P1131" s="3" t="str">
        <f>"2170817069                    "</f>
        <v xml:space="preserve">2170817069                    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14.97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0</v>
      </c>
      <c r="AZ1131" s="3">
        <v>0</v>
      </c>
      <c r="BA1131" s="3">
        <v>0</v>
      </c>
      <c r="BB1131" s="3">
        <v>0</v>
      </c>
      <c r="BC1131" s="3">
        <v>0</v>
      </c>
      <c r="BD1131" s="3">
        <v>0</v>
      </c>
      <c r="BE1131" s="3">
        <v>0</v>
      </c>
      <c r="BF1131" s="3">
        <v>0</v>
      </c>
      <c r="BG1131" s="3">
        <v>0</v>
      </c>
      <c r="BH1131" s="3">
        <v>1</v>
      </c>
      <c r="BI1131" s="3">
        <v>9</v>
      </c>
      <c r="BJ1131" s="3">
        <v>4.0999999999999996</v>
      </c>
      <c r="BK1131" s="3">
        <v>9</v>
      </c>
      <c r="BL1131" s="3">
        <v>57.14</v>
      </c>
      <c r="BM1131" s="3">
        <v>8.57</v>
      </c>
      <c r="BN1131" s="3">
        <v>65.709999999999994</v>
      </c>
      <c r="BO1131" s="3">
        <v>65.709999999999994</v>
      </c>
      <c r="BR1131" s="3" t="s">
        <v>84</v>
      </c>
      <c r="BS1131" s="4">
        <v>44580</v>
      </c>
      <c r="BT1131" s="5">
        <v>0.50902777777777775</v>
      </c>
      <c r="BU1131" s="3" t="s">
        <v>1506</v>
      </c>
      <c r="BV1131" s="3" t="s">
        <v>87</v>
      </c>
      <c r="BW1131" s="3" t="s">
        <v>353</v>
      </c>
      <c r="BX1131" s="3" t="s">
        <v>1507</v>
      </c>
      <c r="BY1131" s="3">
        <v>20358</v>
      </c>
      <c r="BZ1131" s="3" t="s">
        <v>165</v>
      </c>
      <c r="CA1131" s="3" t="s">
        <v>1314</v>
      </c>
      <c r="CC1131" s="3" t="s">
        <v>159</v>
      </c>
      <c r="CD1131" s="3">
        <v>1460</v>
      </c>
      <c r="CE1131" s="3" t="s">
        <v>86</v>
      </c>
      <c r="CF1131" s="4">
        <v>44580</v>
      </c>
      <c r="CI1131" s="3">
        <v>1</v>
      </c>
      <c r="CJ1131" s="3">
        <v>1</v>
      </c>
      <c r="CK1131" s="3">
        <v>22</v>
      </c>
      <c r="CL1131" s="3" t="s">
        <v>87</v>
      </c>
    </row>
    <row r="1132" spans="1:90" x14ac:dyDescent="0.2">
      <c r="A1132" s="3" t="s">
        <v>72</v>
      </c>
      <c r="B1132" s="3" t="s">
        <v>73</v>
      </c>
      <c r="C1132" s="3" t="s">
        <v>74</v>
      </c>
      <c r="E1132" s="3" t="str">
        <f>"FES1162845631"</f>
        <v>FES1162845631</v>
      </c>
      <c r="F1132" s="4">
        <v>44579</v>
      </c>
      <c r="G1132" s="3">
        <v>202207</v>
      </c>
      <c r="H1132" s="3" t="s">
        <v>75</v>
      </c>
      <c r="I1132" s="3" t="s">
        <v>76</v>
      </c>
      <c r="J1132" s="3" t="s">
        <v>77</v>
      </c>
      <c r="K1132" s="3" t="s">
        <v>78</v>
      </c>
      <c r="L1132" s="3" t="s">
        <v>171</v>
      </c>
      <c r="M1132" s="3" t="s">
        <v>172</v>
      </c>
      <c r="N1132" s="3" t="s">
        <v>838</v>
      </c>
      <c r="O1132" s="3" t="s">
        <v>82</v>
      </c>
      <c r="P1132" s="3" t="str">
        <f>"2170816879                    "</f>
        <v xml:space="preserve">2170816879                    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15.46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0</v>
      </c>
      <c r="AZ1132" s="3">
        <v>0</v>
      </c>
      <c r="BA1132" s="3">
        <v>0</v>
      </c>
      <c r="BB1132" s="3">
        <v>0</v>
      </c>
      <c r="BC1132" s="3">
        <v>0</v>
      </c>
      <c r="BD1132" s="3">
        <v>0</v>
      </c>
      <c r="BE1132" s="3">
        <v>0</v>
      </c>
      <c r="BF1132" s="3">
        <v>0</v>
      </c>
      <c r="BG1132" s="3">
        <v>0</v>
      </c>
      <c r="BH1132" s="3">
        <v>1</v>
      </c>
      <c r="BI1132" s="3">
        <v>1</v>
      </c>
      <c r="BJ1132" s="3">
        <v>0.2</v>
      </c>
      <c r="BK1132" s="3">
        <v>1</v>
      </c>
      <c r="BL1132" s="3">
        <v>59</v>
      </c>
      <c r="BM1132" s="3">
        <v>8.85</v>
      </c>
      <c r="BN1132" s="3">
        <v>67.849999999999994</v>
      </c>
      <c r="BO1132" s="3">
        <v>67.849999999999994</v>
      </c>
      <c r="BQ1132" s="3" t="s">
        <v>83</v>
      </c>
      <c r="BR1132" s="3" t="s">
        <v>84</v>
      </c>
      <c r="BS1132" s="4">
        <v>44581</v>
      </c>
      <c r="BT1132" s="5">
        <v>0.43402777777777773</v>
      </c>
      <c r="BU1132" s="3" t="s">
        <v>1508</v>
      </c>
      <c r="BV1132" s="3" t="s">
        <v>87</v>
      </c>
      <c r="BW1132" s="3" t="s">
        <v>457</v>
      </c>
      <c r="BX1132" s="3" t="s">
        <v>458</v>
      </c>
      <c r="BY1132" s="3">
        <v>1200</v>
      </c>
      <c r="BZ1132" s="3" t="s">
        <v>165</v>
      </c>
      <c r="CC1132" s="3" t="s">
        <v>172</v>
      </c>
      <c r="CD1132" s="3">
        <v>6001</v>
      </c>
      <c r="CE1132" s="3" t="s">
        <v>93</v>
      </c>
      <c r="CF1132" s="4">
        <v>44582</v>
      </c>
      <c r="CI1132" s="3">
        <v>1</v>
      </c>
      <c r="CJ1132" s="3">
        <v>2</v>
      </c>
      <c r="CK1132" s="3">
        <v>21</v>
      </c>
      <c r="CL1132" s="3" t="s">
        <v>87</v>
      </c>
    </row>
    <row r="1133" spans="1:90" x14ac:dyDescent="0.2">
      <c r="A1133" s="3" t="s">
        <v>72</v>
      </c>
      <c r="B1133" s="3" t="s">
        <v>73</v>
      </c>
      <c r="C1133" s="3" t="s">
        <v>74</v>
      </c>
      <c r="E1133" s="3" t="str">
        <f>"FES1162845353"</f>
        <v>FES1162845353</v>
      </c>
      <c r="F1133" s="4">
        <v>44579</v>
      </c>
      <c r="G1133" s="3">
        <v>202207</v>
      </c>
      <c r="H1133" s="3" t="s">
        <v>75</v>
      </c>
      <c r="I1133" s="3" t="s">
        <v>76</v>
      </c>
      <c r="J1133" s="3" t="s">
        <v>77</v>
      </c>
      <c r="K1133" s="3" t="s">
        <v>78</v>
      </c>
      <c r="L1133" s="3" t="s">
        <v>171</v>
      </c>
      <c r="M1133" s="3" t="s">
        <v>172</v>
      </c>
      <c r="N1133" s="3" t="s">
        <v>199</v>
      </c>
      <c r="O1133" s="3" t="s">
        <v>82</v>
      </c>
      <c r="P1133" s="3" t="str">
        <f>"2170815873                    "</f>
        <v xml:space="preserve">2170815873                    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15.46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0</v>
      </c>
      <c r="AZ1133" s="3">
        <v>0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3">
        <v>1</v>
      </c>
      <c r="BI1133" s="3">
        <v>1</v>
      </c>
      <c r="BJ1133" s="3">
        <v>0.2</v>
      </c>
      <c r="BK1133" s="3">
        <v>1</v>
      </c>
      <c r="BL1133" s="3">
        <v>59</v>
      </c>
      <c r="BM1133" s="3">
        <v>8.85</v>
      </c>
      <c r="BN1133" s="3">
        <v>67.849999999999994</v>
      </c>
      <c r="BO1133" s="3">
        <v>67.849999999999994</v>
      </c>
      <c r="BR1133" s="3" t="s">
        <v>84</v>
      </c>
      <c r="BS1133" s="4">
        <v>44580</v>
      </c>
      <c r="BT1133" s="5">
        <v>0.32361111111111113</v>
      </c>
      <c r="BU1133" s="3" t="s">
        <v>1500</v>
      </c>
      <c r="BV1133" s="3" t="s">
        <v>105</v>
      </c>
      <c r="BY1133" s="3">
        <v>1200</v>
      </c>
      <c r="CA1133" s="3" t="s">
        <v>408</v>
      </c>
      <c r="CC1133" s="3" t="s">
        <v>172</v>
      </c>
      <c r="CD1133" s="3">
        <v>6000</v>
      </c>
      <c r="CE1133" s="3" t="s">
        <v>93</v>
      </c>
      <c r="CF1133" s="4">
        <v>44581</v>
      </c>
      <c r="CI1133" s="3">
        <v>1</v>
      </c>
      <c r="CJ1133" s="3">
        <v>1</v>
      </c>
      <c r="CK1133" s="3">
        <v>21</v>
      </c>
      <c r="CL1133" s="3" t="s">
        <v>87</v>
      </c>
    </row>
    <row r="1134" spans="1:90" x14ac:dyDescent="0.2">
      <c r="A1134" s="3" t="s">
        <v>72</v>
      </c>
      <c r="B1134" s="3" t="s">
        <v>73</v>
      </c>
      <c r="C1134" s="3" t="s">
        <v>74</v>
      </c>
      <c r="E1134" s="3" t="str">
        <f>"FES1162845639"</f>
        <v>FES1162845639</v>
      </c>
      <c r="F1134" s="4">
        <v>44579</v>
      </c>
      <c r="G1134" s="3">
        <v>202207</v>
      </c>
      <c r="H1134" s="3" t="s">
        <v>75</v>
      </c>
      <c r="I1134" s="3" t="s">
        <v>76</v>
      </c>
      <c r="J1134" s="3" t="s">
        <v>77</v>
      </c>
      <c r="K1134" s="3" t="s">
        <v>78</v>
      </c>
      <c r="L1134" s="3" t="s">
        <v>218</v>
      </c>
      <c r="M1134" s="3" t="s">
        <v>219</v>
      </c>
      <c r="N1134" s="3" t="s">
        <v>912</v>
      </c>
      <c r="O1134" s="3" t="s">
        <v>82</v>
      </c>
      <c r="P1134" s="3" t="str">
        <f>"2170809317                    "</f>
        <v xml:space="preserve">2170809317                    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15.46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0</v>
      </c>
      <c r="AZ1134" s="3">
        <v>0</v>
      </c>
      <c r="BA1134" s="3">
        <v>0</v>
      </c>
      <c r="BB1134" s="3">
        <v>0</v>
      </c>
      <c r="BC1134" s="3">
        <v>0</v>
      </c>
      <c r="BD1134" s="3">
        <v>0</v>
      </c>
      <c r="BE1134" s="3">
        <v>0</v>
      </c>
      <c r="BF1134" s="3">
        <v>0</v>
      </c>
      <c r="BG1134" s="3">
        <v>0</v>
      </c>
      <c r="BH1134" s="3">
        <v>1</v>
      </c>
      <c r="BI1134" s="3">
        <v>1</v>
      </c>
      <c r="BJ1134" s="3">
        <v>2</v>
      </c>
      <c r="BK1134" s="3">
        <v>2</v>
      </c>
      <c r="BL1134" s="3">
        <v>59</v>
      </c>
      <c r="BM1134" s="3">
        <v>8.85</v>
      </c>
      <c r="BN1134" s="3">
        <v>67.849999999999994</v>
      </c>
      <c r="BO1134" s="3">
        <v>67.849999999999994</v>
      </c>
      <c r="BQ1134" s="3" t="s">
        <v>913</v>
      </c>
      <c r="BR1134" s="3" t="s">
        <v>84</v>
      </c>
      <c r="BS1134" s="4">
        <v>44580</v>
      </c>
      <c r="BT1134" s="5">
        <v>0.3666666666666667</v>
      </c>
      <c r="BU1134" s="3" t="s">
        <v>914</v>
      </c>
      <c r="BV1134" s="3" t="s">
        <v>105</v>
      </c>
      <c r="BY1134" s="3">
        <v>9918</v>
      </c>
      <c r="CA1134" s="3" t="s">
        <v>362</v>
      </c>
      <c r="CC1134" s="3" t="s">
        <v>219</v>
      </c>
      <c r="CD1134" s="3">
        <v>157</v>
      </c>
      <c r="CE1134" s="3" t="s">
        <v>86</v>
      </c>
      <c r="CF1134" s="4">
        <v>44580</v>
      </c>
      <c r="CI1134" s="3">
        <v>1</v>
      </c>
      <c r="CJ1134" s="3">
        <v>1</v>
      </c>
      <c r="CK1134" s="3">
        <v>21</v>
      </c>
      <c r="CL1134" s="3" t="s">
        <v>87</v>
      </c>
    </row>
    <row r="1135" spans="1:90" x14ac:dyDescent="0.2">
      <c r="A1135" s="3" t="s">
        <v>72</v>
      </c>
      <c r="B1135" s="3" t="s">
        <v>73</v>
      </c>
      <c r="C1135" s="3" t="s">
        <v>74</v>
      </c>
      <c r="E1135" s="3" t="str">
        <f>"FES1162845629"</f>
        <v>FES1162845629</v>
      </c>
      <c r="F1135" s="4">
        <v>44579</v>
      </c>
      <c r="G1135" s="3">
        <v>202207</v>
      </c>
      <c r="H1135" s="3" t="s">
        <v>75</v>
      </c>
      <c r="I1135" s="3" t="s">
        <v>76</v>
      </c>
      <c r="J1135" s="3" t="s">
        <v>77</v>
      </c>
      <c r="K1135" s="3" t="s">
        <v>78</v>
      </c>
      <c r="L1135" s="3" t="s">
        <v>171</v>
      </c>
      <c r="M1135" s="3" t="s">
        <v>172</v>
      </c>
      <c r="N1135" s="3" t="s">
        <v>249</v>
      </c>
      <c r="O1135" s="3" t="s">
        <v>82</v>
      </c>
      <c r="P1135" s="3" t="str">
        <f>"2170816709                    "</f>
        <v xml:space="preserve">2170816709                    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15.46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0</v>
      </c>
      <c r="AZ1135" s="3">
        <v>0</v>
      </c>
      <c r="BA1135" s="3">
        <v>0</v>
      </c>
      <c r="BB1135" s="3">
        <v>0</v>
      </c>
      <c r="BC1135" s="3">
        <v>0</v>
      </c>
      <c r="BD1135" s="3">
        <v>0</v>
      </c>
      <c r="BE1135" s="3">
        <v>0</v>
      </c>
      <c r="BF1135" s="3">
        <v>0</v>
      </c>
      <c r="BG1135" s="3">
        <v>0</v>
      </c>
      <c r="BH1135" s="3">
        <v>1</v>
      </c>
      <c r="BI1135" s="3">
        <v>1</v>
      </c>
      <c r="BJ1135" s="3">
        <v>0.2</v>
      </c>
      <c r="BK1135" s="3">
        <v>1</v>
      </c>
      <c r="BL1135" s="3">
        <v>59</v>
      </c>
      <c r="BM1135" s="3">
        <v>8.85</v>
      </c>
      <c r="BN1135" s="3">
        <v>67.849999999999994</v>
      </c>
      <c r="BO1135" s="3">
        <v>67.849999999999994</v>
      </c>
      <c r="BQ1135" s="3" t="s">
        <v>89</v>
      </c>
      <c r="BR1135" s="3" t="s">
        <v>84</v>
      </c>
      <c r="BS1135" s="4">
        <v>44581</v>
      </c>
      <c r="BT1135" s="5">
        <v>0.41666666666666669</v>
      </c>
      <c r="BU1135" s="3" t="s">
        <v>1484</v>
      </c>
      <c r="BV1135" s="3" t="s">
        <v>87</v>
      </c>
      <c r="BW1135" s="3" t="s">
        <v>457</v>
      </c>
      <c r="BX1135" s="3" t="s">
        <v>458</v>
      </c>
      <c r="BY1135" s="3">
        <v>1200</v>
      </c>
      <c r="CC1135" s="3" t="s">
        <v>172</v>
      </c>
      <c r="CD1135" s="3">
        <v>6001</v>
      </c>
      <c r="CE1135" s="3" t="s">
        <v>93</v>
      </c>
      <c r="CF1135" s="4">
        <v>44587</v>
      </c>
      <c r="CI1135" s="3">
        <v>1</v>
      </c>
      <c r="CJ1135" s="3">
        <v>2</v>
      </c>
      <c r="CK1135" s="3">
        <v>21</v>
      </c>
      <c r="CL1135" s="3" t="s">
        <v>87</v>
      </c>
    </row>
    <row r="1136" spans="1:90" x14ac:dyDescent="0.2">
      <c r="A1136" s="3" t="s">
        <v>72</v>
      </c>
      <c r="B1136" s="3" t="s">
        <v>73</v>
      </c>
      <c r="C1136" s="3" t="s">
        <v>74</v>
      </c>
      <c r="E1136" s="3" t="str">
        <f>"FES1162845642"</f>
        <v>FES1162845642</v>
      </c>
      <c r="F1136" s="4">
        <v>44579</v>
      </c>
      <c r="G1136" s="3">
        <v>202207</v>
      </c>
      <c r="H1136" s="3" t="s">
        <v>75</v>
      </c>
      <c r="I1136" s="3" t="s">
        <v>76</v>
      </c>
      <c r="J1136" s="3" t="s">
        <v>77</v>
      </c>
      <c r="K1136" s="3" t="s">
        <v>78</v>
      </c>
      <c r="L1136" s="3" t="s">
        <v>79</v>
      </c>
      <c r="M1136" s="3" t="s">
        <v>80</v>
      </c>
      <c r="N1136" s="3" t="s">
        <v>1509</v>
      </c>
      <c r="O1136" s="3" t="s">
        <v>82</v>
      </c>
      <c r="P1136" s="3" t="str">
        <f>"2170817146                    "</f>
        <v xml:space="preserve">2170817146                    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57.94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0</v>
      </c>
      <c r="AZ1136" s="3">
        <v>0</v>
      </c>
      <c r="BA1136" s="3">
        <v>0</v>
      </c>
      <c r="BB1136" s="3">
        <v>0</v>
      </c>
      <c r="BC1136" s="3">
        <v>0</v>
      </c>
      <c r="BD1136" s="3">
        <v>0</v>
      </c>
      <c r="BE1136" s="3">
        <v>0</v>
      </c>
      <c r="BF1136" s="3">
        <v>0</v>
      </c>
      <c r="BG1136" s="3">
        <v>0</v>
      </c>
      <c r="BH1136" s="3">
        <v>1</v>
      </c>
      <c r="BI1136" s="3">
        <v>1.9</v>
      </c>
      <c r="BJ1136" s="3">
        <v>7.2</v>
      </c>
      <c r="BK1136" s="3">
        <v>7.5</v>
      </c>
      <c r="BL1136" s="3">
        <v>221.16</v>
      </c>
      <c r="BM1136" s="3">
        <v>33.17</v>
      </c>
      <c r="BN1136" s="3">
        <v>254.33</v>
      </c>
      <c r="BO1136" s="3">
        <v>254.33</v>
      </c>
      <c r="BQ1136" s="3" t="s">
        <v>450</v>
      </c>
      <c r="BR1136" s="3" t="s">
        <v>84</v>
      </c>
      <c r="BS1136" s="4">
        <v>44580</v>
      </c>
      <c r="BT1136" s="5">
        <v>0.46527777777777773</v>
      </c>
      <c r="BU1136" s="3" t="s">
        <v>1510</v>
      </c>
      <c r="BV1136" s="3" t="s">
        <v>105</v>
      </c>
      <c r="BY1136" s="3">
        <v>36179.22</v>
      </c>
      <c r="CA1136" s="3" t="s">
        <v>1511</v>
      </c>
      <c r="CC1136" s="3" t="s">
        <v>80</v>
      </c>
      <c r="CD1136" s="3">
        <v>183</v>
      </c>
      <c r="CE1136" s="3" t="s">
        <v>93</v>
      </c>
      <c r="CF1136" s="4">
        <v>44580</v>
      </c>
      <c r="CI1136" s="3">
        <v>1</v>
      </c>
      <c r="CJ1136" s="3">
        <v>1</v>
      </c>
      <c r="CK1136" s="3">
        <v>21</v>
      </c>
      <c r="CL1136" s="3" t="s">
        <v>87</v>
      </c>
    </row>
    <row r="1137" spans="1:90" x14ac:dyDescent="0.2">
      <c r="A1137" s="3" t="s">
        <v>72</v>
      </c>
      <c r="B1137" s="3" t="s">
        <v>73</v>
      </c>
      <c r="C1137" s="3" t="s">
        <v>74</v>
      </c>
      <c r="E1137" s="3" t="str">
        <f>"RFES1162844604"</f>
        <v>RFES1162844604</v>
      </c>
      <c r="F1137" s="4">
        <v>44579</v>
      </c>
      <c r="G1137" s="3">
        <v>202207</v>
      </c>
      <c r="H1137" s="3" t="s">
        <v>90</v>
      </c>
      <c r="I1137" s="3" t="s">
        <v>91</v>
      </c>
      <c r="J1137" s="3" t="s">
        <v>633</v>
      </c>
      <c r="K1137" s="3" t="s">
        <v>78</v>
      </c>
      <c r="L1137" s="3" t="s">
        <v>75</v>
      </c>
      <c r="M1137" s="3" t="s">
        <v>76</v>
      </c>
      <c r="N1137" s="3" t="s">
        <v>77</v>
      </c>
      <c r="O1137" s="3" t="s">
        <v>82</v>
      </c>
      <c r="P1137" s="3" t="str">
        <f>"2170815298                    "</f>
        <v xml:space="preserve">2170815298                    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15.46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0</v>
      </c>
      <c r="AZ1137" s="3">
        <v>0</v>
      </c>
      <c r="BA1137" s="3">
        <v>0</v>
      </c>
      <c r="BB1137" s="3">
        <v>0</v>
      </c>
      <c r="BC1137" s="3">
        <v>0</v>
      </c>
      <c r="BD1137" s="3">
        <v>0</v>
      </c>
      <c r="BE1137" s="3">
        <v>0</v>
      </c>
      <c r="BF1137" s="3">
        <v>0</v>
      </c>
      <c r="BG1137" s="3">
        <v>0</v>
      </c>
      <c r="BH1137" s="3">
        <v>1</v>
      </c>
      <c r="BI1137" s="3">
        <v>0.3</v>
      </c>
      <c r="BJ1137" s="3">
        <v>1.5</v>
      </c>
      <c r="BK1137" s="3">
        <v>1.5</v>
      </c>
      <c r="BL1137" s="3">
        <v>59</v>
      </c>
      <c r="BM1137" s="3">
        <v>8.85</v>
      </c>
      <c r="BN1137" s="3">
        <v>67.849999999999994</v>
      </c>
      <c r="BO1137" s="3">
        <v>67.849999999999994</v>
      </c>
      <c r="BQ1137" s="3" t="s">
        <v>84</v>
      </c>
      <c r="BS1137" s="4">
        <v>44580</v>
      </c>
      <c r="BT1137" s="5">
        <v>0.38263888888888892</v>
      </c>
      <c r="BU1137" s="3" t="s">
        <v>1512</v>
      </c>
      <c r="BV1137" s="3" t="s">
        <v>105</v>
      </c>
      <c r="BY1137" s="3">
        <v>7690.41</v>
      </c>
      <c r="CA1137" s="3" t="s">
        <v>311</v>
      </c>
      <c r="CC1137" s="3" t="s">
        <v>76</v>
      </c>
      <c r="CD1137" s="3">
        <v>1601</v>
      </c>
      <c r="CE1137" s="3" t="s">
        <v>1513</v>
      </c>
      <c r="CF1137" s="4">
        <v>44580</v>
      </c>
      <c r="CI1137" s="3">
        <v>1</v>
      </c>
      <c r="CJ1137" s="3">
        <v>1</v>
      </c>
      <c r="CK1137" s="3">
        <v>21</v>
      </c>
      <c r="CL1137" s="3" t="s">
        <v>87</v>
      </c>
    </row>
    <row r="1138" spans="1:90" x14ac:dyDescent="0.2">
      <c r="A1138" s="3" t="s">
        <v>72</v>
      </c>
      <c r="B1138" s="3" t="s">
        <v>73</v>
      </c>
      <c r="C1138" s="3" t="s">
        <v>74</v>
      </c>
      <c r="E1138" s="3" t="str">
        <f>"FES1162845634"</f>
        <v>FES1162845634</v>
      </c>
      <c r="F1138" s="4">
        <v>44579</v>
      </c>
      <c r="G1138" s="3">
        <v>202207</v>
      </c>
      <c r="H1138" s="3" t="s">
        <v>75</v>
      </c>
      <c r="I1138" s="3" t="s">
        <v>76</v>
      </c>
      <c r="J1138" s="3" t="s">
        <v>77</v>
      </c>
      <c r="K1138" s="3" t="s">
        <v>78</v>
      </c>
      <c r="L1138" s="3" t="s">
        <v>107</v>
      </c>
      <c r="M1138" s="3" t="s">
        <v>108</v>
      </c>
      <c r="N1138" s="3" t="s">
        <v>392</v>
      </c>
      <c r="O1138" s="3" t="s">
        <v>82</v>
      </c>
      <c r="P1138" s="3" t="str">
        <f>"2170817142                    "</f>
        <v xml:space="preserve">2170817142                    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111.1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0</v>
      </c>
      <c r="AZ1138" s="3">
        <v>0</v>
      </c>
      <c r="BA1138" s="3">
        <v>0</v>
      </c>
      <c r="BB1138" s="3">
        <v>0</v>
      </c>
      <c r="BC1138" s="3">
        <v>0</v>
      </c>
      <c r="BD1138" s="3">
        <v>0</v>
      </c>
      <c r="BE1138" s="3">
        <v>0</v>
      </c>
      <c r="BF1138" s="3">
        <v>0</v>
      </c>
      <c r="BG1138" s="3">
        <v>0</v>
      </c>
      <c r="BH1138" s="3">
        <v>1</v>
      </c>
      <c r="BI1138" s="3">
        <v>8</v>
      </c>
      <c r="BJ1138" s="3">
        <v>4.0999999999999996</v>
      </c>
      <c r="BK1138" s="3">
        <v>8</v>
      </c>
      <c r="BL1138" s="3">
        <v>424.06</v>
      </c>
      <c r="BM1138" s="3">
        <v>63.61</v>
      </c>
      <c r="BN1138" s="3">
        <v>487.67</v>
      </c>
      <c r="BO1138" s="3">
        <v>487.67</v>
      </c>
      <c r="BQ1138" s="3" t="s">
        <v>83</v>
      </c>
      <c r="BR1138" s="3" t="s">
        <v>84</v>
      </c>
      <c r="BS1138" s="4">
        <v>44580</v>
      </c>
      <c r="BT1138" s="5">
        <v>0.48194444444444445</v>
      </c>
      <c r="BU1138" s="3" t="s">
        <v>1514</v>
      </c>
      <c r="BV1138" s="3" t="s">
        <v>105</v>
      </c>
      <c r="BY1138" s="3">
        <v>20358</v>
      </c>
      <c r="CA1138" s="3" t="s">
        <v>1483</v>
      </c>
      <c r="CC1138" s="3" t="s">
        <v>108</v>
      </c>
      <c r="CD1138" s="3">
        <v>6849</v>
      </c>
      <c r="CE1138" s="3" t="s">
        <v>86</v>
      </c>
      <c r="CF1138" s="4">
        <v>44582</v>
      </c>
      <c r="CI1138" s="3">
        <v>2</v>
      </c>
      <c r="CJ1138" s="3">
        <v>1</v>
      </c>
      <c r="CK1138" s="3">
        <v>23</v>
      </c>
      <c r="CL1138" s="3" t="s">
        <v>87</v>
      </c>
    </row>
    <row r="1139" spans="1:90" x14ac:dyDescent="0.2">
      <c r="A1139" s="3" t="s">
        <v>72</v>
      </c>
      <c r="B1139" s="3" t="s">
        <v>73</v>
      </c>
      <c r="C1139" s="3" t="s">
        <v>74</v>
      </c>
      <c r="E1139" s="3" t="str">
        <f>"FES1162845743"</f>
        <v>FES1162845743</v>
      </c>
      <c r="F1139" s="4">
        <v>44579</v>
      </c>
      <c r="G1139" s="3">
        <v>202207</v>
      </c>
      <c r="H1139" s="3" t="s">
        <v>75</v>
      </c>
      <c r="I1139" s="3" t="s">
        <v>76</v>
      </c>
      <c r="J1139" s="3" t="s">
        <v>77</v>
      </c>
      <c r="K1139" s="3" t="s">
        <v>78</v>
      </c>
      <c r="L1139" s="3" t="s">
        <v>90</v>
      </c>
      <c r="M1139" s="3" t="s">
        <v>91</v>
      </c>
      <c r="N1139" s="3" t="s">
        <v>269</v>
      </c>
      <c r="O1139" s="3" t="s">
        <v>82</v>
      </c>
      <c r="P1139" s="3" t="str">
        <f>"2170817239                    "</f>
        <v xml:space="preserve">2170817239                    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19.32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0</v>
      </c>
      <c r="AZ1139" s="3">
        <v>0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0</v>
      </c>
      <c r="BG1139" s="3">
        <v>0</v>
      </c>
      <c r="BH1139" s="3">
        <v>1</v>
      </c>
      <c r="BI1139" s="3">
        <v>1</v>
      </c>
      <c r="BJ1139" s="3">
        <v>2.2999999999999998</v>
      </c>
      <c r="BK1139" s="3">
        <v>2.5</v>
      </c>
      <c r="BL1139" s="3">
        <v>73.739999999999995</v>
      </c>
      <c r="BM1139" s="3">
        <v>11.06</v>
      </c>
      <c r="BN1139" s="3">
        <v>84.8</v>
      </c>
      <c r="BO1139" s="3">
        <v>84.8</v>
      </c>
      <c r="BQ1139" s="3" t="s">
        <v>83</v>
      </c>
      <c r="BR1139" s="3" t="s">
        <v>84</v>
      </c>
      <c r="BS1139" s="4">
        <v>44580</v>
      </c>
      <c r="BT1139" s="5">
        <v>0.34930555555555554</v>
      </c>
      <c r="BU1139" s="3" t="s">
        <v>919</v>
      </c>
      <c r="BV1139" s="3" t="s">
        <v>105</v>
      </c>
      <c r="BY1139" s="3">
        <v>11532</v>
      </c>
      <c r="CA1139" s="3" t="s">
        <v>271</v>
      </c>
      <c r="CC1139" s="3" t="s">
        <v>91</v>
      </c>
      <c r="CD1139" s="3">
        <v>8001</v>
      </c>
      <c r="CE1139" s="3" t="s">
        <v>86</v>
      </c>
      <c r="CF1139" s="4">
        <v>44581</v>
      </c>
      <c r="CI1139" s="3">
        <v>1</v>
      </c>
      <c r="CJ1139" s="3">
        <v>1</v>
      </c>
      <c r="CK1139" s="3">
        <v>21</v>
      </c>
      <c r="CL1139" s="3" t="s">
        <v>87</v>
      </c>
    </row>
    <row r="1140" spans="1:90" x14ac:dyDescent="0.2">
      <c r="A1140" s="3" t="s">
        <v>72</v>
      </c>
      <c r="B1140" s="3" t="s">
        <v>73</v>
      </c>
      <c r="C1140" s="3" t="s">
        <v>74</v>
      </c>
      <c r="E1140" s="3" t="str">
        <f>"FES1162845538"</f>
        <v>FES1162845538</v>
      </c>
      <c r="F1140" s="4">
        <v>44579</v>
      </c>
      <c r="G1140" s="3">
        <v>202207</v>
      </c>
      <c r="H1140" s="3" t="s">
        <v>75</v>
      </c>
      <c r="I1140" s="3" t="s">
        <v>76</v>
      </c>
      <c r="J1140" s="3" t="s">
        <v>77</v>
      </c>
      <c r="K1140" s="3" t="s">
        <v>78</v>
      </c>
      <c r="L1140" s="3" t="s">
        <v>79</v>
      </c>
      <c r="M1140" s="3" t="s">
        <v>80</v>
      </c>
      <c r="N1140" s="3" t="s">
        <v>81</v>
      </c>
      <c r="O1140" s="3" t="s">
        <v>82</v>
      </c>
      <c r="P1140" s="3" t="str">
        <f>"2170815783                    "</f>
        <v xml:space="preserve">2170815783                    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15.46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0</v>
      </c>
      <c r="AZ1140" s="3">
        <v>0</v>
      </c>
      <c r="BA1140" s="3">
        <v>0</v>
      </c>
      <c r="BB1140" s="3">
        <v>0</v>
      </c>
      <c r="BC1140" s="3">
        <v>0</v>
      </c>
      <c r="BD1140" s="3">
        <v>0</v>
      </c>
      <c r="BE1140" s="3">
        <v>0</v>
      </c>
      <c r="BF1140" s="3">
        <v>0</v>
      </c>
      <c r="BG1140" s="3">
        <v>0</v>
      </c>
      <c r="BH1140" s="3">
        <v>1</v>
      </c>
      <c r="BI1140" s="3">
        <v>1</v>
      </c>
      <c r="BJ1140" s="3">
        <v>2</v>
      </c>
      <c r="BK1140" s="3">
        <v>2</v>
      </c>
      <c r="BL1140" s="3">
        <v>59</v>
      </c>
      <c r="BM1140" s="3">
        <v>8.85</v>
      </c>
      <c r="BN1140" s="3">
        <v>67.849999999999994</v>
      </c>
      <c r="BO1140" s="3">
        <v>67.849999999999994</v>
      </c>
      <c r="BQ1140" s="3" t="s">
        <v>83</v>
      </c>
      <c r="BR1140" s="3" t="s">
        <v>84</v>
      </c>
      <c r="BS1140" s="4">
        <v>44580</v>
      </c>
      <c r="BT1140" s="5">
        <v>0.3888888888888889</v>
      </c>
      <c r="BU1140" s="3" t="s">
        <v>893</v>
      </c>
      <c r="BV1140" s="3" t="s">
        <v>105</v>
      </c>
      <c r="BY1140" s="3">
        <v>9900</v>
      </c>
      <c r="CA1140" s="3" t="s">
        <v>366</v>
      </c>
      <c r="CC1140" s="3" t="s">
        <v>80</v>
      </c>
      <c r="CD1140" s="3">
        <v>200</v>
      </c>
      <c r="CE1140" s="3" t="s">
        <v>86</v>
      </c>
      <c r="CF1140" s="4">
        <v>44580</v>
      </c>
      <c r="CI1140" s="3">
        <v>1</v>
      </c>
      <c r="CJ1140" s="3">
        <v>1</v>
      </c>
      <c r="CK1140" s="3">
        <v>21</v>
      </c>
      <c r="CL1140" s="3" t="s">
        <v>87</v>
      </c>
    </row>
    <row r="1141" spans="1:90" x14ac:dyDescent="0.2">
      <c r="A1141" s="3" t="s">
        <v>72</v>
      </c>
      <c r="B1141" s="3" t="s">
        <v>73</v>
      </c>
      <c r="C1141" s="3" t="s">
        <v>74</v>
      </c>
      <c r="E1141" s="3" t="str">
        <f>"FES1162845648"</f>
        <v>FES1162845648</v>
      </c>
      <c r="F1141" s="4">
        <v>44579</v>
      </c>
      <c r="G1141" s="3">
        <v>202207</v>
      </c>
      <c r="H1141" s="3" t="s">
        <v>75</v>
      </c>
      <c r="I1141" s="3" t="s">
        <v>76</v>
      </c>
      <c r="J1141" s="3" t="s">
        <v>77</v>
      </c>
      <c r="K1141" s="3" t="s">
        <v>78</v>
      </c>
      <c r="L1141" s="3" t="s">
        <v>120</v>
      </c>
      <c r="M1141" s="3" t="s">
        <v>121</v>
      </c>
      <c r="N1141" s="3" t="s">
        <v>122</v>
      </c>
      <c r="O1141" s="3" t="s">
        <v>82</v>
      </c>
      <c r="P1141" s="3" t="str">
        <f>"2170817148                    "</f>
        <v xml:space="preserve">2170817148                    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15.46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0</v>
      </c>
      <c r="AZ1141" s="3">
        <v>0</v>
      </c>
      <c r="BA1141" s="3">
        <v>0</v>
      </c>
      <c r="BB1141" s="3">
        <v>0</v>
      </c>
      <c r="BC1141" s="3">
        <v>0</v>
      </c>
      <c r="BD1141" s="3">
        <v>0</v>
      </c>
      <c r="BE1141" s="3">
        <v>0</v>
      </c>
      <c r="BF1141" s="3">
        <v>0</v>
      </c>
      <c r="BG1141" s="3">
        <v>0</v>
      </c>
      <c r="BH1141" s="3">
        <v>1</v>
      </c>
      <c r="BI1141" s="3">
        <v>1</v>
      </c>
      <c r="BJ1141" s="3">
        <v>0.2</v>
      </c>
      <c r="BK1141" s="3">
        <v>1</v>
      </c>
      <c r="BL1141" s="3">
        <v>59</v>
      </c>
      <c r="BM1141" s="3">
        <v>8.85</v>
      </c>
      <c r="BN1141" s="3">
        <v>67.849999999999994</v>
      </c>
      <c r="BO1141" s="3">
        <v>67.849999999999994</v>
      </c>
      <c r="BQ1141" s="3" t="s">
        <v>89</v>
      </c>
      <c r="BR1141" s="3" t="s">
        <v>84</v>
      </c>
      <c r="BS1141" s="4">
        <v>44581</v>
      </c>
      <c r="BT1141" s="5">
        <v>0.42083333333333334</v>
      </c>
      <c r="BU1141" s="3" t="s">
        <v>1488</v>
      </c>
      <c r="BV1141" s="3" t="s">
        <v>87</v>
      </c>
      <c r="BW1141" s="3" t="s">
        <v>457</v>
      </c>
      <c r="BX1141" s="3" t="s">
        <v>458</v>
      </c>
      <c r="BY1141" s="3">
        <v>1200</v>
      </c>
      <c r="BZ1141" s="3" t="s">
        <v>165</v>
      </c>
      <c r="CA1141" s="3" t="s">
        <v>553</v>
      </c>
      <c r="CC1141" s="3" t="s">
        <v>121</v>
      </c>
      <c r="CD1141" s="3">
        <v>6230</v>
      </c>
      <c r="CE1141" s="3" t="s">
        <v>93</v>
      </c>
      <c r="CF1141" s="4">
        <v>44581</v>
      </c>
      <c r="CI1141" s="3">
        <v>1</v>
      </c>
      <c r="CJ1141" s="3">
        <v>2</v>
      </c>
      <c r="CK1141" s="3">
        <v>21</v>
      </c>
      <c r="CL1141" s="3" t="s">
        <v>87</v>
      </c>
    </row>
    <row r="1142" spans="1:90" x14ac:dyDescent="0.2">
      <c r="A1142" s="3" t="s">
        <v>72</v>
      </c>
      <c r="B1142" s="3" t="s">
        <v>73</v>
      </c>
      <c r="C1142" s="3" t="s">
        <v>74</v>
      </c>
      <c r="E1142" s="3" t="str">
        <f>"009941218702"</f>
        <v>009941218702</v>
      </c>
      <c r="F1142" s="4">
        <v>44579</v>
      </c>
      <c r="G1142" s="3">
        <v>202207</v>
      </c>
      <c r="H1142" s="3" t="s">
        <v>90</v>
      </c>
      <c r="I1142" s="3" t="s">
        <v>91</v>
      </c>
      <c r="J1142" s="3" t="s">
        <v>966</v>
      </c>
      <c r="K1142" s="3" t="s">
        <v>78</v>
      </c>
      <c r="L1142" s="3" t="s">
        <v>75</v>
      </c>
      <c r="M1142" s="3" t="s">
        <v>76</v>
      </c>
      <c r="N1142" s="3" t="s">
        <v>1515</v>
      </c>
      <c r="O1142" s="3" t="s">
        <v>82</v>
      </c>
      <c r="P1142" s="3" t="str">
        <f>"1703                          "</f>
        <v xml:space="preserve">1703                          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15.46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0</v>
      </c>
      <c r="AZ1142" s="3">
        <v>0</v>
      </c>
      <c r="BA1142" s="3">
        <v>0</v>
      </c>
      <c r="BB1142" s="3">
        <v>0</v>
      </c>
      <c r="BC1142" s="3">
        <v>0</v>
      </c>
      <c r="BD1142" s="3">
        <v>0</v>
      </c>
      <c r="BE1142" s="3">
        <v>0</v>
      </c>
      <c r="BF1142" s="3">
        <v>0</v>
      </c>
      <c r="BG1142" s="3">
        <v>0</v>
      </c>
      <c r="BH1142" s="3">
        <v>1</v>
      </c>
      <c r="BI1142" s="3">
        <v>1</v>
      </c>
      <c r="BJ1142" s="3">
        <v>0.1</v>
      </c>
      <c r="BK1142" s="3">
        <v>1</v>
      </c>
      <c r="BL1142" s="3">
        <v>59</v>
      </c>
      <c r="BM1142" s="3">
        <v>8.85</v>
      </c>
      <c r="BN1142" s="3">
        <v>67.849999999999994</v>
      </c>
      <c r="BO1142" s="3">
        <v>67.849999999999994</v>
      </c>
      <c r="BQ1142" s="3" t="s">
        <v>1516</v>
      </c>
      <c r="BR1142" s="3" t="s">
        <v>141</v>
      </c>
      <c r="BS1142" s="4">
        <v>44580</v>
      </c>
      <c r="BT1142" s="5">
        <v>0.38263888888888892</v>
      </c>
      <c r="BU1142" s="3" t="s">
        <v>1517</v>
      </c>
      <c r="BV1142" s="3" t="s">
        <v>105</v>
      </c>
      <c r="BY1142" s="3">
        <v>400</v>
      </c>
      <c r="BZ1142" s="3" t="s">
        <v>165</v>
      </c>
      <c r="CA1142" s="3" t="s">
        <v>378</v>
      </c>
      <c r="CC1142" s="3" t="s">
        <v>76</v>
      </c>
      <c r="CD1142" s="3">
        <v>1620</v>
      </c>
      <c r="CE1142" s="3" t="s">
        <v>86</v>
      </c>
      <c r="CF1142" s="4">
        <v>44580</v>
      </c>
      <c r="CI1142" s="3">
        <v>1</v>
      </c>
      <c r="CJ1142" s="3">
        <v>1</v>
      </c>
      <c r="CK1142" s="3">
        <v>21</v>
      </c>
      <c r="CL1142" s="3" t="s">
        <v>87</v>
      </c>
    </row>
    <row r="1143" spans="1:90" x14ac:dyDescent="0.2">
      <c r="A1143" s="3" t="s">
        <v>72</v>
      </c>
      <c r="B1143" s="3" t="s">
        <v>73</v>
      </c>
      <c r="C1143" s="3" t="s">
        <v>74</v>
      </c>
      <c r="E1143" s="3" t="str">
        <f>"FES1162845739"</f>
        <v>FES1162845739</v>
      </c>
      <c r="F1143" s="4">
        <v>44579</v>
      </c>
      <c r="G1143" s="3">
        <v>202207</v>
      </c>
      <c r="H1143" s="3" t="s">
        <v>75</v>
      </c>
      <c r="I1143" s="3" t="s">
        <v>76</v>
      </c>
      <c r="J1143" s="3" t="s">
        <v>77</v>
      </c>
      <c r="K1143" s="3" t="s">
        <v>78</v>
      </c>
      <c r="L1143" s="3" t="s">
        <v>75</v>
      </c>
      <c r="M1143" s="3" t="s">
        <v>76</v>
      </c>
      <c r="N1143" s="3" t="s">
        <v>147</v>
      </c>
      <c r="O1143" s="3" t="s">
        <v>82</v>
      </c>
      <c r="P1143" s="3" t="str">
        <f>"2170817232                    "</f>
        <v xml:space="preserve">2170817232                    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12.07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0</v>
      </c>
      <c r="AZ1143" s="3">
        <v>0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1</v>
      </c>
      <c r="BI1143" s="3">
        <v>2</v>
      </c>
      <c r="BJ1143" s="3">
        <v>2</v>
      </c>
      <c r="BK1143" s="3">
        <v>2</v>
      </c>
      <c r="BL1143" s="3">
        <v>46.08</v>
      </c>
      <c r="BM1143" s="3">
        <v>6.91</v>
      </c>
      <c r="BN1143" s="3">
        <v>52.99</v>
      </c>
      <c r="BO1143" s="3">
        <v>52.99</v>
      </c>
      <c r="BQ1143" s="3" t="s">
        <v>89</v>
      </c>
      <c r="BR1143" s="3" t="s">
        <v>84</v>
      </c>
      <c r="BS1143" s="4">
        <v>44580</v>
      </c>
      <c r="BT1143" s="5">
        <v>0.39444444444444443</v>
      </c>
      <c r="BU1143" s="3" t="s">
        <v>476</v>
      </c>
      <c r="BV1143" s="3" t="s">
        <v>105</v>
      </c>
      <c r="BY1143" s="3">
        <v>9918</v>
      </c>
      <c r="CA1143" s="3" t="s">
        <v>477</v>
      </c>
      <c r="CC1143" s="3" t="s">
        <v>76</v>
      </c>
      <c r="CD1143" s="3">
        <v>1645</v>
      </c>
      <c r="CE1143" s="3" t="s">
        <v>86</v>
      </c>
      <c r="CF1143" s="4">
        <v>44580</v>
      </c>
      <c r="CI1143" s="3">
        <v>1</v>
      </c>
      <c r="CJ1143" s="3">
        <v>1</v>
      </c>
      <c r="CK1143" s="3">
        <v>22</v>
      </c>
      <c r="CL1143" s="3" t="s">
        <v>87</v>
      </c>
    </row>
    <row r="1144" spans="1:90" x14ac:dyDescent="0.2">
      <c r="A1144" s="3" t="s">
        <v>72</v>
      </c>
      <c r="B1144" s="3" t="s">
        <v>73</v>
      </c>
      <c r="C1144" s="3" t="s">
        <v>74</v>
      </c>
      <c r="E1144" s="3" t="str">
        <f>"FES1162845654"</f>
        <v>FES1162845654</v>
      </c>
      <c r="F1144" s="4">
        <v>44579</v>
      </c>
      <c r="G1144" s="3">
        <v>202207</v>
      </c>
      <c r="H1144" s="3" t="s">
        <v>75</v>
      </c>
      <c r="I1144" s="3" t="s">
        <v>76</v>
      </c>
      <c r="J1144" s="3" t="s">
        <v>77</v>
      </c>
      <c r="K1144" s="3" t="s">
        <v>78</v>
      </c>
      <c r="L1144" s="3" t="s">
        <v>120</v>
      </c>
      <c r="M1144" s="3" t="s">
        <v>121</v>
      </c>
      <c r="N1144" s="3" t="s">
        <v>122</v>
      </c>
      <c r="O1144" s="3" t="s">
        <v>82</v>
      </c>
      <c r="P1144" s="3" t="str">
        <f>"2170817157                    "</f>
        <v xml:space="preserve">2170817157                    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15.46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0</v>
      </c>
      <c r="AZ1144" s="3">
        <v>0</v>
      </c>
      <c r="BA1144" s="3">
        <v>0</v>
      </c>
      <c r="BB1144" s="3">
        <v>0</v>
      </c>
      <c r="BC1144" s="3">
        <v>0</v>
      </c>
      <c r="BD1144" s="3">
        <v>0</v>
      </c>
      <c r="BE1144" s="3">
        <v>0</v>
      </c>
      <c r="BF1144" s="3">
        <v>0</v>
      </c>
      <c r="BG1144" s="3">
        <v>0</v>
      </c>
      <c r="BH1144" s="3">
        <v>1</v>
      </c>
      <c r="BI1144" s="3">
        <v>1</v>
      </c>
      <c r="BJ1144" s="3">
        <v>0.2</v>
      </c>
      <c r="BK1144" s="3">
        <v>1</v>
      </c>
      <c r="BL1144" s="3">
        <v>59</v>
      </c>
      <c r="BM1144" s="3">
        <v>8.85</v>
      </c>
      <c r="BN1144" s="3">
        <v>67.849999999999994</v>
      </c>
      <c r="BO1144" s="3">
        <v>67.849999999999994</v>
      </c>
      <c r="BQ1144" s="3" t="s">
        <v>89</v>
      </c>
      <c r="BR1144" s="3" t="s">
        <v>84</v>
      </c>
      <c r="BS1144" s="4">
        <v>44581</v>
      </c>
      <c r="BT1144" s="5">
        <v>0.42222222222222222</v>
      </c>
      <c r="BU1144" s="3" t="s">
        <v>1488</v>
      </c>
      <c r="BV1144" s="3" t="s">
        <v>87</v>
      </c>
      <c r="BW1144" s="3" t="s">
        <v>457</v>
      </c>
      <c r="BX1144" s="3" t="s">
        <v>458</v>
      </c>
      <c r="BY1144" s="3">
        <v>1200</v>
      </c>
      <c r="BZ1144" s="3" t="s">
        <v>165</v>
      </c>
      <c r="CA1144" s="3" t="s">
        <v>553</v>
      </c>
      <c r="CC1144" s="3" t="s">
        <v>121</v>
      </c>
      <c r="CD1144" s="3">
        <v>6230</v>
      </c>
      <c r="CE1144" s="3" t="s">
        <v>93</v>
      </c>
      <c r="CF1144" s="4">
        <v>44581</v>
      </c>
      <c r="CI1144" s="3">
        <v>1</v>
      </c>
      <c r="CJ1144" s="3">
        <v>2</v>
      </c>
      <c r="CK1144" s="3">
        <v>21</v>
      </c>
      <c r="CL1144" s="3" t="s">
        <v>87</v>
      </c>
    </row>
    <row r="1145" spans="1:90" x14ac:dyDescent="0.2">
      <c r="A1145" s="3" t="s">
        <v>72</v>
      </c>
      <c r="B1145" s="3" t="s">
        <v>73</v>
      </c>
      <c r="C1145" s="3" t="s">
        <v>74</v>
      </c>
      <c r="E1145" s="3" t="str">
        <f>"FES1162845587"</f>
        <v>FES1162845587</v>
      </c>
      <c r="F1145" s="4">
        <v>44579</v>
      </c>
      <c r="G1145" s="3">
        <v>202207</v>
      </c>
      <c r="H1145" s="3" t="s">
        <v>75</v>
      </c>
      <c r="I1145" s="3" t="s">
        <v>76</v>
      </c>
      <c r="J1145" s="3" t="s">
        <v>77</v>
      </c>
      <c r="K1145" s="3" t="s">
        <v>78</v>
      </c>
      <c r="L1145" s="3" t="s">
        <v>75</v>
      </c>
      <c r="M1145" s="3" t="s">
        <v>76</v>
      </c>
      <c r="N1145" s="3" t="s">
        <v>153</v>
      </c>
      <c r="O1145" s="3" t="s">
        <v>82</v>
      </c>
      <c r="P1145" s="3" t="str">
        <f>"2170817123                    "</f>
        <v xml:space="preserve">2170817123                    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12.07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0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0</v>
      </c>
      <c r="AZ1145" s="3">
        <v>0</v>
      </c>
      <c r="BA1145" s="3">
        <v>0</v>
      </c>
      <c r="BB1145" s="3">
        <v>0</v>
      </c>
      <c r="BC1145" s="3">
        <v>0</v>
      </c>
      <c r="BD1145" s="3">
        <v>0</v>
      </c>
      <c r="BE1145" s="3">
        <v>0</v>
      </c>
      <c r="BF1145" s="3">
        <v>0</v>
      </c>
      <c r="BG1145" s="3">
        <v>0</v>
      </c>
      <c r="BH1145" s="3">
        <v>1</v>
      </c>
      <c r="BI1145" s="3">
        <v>1</v>
      </c>
      <c r="BJ1145" s="3">
        <v>0.2</v>
      </c>
      <c r="BK1145" s="3">
        <v>1</v>
      </c>
      <c r="BL1145" s="3">
        <v>46.08</v>
      </c>
      <c r="BM1145" s="3">
        <v>6.91</v>
      </c>
      <c r="BN1145" s="3">
        <v>52.99</v>
      </c>
      <c r="BO1145" s="3">
        <v>52.99</v>
      </c>
      <c r="BR1145" s="3" t="s">
        <v>84</v>
      </c>
      <c r="BS1145" s="4">
        <v>44580</v>
      </c>
      <c r="BT1145" s="5">
        <v>0.42083333333333334</v>
      </c>
      <c r="BU1145" s="3" t="s">
        <v>1490</v>
      </c>
      <c r="BV1145" s="3" t="s">
        <v>105</v>
      </c>
      <c r="BY1145" s="3">
        <v>1200</v>
      </c>
      <c r="BZ1145" s="3" t="s">
        <v>165</v>
      </c>
      <c r="CA1145" s="3" t="s">
        <v>227</v>
      </c>
      <c r="CC1145" s="3" t="s">
        <v>76</v>
      </c>
      <c r="CD1145" s="3">
        <v>1600</v>
      </c>
      <c r="CE1145" s="3" t="s">
        <v>93</v>
      </c>
      <c r="CF1145" s="4">
        <v>44580</v>
      </c>
      <c r="CI1145" s="3">
        <v>1</v>
      </c>
      <c r="CJ1145" s="3">
        <v>1</v>
      </c>
      <c r="CK1145" s="3">
        <v>22</v>
      </c>
      <c r="CL1145" s="3" t="s">
        <v>87</v>
      </c>
    </row>
    <row r="1146" spans="1:90" x14ac:dyDescent="0.2">
      <c r="A1146" s="3" t="s">
        <v>72</v>
      </c>
      <c r="B1146" s="3" t="s">
        <v>73</v>
      </c>
      <c r="C1146" s="3" t="s">
        <v>74</v>
      </c>
      <c r="E1146" s="3" t="str">
        <f>"FES1162845630"</f>
        <v>FES1162845630</v>
      </c>
      <c r="F1146" s="4">
        <v>44579</v>
      </c>
      <c r="G1146" s="3">
        <v>202207</v>
      </c>
      <c r="H1146" s="3" t="s">
        <v>75</v>
      </c>
      <c r="I1146" s="3" t="s">
        <v>76</v>
      </c>
      <c r="J1146" s="3" t="s">
        <v>77</v>
      </c>
      <c r="K1146" s="3" t="s">
        <v>78</v>
      </c>
      <c r="L1146" s="3" t="s">
        <v>1147</v>
      </c>
      <c r="M1146" s="3" t="s">
        <v>1148</v>
      </c>
      <c r="N1146" s="3" t="s">
        <v>1149</v>
      </c>
      <c r="O1146" s="3" t="s">
        <v>82</v>
      </c>
      <c r="P1146" s="3" t="str">
        <f>"2170816788                    "</f>
        <v xml:space="preserve">2170816788                    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12.07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0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0</v>
      </c>
      <c r="AZ1146" s="3">
        <v>0</v>
      </c>
      <c r="BA1146" s="3">
        <v>0</v>
      </c>
      <c r="BB1146" s="3">
        <v>0</v>
      </c>
      <c r="BC1146" s="3">
        <v>0</v>
      </c>
      <c r="BD1146" s="3">
        <v>0</v>
      </c>
      <c r="BE1146" s="3">
        <v>0</v>
      </c>
      <c r="BF1146" s="3">
        <v>0</v>
      </c>
      <c r="BG1146" s="3">
        <v>0</v>
      </c>
      <c r="BH1146" s="3">
        <v>1</v>
      </c>
      <c r="BI1146" s="3">
        <v>1</v>
      </c>
      <c r="BJ1146" s="3">
        <v>0.2</v>
      </c>
      <c r="BK1146" s="3">
        <v>1</v>
      </c>
      <c r="BL1146" s="3">
        <v>46.08</v>
      </c>
      <c r="BM1146" s="3">
        <v>6.91</v>
      </c>
      <c r="BN1146" s="3">
        <v>52.99</v>
      </c>
      <c r="BO1146" s="3">
        <v>52.99</v>
      </c>
      <c r="BR1146" s="3" t="s">
        <v>84</v>
      </c>
      <c r="BS1146" s="4">
        <v>44580</v>
      </c>
      <c r="BT1146" s="5">
        <v>0.625</v>
      </c>
      <c r="BU1146" s="3" t="s">
        <v>1518</v>
      </c>
      <c r="BV1146" s="3" t="s">
        <v>87</v>
      </c>
      <c r="BW1146" s="3" t="s">
        <v>353</v>
      </c>
      <c r="BX1146" s="3" t="s">
        <v>1519</v>
      </c>
      <c r="BY1146" s="3">
        <v>1200</v>
      </c>
      <c r="BZ1146" s="3" t="s">
        <v>165</v>
      </c>
      <c r="CA1146" s="3" t="s">
        <v>1151</v>
      </c>
      <c r="CC1146" s="3" t="s">
        <v>1148</v>
      </c>
      <c r="CD1146" s="3">
        <v>2146</v>
      </c>
      <c r="CE1146" s="3" t="s">
        <v>93</v>
      </c>
      <c r="CF1146" s="4">
        <v>44580</v>
      </c>
      <c r="CI1146" s="3">
        <v>1</v>
      </c>
      <c r="CJ1146" s="3">
        <v>1</v>
      </c>
      <c r="CK1146" s="3">
        <v>22</v>
      </c>
      <c r="CL1146" s="3" t="s">
        <v>87</v>
      </c>
    </row>
    <row r="1147" spans="1:90" x14ac:dyDescent="0.2">
      <c r="A1147" s="3" t="s">
        <v>72</v>
      </c>
      <c r="B1147" s="3" t="s">
        <v>73</v>
      </c>
      <c r="C1147" s="3" t="s">
        <v>74</v>
      </c>
      <c r="E1147" s="3" t="str">
        <f>"FES1162845612"</f>
        <v>FES1162845612</v>
      </c>
      <c r="F1147" s="4">
        <v>44579</v>
      </c>
      <c r="G1147" s="3">
        <v>202207</v>
      </c>
      <c r="H1147" s="3" t="s">
        <v>75</v>
      </c>
      <c r="I1147" s="3" t="s">
        <v>76</v>
      </c>
      <c r="J1147" s="3" t="s">
        <v>77</v>
      </c>
      <c r="K1147" s="3" t="s">
        <v>78</v>
      </c>
      <c r="L1147" s="3" t="s">
        <v>805</v>
      </c>
      <c r="M1147" s="3" t="s">
        <v>806</v>
      </c>
      <c r="N1147" s="3" t="s">
        <v>807</v>
      </c>
      <c r="O1147" s="3" t="s">
        <v>82</v>
      </c>
      <c r="P1147" s="3" t="str">
        <f>"2170815336                    "</f>
        <v xml:space="preserve">2170815336                    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29.95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0</v>
      </c>
      <c r="AZ1147" s="3">
        <v>0</v>
      </c>
      <c r="BA1147" s="3">
        <v>0</v>
      </c>
      <c r="BB1147" s="3">
        <v>0</v>
      </c>
      <c r="BC1147" s="3">
        <v>0</v>
      </c>
      <c r="BD1147" s="3">
        <v>0</v>
      </c>
      <c r="BE1147" s="3">
        <v>0</v>
      </c>
      <c r="BF1147" s="3">
        <v>0</v>
      </c>
      <c r="BG1147" s="3">
        <v>0</v>
      </c>
      <c r="BH1147" s="3">
        <v>1</v>
      </c>
      <c r="BI1147" s="3">
        <v>1</v>
      </c>
      <c r="BJ1147" s="3">
        <v>0.2</v>
      </c>
      <c r="BK1147" s="3">
        <v>1</v>
      </c>
      <c r="BL1147" s="3">
        <v>114.31</v>
      </c>
      <c r="BM1147" s="3">
        <v>17.149999999999999</v>
      </c>
      <c r="BN1147" s="3">
        <v>131.46</v>
      </c>
      <c r="BO1147" s="3">
        <v>131.46</v>
      </c>
      <c r="BQ1147" s="3" t="s">
        <v>808</v>
      </c>
      <c r="BR1147" s="3" t="s">
        <v>84</v>
      </c>
      <c r="BS1147" s="4">
        <v>44580</v>
      </c>
      <c r="BT1147" s="5">
        <v>0.4993055555555555</v>
      </c>
      <c r="BU1147" s="3" t="s">
        <v>559</v>
      </c>
      <c r="BV1147" s="3" t="s">
        <v>105</v>
      </c>
      <c r="BY1147" s="3">
        <v>1200</v>
      </c>
      <c r="BZ1147" s="3" t="s">
        <v>165</v>
      </c>
      <c r="CA1147" s="3" t="s">
        <v>809</v>
      </c>
      <c r="CC1147" s="3" t="s">
        <v>806</v>
      </c>
      <c r="CD1147" s="3">
        <v>4400</v>
      </c>
      <c r="CE1147" s="3" t="s">
        <v>93</v>
      </c>
      <c r="CF1147" s="4">
        <v>44581</v>
      </c>
      <c r="CI1147" s="3">
        <v>1</v>
      </c>
      <c r="CJ1147" s="3">
        <v>1</v>
      </c>
      <c r="CK1147" s="3">
        <v>23</v>
      </c>
      <c r="CL1147" s="3" t="s">
        <v>87</v>
      </c>
    </row>
    <row r="1148" spans="1:90" x14ac:dyDescent="0.2">
      <c r="A1148" s="3" t="s">
        <v>72</v>
      </c>
      <c r="B1148" s="3" t="s">
        <v>73</v>
      </c>
      <c r="C1148" s="3" t="s">
        <v>74</v>
      </c>
      <c r="E1148" s="3" t="str">
        <f>"FES1162845614"</f>
        <v>FES1162845614</v>
      </c>
      <c r="F1148" s="4">
        <v>44579</v>
      </c>
      <c r="G1148" s="3">
        <v>202207</v>
      </c>
      <c r="H1148" s="3" t="s">
        <v>75</v>
      </c>
      <c r="I1148" s="3" t="s">
        <v>76</v>
      </c>
      <c r="J1148" s="3" t="s">
        <v>77</v>
      </c>
      <c r="K1148" s="3" t="s">
        <v>78</v>
      </c>
      <c r="L1148" s="3" t="s">
        <v>154</v>
      </c>
      <c r="M1148" s="3" t="s">
        <v>155</v>
      </c>
      <c r="N1148" s="3" t="s">
        <v>963</v>
      </c>
      <c r="O1148" s="3" t="s">
        <v>82</v>
      </c>
      <c r="P1148" s="3" t="str">
        <f>"2170815377                    "</f>
        <v xml:space="preserve">2170815377                    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12.07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0</v>
      </c>
      <c r="AZ1148" s="3">
        <v>0</v>
      </c>
      <c r="BA1148" s="3">
        <v>0</v>
      </c>
      <c r="BB1148" s="3">
        <v>0</v>
      </c>
      <c r="BC1148" s="3">
        <v>0</v>
      </c>
      <c r="BD1148" s="3">
        <v>0</v>
      </c>
      <c r="BE1148" s="3">
        <v>0</v>
      </c>
      <c r="BF1148" s="3">
        <v>0</v>
      </c>
      <c r="BG1148" s="3">
        <v>0</v>
      </c>
      <c r="BH1148" s="3">
        <v>1</v>
      </c>
      <c r="BI1148" s="3">
        <v>1</v>
      </c>
      <c r="BJ1148" s="3">
        <v>0.2</v>
      </c>
      <c r="BK1148" s="3">
        <v>1</v>
      </c>
      <c r="BL1148" s="3">
        <v>46.08</v>
      </c>
      <c r="BM1148" s="3">
        <v>6.91</v>
      </c>
      <c r="BN1148" s="3">
        <v>52.99</v>
      </c>
      <c r="BO1148" s="3">
        <v>52.99</v>
      </c>
      <c r="BQ1148" s="3" t="s">
        <v>83</v>
      </c>
      <c r="BR1148" s="3" t="s">
        <v>84</v>
      </c>
      <c r="BS1148" s="4">
        <v>44580</v>
      </c>
      <c r="BT1148" s="5">
        <v>0.43333333333333335</v>
      </c>
      <c r="BU1148" s="3" t="s">
        <v>1178</v>
      </c>
      <c r="BV1148" s="3" t="s">
        <v>105</v>
      </c>
      <c r="BY1148" s="3">
        <v>1200</v>
      </c>
      <c r="BZ1148" s="3" t="s">
        <v>165</v>
      </c>
      <c r="CA1148" s="3" t="s">
        <v>965</v>
      </c>
      <c r="CC1148" s="3" t="s">
        <v>155</v>
      </c>
      <c r="CD1148" s="3">
        <v>1682</v>
      </c>
      <c r="CE1148" s="3" t="s">
        <v>93</v>
      </c>
      <c r="CF1148" s="4">
        <v>44581</v>
      </c>
      <c r="CI1148" s="3">
        <v>1</v>
      </c>
      <c r="CJ1148" s="3">
        <v>1</v>
      </c>
      <c r="CK1148" s="3">
        <v>22</v>
      </c>
      <c r="CL1148" s="3" t="s">
        <v>87</v>
      </c>
    </row>
    <row r="1149" spans="1:90" x14ac:dyDescent="0.2">
      <c r="A1149" s="3" t="s">
        <v>72</v>
      </c>
      <c r="B1149" s="3" t="s">
        <v>73</v>
      </c>
      <c r="C1149" s="3" t="s">
        <v>74</v>
      </c>
      <c r="E1149" s="3" t="str">
        <f>"FES1162845603"</f>
        <v>FES1162845603</v>
      </c>
      <c r="F1149" s="4">
        <v>44579</v>
      </c>
      <c r="G1149" s="3">
        <v>202207</v>
      </c>
      <c r="H1149" s="3" t="s">
        <v>75</v>
      </c>
      <c r="I1149" s="3" t="s">
        <v>76</v>
      </c>
      <c r="J1149" s="3" t="s">
        <v>77</v>
      </c>
      <c r="K1149" s="3" t="s">
        <v>78</v>
      </c>
      <c r="L1149" s="3" t="s">
        <v>94</v>
      </c>
      <c r="M1149" s="3" t="s">
        <v>95</v>
      </c>
      <c r="N1149" s="3" t="s">
        <v>179</v>
      </c>
      <c r="O1149" s="3" t="s">
        <v>82</v>
      </c>
      <c r="P1149" s="3" t="str">
        <f>"2170814649                    "</f>
        <v xml:space="preserve">2170814649                    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15.46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0</v>
      </c>
      <c r="AZ1149" s="3">
        <v>0</v>
      </c>
      <c r="BA1149" s="3">
        <v>0</v>
      </c>
      <c r="BB1149" s="3">
        <v>0</v>
      </c>
      <c r="BC1149" s="3">
        <v>0</v>
      </c>
      <c r="BD1149" s="3">
        <v>0</v>
      </c>
      <c r="BE1149" s="3">
        <v>0</v>
      </c>
      <c r="BF1149" s="3">
        <v>0</v>
      </c>
      <c r="BG1149" s="3">
        <v>0</v>
      </c>
      <c r="BH1149" s="3">
        <v>1</v>
      </c>
      <c r="BI1149" s="3">
        <v>1</v>
      </c>
      <c r="BJ1149" s="3">
        <v>0.2</v>
      </c>
      <c r="BK1149" s="3">
        <v>1</v>
      </c>
      <c r="BL1149" s="3">
        <v>59</v>
      </c>
      <c r="BM1149" s="3">
        <v>8.85</v>
      </c>
      <c r="BN1149" s="3">
        <v>67.849999999999994</v>
      </c>
      <c r="BO1149" s="3">
        <v>67.849999999999994</v>
      </c>
      <c r="BQ1149" s="3" t="s">
        <v>83</v>
      </c>
      <c r="BR1149" s="3" t="s">
        <v>84</v>
      </c>
      <c r="BS1149" s="4">
        <v>44580</v>
      </c>
      <c r="BT1149" s="5">
        <v>0.46875</v>
      </c>
      <c r="BU1149" s="3" t="s">
        <v>1480</v>
      </c>
      <c r="BV1149" s="3" t="s">
        <v>87</v>
      </c>
      <c r="BW1149" s="3" t="s">
        <v>453</v>
      </c>
      <c r="BX1149" s="3" t="s">
        <v>279</v>
      </c>
      <c r="BY1149" s="3">
        <v>1200</v>
      </c>
      <c r="BZ1149" s="3" t="s">
        <v>165</v>
      </c>
      <c r="CC1149" s="3" t="s">
        <v>95</v>
      </c>
      <c r="CD1149" s="3">
        <v>3201</v>
      </c>
      <c r="CE1149" s="3" t="s">
        <v>93</v>
      </c>
      <c r="CF1149" s="4">
        <v>44585</v>
      </c>
      <c r="CI1149" s="3">
        <v>1</v>
      </c>
      <c r="CJ1149" s="3">
        <v>1</v>
      </c>
      <c r="CK1149" s="3">
        <v>21</v>
      </c>
      <c r="CL1149" s="3" t="s">
        <v>87</v>
      </c>
    </row>
    <row r="1150" spans="1:90" x14ac:dyDescent="0.2">
      <c r="A1150" s="3" t="s">
        <v>72</v>
      </c>
      <c r="B1150" s="3" t="s">
        <v>73</v>
      </c>
      <c r="C1150" s="3" t="s">
        <v>74</v>
      </c>
      <c r="E1150" s="3" t="str">
        <f>"FES1162845621"</f>
        <v>FES1162845621</v>
      </c>
      <c r="F1150" s="4">
        <v>44579</v>
      </c>
      <c r="G1150" s="3">
        <v>202207</v>
      </c>
      <c r="H1150" s="3" t="s">
        <v>75</v>
      </c>
      <c r="I1150" s="3" t="s">
        <v>76</v>
      </c>
      <c r="J1150" s="3" t="s">
        <v>77</v>
      </c>
      <c r="K1150" s="3" t="s">
        <v>78</v>
      </c>
      <c r="L1150" s="3" t="s">
        <v>312</v>
      </c>
      <c r="M1150" s="3" t="s">
        <v>313</v>
      </c>
      <c r="N1150" s="3" t="s">
        <v>314</v>
      </c>
      <c r="O1150" s="3" t="s">
        <v>82</v>
      </c>
      <c r="P1150" s="3" t="str">
        <f>"2170815575                    "</f>
        <v xml:space="preserve">2170815575                    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30.91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0</v>
      </c>
      <c r="AZ1150" s="3">
        <v>0</v>
      </c>
      <c r="BA1150" s="3">
        <v>0</v>
      </c>
      <c r="BB1150" s="3">
        <v>0</v>
      </c>
      <c r="BC1150" s="3">
        <v>0</v>
      </c>
      <c r="BD1150" s="3">
        <v>0</v>
      </c>
      <c r="BE1150" s="3">
        <v>0</v>
      </c>
      <c r="BF1150" s="3">
        <v>0</v>
      </c>
      <c r="BG1150" s="3">
        <v>0</v>
      </c>
      <c r="BH1150" s="3">
        <v>1</v>
      </c>
      <c r="BI1150" s="3">
        <v>4</v>
      </c>
      <c r="BJ1150" s="3">
        <v>0.9</v>
      </c>
      <c r="BK1150" s="3">
        <v>4</v>
      </c>
      <c r="BL1150" s="3">
        <v>117.97</v>
      </c>
      <c r="BM1150" s="3">
        <v>17.7</v>
      </c>
      <c r="BN1150" s="3">
        <v>135.66999999999999</v>
      </c>
      <c r="BO1150" s="3">
        <v>135.66999999999999</v>
      </c>
      <c r="BR1150" s="3" t="s">
        <v>84</v>
      </c>
      <c r="BS1150" s="4">
        <v>44580</v>
      </c>
      <c r="BT1150" s="5">
        <v>0.41180555555555554</v>
      </c>
      <c r="BU1150" s="3" t="s">
        <v>1084</v>
      </c>
      <c r="BV1150" s="3" t="s">
        <v>105</v>
      </c>
      <c r="BY1150" s="3">
        <v>4275</v>
      </c>
      <c r="BZ1150" s="3" t="s">
        <v>165</v>
      </c>
      <c r="CA1150" s="3" t="s">
        <v>316</v>
      </c>
      <c r="CC1150" s="3" t="s">
        <v>313</v>
      </c>
      <c r="CD1150" s="3">
        <v>1240</v>
      </c>
      <c r="CE1150" s="3" t="s">
        <v>86</v>
      </c>
      <c r="CF1150" s="4">
        <v>44580</v>
      </c>
      <c r="CI1150" s="3">
        <v>1</v>
      </c>
      <c r="CJ1150" s="3">
        <v>1</v>
      </c>
      <c r="CK1150" s="3">
        <v>21</v>
      </c>
      <c r="CL1150" s="3" t="s">
        <v>87</v>
      </c>
    </row>
    <row r="1151" spans="1:90" x14ac:dyDescent="0.2">
      <c r="A1151" s="3" t="s">
        <v>72</v>
      </c>
      <c r="B1151" s="3" t="s">
        <v>73</v>
      </c>
      <c r="C1151" s="3" t="s">
        <v>74</v>
      </c>
      <c r="E1151" s="3" t="str">
        <f>"FES1162845533"</f>
        <v>FES1162845533</v>
      </c>
      <c r="F1151" s="4">
        <v>44579</v>
      </c>
      <c r="G1151" s="3">
        <v>202207</v>
      </c>
      <c r="H1151" s="3" t="s">
        <v>75</v>
      </c>
      <c r="I1151" s="3" t="s">
        <v>76</v>
      </c>
      <c r="J1151" s="3" t="s">
        <v>77</v>
      </c>
      <c r="K1151" s="3" t="s">
        <v>78</v>
      </c>
      <c r="L1151" s="3" t="s">
        <v>171</v>
      </c>
      <c r="M1151" s="3" t="s">
        <v>172</v>
      </c>
      <c r="N1151" s="3" t="s">
        <v>174</v>
      </c>
      <c r="O1151" s="3" t="s">
        <v>82</v>
      </c>
      <c r="P1151" s="3" t="str">
        <f>"2170815104                    "</f>
        <v xml:space="preserve">2170815104                    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15.46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0</v>
      </c>
      <c r="AZ1151" s="3">
        <v>0</v>
      </c>
      <c r="BA1151" s="3">
        <v>0</v>
      </c>
      <c r="BB1151" s="3">
        <v>0</v>
      </c>
      <c r="BC1151" s="3">
        <v>0</v>
      </c>
      <c r="BD1151" s="3">
        <v>0</v>
      </c>
      <c r="BE1151" s="3">
        <v>0</v>
      </c>
      <c r="BF1151" s="3">
        <v>0</v>
      </c>
      <c r="BG1151" s="3">
        <v>0</v>
      </c>
      <c r="BH1151" s="3">
        <v>1</v>
      </c>
      <c r="BI1151" s="3">
        <v>1</v>
      </c>
      <c r="BJ1151" s="3">
        <v>0.9</v>
      </c>
      <c r="BK1151" s="3">
        <v>1</v>
      </c>
      <c r="BL1151" s="3">
        <v>59</v>
      </c>
      <c r="BM1151" s="3">
        <v>8.85</v>
      </c>
      <c r="BN1151" s="3">
        <v>67.849999999999994</v>
      </c>
      <c r="BO1151" s="3">
        <v>67.849999999999994</v>
      </c>
      <c r="BQ1151" s="3" t="s">
        <v>83</v>
      </c>
      <c r="BR1151" s="3" t="s">
        <v>84</v>
      </c>
      <c r="BS1151" s="4">
        <v>44580</v>
      </c>
      <c r="BT1151" s="5">
        <v>0.3888888888888889</v>
      </c>
      <c r="BU1151" s="3" t="s">
        <v>1083</v>
      </c>
      <c r="BV1151" s="3" t="s">
        <v>105</v>
      </c>
      <c r="BY1151" s="3">
        <v>4275</v>
      </c>
      <c r="BZ1151" s="3" t="s">
        <v>165</v>
      </c>
      <c r="CA1151" s="3" t="s">
        <v>263</v>
      </c>
      <c r="CC1151" s="3" t="s">
        <v>172</v>
      </c>
      <c r="CD1151" s="3">
        <v>6001</v>
      </c>
      <c r="CE1151" s="3" t="s">
        <v>86</v>
      </c>
      <c r="CF1151" s="4">
        <v>44581</v>
      </c>
      <c r="CI1151" s="3">
        <v>1</v>
      </c>
      <c r="CJ1151" s="3">
        <v>1</v>
      </c>
      <c r="CK1151" s="3">
        <v>21</v>
      </c>
      <c r="CL1151" s="3" t="s">
        <v>87</v>
      </c>
    </row>
    <row r="1152" spans="1:90" x14ac:dyDescent="0.2">
      <c r="A1152" s="3" t="s">
        <v>72</v>
      </c>
      <c r="B1152" s="3" t="s">
        <v>73</v>
      </c>
      <c r="C1152" s="3" t="s">
        <v>74</v>
      </c>
      <c r="E1152" s="3" t="str">
        <f>"FES1162845615"</f>
        <v>FES1162845615</v>
      </c>
      <c r="F1152" s="4">
        <v>44579</v>
      </c>
      <c r="G1152" s="3">
        <v>202207</v>
      </c>
      <c r="H1152" s="3" t="s">
        <v>75</v>
      </c>
      <c r="I1152" s="3" t="s">
        <v>76</v>
      </c>
      <c r="J1152" s="3" t="s">
        <v>77</v>
      </c>
      <c r="K1152" s="3" t="s">
        <v>78</v>
      </c>
      <c r="L1152" s="3" t="s">
        <v>171</v>
      </c>
      <c r="M1152" s="3" t="s">
        <v>172</v>
      </c>
      <c r="N1152" s="3" t="s">
        <v>329</v>
      </c>
      <c r="O1152" s="3" t="s">
        <v>82</v>
      </c>
      <c r="P1152" s="3" t="str">
        <f>"2170815389                    "</f>
        <v xml:space="preserve">2170815389                    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15.46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v>0</v>
      </c>
      <c r="BA1152" s="3">
        <v>0</v>
      </c>
      <c r="BB1152" s="3">
        <v>0</v>
      </c>
      <c r="BC1152" s="3">
        <v>0</v>
      </c>
      <c r="BD1152" s="3">
        <v>0</v>
      </c>
      <c r="BE1152" s="3">
        <v>0</v>
      </c>
      <c r="BF1152" s="3">
        <v>0</v>
      </c>
      <c r="BG1152" s="3">
        <v>0</v>
      </c>
      <c r="BH1152" s="3">
        <v>1</v>
      </c>
      <c r="BI1152" s="3">
        <v>1</v>
      </c>
      <c r="BJ1152" s="3">
        <v>0.2</v>
      </c>
      <c r="BK1152" s="3">
        <v>1</v>
      </c>
      <c r="BL1152" s="3">
        <v>59</v>
      </c>
      <c r="BM1152" s="3">
        <v>8.85</v>
      </c>
      <c r="BN1152" s="3">
        <v>67.849999999999994</v>
      </c>
      <c r="BO1152" s="3">
        <v>67.849999999999994</v>
      </c>
      <c r="BQ1152" s="3" t="s">
        <v>83</v>
      </c>
      <c r="BR1152" s="3" t="s">
        <v>84</v>
      </c>
      <c r="BS1152" s="4">
        <v>44581</v>
      </c>
      <c r="BT1152" s="5">
        <v>0.41597222222222219</v>
      </c>
      <c r="BU1152" s="3" t="s">
        <v>330</v>
      </c>
      <c r="BV1152" s="3" t="s">
        <v>87</v>
      </c>
      <c r="BW1152" s="3" t="s">
        <v>457</v>
      </c>
      <c r="BX1152" s="3" t="s">
        <v>458</v>
      </c>
      <c r="BY1152" s="3">
        <v>1200</v>
      </c>
      <c r="BZ1152" s="3" t="s">
        <v>165</v>
      </c>
      <c r="CA1152" s="3" t="s">
        <v>331</v>
      </c>
      <c r="CC1152" s="3" t="s">
        <v>172</v>
      </c>
      <c r="CD1152" s="3">
        <v>6001</v>
      </c>
      <c r="CE1152" s="3" t="s">
        <v>93</v>
      </c>
      <c r="CF1152" s="4">
        <v>44582</v>
      </c>
      <c r="CI1152" s="3">
        <v>1</v>
      </c>
      <c r="CJ1152" s="3">
        <v>2</v>
      </c>
      <c r="CK1152" s="3">
        <v>21</v>
      </c>
      <c r="CL1152" s="3" t="s">
        <v>87</v>
      </c>
    </row>
    <row r="1153" spans="1:90" x14ac:dyDescent="0.2">
      <c r="A1153" s="3" t="s">
        <v>72</v>
      </c>
      <c r="B1153" s="3" t="s">
        <v>73</v>
      </c>
      <c r="C1153" s="3" t="s">
        <v>74</v>
      </c>
      <c r="E1153" s="3" t="str">
        <f>"FES1162845645"</f>
        <v>FES1162845645</v>
      </c>
      <c r="F1153" s="4">
        <v>44579</v>
      </c>
      <c r="G1153" s="3">
        <v>202207</v>
      </c>
      <c r="H1153" s="3" t="s">
        <v>75</v>
      </c>
      <c r="I1153" s="3" t="s">
        <v>76</v>
      </c>
      <c r="J1153" s="3" t="s">
        <v>77</v>
      </c>
      <c r="K1153" s="3" t="s">
        <v>78</v>
      </c>
      <c r="L1153" s="3" t="s">
        <v>171</v>
      </c>
      <c r="M1153" s="3" t="s">
        <v>172</v>
      </c>
      <c r="N1153" s="3" t="s">
        <v>249</v>
      </c>
      <c r="O1153" s="3" t="s">
        <v>82</v>
      </c>
      <c r="P1153" s="3" t="str">
        <f>"2170817151                    "</f>
        <v xml:space="preserve">2170817151                    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15.46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0</v>
      </c>
      <c r="AZ1153" s="3">
        <v>0</v>
      </c>
      <c r="BA1153" s="3">
        <v>0</v>
      </c>
      <c r="BB1153" s="3">
        <v>0</v>
      </c>
      <c r="BC1153" s="3">
        <v>0</v>
      </c>
      <c r="BD1153" s="3">
        <v>0</v>
      </c>
      <c r="BE1153" s="3">
        <v>0</v>
      </c>
      <c r="BF1153" s="3">
        <v>0</v>
      </c>
      <c r="BG1153" s="3">
        <v>0</v>
      </c>
      <c r="BH1153" s="3">
        <v>1</v>
      </c>
      <c r="BI1153" s="3">
        <v>1</v>
      </c>
      <c r="BJ1153" s="3">
        <v>0.2</v>
      </c>
      <c r="BK1153" s="3">
        <v>1</v>
      </c>
      <c r="BL1153" s="3">
        <v>59</v>
      </c>
      <c r="BM1153" s="3">
        <v>8.85</v>
      </c>
      <c r="BN1153" s="3">
        <v>67.849999999999994</v>
      </c>
      <c r="BO1153" s="3">
        <v>67.849999999999994</v>
      </c>
      <c r="BQ1153" s="3" t="s">
        <v>89</v>
      </c>
      <c r="BR1153" s="3" t="s">
        <v>84</v>
      </c>
      <c r="BS1153" s="4">
        <v>44581</v>
      </c>
      <c r="BT1153" s="5">
        <v>0.41666666666666669</v>
      </c>
      <c r="BU1153" s="3" t="s">
        <v>1484</v>
      </c>
      <c r="BV1153" s="3" t="s">
        <v>87</v>
      </c>
      <c r="BW1153" s="3" t="s">
        <v>457</v>
      </c>
      <c r="BX1153" s="3" t="s">
        <v>458</v>
      </c>
      <c r="BY1153" s="3">
        <v>1200</v>
      </c>
      <c r="BZ1153" s="3" t="s">
        <v>165</v>
      </c>
      <c r="CC1153" s="3" t="s">
        <v>172</v>
      </c>
      <c r="CD1153" s="3">
        <v>6001</v>
      </c>
      <c r="CE1153" s="3" t="s">
        <v>93</v>
      </c>
      <c r="CF1153" s="4">
        <v>44582</v>
      </c>
      <c r="CI1153" s="3">
        <v>1</v>
      </c>
      <c r="CJ1153" s="3">
        <v>2</v>
      </c>
      <c r="CK1153" s="3">
        <v>21</v>
      </c>
      <c r="CL1153" s="3" t="s">
        <v>87</v>
      </c>
    </row>
    <row r="1154" spans="1:90" x14ac:dyDescent="0.2">
      <c r="A1154" s="3" t="s">
        <v>72</v>
      </c>
      <c r="B1154" s="3" t="s">
        <v>73</v>
      </c>
      <c r="C1154" s="3" t="s">
        <v>74</v>
      </c>
      <c r="E1154" s="3" t="str">
        <f>"FES1162845687"</f>
        <v>FES1162845687</v>
      </c>
      <c r="F1154" s="4">
        <v>44579</v>
      </c>
      <c r="G1154" s="3">
        <v>202207</v>
      </c>
      <c r="H1154" s="3" t="s">
        <v>75</v>
      </c>
      <c r="I1154" s="3" t="s">
        <v>76</v>
      </c>
      <c r="J1154" s="3" t="s">
        <v>77</v>
      </c>
      <c r="K1154" s="3" t="s">
        <v>78</v>
      </c>
      <c r="L1154" s="3" t="s">
        <v>123</v>
      </c>
      <c r="M1154" s="3" t="s">
        <v>124</v>
      </c>
      <c r="N1154" s="3" t="s">
        <v>193</v>
      </c>
      <c r="O1154" s="3" t="s">
        <v>82</v>
      </c>
      <c r="P1154" s="3" t="str">
        <f>"2170815713                    "</f>
        <v xml:space="preserve">2170815713                    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12.07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0</v>
      </c>
      <c r="AZ1154" s="3">
        <v>0</v>
      </c>
      <c r="BA1154" s="3">
        <v>0</v>
      </c>
      <c r="BB1154" s="3">
        <v>0</v>
      </c>
      <c r="BC1154" s="3">
        <v>0</v>
      </c>
      <c r="BD1154" s="3">
        <v>0</v>
      </c>
      <c r="BE1154" s="3">
        <v>0</v>
      </c>
      <c r="BF1154" s="3">
        <v>0</v>
      </c>
      <c r="BG1154" s="3">
        <v>0</v>
      </c>
      <c r="BH1154" s="3">
        <v>1</v>
      </c>
      <c r="BI1154" s="3">
        <v>1</v>
      </c>
      <c r="BJ1154" s="3">
        <v>0.2</v>
      </c>
      <c r="BK1154" s="3">
        <v>1</v>
      </c>
      <c r="BL1154" s="3">
        <v>46.08</v>
      </c>
      <c r="BM1154" s="3">
        <v>6.91</v>
      </c>
      <c r="BN1154" s="3">
        <v>52.99</v>
      </c>
      <c r="BO1154" s="3">
        <v>52.99</v>
      </c>
      <c r="BQ1154" s="3" t="s">
        <v>83</v>
      </c>
      <c r="BR1154" s="3" t="s">
        <v>84</v>
      </c>
      <c r="BS1154" s="4">
        <v>44580</v>
      </c>
      <c r="BT1154" s="5">
        <v>0.38750000000000001</v>
      </c>
      <c r="BU1154" s="3" t="s">
        <v>1520</v>
      </c>
      <c r="BV1154" s="3" t="s">
        <v>105</v>
      </c>
      <c r="BY1154" s="3">
        <v>1200</v>
      </c>
      <c r="CA1154" s="3" t="s">
        <v>320</v>
      </c>
      <c r="CC1154" s="3" t="s">
        <v>124</v>
      </c>
      <c r="CD1154" s="3">
        <v>1709</v>
      </c>
      <c r="CE1154" s="3" t="s">
        <v>93</v>
      </c>
      <c r="CF1154" s="4">
        <v>44581</v>
      </c>
      <c r="CI1154" s="3">
        <v>1</v>
      </c>
      <c r="CJ1154" s="3">
        <v>1</v>
      </c>
      <c r="CK1154" s="3">
        <v>22</v>
      </c>
      <c r="CL1154" s="3" t="s">
        <v>87</v>
      </c>
    </row>
    <row r="1155" spans="1:90" x14ac:dyDescent="0.2">
      <c r="A1155" s="3" t="s">
        <v>72</v>
      </c>
      <c r="B1155" s="3" t="s">
        <v>73</v>
      </c>
      <c r="C1155" s="3" t="s">
        <v>74</v>
      </c>
      <c r="E1155" s="3" t="str">
        <f>"FES1162845594"</f>
        <v>FES1162845594</v>
      </c>
      <c r="F1155" s="4">
        <v>44579</v>
      </c>
      <c r="G1155" s="3">
        <v>202207</v>
      </c>
      <c r="H1155" s="3" t="s">
        <v>75</v>
      </c>
      <c r="I1155" s="3" t="s">
        <v>76</v>
      </c>
      <c r="J1155" s="3" t="s">
        <v>77</v>
      </c>
      <c r="K1155" s="3" t="s">
        <v>78</v>
      </c>
      <c r="L1155" s="3" t="s">
        <v>97</v>
      </c>
      <c r="M1155" s="3" t="s">
        <v>98</v>
      </c>
      <c r="N1155" s="3" t="s">
        <v>894</v>
      </c>
      <c r="O1155" s="3" t="s">
        <v>82</v>
      </c>
      <c r="P1155" s="3" t="str">
        <f>"2170809327                    "</f>
        <v xml:space="preserve">2170809327                    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12.07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0</v>
      </c>
      <c r="AZ1155" s="3">
        <v>0</v>
      </c>
      <c r="BA1155" s="3">
        <v>0</v>
      </c>
      <c r="BB1155" s="3">
        <v>0</v>
      </c>
      <c r="BC1155" s="3">
        <v>0</v>
      </c>
      <c r="BD1155" s="3">
        <v>0</v>
      </c>
      <c r="BE1155" s="3">
        <v>0</v>
      </c>
      <c r="BF1155" s="3">
        <v>0</v>
      </c>
      <c r="BG1155" s="3">
        <v>0</v>
      </c>
      <c r="BH1155" s="3">
        <v>1</v>
      </c>
      <c r="BI1155" s="3">
        <v>1</v>
      </c>
      <c r="BJ1155" s="3">
        <v>0.2</v>
      </c>
      <c r="BK1155" s="3">
        <v>1</v>
      </c>
      <c r="BL1155" s="3">
        <v>46.08</v>
      </c>
      <c r="BM1155" s="3">
        <v>6.91</v>
      </c>
      <c r="BN1155" s="3">
        <v>52.99</v>
      </c>
      <c r="BO1155" s="3">
        <v>52.99</v>
      </c>
      <c r="BQ1155" s="3" t="s">
        <v>83</v>
      </c>
      <c r="BR1155" s="3" t="s">
        <v>84</v>
      </c>
      <c r="BS1155" s="4">
        <v>44581</v>
      </c>
      <c r="BT1155" s="5">
        <v>0.41666666666666669</v>
      </c>
      <c r="BU1155" s="3" t="s">
        <v>1521</v>
      </c>
      <c r="BV1155" s="3" t="s">
        <v>87</v>
      </c>
      <c r="BW1155" s="3" t="s">
        <v>376</v>
      </c>
      <c r="BX1155" s="3" t="s">
        <v>1507</v>
      </c>
      <c r="BY1155" s="3">
        <v>1200</v>
      </c>
      <c r="BZ1155" s="3" t="s">
        <v>165</v>
      </c>
      <c r="CC1155" s="3" t="s">
        <v>98</v>
      </c>
      <c r="CD1155" s="3">
        <v>2157</v>
      </c>
      <c r="CE1155" s="3" t="s">
        <v>93</v>
      </c>
      <c r="CF1155" s="4">
        <v>44585</v>
      </c>
      <c r="CI1155" s="3">
        <v>1</v>
      </c>
      <c r="CJ1155" s="3">
        <v>2</v>
      </c>
      <c r="CK1155" s="3">
        <v>22</v>
      </c>
      <c r="CL1155" s="3" t="s">
        <v>87</v>
      </c>
    </row>
    <row r="1156" spans="1:90" x14ac:dyDescent="0.2">
      <c r="A1156" s="3" t="s">
        <v>72</v>
      </c>
      <c r="B1156" s="3" t="s">
        <v>73</v>
      </c>
      <c r="C1156" s="3" t="s">
        <v>74</v>
      </c>
      <c r="E1156" s="3" t="str">
        <f>"FES1162845589"</f>
        <v>FES1162845589</v>
      </c>
      <c r="F1156" s="4">
        <v>44579</v>
      </c>
      <c r="G1156" s="3">
        <v>202207</v>
      </c>
      <c r="H1156" s="3" t="s">
        <v>75</v>
      </c>
      <c r="I1156" s="3" t="s">
        <v>76</v>
      </c>
      <c r="J1156" s="3" t="s">
        <v>77</v>
      </c>
      <c r="K1156" s="3" t="s">
        <v>78</v>
      </c>
      <c r="L1156" s="3" t="s">
        <v>129</v>
      </c>
      <c r="M1156" s="3" t="s">
        <v>130</v>
      </c>
      <c r="N1156" s="3" t="s">
        <v>404</v>
      </c>
      <c r="O1156" s="3" t="s">
        <v>82</v>
      </c>
      <c r="P1156" s="3" t="str">
        <f>"2170817128                    "</f>
        <v xml:space="preserve">2170817128                    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29.95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0</v>
      </c>
      <c r="AZ1156" s="3">
        <v>0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3">
        <v>1</v>
      </c>
      <c r="BI1156" s="3">
        <v>1</v>
      </c>
      <c r="BJ1156" s="3">
        <v>0.2</v>
      </c>
      <c r="BK1156" s="3">
        <v>1</v>
      </c>
      <c r="BL1156" s="3">
        <v>114.31</v>
      </c>
      <c r="BM1156" s="3">
        <v>17.149999999999999</v>
      </c>
      <c r="BN1156" s="3">
        <v>131.46</v>
      </c>
      <c r="BO1156" s="3">
        <v>131.46</v>
      </c>
      <c r="BQ1156" s="3" t="s">
        <v>83</v>
      </c>
      <c r="BR1156" s="3" t="s">
        <v>84</v>
      </c>
      <c r="BS1156" s="4">
        <v>44580</v>
      </c>
      <c r="BT1156" s="5">
        <v>0.58750000000000002</v>
      </c>
      <c r="BU1156" s="3" t="s">
        <v>1522</v>
      </c>
      <c r="BV1156" s="3" t="s">
        <v>105</v>
      </c>
      <c r="BY1156" s="3">
        <v>1200</v>
      </c>
      <c r="BZ1156" s="3" t="s">
        <v>165</v>
      </c>
      <c r="CA1156" s="3" t="s">
        <v>406</v>
      </c>
      <c r="CC1156" s="3" t="s">
        <v>130</v>
      </c>
      <c r="CD1156" s="3">
        <v>3370</v>
      </c>
      <c r="CE1156" s="3" t="s">
        <v>93</v>
      </c>
      <c r="CF1156" s="4">
        <v>44581</v>
      </c>
      <c r="CI1156" s="3">
        <v>2</v>
      </c>
      <c r="CJ1156" s="3">
        <v>1</v>
      </c>
      <c r="CK1156" s="3">
        <v>23</v>
      </c>
      <c r="CL1156" s="3" t="s">
        <v>87</v>
      </c>
    </row>
    <row r="1157" spans="1:90" x14ac:dyDescent="0.2">
      <c r="A1157" s="3" t="s">
        <v>72</v>
      </c>
      <c r="B1157" s="3" t="s">
        <v>73</v>
      </c>
      <c r="C1157" s="3" t="s">
        <v>74</v>
      </c>
      <c r="E1157" s="3" t="str">
        <f>"FES1162845590"</f>
        <v>FES1162845590</v>
      </c>
      <c r="F1157" s="4">
        <v>44579</v>
      </c>
      <c r="G1157" s="3">
        <v>202207</v>
      </c>
      <c r="H1157" s="3" t="s">
        <v>75</v>
      </c>
      <c r="I1157" s="3" t="s">
        <v>76</v>
      </c>
      <c r="J1157" s="3" t="s">
        <v>77</v>
      </c>
      <c r="K1157" s="3" t="s">
        <v>78</v>
      </c>
      <c r="L1157" s="3" t="s">
        <v>101</v>
      </c>
      <c r="M1157" s="3" t="s">
        <v>102</v>
      </c>
      <c r="N1157" s="3" t="s">
        <v>272</v>
      </c>
      <c r="O1157" s="3" t="s">
        <v>82</v>
      </c>
      <c r="P1157" s="3" t="str">
        <f>"2170817129                    "</f>
        <v xml:space="preserve">2170817129                    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15.46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0</v>
      </c>
      <c r="AZ1157" s="3">
        <v>0</v>
      </c>
      <c r="BA1157" s="3">
        <v>0</v>
      </c>
      <c r="BB1157" s="3">
        <v>0</v>
      </c>
      <c r="BC1157" s="3">
        <v>0</v>
      </c>
      <c r="BD1157" s="3">
        <v>0</v>
      </c>
      <c r="BE1157" s="3">
        <v>0</v>
      </c>
      <c r="BF1157" s="3">
        <v>0</v>
      </c>
      <c r="BG1157" s="3">
        <v>0</v>
      </c>
      <c r="BH1157" s="3">
        <v>1</v>
      </c>
      <c r="BI1157" s="3">
        <v>1</v>
      </c>
      <c r="BJ1157" s="3">
        <v>0.2</v>
      </c>
      <c r="BK1157" s="3">
        <v>1</v>
      </c>
      <c r="BL1157" s="3">
        <v>59</v>
      </c>
      <c r="BM1157" s="3">
        <v>8.85</v>
      </c>
      <c r="BN1157" s="3">
        <v>67.849999999999994</v>
      </c>
      <c r="BO1157" s="3">
        <v>67.849999999999994</v>
      </c>
      <c r="BQ1157" s="3" t="s">
        <v>273</v>
      </c>
      <c r="BR1157" s="3" t="s">
        <v>84</v>
      </c>
      <c r="BS1157" s="4">
        <v>44580</v>
      </c>
      <c r="BT1157" s="5">
        <v>0.39097222222222222</v>
      </c>
      <c r="BU1157" s="3" t="s">
        <v>274</v>
      </c>
      <c r="BV1157" s="3" t="s">
        <v>105</v>
      </c>
      <c r="BY1157" s="3">
        <v>1200</v>
      </c>
      <c r="BZ1157" s="3" t="s">
        <v>165</v>
      </c>
      <c r="CA1157" s="3" t="s">
        <v>275</v>
      </c>
      <c r="CC1157" s="3" t="s">
        <v>102</v>
      </c>
      <c r="CD1157" s="3">
        <v>4000</v>
      </c>
      <c r="CE1157" s="3" t="s">
        <v>93</v>
      </c>
      <c r="CF1157" s="4">
        <v>44581</v>
      </c>
      <c r="CI1157" s="3">
        <v>1</v>
      </c>
      <c r="CJ1157" s="3">
        <v>1</v>
      </c>
      <c r="CK1157" s="3">
        <v>21</v>
      </c>
      <c r="CL1157" s="3" t="s">
        <v>87</v>
      </c>
    </row>
    <row r="1158" spans="1:90" x14ac:dyDescent="0.2">
      <c r="A1158" s="3" t="s">
        <v>72</v>
      </c>
      <c r="B1158" s="3" t="s">
        <v>73</v>
      </c>
      <c r="C1158" s="3" t="s">
        <v>74</v>
      </c>
      <c r="E1158" s="3" t="str">
        <f>"FES1162845607"</f>
        <v>FES1162845607</v>
      </c>
      <c r="F1158" s="4">
        <v>44579</v>
      </c>
      <c r="G1158" s="3">
        <v>202207</v>
      </c>
      <c r="H1158" s="3" t="s">
        <v>75</v>
      </c>
      <c r="I1158" s="3" t="s">
        <v>76</v>
      </c>
      <c r="J1158" s="3" t="s">
        <v>77</v>
      </c>
      <c r="K1158" s="3" t="s">
        <v>78</v>
      </c>
      <c r="L1158" s="3" t="s">
        <v>1201</v>
      </c>
      <c r="M1158" s="3" t="s">
        <v>1202</v>
      </c>
      <c r="N1158" s="3" t="s">
        <v>1523</v>
      </c>
      <c r="O1158" s="3" t="s">
        <v>82</v>
      </c>
      <c r="P1158" s="3" t="str">
        <f>"2170815134                    "</f>
        <v xml:space="preserve">2170815134                    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29.95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0</v>
      </c>
      <c r="AZ1158" s="3">
        <v>0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3">
        <v>1</v>
      </c>
      <c r="BI1158" s="3">
        <v>1</v>
      </c>
      <c r="BJ1158" s="3">
        <v>0.2</v>
      </c>
      <c r="BK1158" s="3">
        <v>1</v>
      </c>
      <c r="BL1158" s="3">
        <v>114.31</v>
      </c>
      <c r="BM1158" s="3">
        <v>17.149999999999999</v>
      </c>
      <c r="BN1158" s="3">
        <v>131.46</v>
      </c>
      <c r="BO1158" s="3">
        <v>131.46</v>
      </c>
      <c r="BQ1158" s="3" t="s">
        <v>83</v>
      </c>
      <c r="BR1158" s="3" t="s">
        <v>84</v>
      </c>
      <c r="BS1158" s="4">
        <v>44580</v>
      </c>
      <c r="BT1158" s="5">
        <v>0.4770833333333333</v>
      </c>
      <c r="BU1158" s="3" t="s">
        <v>1524</v>
      </c>
      <c r="BV1158" s="3" t="s">
        <v>105</v>
      </c>
      <c r="BY1158" s="3">
        <v>1200</v>
      </c>
      <c r="BZ1158" s="3" t="s">
        <v>165</v>
      </c>
      <c r="CA1158" s="3" t="s">
        <v>1204</v>
      </c>
      <c r="CC1158" s="3" t="s">
        <v>1202</v>
      </c>
      <c r="CD1158" s="3">
        <v>9880</v>
      </c>
      <c r="CE1158" s="3" t="s">
        <v>93</v>
      </c>
      <c r="CF1158" s="4">
        <v>44581</v>
      </c>
      <c r="CI1158" s="3">
        <v>1</v>
      </c>
      <c r="CJ1158" s="3">
        <v>1</v>
      </c>
      <c r="CK1158" s="3">
        <v>23</v>
      </c>
      <c r="CL1158" s="3" t="s">
        <v>87</v>
      </c>
    </row>
    <row r="1159" spans="1:90" x14ac:dyDescent="0.2">
      <c r="A1159" s="3" t="s">
        <v>72</v>
      </c>
      <c r="B1159" s="3" t="s">
        <v>73</v>
      </c>
      <c r="C1159" s="3" t="s">
        <v>74</v>
      </c>
      <c r="E1159" s="3" t="str">
        <f>"FES1162845604"</f>
        <v>FES1162845604</v>
      </c>
      <c r="F1159" s="4">
        <v>44579</v>
      </c>
      <c r="G1159" s="3">
        <v>202207</v>
      </c>
      <c r="H1159" s="3" t="s">
        <v>75</v>
      </c>
      <c r="I1159" s="3" t="s">
        <v>76</v>
      </c>
      <c r="J1159" s="3" t="s">
        <v>77</v>
      </c>
      <c r="K1159" s="3" t="s">
        <v>78</v>
      </c>
      <c r="L1159" s="3" t="s">
        <v>101</v>
      </c>
      <c r="M1159" s="3" t="s">
        <v>102</v>
      </c>
      <c r="N1159" s="3" t="s">
        <v>170</v>
      </c>
      <c r="O1159" s="3" t="s">
        <v>82</v>
      </c>
      <c r="P1159" s="3" t="str">
        <f>"2170814815                    "</f>
        <v xml:space="preserve">2170814815                    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15.46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0</v>
      </c>
      <c r="AZ1159" s="3">
        <v>0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3">
        <v>1</v>
      </c>
      <c r="BI1159" s="3">
        <v>2</v>
      </c>
      <c r="BJ1159" s="3">
        <v>0.9</v>
      </c>
      <c r="BK1159" s="3">
        <v>2</v>
      </c>
      <c r="BL1159" s="3">
        <v>59</v>
      </c>
      <c r="BM1159" s="3">
        <v>8.85</v>
      </c>
      <c r="BN1159" s="3">
        <v>67.849999999999994</v>
      </c>
      <c r="BO1159" s="3">
        <v>67.849999999999994</v>
      </c>
      <c r="BQ1159" s="3" t="s">
        <v>89</v>
      </c>
      <c r="BR1159" s="3" t="s">
        <v>84</v>
      </c>
      <c r="BS1159" s="4">
        <v>44580</v>
      </c>
      <c r="BT1159" s="5">
        <v>0.45555555555555555</v>
      </c>
      <c r="BU1159" s="3" t="s">
        <v>369</v>
      </c>
      <c r="BV1159" s="3" t="s">
        <v>87</v>
      </c>
      <c r="BW1159" s="3" t="s">
        <v>278</v>
      </c>
      <c r="BX1159" s="3" t="s">
        <v>279</v>
      </c>
      <c r="BY1159" s="3">
        <v>4275</v>
      </c>
      <c r="BZ1159" s="3" t="s">
        <v>165</v>
      </c>
      <c r="CA1159" s="3" t="s">
        <v>280</v>
      </c>
      <c r="CC1159" s="3" t="s">
        <v>102</v>
      </c>
      <c r="CD1159" s="3">
        <v>4001</v>
      </c>
      <c r="CE1159" s="3" t="s">
        <v>86</v>
      </c>
      <c r="CF1159" s="4">
        <v>44581</v>
      </c>
      <c r="CI1159" s="3">
        <v>1</v>
      </c>
      <c r="CJ1159" s="3">
        <v>1</v>
      </c>
      <c r="CK1159" s="3">
        <v>21</v>
      </c>
      <c r="CL1159" s="3" t="s">
        <v>87</v>
      </c>
    </row>
    <row r="1160" spans="1:90" x14ac:dyDescent="0.2">
      <c r="A1160" s="3" t="s">
        <v>72</v>
      </c>
      <c r="B1160" s="3" t="s">
        <v>73</v>
      </c>
      <c r="C1160" s="3" t="s">
        <v>74</v>
      </c>
      <c r="E1160" s="3" t="str">
        <f>"FES1162845690"</f>
        <v>FES1162845690</v>
      </c>
      <c r="F1160" s="4">
        <v>44579</v>
      </c>
      <c r="G1160" s="3">
        <v>202207</v>
      </c>
      <c r="H1160" s="3" t="s">
        <v>75</v>
      </c>
      <c r="I1160" s="3" t="s">
        <v>76</v>
      </c>
      <c r="J1160" s="3" t="s">
        <v>77</v>
      </c>
      <c r="K1160" s="3" t="s">
        <v>78</v>
      </c>
      <c r="L1160" s="3" t="s">
        <v>335</v>
      </c>
      <c r="M1160" s="3" t="s">
        <v>336</v>
      </c>
      <c r="N1160" s="3" t="s">
        <v>337</v>
      </c>
      <c r="O1160" s="3" t="s">
        <v>82</v>
      </c>
      <c r="P1160" s="3" t="str">
        <f>"2170815797                    "</f>
        <v xml:space="preserve">2170815797                    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15.46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0</v>
      </c>
      <c r="AZ1160" s="3">
        <v>0</v>
      </c>
      <c r="BA1160" s="3">
        <v>0</v>
      </c>
      <c r="BB1160" s="3">
        <v>0</v>
      </c>
      <c r="BC1160" s="3">
        <v>0</v>
      </c>
      <c r="BD1160" s="3">
        <v>0</v>
      </c>
      <c r="BE1160" s="3">
        <v>0</v>
      </c>
      <c r="BF1160" s="3">
        <v>0</v>
      </c>
      <c r="BG1160" s="3">
        <v>0</v>
      </c>
      <c r="BH1160" s="3">
        <v>1</v>
      </c>
      <c r="BI1160" s="3">
        <v>1</v>
      </c>
      <c r="BJ1160" s="3">
        <v>0.2</v>
      </c>
      <c r="BK1160" s="3">
        <v>1</v>
      </c>
      <c r="BL1160" s="3">
        <v>59</v>
      </c>
      <c r="BM1160" s="3">
        <v>8.85</v>
      </c>
      <c r="BN1160" s="3">
        <v>67.849999999999994</v>
      </c>
      <c r="BO1160" s="3">
        <v>67.849999999999994</v>
      </c>
      <c r="BQ1160" s="3" t="s">
        <v>89</v>
      </c>
      <c r="BR1160" s="3" t="s">
        <v>84</v>
      </c>
      <c r="BS1160" s="4">
        <v>44580</v>
      </c>
      <c r="BT1160" s="5">
        <v>0.35833333333333334</v>
      </c>
      <c r="BU1160" s="3" t="s">
        <v>1031</v>
      </c>
      <c r="BV1160" s="3" t="s">
        <v>105</v>
      </c>
      <c r="BY1160" s="3">
        <v>1200</v>
      </c>
      <c r="CA1160" s="3" t="s">
        <v>528</v>
      </c>
      <c r="CC1160" s="3" t="s">
        <v>336</v>
      </c>
      <c r="CD1160" s="3">
        <v>4133</v>
      </c>
      <c r="CE1160" s="3" t="s">
        <v>93</v>
      </c>
      <c r="CF1160" s="4">
        <v>44581</v>
      </c>
      <c r="CI1160" s="3">
        <v>1</v>
      </c>
      <c r="CJ1160" s="3">
        <v>1</v>
      </c>
      <c r="CK1160" s="3">
        <v>21</v>
      </c>
      <c r="CL1160" s="3" t="s">
        <v>87</v>
      </c>
    </row>
    <row r="1161" spans="1:90" x14ac:dyDescent="0.2">
      <c r="A1161" s="3" t="s">
        <v>72</v>
      </c>
      <c r="B1161" s="3" t="s">
        <v>73</v>
      </c>
      <c r="C1161" s="3" t="s">
        <v>74</v>
      </c>
      <c r="E1161" s="3" t="str">
        <f>"FES1162845662"</f>
        <v>FES1162845662</v>
      </c>
      <c r="F1161" s="4">
        <v>44579</v>
      </c>
      <c r="G1161" s="3">
        <v>202207</v>
      </c>
      <c r="H1161" s="3" t="s">
        <v>75</v>
      </c>
      <c r="I1161" s="3" t="s">
        <v>76</v>
      </c>
      <c r="J1161" s="3" t="s">
        <v>77</v>
      </c>
      <c r="K1161" s="3" t="s">
        <v>78</v>
      </c>
      <c r="L1161" s="3" t="s">
        <v>97</v>
      </c>
      <c r="M1161" s="3" t="s">
        <v>98</v>
      </c>
      <c r="N1161" s="3" t="s">
        <v>1525</v>
      </c>
      <c r="O1161" s="3" t="s">
        <v>82</v>
      </c>
      <c r="P1161" s="3" t="str">
        <f>"2170817170                    "</f>
        <v xml:space="preserve">2170817170                    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12.07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15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0</v>
      </c>
      <c r="AZ1161" s="3">
        <v>0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1</v>
      </c>
      <c r="BI1161" s="3">
        <v>1</v>
      </c>
      <c r="BJ1161" s="3">
        <v>0.2</v>
      </c>
      <c r="BK1161" s="3">
        <v>1</v>
      </c>
      <c r="BL1161" s="3">
        <v>61.08</v>
      </c>
      <c r="BM1161" s="3">
        <v>9.16</v>
      </c>
      <c r="BN1161" s="3">
        <v>70.239999999999995</v>
      </c>
      <c r="BO1161" s="3">
        <v>70.239999999999995</v>
      </c>
      <c r="BQ1161" s="3" t="s">
        <v>1526</v>
      </c>
      <c r="BR1161" s="3" t="s">
        <v>84</v>
      </c>
      <c r="BS1161" s="4">
        <v>44580</v>
      </c>
      <c r="BT1161" s="5">
        <v>0.48819444444444443</v>
      </c>
      <c r="BU1161" s="3" t="s">
        <v>1527</v>
      </c>
      <c r="BV1161" s="3" t="s">
        <v>105</v>
      </c>
      <c r="BY1161" s="3">
        <v>1200</v>
      </c>
      <c r="BZ1161" s="3" t="s">
        <v>446</v>
      </c>
      <c r="CA1161" s="3" t="s">
        <v>1528</v>
      </c>
      <c r="CC1161" s="3" t="s">
        <v>98</v>
      </c>
      <c r="CD1161" s="3">
        <v>1827</v>
      </c>
      <c r="CE1161" s="3" t="s">
        <v>93</v>
      </c>
      <c r="CF1161" s="4">
        <v>44580</v>
      </c>
      <c r="CI1161" s="3">
        <v>1</v>
      </c>
      <c r="CJ1161" s="3">
        <v>1</v>
      </c>
      <c r="CK1161" s="3">
        <v>22</v>
      </c>
      <c r="CL1161" s="3" t="s">
        <v>87</v>
      </c>
    </row>
    <row r="1162" spans="1:90" x14ac:dyDescent="0.2">
      <c r="A1162" s="3" t="s">
        <v>72</v>
      </c>
      <c r="B1162" s="3" t="s">
        <v>73</v>
      </c>
      <c r="C1162" s="3" t="s">
        <v>74</v>
      </c>
      <c r="E1162" s="3" t="str">
        <f>"FES1162845618"</f>
        <v>FES1162845618</v>
      </c>
      <c r="F1162" s="4">
        <v>44579</v>
      </c>
      <c r="G1162" s="3">
        <v>202207</v>
      </c>
      <c r="H1162" s="3" t="s">
        <v>75</v>
      </c>
      <c r="I1162" s="3" t="s">
        <v>76</v>
      </c>
      <c r="J1162" s="3" t="s">
        <v>77</v>
      </c>
      <c r="K1162" s="3" t="s">
        <v>78</v>
      </c>
      <c r="L1162" s="3" t="s">
        <v>312</v>
      </c>
      <c r="M1162" s="3" t="s">
        <v>313</v>
      </c>
      <c r="N1162" s="3" t="s">
        <v>314</v>
      </c>
      <c r="O1162" s="3" t="s">
        <v>82</v>
      </c>
      <c r="P1162" s="3" t="str">
        <f>"2170815527                    "</f>
        <v xml:space="preserve">2170815527                    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15.46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0</v>
      </c>
      <c r="AZ1162" s="3">
        <v>0</v>
      </c>
      <c r="BA1162" s="3">
        <v>0</v>
      </c>
      <c r="BB1162" s="3">
        <v>0</v>
      </c>
      <c r="BC1162" s="3">
        <v>0</v>
      </c>
      <c r="BD1162" s="3">
        <v>0</v>
      </c>
      <c r="BE1162" s="3">
        <v>0</v>
      </c>
      <c r="BF1162" s="3">
        <v>0</v>
      </c>
      <c r="BG1162" s="3">
        <v>0</v>
      </c>
      <c r="BH1162" s="3">
        <v>1</v>
      </c>
      <c r="BI1162" s="3">
        <v>1</v>
      </c>
      <c r="BJ1162" s="3">
        <v>0.2</v>
      </c>
      <c r="BK1162" s="3">
        <v>1</v>
      </c>
      <c r="BL1162" s="3">
        <v>59</v>
      </c>
      <c r="BM1162" s="3">
        <v>8.85</v>
      </c>
      <c r="BN1162" s="3">
        <v>67.849999999999994</v>
      </c>
      <c r="BO1162" s="3">
        <v>67.849999999999994</v>
      </c>
      <c r="BR1162" s="3" t="s">
        <v>84</v>
      </c>
      <c r="BS1162" s="4">
        <v>44580</v>
      </c>
      <c r="BT1162" s="5">
        <v>0.41180555555555554</v>
      </c>
      <c r="BU1162" s="3" t="s">
        <v>1084</v>
      </c>
      <c r="BV1162" s="3" t="s">
        <v>105</v>
      </c>
      <c r="BY1162" s="3">
        <v>1200</v>
      </c>
      <c r="BZ1162" s="3" t="s">
        <v>165</v>
      </c>
      <c r="CA1162" s="3" t="s">
        <v>316</v>
      </c>
      <c r="CC1162" s="3" t="s">
        <v>313</v>
      </c>
      <c r="CD1162" s="3">
        <v>1240</v>
      </c>
      <c r="CE1162" s="3" t="s">
        <v>93</v>
      </c>
      <c r="CF1162" s="4">
        <v>44580</v>
      </c>
      <c r="CI1162" s="3">
        <v>1</v>
      </c>
      <c r="CJ1162" s="3">
        <v>1</v>
      </c>
      <c r="CK1162" s="3">
        <v>21</v>
      </c>
      <c r="CL1162" s="3" t="s">
        <v>87</v>
      </c>
    </row>
    <row r="1163" spans="1:90" x14ac:dyDescent="0.2">
      <c r="A1163" s="3" t="s">
        <v>72</v>
      </c>
      <c r="B1163" s="3" t="s">
        <v>73</v>
      </c>
      <c r="C1163" s="3" t="s">
        <v>74</v>
      </c>
      <c r="E1163" s="3" t="str">
        <f>"FES1162845563"</f>
        <v>FES1162845563</v>
      </c>
      <c r="F1163" s="4">
        <v>44579</v>
      </c>
      <c r="G1163" s="3">
        <v>202207</v>
      </c>
      <c r="H1163" s="3" t="s">
        <v>75</v>
      </c>
      <c r="I1163" s="3" t="s">
        <v>76</v>
      </c>
      <c r="J1163" s="3" t="s">
        <v>77</v>
      </c>
      <c r="K1163" s="3" t="s">
        <v>78</v>
      </c>
      <c r="L1163" s="3" t="s">
        <v>171</v>
      </c>
      <c r="M1163" s="3" t="s">
        <v>172</v>
      </c>
      <c r="N1163" s="3" t="s">
        <v>249</v>
      </c>
      <c r="O1163" s="3" t="s">
        <v>82</v>
      </c>
      <c r="P1163" s="3" t="str">
        <f>"2170817087                    "</f>
        <v xml:space="preserve">2170817087                    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61.81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0</v>
      </c>
      <c r="AZ1163" s="3">
        <v>0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3">
        <v>1</v>
      </c>
      <c r="BI1163" s="3">
        <v>6</v>
      </c>
      <c r="BJ1163" s="3">
        <v>8</v>
      </c>
      <c r="BK1163" s="3">
        <v>8</v>
      </c>
      <c r="BL1163" s="3">
        <v>235.91</v>
      </c>
      <c r="BM1163" s="3">
        <v>35.39</v>
      </c>
      <c r="BN1163" s="3">
        <v>271.3</v>
      </c>
      <c r="BO1163" s="3">
        <v>271.3</v>
      </c>
      <c r="BQ1163" s="3" t="s">
        <v>89</v>
      </c>
      <c r="BR1163" s="3" t="s">
        <v>84</v>
      </c>
      <c r="BS1163" s="4">
        <v>44580</v>
      </c>
      <c r="BT1163" s="5">
        <v>0.38194444444444442</v>
      </c>
      <c r="BU1163" s="3" t="s">
        <v>1529</v>
      </c>
      <c r="BV1163" s="3" t="s">
        <v>105</v>
      </c>
      <c r="BY1163" s="3">
        <v>40000</v>
      </c>
      <c r="BZ1163" s="3" t="s">
        <v>165</v>
      </c>
      <c r="CA1163" s="3" t="s">
        <v>509</v>
      </c>
      <c r="CC1163" s="3" t="s">
        <v>172</v>
      </c>
      <c r="CD1163" s="3">
        <v>6001</v>
      </c>
      <c r="CE1163" s="3" t="s">
        <v>86</v>
      </c>
      <c r="CF1163" s="4">
        <v>44580</v>
      </c>
      <c r="CI1163" s="3">
        <v>1</v>
      </c>
      <c r="CJ1163" s="3">
        <v>1</v>
      </c>
      <c r="CK1163" s="3">
        <v>21</v>
      </c>
      <c r="CL1163" s="3" t="s">
        <v>87</v>
      </c>
    </row>
    <row r="1164" spans="1:90" x14ac:dyDescent="0.2">
      <c r="A1164" s="3" t="s">
        <v>72</v>
      </c>
      <c r="B1164" s="3" t="s">
        <v>73</v>
      </c>
      <c r="C1164" s="3" t="s">
        <v>74</v>
      </c>
      <c r="E1164" s="3" t="str">
        <f>"FES1162845555"</f>
        <v>FES1162845555</v>
      </c>
      <c r="F1164" s="4">
        <v>44579</v>
      </c>
      <c r="G1164" s="3">
        <v>202207</v>
      </c>
      <c r="H1164" s="3" t="s">
        <v>75</v>
      </c>
      <c r="I1164" s="3" t="s">
        <v>76</v>
      </c>
      <c r="J1164" s="3" t="s">
        <v>77</v>
      </c>
      <c r="K1164" s="3" t="s">
        <v>78</v>
      </c>
      <c r="L1164" s="3" t="s">
        <v>101</v>
      </c>
      <c r="M1164" s="3" t="s">
        <v>102</v>
      </c>
      <c r="N1164" s="3" t="s">
        <v>1530</v>
      </c>
      <c r="O1164" s="3" t="s">
        <v>82</v>
      </c>
      <c r="P1164" s="3" t="str">
        <f>"2170817073                    "</f>
        <v xml:space="preserve">2170817073                    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54.08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0</v>
      </c>
      <c r="AZ1164" s="3">
        <v>0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3">
        <v>1</v>
      </c>
      <c r="BI1164" s="3">
        <v>4</v>
      </c>
      <c r="BJ1164" s="3">
        <v>6.7</v>
      </c>
      <c r="BK1164" s="3">
        <v>7</v>
      </c>
      <c r="BL1164" s="3">
        <v>206.42</v>
      </c>
      <c r="BM1164" s="3">
        <v>30.96</v>
      </c>
      <c r="BN1164" s="3">
        <v>237.38</v>
      </c>
      <c r="BO1164" s="3">
        <v>237.38</v>
      </c>
      <c r="BQ1164" s="3" t="s">
        <v>89</v>
      </c>
      <c r="BR1164" s="3" t="s">
        <v>84</v>
      </c>
      <c r="BS1164" s="4">
        <v>44581</v>
      </c>
      <c r="BT1164" s="5">
        <v>0.56041666666666667</v>
      </c>
      <c r="BU1164" s="3" t="s">
        <v>1531</v>
      </c>
      <c r="BV1164" s="3" t="s">
        <v>87</v>
      </c>
      <c r="BW1164" s="3" t="s">
        <v>453</v>
      </c>
      <c r="BX1164" s="3" t="s">
        <v>1335</v>
      </c>
      <c r="BY1164" s="3">
        <v>33614</v>
      </c>
      <c r="BZ1164" s="3" t="s">
        <v>165</v>
      </c>
      <c r="CA1164" s="3" t="s">
        <v>328</v>
      </c>
      <c r="CC1164" s="3" t="s">
        <v>102</v>
      </c>
      <c r="CD1164" s="3">
        <v>4000</v>
      </c>
      <c r="CE1164" s="3" t="s">
        <v>86</v>
      </c>
      <c r="CF1164" s="4">
        <v>44585</v>
      </c>
      <c r="CI1164" s="3">
        <v>1</v>
      </c>
      <c r="CJ1164" s="3">
        <v>2</v>
      </c>
      <c r="CK1164" s="3">
        <v>21</v>
      </c>
      <c r="CL1164" s="3" t="s">
        <v>87</v>
      </c>
    </row>
    <row r="1165" spans="1:90" x14ac:dyDescent="0.2">
      <c r="A1165" s="3" t="s">
        <v>72</v>
      </c>
      <c r="B1165" s="3" t="s">
        <v>73</v>
      </c>
      <c r="C1165" s="3" t="s">
        <v>74</v>
      </c>
      <c r="E1165" s="3" t="str">
        <f>"FES1162845692"</f>
        <v>FES1162845692</v>
      </c>
      <c r="F1165" s="4">
        <v>44579</v>
      </c>
      <c r="G1165" s="3">
        <v>202207</v>
      </c>
      <c r="H1165" s="3" t="s">
        <v>75</v>
      </c>
      <c r="I1165" s="3" t="s">
        <v>76</v>
      </c>
      <c r="J1165" s="3" t="s">
        <v>77</v>
      </c>
      <c r="K1165" s="3" t="s">
        <v>78</v>
      </c>
      <c r="L1165" s="3" t="s">
        <v>167</v>
      </c>
      <c r="M1165" s="3" t="s">
        <v>168</v>
      </c>
      <c r="N1165" s="3" t="s">
        <v>1532</v>
      </c>
      <c r="O1165" s="3" t="s">
        <v>82</v>
      </c>
      <c r="P1165" s="3" t="str">
        <f>"2170815872                    "</f>
        <v xml:space="preserve">2170815872                    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34.770000000000003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0</v>
      </c>
      <c r="AZ1165" s="3">
        <v>0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3">
        <v>1</v>
      </c>
      <c r="BI1165" s="3">
        <v>4</v>
      </c>
      <c r="BJ1165" s="3">
        <v>4.0999999999999996</v>
      </c>
      <c r="BK1165" s="3">
        <v>4.5</v>
      </c>
      <c r="BL1165" s="3">
        <v>132.71</v>
      </c>
      <c r="BM1165" s="3">
        <v>19.91</v>
      </c>
      <c r="BN1165" s="3">
        <v>152.62</v>
      </c>
      <c r="BO1165" s="3">
        <v>152.62</v>
      </c>
      <c r="BQ1165" s="3" t="s">
        <v>126</v>
      </c>
      <c r="BR1165" s="3" t="s">
        <v>84</v>
      </c>
      <c r="BS1165" s="4">
        <v>44580</v>
      </c>
      <c r="BT1165" s="5">
        <v>0.36249999999999999</v>
      </c>
      <c r="BU1165" s="3" t="s">
        <v>1533</v>
      </c>
      <c r="BV1165" s="3" t="s">
        <v>105</v>
      </c>
      <c r="BY1165" s="3">
        <v>20358</v>
      </c>
      <c r="CA1165" s="3" t="s">
        <v>553</v>
      </c>
      <c r="CC1165" s="3" t="s">
        <v>168</v>
      </c>
      <c r="CD1165" s="3">
        <v>6229</v>
      </c>
      <c r="CE1165" s="3" t="s">
        <v>86</v>
      </c>
      <c r="CF1165" s="4">
        <v>44580</v>
      </c>
      <c r="CI1165" s="3">
        <v>1</v>
      </c>
      <c r="CJ1165" s="3">
        <v>1</v>
      </c>
      <c r="CK1165" s="3">
        <v>21</v>
      </c>
      <c r="CL1165" s="3" t="s">
        <v>87</v>
      </c>
    </row>
    <row r="1166" spans="1:90" x14ac:dyDescent="0.2">
      <c r="A1166" s="3" t="s">
        <v>72</v>
      </c>
      <c r="B1166" s="3" t="s">
        <v>73</v>
      </c>
      <c r="C1166" s="3" t="s">
        <v>74</v>
      </c>
      <c r="E1166" s="3" t="str">
        <f>"FES1162845685"</f>
        <v>FES1162845685</v>
      </c>
      <c r="F1166" s="4">
        <v>44579</v>
      </c>
      <c r="G1166" s="3">
        <v>202207</v>
      </c>
      <c r="H1166" s="3" t="s">
        <v>75</v>
      </c>
      <c r="I1166" s="3" t="s">
        <v>76</v>
      </c>
      <c r="J1166" s="3" t="s">
        <v>77</v>
      </c>
      <c r="K1166" s="3" t="s">
        <v>78</v>
      </c>
      <c r="L1166" s="3" t="s">
        <v>187</v>
      </c>
      <c r="M1166" s="3" t="s">
        <v>188</v>
      </c>
      <c r="N1166" s="3" t="s">
        <v>189</v>
      </c>
      <c r="O1166" s="3" t="s">
        <v>82</v>
      </c>
      <c r="P1166" s="3" t="str">
        <f>"2170815668                    "</f>
        <v xml:space="preserve">2170815668                    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29.95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0</v>
      </c>
      <c r="AZ1166" s="3">
        <v>0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1</v>
      </c>
      <c r="BI1166" s="3">
        <v>1</v>
      </c>
      <c r="BJ1166" s="3">
        <v>0.2</v>
      </c>
      <c r="BK1166" s="3">
        <v>1</v>
      </c>
      <c r="BL1166" s="3">
        <v>114.31</v>
      </c>
      <c r="BM1166" s="3">
        <v>17.149999999999999</v>
      </c>
      <c r="BN1166" s="3">
        <v>131.46</v>
      </c>
      <c r="BO1166" s="3">
        <v>131.46</v>
      </c>
      <c r="BQ1166" s="3" t="s">
        <v>83</v>
      </c>
      <c r="BR1166" s="3" t="s">
        <v>84</v>
      </c>
      <c r="BS1166" s="4">
        <v>44580</v>
      </c>
      <c r="BT1166" s="5">
        <v>0.54861111111111105</v>
      </c>
      <c r="BU1166" s="3" t="s">
        <v>955</v>
      </c>
      <c r="BV1166" s="3" t="s">
        <v>87</v>
      </c>
      <c r="BW1166" s="3" t="s">
        <v>457</v>
      </c>
      <c r="BX1166" s="3" t="s">
        <v>602</v>
      </c>
      <c r="BY1166" s="3">
        <v>1200</v>
      </c>
      <c r="CA1166" s="3" t="s">
        <v>268</v>
      </c>
      <c r="CC1166" s="3" t="s">
        <v>188</v>
      </c>
      <c r="CD1166" s="3">
        <v>7300</v>
      </c>
      <c r="CE1166" s="3" t="s">
        <v>93</v>
      </c>
      <c r="CF1166" s="4">
        <v>44581</v>
      </c>
      <c r="CI1166" s="3">
        <v>1</v>
      </c>
      <c r="CJ1166" s="3">
        <v>1</v>
      </c>
      <c r="CK1166" s="3">
        <v>23</v>
      </c>
      <c r="CL1166" s="3" t="s">
        <v>87</v>
      </c>
    </row>
    <row r="1167" spans="1:90" x14ac:dyDescent="0.2">
      <c r="A1167" s="3" t="s">
        <v>72</v>
      </c>
      <c r="B1167" s="3" t="s">
        <v>73</v>
      </c>
      <c r="C1167" s="3" t="s">
        <v>74</v>
      </c>
      <c r="E1167" s="3" t="str">
        <f>"FES1162845575"</f>
        <v>FES1162845575</v>
      </c>
      <c r="F1167" s="4">
        <v>44579</v>
      </c>
      <c r="G1167" s="3">
        <v>202207</v>
      </c>
      <c r="H1167" s="3" t="s">
        <v>75</v>
      </c>
      <c r="I1167" s="3" t="s">
        <v>76</v>
      </c>
      <c r="J1167" s="3" t="s">
        <v>77</v>
      </c>
      <c r="K1167" s="3" t="s">
        <v>78</v>
      </c>
      <c r="L1167" s="3" t="s">
        <v>94</v>
      </c>
      <c r="M1167" s="3" t="s">
        <v>95</v>
      </c>
      <c r="N1167" s="3" t="s">
        <v>179</v>
      </c>
      <c r="O1167" s="3" t="s">
        <v>82</v>
      </c>
      <c r="P1167" s="3" t="str">
        <f>"2170817104                    "</f>
        <v xml:space="preserve">2170817104                    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34.770000000000003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0</v>
      </c>
      <c r="AZ1167" s="3">
        <v>0</v>
      </c>
      <c r="BA1167" s="3">
        <v>0</v>
      </c>
      <c r="BB1167" s="3">
        <v>0</v>
      </c>
      <c r="BC1167" s="3">
        <v>0</v>
      </c>
      <c r="BD1167" s="3">
        <v>0</v>
      </c>
      <c r="BE1167" s="3">
        <v>0</v>
      </c>
      <c r="BF1167" s="3">
        <v>0</v>
      </c>
      <c r="BG1167" s="3">
        <v>0</v>
      </c>
      <c r="BH1167" s="3">
        <v>1</v>
      </c>
      <c r="BI1167" s="3">
        <v>1</v>
      </c>
      <c r="BJ1167" s="3">
        <v>4.0999999999999996</v>
      </c>
      <c r="BK1167" s="3">
        <v>4.5</v>
      </c>
      <c r="BL1167" s="3">
        <v>132.71</v>
      </c>
      <c r="BM1167" s="3">
        <v>19.91</v>
      </c>
      <c r="BN1167" s="3">
        <v>152.62</v>
      </c>
      <c r="BO1167" s="3">
        <v>152.62</v>
      </c>
      <c r="BQ1167" s="3" t="s">
        <v>83</v>
      </c>
      <c r="BR1167" s="3" t="s">
        <v>84</v>
      </c>
      <c r="BS1167" s="4">
        <v>44580</v>
      </c>
      <c r="BT1167" s="5">
        <v>0.46875</v>
      </c>
      <c r="BU1167" s="3" t="s">
        <v>1480</v>
      </c>
      <c r="BV1167" s="3" t="s">
        <v>87</v>
      </c>
      <c r="BW1167" s="3" t="s">
        <v>453</v>
      </c>
      <c r="BX1167" s="3" t="s">
        <v>279</v>
      </c>
      <c r="BY1167" s="3">
        <v>20358</v>
      </c>
      <c r="CC1167" s="3" t="s">
        <v>95</v>
      </c>
      <c r="CD1167" s="3">
        <v>3201</v>
      </c>
      <c r="CE1167" s="3" t="s">
        <v>86</v>
      </c>
      <c r="CF1167" s="4">
        <v>44585</v>
      </c>
      <c r="CI1167" s="3">
        <v>1</v>
      </c>
      <c r="CJ1167" s="3">
        <v>1</v>
      </c>
      <c r="CK1167" s="3">
        <v>21</v>
      </c>
      <c r="CL1167" s="3" t="s">
        <v>87</v>
      </c>
    </row>
    <row r="1168" spans="1:90" x14ac:dyDescent="0.2">
      <c r="A1168" s="3" t="s">
        <v>72</v>
      </c>
      <c r="B1168" s="3" t="s">
        <v>73</v>
      </c>
      <c r="C1168" s="3" t="s">
        <v>74</v>
      </c>
      <c r="E1168" s="3" t="str">
        <f>"FES1162845671"</f>
        <v>FES1162845671</v>
      </c>
      <c r="F1168" s="4">
        <v>44579</v>
      </c>
      <c r="G1168" s="3">
        <v>202207</v>
      </c>
      <c r="H1168" s="3" t="s">
        <v>75</v>
      </c>
      <c r="I1168" s="3" t="s">
        <v>76</v>
      </c>
      <c r="J1168" s="3" t="s">
        <v>77</v>
      </c>
      <c r="K1168" s="3" t="s">
        <v>78</v>
      </c>
      <c r="L1168" s="3" t="s">
        <v>786</v>
      </c>
      <c r="M1168" s="3" t="s">
        <v>787</v>
      </c>
      <c r="N1168" s="3" t="s">
        <v>788</v>
      </c>
      <c r="O1168" s="3" t="s">
        <v>82</v>
      </c>
      <c r="P1168" s="3" t="str">
        <f>"2170817177                    "</f>
        <v xml:space="preserve">2170817177                    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48.21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0</v>
      </c>
      <c r="AZ1168" s="3">
        <v>0</v>
      </c>
      <c r="BA1168" s="3">
        <v>0</v>
      </c>
      <c r="BB1168" s="3">
        <v>0</v>
      </c>
      <c r="BC1168" s="3">
        <v>0</v>
      </c>
      <c r="BD1168" s="3">
        <v>0</v>
      </c>
      <c r="BE1168" s="3">
        <v>0</v>
      </c>
      <c r="BF1168" s="3">
        <v>0</v>
      </c>
      <c r="BG1168" s="3">
        <v>0</v>
      </c>
      <c r="BH1168" s="3">
        <v>1</v>
      </c>
      <c r="BI1168" s="3">
        <v>2</v>
      </c>
      <c r="BJ1168" s="3">
        <v>4.4000000000000004</v>
      </c>
      <c r="BK1168" s="3">
        <v>4.5</v>
      </c>
      <c r="BL1168" s="3">
        <v>184</v>
      </c>
      <c r="BM1168" s="3">
        <v>27.6</v>
      </c>
      <c r="BN1168" s="3">
        <v>211.6</v>
      </c>
      <c r="BO1168" s="3">
        <v>211.6</v>
      </c>
      <c r="BQ1168" s="3" t="s">
        <v>83</v>
      </c>
      <c r="BR1168" s="3" t="s">
        <v>84</v>
      </c>
      <c r="BS1168" s="4">
        <v>44580</v>
      </c>
      <c r="BT1168" s="5">
        <v>0.48055555555555557</v>
      </c>
      <c r="BU1168" s="3" t="s">
        <v>1534</v>
      </c>
      <c r="BV1168" s="3" t="s">
        <v>105</v>
      </c>
      <c r="BY1168" s="3">
        <v>21904</v>
      </c>
      <c r="CA1168" s="3" t="s">
        <v>790</v>
      </c>
      <c r="CC1168" s="3" t="s">
        <v>787</v>
      </c>
      <c r="CD1168" s="3">
        <v>2410</v>
      </c>
      <c r="CE1168" s="3" t="s">
        <v>86</v>
      </c>
      <c r="CF1168" s="4">
        <v>44581</v>
      </c>
      <c r="CI1168" s="3">
        <v>1</v>
      </c>
      <c r="CJ1168" s="3">
        <v>1</v>
      </c>
      <c r="CK1168" s="3">
        <v>24</v>
      </c>
      <c r="CL1168" s="3" t="s">
        <v>87</v>
      </c>
    </row>
    <row r="1169" spans="1:90" x14ac:dyDescent="0.2">
      <c r="A1169" s="3" t="s">
        <v>72</v>
      </c>
      <c r="B1169" s="3" t="s">
        <v>73</v>
      </c>
      <c r="C1169" s="3" t="s">
        <v>74</v>
      </c>
      <c r="E1169" s="3" t="str">
        <f>"FES1162845719"</f>
        <v>FES1162845719</v>
      </c>
      <c r="F1169" s="4">
        <v>44579</v>
      </c>
      <c r="G1169" s="3">
        <v>202207</v>
      </c>
      <c r="H1169" s="3" t="s">
        <v>75</v>
      </c>
      <c r="I1169" s="3" t="s">
        <v>76</v>
      </c>
      <c r="J1169" s="3" t="s">
        <v>77</v>
      </c>
      <c r="K1169" s="3" t="s">
        <v>78</v>
      </c>
      <c r="L1169" s="3" t="s">
        <v>110</v>
      </c>
      <c r="M1169" s="3" t="s">
        <v>110</v>
      </c>
      <c r="N1169" s="3" t="s">
        <v>961</v>
      </c>
      <c r="O1169" s="3" t="s">
        <v>82</v>
      </c>
      <c r="P1169" s="3" t="str">
        <f>"2170817196                    "</f>
        <v xml:space="preserve">2170817196                    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29.95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0</v>
      </c>
      <c r="AY1169" s="3">
        <v>0</v>
      </c>
      <c r="AZ1169" s="3">
        <v>0</v>
      </c>
      <c r="BA1169" s="3">
        <v>0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0</v>
      </c>
      <c r="BH1169" s="3">
        <v>1</v>
      </c>
      <c r="BI1169" s="3">
        <v>1</v>
      </c>
      <c r="BJ1169" s="3">
        <v>1.7</v>
      </c>
      <c r="BK1169" s="3">
        <v>2</v>
      </c>
      <c r="BL1169" s="3">
        <v>114.31</v>
      </c>
      <c r="BM1169" s="3">
        <v>17.149999999999999</v>
      </c>
      <c r="BN1169" s="3">
        <v>131.46</v>
      </c>
      <c r="BO1169" s="3">
        <v>131.46</v>
      </c>
      <c r="BQ1169" s="3" t="s">
        <v>83</v>
      </c>
      <c r="BR1169" s="3" t="s">
        <v>84</v>
      </c>
      <c r="BS1169" s="4">
        <v>44580</v>
      </c>
      <c r="BT1169" s="5">
        <v>0.55902777777777779</v>
      </c>
      <c r="BU1169" s="3" t="s">
        <v>1535</v>
      </c>
      <c r="BV1169" s="3" t="s">
        <v>87</v>
      </c>
      <c r="BW1169" s="3" t="s">
        <v>457</v>
      </c>
      <c r="BX1169" s="3" t="s">
        <v>354</v>
      </c>
      <c r="BY1169" s="3">
        <v>8550</v>
      </c>
      <c r="CA1169" s="3" t="s">
        <v>563</v>
      </c>
      <c r="CC1169" s="3" t="s">
        <v>110</v>
      </c>
      <c r="CD1169" s="3">
        <v>7646</v>
      </c>
      <c r="CE1169" s="3" t="s">
        <v>86</v>
      </c>
      <c r="CF1169" s="4">
        <v>44581</v>
      </c>
      <c r="CI1169" s="3">
        <v>1</v>
      </c>
      <c r="CJ1169" s="3">
        <v>1</v>
      </c>
      <c r="CK1169" s="3">
        <v>23</v>
      </c>
      <c r="CL1169" s="3" t="s">
        <v>87</v>
      </c>
    </row>
    <row r="1170" spans="1:90" x14ac:dyDescent="0.2">
      <c r="A1170" s="3" t="s">
        <v>72</v>
      </c>
      <c r="B1170" s="3" t="s">
        <v>73</v>
      </c>
      <c r="C1170" s="3" t="s">
        <v>74</v>
      </c>
      <c r="E1170" s="3" t="str">
        <f>"FES1162845720"</f>
        <v>FES1162845720</v>
      </c>
      <c r="F1170" s="4">
        <v>44579</v>
      </c>
      <c r="G1170" s="3">
        <v>202207</v>
      </c>
      <c r="H1170" s="3" t="s">
        <v>75</v>
      </c>
      <c r="I1170" s="3" t="s">
        <v>76</v>
      </c>
      <c r="J1170" s="3" t="s">
        <v>77</v>
      </c>
      <c r="K1170" s="3" t="s">
        <v>78</v>
      </c>
      <c r="L1170" s="3" t="s">
        <v>75</v>
      </c>
      <c r="M1170" s="3" t="s">
        <v>76</v>
      </c>
      <c r="N1170" s="3" t="s">
        <v>153</v>
      </c>
      <c r="O1170" s="3" t="s">
        <v>82</v>
      </c>
      <c r="P1170" s="3" t="str">
        <f>"2170817197                    "</f>
        <v xml:space="preserve">2170817197                    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12.07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0</v>
      </c>
      <c r="AZ1170" s="3">
        <v>0</v>
      </c>
      <c r="BA1170" s="3">
        <v>0</v>
      </c>
      <c r="BB1170" s="3">
        <v>0</v>
      </c>
      <c r="BC1170" s="3">
        <v>0</v>
      </c>
      <c r="BD1170" s="3">
        <v>0</v>
      </c>
      <c r="BE1170" s="3">
        <v>0</v>
      </c>
      <c r="BF1170" s="3">
        <v>0</v>
      </c>
      <c r="BG1170" s="3">
        <v>0</v>
      </c>
      <c r="BH1170" s="3">
        <v>1</v>
      </c>
      <c r="BI1170" s="3">
        <v>1</v>
      </c>
      <c r="BJ1170" s="3">
        <v>0.2</v>
      </c>
      <c r="BK1170" s="3">
        <v>1</v>
      </c>
      <c r="BL1170" s="3">
        <v>46.08</v>
      </c>
      <c r="BM1170" s="3">
        <v>6.91</v>
      </c>
      <c r="BN1170" s="3">
        <v>52.99</v>
      </c>
      <c r="BO1170" s="3">
        <v>52.99</v>
      </c>
      <c r="BR1170" s="3" t="s">
        <v>84</v>
      </c>
      <c r="BS1170" s="4">
        <v>44580</v>
      </c>
      <c r="BT1170" s="5">
        <v>0.42083333333333334</v>
      </c>
      <c r="BU1170" s="3" t="s">
        <v>1490</v>
      </c>
      <c r="BV1170" s="3" t="s">
        <v>105</v>
      </c>
      <c r="BY1170" s="3">
        <v>1200</v>
      </c>
      <c r="CA1170" s="3" t="s">
        <v>227</v>
      </c>
      <c r="CC1170" s="3" t="s">
        <v>76</v>
      </c>
      <c r="CD1170" s="3">
        <v>1600</v>
      </c>
      <c r="CE1170" s="3" t="s">
        <v>93</v>
      </c>
      <c r="CF1170" s="4">
        <v>44580</v>
      </c>
      <c r="CI1170" s="3">
        <v>1</v>
      </c>
      <c r="CJ1170" s="3">
        <v>1</v>
      </c>
      <c r="CK1170" s="3">
        <v>22</v>
      </c>
      <c r="CL1170" s="3" t="s">
        <v>87</v>
      </c>
    </row>
    <row r="1171" spans="1:90" x14ac:dyDescent="0.2">
      <c r="A1171" s="3" t="s">
        <v>72</v>
      </c>
      <c r="B1171" s="3" t="s">
        <v>73</v>
      </c>
      <c r="C1171" s="3" t="s">
        <v>74</v>
      </c>
      <c r="E1171" s="3" t="str">
        <f>"FES1162845664"</f>
        <v>FES1162845664</v>
      </c>
      <c r="F1171" s="4">
        <v>44579</v>
      </c>
      <c r="G1171" s="3">
        <v>202207</v>
      </c>
      <c r="H1171" s="3" t="s">
        <v>75</v>
      </c>
      <c r="I1171" s="3" t="s">
        <v>76</v>
      </c>
      <c r="J1171" s="3" t="s">
        <v>77</v>
      </c>
      <c r="K1171" s="3" t="s">
        <v>78</v>
      </c>
      <c r="L1171" s="3" t="s">
        <v>101</v>
      </c>
      <c r="M1171" s="3" t="s">
        <v>102</v>
      </c>
      <c r="N1171" s="3" t="s">
        <v>272</v>
      </c>
      <c r="O1171" s="3" t="s">
        <v>82</v>
      </c>
      <c r="P1171" s="3" t="str">
        <f>"2170817172                    "</f>
        <v xml:space="preserve">2170817172                    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15.46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0</v>
      </c>
      <c r="AZ1171" s="3">
        <v>0</v>
      </c>
      <c r="BA1171" s="3">
        <v>0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3">
        <v>1</v>
      </c>
      <c r="BI1171" s="3">
        <v>1</v>
      </c>
      <c r="BJ1171" s="3">
        <v>1.1000000000000001</v>
      </c>
      <c r="BK1171" s="3">
        <v>1.5</v>
      </c>
      <c r="BL1171" s="3">
        <v>59</v>
      </c>
      <c r="BM1171" s="3">
        <v>8.85</v>
      </c>
      <c r="BN1171" s="3">
        <v>67.849999999999994</v>
      </c>
      <c r="BO1171" s="3">
        <v>67.849999999999994</v>
      </c>
      <c r="BQ1171" s="3" t="s">
        <v>273</v>
      </c>
      <c r="BR1171" s="3" t="s">
        <v>84</v>
      </c>
      <c r="BS1171" s="4">
        <v>44580</v>
      </c>
      <c r="BT1171" s="5">
        <v>0.39097222222222222</v>
      </c>
      <c r="BU1171" s="3" t="s">
        <v>855</v>
      </c>
      <c r="BV1171" s="3" t="s">
        <v>105</v>
      </c>
      <c r="BY1171" s="3">
        <v>5320</v>
      </c>
      <c r="CA1171" s="3" t="s">
        <v>275</v>
      </c>
      <c r="CC1171" s="3" t="s">
        <v>102</v>
      </c>
      <c r="CD1171" s="3">
        <v>4000</v>
      </c>
      <c r="CE1171" s="3" t="s">
        <v>86</v>
      </c>
      <c r="CF1171" s="4">
        <v>44581</v>
      </c>
      <c r="CI1171" s="3">
        <v>1</v>
      </c>
      <c r="CJ1171" s="3">
        <v>1</v>
      </c>
      <c r="CK1171" s="3">
        <v>21</v>
      </c>
      <c r="CL1171" s="3" t="s">
        <v>87</v>
      </c>
    </row>
    <row r="1172" spans="1:90" x14ac:dyDescent="0.2">
      <c r="A1172" s="3" t="s">
        <v>72</v>
      </c>
      <c r="B1172" s="3" t="s">
        <v>73</v>
      </c>
      <c r="C1172" s="3" t="s">
        <v>74</v>
      </c>
      <c r="E1172" s="3" t="str">
        <f>"FES1162845704"</f>
        <v>FES1162845704</v>
      </c>
      <c r="F1172" s="4">
        <v>44579</v>
      </c>
      <c r="G1172" s="3">
        <v>202207</v>
      </c>
      <c r="H1172" s="3" t="s">
        <v>75</v>
      </c>
      <c r="I1172" s="3" t="s">
        <v>76</v>
      </c>
      <c r="J1172" s="3" t="s">
        <v>77</v>
      </c>
      <c r="K1172" s="3" t="s">
        <v>78</v>
      </c>
      <c r="L1172" s="3" t="s">
        <v>694</v>
      </c>
      <c r="M1172" s="3" t="s">
        <v>695</v>
      </c>
      <c r="N1172" s="3" t="s">
        <v>696</v>
      </c>
      <c r="O1172" s="3" t="s">
        <v>82</v>
      </c>
      <c r="P1172" s="3" t="str">
        <f>"2170816862                    "</f>
        <v xml:space="preserve">2170816862                    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29.95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0</v>
      </c>
      <c r="AZ1172" s="3">
        <v>0</v>
      </c>
      <c r="BA1172" s="3">
        <v>0</v>
      </c>
      <c r="BB1172" s="3">
        <v>0</v>
      </c>
      <c r="BC1172" s="3">
        <v>0</v>
      </c>
      <c r="BD1172" s="3">
        <v>0</v>
      </c>
      <c r="BE1172" s="3">
        <v>0</v>
      </c>
      <c r="BF1172" s="3">
        <v>0</v>
      </c>
      <c r="BG1172" s="3">
        <v>0</v>
      </c>
      <c r="BH1172" s="3">
        <v>1</v>
      </c>
      <c r="BI1172" s="3">
        <v>1</v>
      </c>
      <c r="BJ1172" s="3">
        <v>0.2</v>
      </c>
      <c r="BK1172" s="3">
        <v>1</v>
      </c>
      <c r="BL1172" s="3">
        <v>114.31</v>
      </c>
      <c r="BM1172" s="3">
        <v>17.149999999999999</v>
      </c>
      <c r="BN1172" s="3">
        <v>131.46</v>
      </c>
      <c r="BO1172" s="3">
        <v>131.46</v>
      </c>
      <c r="BR1172" s="3" t="s">
        <v>84</v>
      </c>
      <c r="BS1172" s="4">
        <v>44580</v>
      </c>
      <c r="BT1172" s="5">
        <v>0.49513888888888885</v>
      </c>
      <c r="BU1172" s="3" t="s">
        <v>1536</v>
      </c>
      <c r="BV1172" s="3" t="s">
        <v>105</v>
      </c>
      <c r="BY1172" s="3">
        <v>1200</v>
      </c>
      <c r="CA1172" s="3" t="s">
        <v>698</v>
      </c>
      <c r="CC1172" s="3" t="s">
        <v>695</v>
      </c>
      <c r="CD1172" s="3">
        <v>4430</v>
      </c>
      <c r="CE1172" s="3" t="s">
        <v>93</v>
      </c>
      <c r="CF1172" s="4">
        <v>44581</v>
      </c>
      <c r="CI1172" s="3">
        <v>1</v>
      </c>
      <c r="CJ1172" s="3">
        <v>1</v>
      </c>
      <c r="CK1172" s="3">
        <v>23</v>
      </c>
      <c r="CL1172" s="3" t="s">
        <v>87</v>
      </c>
    </row>
    <row r="1173" spans="1:90" x14ac:dyDescent="0.2">
      <c r="A1173" s="3" t="s">
        <v>72</v>
      </c>
      <c r="B1173" s="3" t="s">
        <v>73</v>
      </c>
      <c r="C1173" s="3" t="s">
        <v>74</v>
      </c>
      <c r="E1173" s="3" t="str">
        <f>"FES1162845744"</f>
        <v>FES1162845744</v>
      </c>
      <c r="F1173" s="4">
        <v>44579</v>
      </c>
      <c r="G1173" s="3">
        <v>202207</v>
      </c>
      <c r="H1173" s="3" t="s">
        <v>75</v>
      </c>
      <c r="I1173" s="3" t="s">
        <v>76</v>
      </c>
      <c r="J1173" s="3" t="s">
        <v>77</v>
      </c>
      <c r="K1173" s="3" t="s">
        <v>78</v>
      </c>
      <c r="L1173" s="3" t="s">
        <v>171</v>
      </c>
      <c r="M1173" s="3" t="s">
        <v>172</v>
      </c>
      <c r="N1173" s="3" t="s">
        <v>539</v>
      </c>
      <c r="O1173" s="3" t="s">
        <v>82</v>
      </c>
      <c r="P1173" s="3" t="str">
        <f>"2170817240                    "</f>
        <v xml:space="preserve">2170817240                    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15.46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0</v>
      </c>
      <c r="AZ1173" s="3">
        <v>0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3">
        <v>1</v>
      </c>
      <c r="BI1173" s="3">
        <v>1</v>
      </c>
      <c r="BJ1173" s="3">
        <v>0.2</v>
      </c>
      <c r="BK1173" s="3">
        <v>1</v>
      </c>
      <c r="BL1173" s="3">
        <v>59</v>
      </c>
      <c r="BM1173" s="3">
        <v>8.85</v>
      </c>
      <c r="BN1173" s="3">
        <v>67.849999999999994</v>
      </c>
      <c r="BO1173" s="3">
        <v>67.849999999999994</v>
      </c>
      <c r="BQ1173" s="3" t="s">
        <v>83</v>
      </c>
      <c r="BR1173" s="3" t="s">
        <v>84</v>
      </c>
      <c r="BS1173" s="4">
        <v>44580</v>
      </c>
      <c r="BT1173" s="5">
        <v>0.4201388888888889</v>
      </c>
      <c r="BU1173" s="3" t="s">
        <v>1193</v>
      </c>
      <c r="BV1173" s="3" t="s">
        <v>105</v>
      </c>
      <c r="BY1173" s="3">
        <v>1200</v>
      </c>
      <c r="CA1173" s="3" t="s">
        <v>263</v>
      </c>
      <c r="CC1173" s="3" t="s">
        <v>172</v>
      </c>
      <c r="CD1173" s="3">
        <v>6012</v>
      </c>
      <c r="CE1173" s="3" t="s">
        <v>93</v>
      </c>
      <c r="CF1173" s="4">
        <v>44581</v>
      </c>
      <c r="CI1173" s="3">
        <v>1</v>
      </c>
      <c r="CJ1173" s="3">
        <v>1</v>
      </c>
      <c r="CK1173" s="3">
        <v>21</v>
      </c>
      <c r="CL1173" s="3" t="s">
        <v>87</v>
      </c>
    </row>
    <row r="1174" spans="1:90" x14ac:dyDescent="0.2">
      <c r="A1174" s="3" t="s">
        <v>72</v>
      </c>
      <c r="B1174" s="3" t="s">
        <v>73</v>
      </c>
      <c r="C1174" s="3" t="s">
        <v>74</v>
      </c>
      <c r="E1174" s="3" t="str">
        <f>"FES1162845707"</f>
        <v>FES1162845707</v>
      </c>
      <c r="F1174" s="4">
        <v>44579</v>
      </c>
      <c r="G1174" s="3">
        <v>202207</v>
      </c>
      <c r="H1174" s="3" t="s">
        <v>75</v>
      </c>
      <c r="I1174" s="3" t="s">
        <v>76</v>
      </c>
      <c r="J1174" s="3" t="s">
        <v>77</v>
      </c>
      <c r="K1174" s="3" t="s">
        <v>78</v>
      </c>
      <c r="L1174" s="3" t="s">
        <v>75</v>
      </c>
      <c r="M1174" s="3" t="s">
        <v>76</v>
      </c>
      <c r="N1174" s="3" t="s">
        <v>224</v>
      </c>
      <c r="O1174" s="3" t="s">
        <v>82</v>
      </c>
      <c r="P1174" s="3" t="str">
        <f>"2170817027                    "</f>
        <v xml:space="preserve">2170817027                    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12.07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0</v>
      </c>
      <c r="AZ1174" s="3">
        <v>0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3">
        <v>1</v>
      </c>
      <c r="BI1174" s="3">
        <v>1</v>
      </c>
      <c r="BJ1174" s="3">
        <v>0.2</v>
      </c>
      <c r="BK1174" s="3">
        <v>1</v>
      </c>
      <c r="BL1174" s="3">
        <v>46.08</v>
      </c>
      <c r="BM1174" s="3">
        <v>6.91</v>
      </c>
      <c r="BN1174" s="3">
        <v>52.99</v>
      </c>
      <c r="BO1174" s="3">
        <v>52.99</v>
      </c>
      <c r="BQ1174" s="3" t="s">
        <v>83</v>
      </c>
      <c r="BR1174" s="3" t="s">
        <v>84</v>
      </c>
      <c r="BS1174" s="4">
        <v>44580</v>
      </c>
      <c r="BT1174" s="5">
        <v>0.35069444444444442</v>
      </c>
      <c r="BU1174" s="3" t="s">
        <v>347</v>
      </c>
      <c r="BV1174" s="3" t="s">
        <v>105</v>
      </c>
      <c r="BY1174" s="3">
        <v>1200</v>
      </c>
      <c r="CA1174" s="3" t="s">
        <v>227</v>
      </c>
      <c r="CC1174" s="3" t="s">
        <v>76</v>
      </c>
      <c r="CD1174" s="3">
        <v>1600</v>
      </c>
      <c r="CE1174" s="3" t="s">
        <v>93</v>
      </c>
      <c r="CF1174" s="4">
        <v>44580</v>
      </c>
      <c r="CI1174" s="3">
        <v>1</v>
      </c>
      <c r="CJ1174" s="3">
        <v>1</v>
      </c>
      <c r="CK1174" s="3">
        <v>22</v>
      </c>
      <c r="CL1174" s="3" t="s">
        <v>87</v>
      </c>
    </row>
    <row r="1175" spans="1:90" x14ac:dyDescent="0.2">
      <c r="A1175" s="3" t="s">
        <v>72</v>
      </c>
      <c r="B1175" s="3" t="s">
        <v>73</v>
      </c>
      <c r="C1175" s="3" t="s">
        <v>74</v>
      </c>
      <c r="E1175" s="3" t="str">
        <f>"FES1162845718"</f>
        <v>FES1162845718</v>
      </c>
      <c r="F1175" s="4">
        <v>44579</v>
      </c>
      <c r="G1175" s="3">
        <v>202207</v>
      </c>
      <c r="H1175" s="3" t="s">
        <v>75</v>
      </c>
      <c r="I1175" s="3" t="s">
        <v>76</v>
      </c>
      <c r="J1175" s="3" t="s">
        <v>77</v>
      </c>
      <c r="K1175" s="3" t="s">
        <v>78</v>
      </c>
      <c r="L1175" s="3" t="s">
        <v>171</v>
      </c>
      <c r="M1175" s="3" t="s">
        <v>172</v>
      </c>
      <c r="N1175" s="3" t="s">
        <v>539</v>
      </c>
      <c r="O1175" s="3" t="s">
        <v>82</v>
      </c>
      <c r="P1175" s="3" t="str">
        <f>"2170817195                    "</f>
        <v xml:space="preserve">2170817195                    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15.46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0</v>
      </c>
      <c r="AZ1175" s="3">
        <v>0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3">
        <v>1</v>
      </c>
      <c r="BI1175" s="3">
        <v>1</v>
      </c>
      <c r="BJ1175" s="3">
        <v>0.2</v>
      </c>
      <c r="BK1175" s="3">
        <v>1</v>
      </c>
      <c r="BL1175" s="3">
        <v>59</v>
      </c>
      <c r="BM1175" s="3">
        <v>8.85</v>
      </c>
      <c r="BN1175" s="3">
        <v>67.849999999999994</v>
      </c>
      <c r="BO1175" s="3">
        <v>67.849999999999994</v>
      </c>
      <c r="BQ1175" s="3" t="s">
        <v>83</v>
      </c>
      <c r="BR1175" s="3" t="s">
        <v>84</v>
      </c>
      <c r="BS1175" s="4">
        <v>44580</v>
      </c>
      <c r="BT1175" s="5">
        <v>0.42083333333333334</v>
      </c>
      <c r="BU1175" s="3" t="s">
        <v>1193</v>
      </c>
      <c r="BV1175" s="3" t="s">
        <v>105</v>
      </c>
      <c r="BY1175" s="3">
        <v>1200</v>
      </c>
      <c r="CA1175" s="3" t="s">
        <v>263</v>
      </c>
      <c r="CC1175" s="3" t="s">
        <v>172</v>
      </c>
      <c r="CD1175" s="3">
        <v>6012</v>
      </c>
      <c r="CE1175" s="3" t="s">
        <v>93</v>
      </c>
      <c r="CF1175" s="4">
        <v>44581</v>
      </c>
      <c r="CI1175" s="3">
        <v>1</v>
      </c>
      <c r="CJ1175" s="3">
        <v>1</v>
      </c>
      <c r="CK1175" s="3">
        <v>21</v>
      </c>
      <c r="CL1175" s="3" t="s">
        <v>87</v>
      </c>
    </row>
    <row r="1176" spans="1:90" x14ac:dyDescent="0.2">
      <c r="A1176" s="3" t="s">
        <v>72</v>
      </c>
      <c r="B1176" s="3" t="s">
        <v>73</v>
      </c>
      <c r="C1176" s="3" t="s">
        <v>74</v>
      </c>
      <c r="E1176" s="3" t="str">
        <f>"FES1162845686"</f>
        <v>FES1162845686</v>
      </c>
      <c r="F1176" s="4">
        <v>44579</v>
      </c>
      <c r="G1176" s="3">
        <v>202207</v>
      </c>
      <c r="H1176" s="3" t="s">
        <v>75</v>
      </c>
      <c r="I1176" s="3" t="s">
        <v>76</v>
      </c>
      <c r="J1176" s="3" t="s">
        <v>77</v>
      </c>
      <c r="K1176" s="3" t="s">
        <v>78</v>
      </c>
      <c r="L1176" s="3" t="s">
        <v>94</v>
      </c>
      <c r="M1176" s="3" t="s">
        <v>95</v>
      </c>
      <c r="N1176" s="3" t="s">
        <v>1052</v>
      </c>
      <c r="O1176" s="3" t="s">
        <v>82</v>
      </c>
      <c r="P1176" s="3" t="str">
        <f>"2170815712                    "</f>
        <v xml:space="preserve">2170815712                    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15.46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0</v>
      </c>
      <c r="AZ1176" s="3">
        <v>0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3">
        <v>1</v>
      </c>
      <c r="BI1176" s="3">
        <v>1</v>
      </c>
      <c r="BJ1176" s="3">
        <v>0.2</v>
      </c>
      <c r="BK1176" s="3">
        <v>1</v>
      </c>
      <c r="BL1176" s="3">
        <v>59</v>
      </c>
      <c r="BM1176" s="3">
        <v>8.85</v>
      </c>
      <c r="BN1176" s="3">
        <v>67.849999999999994</v>
      </c>
      <c r="BO1176" s="3">
        <v>67.849999999999994</v>
      </c>
      <c r="BQ1176" s="3" t="s">
        <v>83</v>
      </c>
      <c r="BR1176" s="3" t="s">
        <v>84</v>
      </c>
      <c r="BS1176" s="4">
        <v>44580</v>
      </c>
      <c r="BT1176" s="5">
        <v>0.45833333333333331</v>
      </c>
      <c r="BU1176" s="3" t="s">
        <v>1053</v>
      </c>
      <c r="BV1176" s="3" t="s">
        <v>87</v>
      </c>
      <c r="BW1176" s="3" t="s">
        <v>453</v>
      </c>
      <c r="BX1176" s="3" t="s">
        <v>279</v>
      </c>
      <c r="BY1176" s="3">
        <v>1200</v>
      </c>
      <c r="CC1176" s="3" t="s">
        <v>95</v>
      </c>
      <c r="CD1176" s="3">
        <v>3201</v>
      </c>
      <c r="CE1176" s="3" t="s">
        <v>93</v>
      </c>
      <c r="CF1176" s="4">
        <v>44585</v>
      </c>
      <c r="CI1176" s="3">
        <v>1</v>
      </c>
      <c r="CJ1176" s="3">
        <v>1</v>
      </c>
      <c r="CK1176" s="3">
        <v>21</v>
      </c>
      <c r="CL1176" s="3" t="s">
        <v>87</v>
      </c>
    </row>
    <row r="1177" spans="1:90" x14ac:dyDescent="0.2">
      <c r="A1177" s="3" t="s">
        <v>72</v>
      </c>
      <c r="B1177" s="3" t="s">
        <v>73</v>
      </c>
      <c r="C1177" s="3" t="s">
        <v>74</v>
      </c>
      <c r="E1177" s="3" t="str">
        <f>"FES1162845700"</f>
        <v>FES1162845700</v>
      </c>
      <c r="F1177" s="4">
        <v>44579</v>
      </c>
      <c r="G1177" s="3">
        <v>202207</v>
      </c>
      <c r="H1177" s="3" t="s">
        <v>75</v>
      </c>
      <c r="I1177" s="3" t="s">
        <v>76</v>
      </c>
      <c r="J1177" s="3" t="s">
        <v>77</v>
      </c>
      <c r="K1177" s="3" t="s">
        <v>78</v>
      </c>
      <c r="L1177" s="3" t="s">
        <v>187</v>
      </c>
      <c r="M1177" s="3" t="s">
        <v>188</v>
      </c>
      <c r="N1177" s="3" t="s">
        <v>189</v>
      </c>
      <c r="O1177" s="3" t="s">
        <v>82</v>
      </c>
      <c r="P1177" s="3" t="str">
        <f>"2170816462                    "</f>
        <v xml:space="preserve">2170816462                    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29.95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0</v>
      </c>
      <c r="AZ1177" s="3">
        <v>0</v>
      </c>
      <c r="BA1177" s="3">
        <v>0</v>
      </c>
      <c r="BB1177" s="3">
        <v>0</v>
      </c>
      <c r="BC1177" s="3">
        <v>0</v>
      </c>
      <c r="BD1177" s="3">
        <v>0</v>
      </c>
      <c r="BE1177" s="3">
        <v>0</v>
      </c>
      <c r="BF1177" s="3">
        <v>0</v>
      </c>
      <c r="BG1177" s="3">
        <v>0</v>
      </c>
      <c r="BH1177" s="3">
        <v>1</v>
      </c>
      <c r="BI1177" s="3">
        <v>1</v>
      </c>
      <c r="BJ1177" s="3">
        <v>0.2</v>
      </c>
      <c r="BK1177" s="3">
        <v>1</v>
      </c>
      <c r="BL1177" s="3">
        <v>114.31</v>
      </c>
      <c r="BM1177" s="3">
        <v>17.149999999999999</v>
      </c>
      <c r="BN1177" s="3">
        <v>131.46</v>
      </c>
      <c r="BO1177" s="3">
        <v>131.46</v>
      </c>
      <c r="BQ1177" s="3" t="s">
        <v>83</v>
      </c>
      <c r="BR1177" s="3" t="s">
        <v>84</v>
      </c>
      <c r="BS1177" s="4">
        <v>44580</v>
      </c>
      <c r="BT1177" s="5">
        <v>0.54791666666666672</v>
      </c>
      <c r="BU1177" s="3" t="s">
        <v>955</v>
      </c>
      <c r="BV1177" s="3" t="s">
        <v>87</v>
      </c>
      <c r="BW1177" s="3" t="s">
        <v>457</v>
      </c>
      <c r="BX1177" s="3" t="s">
        <v>602</v>
      </c>
      <c r="BY1177" s="3">
        <v>1200</v>
      </c>
      <c r="CA1177" s="3" t="s">
        <v>268</v>
      </c>
      <c r="CC1177" s="3" t="s">
        <v>188</v>
      </c>
      <c r="CD1177" s="3">
        <v>7300</v>
      </c>
      <c r="CE1177" s="3" t="s">
        <v>93</v>
      </c>
      <c r="CF1177" s="4">
        <v>44581</v>
      </c>
      <c r="CI1177" s="3">
        <v>1</v>
      </c>
      <c r="CJ1177" s="3">
        <v>1</v>
      </c>
      <c r="CK1177" s="3">
        <v>23</v>
      </c>
      <c r="CL1177" s="3" t="s">
        <v>87</v>
      </c>
    </row>
    <row r="1178" spans="1:90" x14ac:dyDescent="0.2">
      <c r="A1178" s="3" t="s">
        <v>72</v>
      </c>
      <c r="B1178" s="3" t="s">
        <v>73</v>
      </c>
      <c r="C1178" s="3" t="s">
        <v>74</v>
      </c>
      <c r="E1178" s="3" t="str">
        <f>"FES1162845730"</f>
        <v>FES1162845730</v>
      </c>
      <c r="F1178" s="4">
        <v>44579</v>
      </c>
      <c r="G1178" s="3">
        <v>202207</v>
      </c>
      <c r="H1178" s="3" t="s">
        <v>75</v>
      </c>
      <c r="I1178" s="3" t="s">
        <v>76</v>
      </c>
      <c r="J1178" s="3" t="s">
        <v>77</v>
      </c>
      <c r="K1178" s="3" t="s">
        <v>78</v>
      </c>
      <c r="L1178" s="3" t="s">
        <v>79</v>
      </c>
      <c r="M1178" s="3" t="s">
        <v>80</v>
      </c>
      <c r="N1178" s="3" t="s">
        <v>1290</v>
      </c>
      <c r="O1178" s="3" t="s">
        <v>82</v>
      </c>
      <c r="P1178" s="3" t="str">
        <f>"2170817211                    "</f>
        <v xml:space="preserve">2170817211                    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15.46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0</v>
      </c>
      <c r="AZ1178" s="3">
        <v>0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3">
        <v>1</v>
      </c>
      <c r="BI1178" s="3">
        <v>1</v>
      </c>
      <c r="BJ1178" s="3">
        <v>0.2</v>
      </c>
      <c r="BK1178" s="3">
        <v>1</v>
      </c>
      <c r="BL1178" s="3">
        <v>59</v>
      </c>
      <c r="BM1178" s="3">
        <v>8.85</v>
      </c>
      <c r="BN1178" s="3">
        <v>67.849999999999994</v>
      </c>
      <c r="BO1178" s="3">
        <v>67.849999999999994</v>
      </c>
      <c r="BQ1178" s="3" t="s">
        <v>89</v>
      </c>
      <c r="BR1178" s="3" t="s">
        <v>84</v>
      </c>
      <c r="BS1178" s="4">
        <v>44580</v>
      </c>
      <c r="BT1178" s="5">
        <v>0.3923611111111111</v>
      </c>
      <c r="BU1178" s="3" t="s">
        <v>1537</v>
      </c>
      <c r="BV1178" s="3" t="s">
        <v>105</v>
      </c>
      <c r="BY1178" s="3">
        <v>1200</v>
      </c>
      <c r="CA1178" s="3" t="s">
        <v>366</v>
      </c>
      <c r="CC1178" s="3" t="s">
        <v>80</v>
      </c>
      <c r="CD1178" s="3">
        <v>200</v>
      </c>
      <c r="CE1178" s="3" t="s">
        <v>93</v>
      </c>
      <c r="CF1178" s="4">
        <v>44580</v>
      </c>
      <c r="CI1178" s="3">
        <v>1</v>
      </c>
      <c r="CJ1178" s="3">
        <v>1</v>
      </c>
      <c r="CK1178" s="3">
        <v>21</v>
      </c>
      <c r="CL1178" s="3" t="s">
        <v>87</v>
      </c>
    </row>
    <row r="1179" spans="1:90" x14ac:dyDescent="0.2">
      <c r="A1179" s="3" t="s">
        <v>72</v>
      </c>
      <c r="B1179" s="3" t="s">
        <v>73</v>
      </c>
      <c r="C1179" s="3" t="s">
        <v>74</v>
      </c>
      <c r="E1179" s="3" t="str">
        <f>"FES1162845698"</f>
        <v>FES1162845698</v>
      </c>
      <c r="F1179" s="4">
        <v>44579</v>
      </c>
      <c r="G1179" s="3">
        <v>202207</v>
      </c>
      <c r="H1179" s="3" t="s">
        <v>75</v>
      </c>
      <c r="I1179" s="3" t="s">
        <v>76</v>
      </c>
      <c r="J1179" s="3" t="s">
        <v>77</v>
      </c>
      <c r="K1179" s="3" t="s">
        <v>78</v>
      </c>
      <c r="L1179" s="3" t="s">
        <v>90</v>
      </c>
      <c r="M1179" s="3" t="s">
        <v>91</v>
      </c>
      <c r="N1179" s="3" t="s">
        <v>859</v>
      </c>
      <c r="O1179" s="3" t="s">
        <v>82</v>
      </c>
      <c r="P1179" s="3" t="str">
        <f>"2170816290                    "</f>
        <v xml:space="preserve">2170816290                    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15.46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0</v>
      </c>
      <c r="AZ1179" s="3">
        <v>0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3">
        <v>1</v>
      </c>
      <c r="BI1179" s="3">
        <v>1</v>
      </c>
      <c r="BJ1179" s="3">
        <v>0.2</v>
      </c>
      <c r="BK1179" s="3">
        <v>1</v>
      </c>
      <c r="BL1179" s="3">
        <v>59</v>
      </c>
      <c r="BM1179" s="3">
        <v>8.85</v>
      </c>
      <c r="BN1179" s="3">
        <v>67.849999999999994</v>
      </c>
      <c r="BO1179" s="3">
        <v>67.849999999999994</v>
      </c>
      <c r="BQ1179" s="3" t="s">
        <v>83</v>
      </c>
      <c r="BR1179" s="3" t="s">
        <v>84</v>
      </c>
      <c r="BS1179" s="4">
        <v>44581</v>
      </c>
      <c r="BT1179" s="5">
        <v>0.48680555555555555</v>
      </c>
      <c r="BU1179" s="3" t="s">
        <v>1538</v>
      </c>
      <c r="BV1179" s="3" t="s">
        <v>87</v>
      </c>
      <c r="BW1179" s="3" t="s">
        <v>376</v>
      </c>
      <c r="BX1179" s="3" t="s">
        <v>758</v>
      </c>
      <c r="BY1179" s="3">
        <v>1200</v>
      </c>
      <c r="CA1179" s="3" t="s">
        <v>748</v>
      </c>
      <c r="CC1179" s="3" t="s">
        <v>91</v>
      </c>
      <c r="CD1179" s="3">
        <v>7500</v>
      </c>
      <c r="CE1179" s="3" t="s">
        <v>93</v>
      </c>
      <c r="CF1179" s="4">
        <v>44582</v>
      </c>
      <c r="CI1179" s="3">
        <v>1</v>
      </c>
      <c r="CJ1179" s="3">
        <v>2</v>
      </c>
      <c r="CK1179" s="3">
        <v>21</v>
      </c>
      <c r="CL1179" s="3" t="s">
        <v>87</v>
      </c>
    </row>
    <row r="1180" spans="1:90" x14ac:dyDescent="0.2">
      <c r="A1180" s="3" t="s">
        <v>72</v>
      </c>
      <c r="B1180" s="3" t="s">
        <v>73</v>
      </c>
      <c r="C1180" s="3" t="s">
        <v>74</v>
      </c>
      <c r="E1180" s="3" t="str">
        <f>"FES1162845666"</f>
        <v>FES1162845666</v>
      </c>
      <c r="F1180" s="4">
        <v>44579</v>
      </c>
      <c r="G1180" s="3">
        <v>202207</v>
      </c>
      <c r="H1180" s="3" t="s">
        <v>75</v>
      </c>
      <c r="I1180" s="3" t="s">
        <v>76</v>
      </c>
      <c r="J1180" s="3" t="s">
        <v>77</v>
      </c>
      <c r="K1180" s="3" t="s">
        <v>78</v>
      </c>
      <c r="L1180" s="3" t="s">
        <v>90</v>
      </c>
      <c r="M1180" s="3" t="s">
        <v>91</v>
      </c>
      <c r="N1180" s="3" t="s">
        <v>132</v>
      </c>
      <c r="O1180" s="3" t="s">
        <v>82</v>
      </c>
      <c r="P1180" s="3" t="str">
        <f>"2170817174                    "</f>
        <v xml:space="preserve">2170817174                    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15.46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0</v>
      </c>
      <c r="AZ1180" s="3">
        <v>0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3">
        <v>1</v>
      </c>
      <c r="BI1180" s="3">
        <v>1</v>
      </c>
      <c r="BJ1180" s="3">
        <v>0.2</v>
      </c>
      <c r="BK1180" s="3">
        <v>1</v>
      </c>
      <c r="BL1180" s="3">
        <v>59</v>
      </c>
      <c r="BM1180" s="3">
        <v>8.85</v>
      </c>
      <c r="BN1180" s="3">
        <v>67.849999999999994</v>
      </c>
      <c r="BO1180" s="3">
        <v>67.849999999999994</v>
      </c>
      <c r="BQ1180" s="3" t="s">
        <v>83</v>
      </c>
      <c r="BR1180" s="3" t="s">
        <v>84</v>
      </c>
      <c r="BS1180" s="4">
        <v>44580</v>
      </c>
      <c r="BT1180" s="5">
        <v>0.43402777777777773</v>
      </c>
      <c r="BU1180" s="3" t="s">
        <v>595</v>
      </c>
      <c r="BV1180" s="3" t="s">
        <v>105</v>
      </c>
      <c r="BY1180" s="3">
        <v>1200</v>
      </c>
      <c r="CA1180" s="3" t="s">
        <v>596</v>
      </c>
      <c r="CC1180" s="3" t="s">
        <v>91</v>
      </c>
      <c r="CD1180" s="3">
        <v>7530</v>
      </c>
      <c r="CE1180" s="3" t="s">
        <v>93</v>
      </c>
      <c r="CF1180" s="4">
        <v>44581</v>
      </c>
      <c r="CI1180" s="3">
        <v>1</v>
      </c>
      <c r="CJ1180" s="3">
        <v>1</v>
      </c>
      <c r="CK1180" s="3">
        <v>21</v>
      </c>
      <c r="CL1180" s="3" t="s">
        <v>87</v>
      </c>
    </row>
    <row r="1181" spans="1:90" x14ac:dyDescent="0.2">
      <c r="A1181" s="3" t="s">
        <v>72</v>
      </c>
      <c r="B1181" s="3" t="s">
        <v>73</v>
      </c>
      <c r="C1181" s="3" t="s">
        <v>74</v>
      </c>
      <c r="E1181" s="3" t="str">
        <f>"FES1162845659"</f>
        <v>FES1162845659</v>
      </c>
      <c r="F1181" s="4">
        <v>44579</v>
      </c>
      <c r="G1181" s="3">
        <v>202207</v>
      </c>
      <c r="H1181" s="3" t="s">
        <v>75</v>
      </c>
      <c r="I1181" s="3" t="s">
        <v>76</v>
      </c>
      <c r="J1181" s="3" t="s">
        <v>77</v>
      </c>
      <c r="K1181" s="3" t="s">
        <v>78</v>
      </c>
      <c r="L1181" s="3" t="s">
        <v>184</v>
      </c>
      <c r="M1181" s="3" t="s">
        <v>185</v>
      </c>
      <c r="N1181" s="3" t="s">
        <v>1539</v>
      </c>
      <c r="O1181" s="3" t="s">
        <v>82</v>
      </c>
      <c r="P1181" s="3" t="str">
        <f>"2170817166                    "</f>
        <v xml:space="preserve">2170817166                    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15.46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0</v>
      </c>
      <c r="AZ1181" s="3">
        <v>0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3">
        <v>1</v>
      </c>
      <c r="BI1181" s="3">
        <v>1</v>
      </c>
      <c r="BJ1181" s="3">
        <v>0.2</v>
      </c>
      <c r="BK1181" s="3">
        <v>1</v>
      </c>
      <c r="BL1181" s="3">
        <v>59</v>
      </c>
      <c r="BM1181" s="3">
        <v>8.85</v>
      </c>
      <c r="BN1181" s="3">
        <v>67.849999999999994</v>
      </c>
      <c r="BO1181" s="3">
        <v>67.849999999999994</v>
      </c>
      <c r="BQ1181" s="3" t="s">
        <v>83</v>
      </c>
      <c r="BR1181" s="3" t="s">
        <v>84</v>
      </c>
      <c r="BS1181" s="4">
        <v>44581</v>
      </c>
      <c r="BT1181" s="5">
        <v>0.48125000000000001</v>
      </c>
      <c r="BU1181" s="3" t="s">
        <v>1540</v>
      </c>
      <c r="BV1181" s="3" t="s">
        <v>87</v>
      </c>
      <c r="BW1181" s="3" t="s">
        <v>353</v>
      </c>
      <c r="BX1181" s="3" t="s">
        <v>605</v>
      </c>
      <c r="BY1181" s="3">
        <v>1200</v>
      </c>
      <c r="CA1181" s="3" t="s">
        <v>1541</v>
      </c>
      <c r="CC1181" s="3" t="s">
        <v>185</v>
      </c>
      <c r="CD1181" s="3">
        <v>5201</v>
      </c>
      <c r="CE1181" s="3" t="s">
        <v>93</v>
      </c>
      <c r="CF1181" s="4">
        <v>44581</v>
      </c>
      <c r="CI1181" s="3">
        <v>1</v>
      </c>
      <c r="CJ1181" s="3">
        <v>2</v>
      </c>
      <c r="CK1181" s="3">
        <v>21</v>
      </c>
      <c r="CL1181" s="3" t="s">
        <v>87</v>
      </c>
    </row>
    <row r="1182" spans="1:90" x14ac:dyDescent="0.2">
      <c r="A1182" s="3" t="s">
        <v>72</v>
      </c>
      <c r="B1182" s="3" t="s">
        <v>73</v>
      </c>
      <c r="C1182" s="3" t="s">
        <v>74</v>
      </c>
      <c r="E1182" s="3" t="str">
        <f>"FES1162845670"</f>
        <v>FES1162845670</v>
      </c>
      <c r="F1182" s="4">
        <v>44579</v>
      </c>
      <c r="G1182" s="3">
        <v>202207</v>
      </c>
      <c r="H1182" s="3" t="s">
        <v>75</v>
      </c>
      <c r="I1182" s="3" t="s">
        <v>76</v>
      </c>
      <c r="J1182" s="3" t="s">
        <v>77</v>
      </c>
      <c r="K1182" s="3" t="s">
        <v>78</v>
      </c>
      <c r="L1182" s="3" t="s">
        <v>786</v>
      </c>
      <c r="M1182" s="3" t="s">
        <v>787</v>
      </c>
      <c r="N1182" s="3" t="s">
        <v>788</v>
      </c>
      <c r="O1182" s="3" t="s">
        <v>82</v>
      </c>
      <c r="P1182" s="3" t="str">
        <f>"2170817176                    "</f>
        <v xml:space="preserve">2170817176                    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21.74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0</v>
      </c>
      <c r="AZ1182" s="3">
        <v>0</v>
      </c>
      <c r="BA1182" s="3">
        <v>0</v>
      </c>
      <c r="BB1182" s="3">
        <v>0</v>
      </c>
      <c r="BC1182" s="3">
        <v>0</v>
      </c>
      <c r="BD1182" s="3">
        <v>0</v>
      </c>
      <c r="BE1182" s="3">
        <v>0</v>
      </c>
      <c r="BF1182" s="3">
        <v>0</v>
      </c>
      <c r="BG1182" s="3">
        <v>0</v>
      </c>
      <c r="BH1182" s="3">
        <v>1</v>
      </c>
      <c r="BI1182" s="3">
        <v>1</v>
      </c>
      <c r="BJ1182" s="3">
        <v>0.2</v>
      </c>
      <c r="BK1182" s="3">
        <v>1</v>
      </c>
      <c r="BL1182" s="3">
        <v>82.98</v>
      </c>
      <c r="BM1182" s="3">
        <v>12.45</v>
      </c>
      <c r="BN1182" s="3">
        <v>95.43</v>
      </c>
      <c r="BO1182" s="3">
        <v>95.43</v>
      </c>
      <c r="BQ1182" s="3" t="s">
        <v>83</v>
      </c>
      <c r="BR1182" s="3" t="s">
        <v>84</v>
      </c>
      <c r="BS1182" s="4">
        <v>44580</v>
      </c>
      <c r="BT1182" s="5">
        <v>0.48125000000000001</v>
      </c>
      <c r="BU1182" s="3" t="s">
        <v>1534</v>
      </c>
      <c r="BV1182" s="3" t="s">
        <v>105</v>
      </c>
      <c r="BY1182" s="3">
        <v>1200</v>
      </c>
      <c r="CA1182" s="3" t="s">
        <v>790</v>
      </c>
      <c r="CC1182" s="3" t="s">
        <v>787</v>
      </c>
      <c r="CD1182" s="3">
        <v>2410</v>
      </c>
      <c r="CE1182" s="3" t="s">
        <v>93</v>
      </c>
      <c r="CF1182" s="4">
        <v>44581</v>
      </c>
      <c r="CI1182" s="3">
        <v>1</v>
      </c>
      <c r="CJ1182" s="3">
        <v>1</v>
      </c>
      <c r="CK1182" s="3">
        <v>24</v>
      </c>
      <c r="CL1182" s="3" t="s">
        <v>87</v>
      </c>
    </row>
    <row r="1183" spans="1:90" x14ac:dyDescent="0.2">
      <c r="A1183" s="3" t="s">
        <v>72</v>
      </c>
      <c r="B1183" s="3" t="s">
        <v>73</v>
      </c>
      <c r="C1183" s="3" t="s">
        <v>74</v>
      </c>
      <c r="E1183" s="3" t="str">
        <f>"009942045054"</f>
        <v>009942045054</v>
      </c>
      <c r="F1183" s="4">
        <v>44579</v>
      </c>
      <c r="G1183" s="3">
        <v>202207</v>
      </c>
      <c r="H1183" s="3" t="s">
        <v>75</v>
      </c>
      <c r="I1183" s="3" t="s">
        <v>76</v>
      </c>
      <c r="J1183" s="3" t="s">
        <v>77</v>
      </c>
      <c r="K1183" s="3" t="s">
        <v>78</v>
      </c>
      <c r="L1183" s="3" t="s">
        <v>187</v>
      </c>
      <c r="M1183" s="3" t="s">
        <v>188</v>
      </c>
      <c r="N1183" s="3" t="s">
        <v>189</v>
      </c>
      <c r="O1183" s="3" t="s">
        <v>82</v>
      </c>
      <c r="P1183" s="3" t="str">
        <f>"2170814164                    "</f>
        <v xml:space="preserve">2170814164                    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253.12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0</v>
      </c>
      <c r="AZ1183" s="3">
        <v>0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1</v>
      </c>
      <c r="BI1183" s="3">
        <v>7</v>
      </c>
      <c r="BJ1183" s="3">
        <v>18.3</v>
      </c>
      <c r="BK1183" s="3">
        <v>18.5</v>
      </c>
      <c r="BL1183" s="3">
        <v>966.13</v>
      </c>
      <c r="BM1183" s="3">
        <v>144.91999999999999</v>
      </c>
      <c r="BN1183" s="3">
        <v>1111.05</v>
      </c>
      <c r="BO1183" s="3">
        <v>1111.05</v>
      </c>
      <c r="BQ1183" s="3" t="s">
        <v>83</v>
      </c>
      <c r="BR1183" s="3" t="s">
        <v>84</v>
      </c>
      <c r="BS1183" s="4">
        <v>44580</v>
      </c>
      <c r="BT1183" s="5">
        <v>0.5493055555555556</v>
      </c>
      <c r="BU1183" s="3" t="s">
        <v>955</v>
      </c>
      <c r="BV1183" s="3" t="s">
        <v>87</v>
      </c>
      <c r="BW1183" s="3" t="s">
        <v>457</v>
      </c>
      <c r="BX1183" s="3" t="s">
        <v>602</v>
      </c>
      <c r="BY1183" s="3">
        <v>91264</v>
      </c>
      <c r="CA1183" s="3" t="s">
        <v>268</v>
      </c>
      <c r="CC1183" s="3" t="s">
        <v>188</v>
      </c>
      <c r="CD1183" s="3">
        <v>7300</v>
      </c>
      <c r="CE1183" s="3" t="s">
        <v>86</v>
      </c>
      <c r="CF1183" s="4">
        <v>44581</v>
      </c>
      <c r="CI1183" s="3">
        <v>1</v>
      </c>
      <c r="CJ1183" s="3">
        <v>1</v>
      </c>
      <c r="CK1183" s="3">
        <v>23</v>
      </c>
      <c r="CL1183" s="3" t="s">
        <v>87</v>
      </c>
    </row>
    <row r="1184" spans="1:90" x14ac:dyDescent="0.2">
      <c r="A1184" s="3" t="s">
        <v>72</v>
      </c>
      <c r="B1184" s="3" t="s">
        <v>73</v>
      </c>
      <c r="C1184" s="3" t="s">
        <v>74</v>
      </c>
      <c r="E1184" s="3" t="str">
        <f>"FES1162845643"</f>
        <v>FES1162845643</v>
      </c>
      <c r="F1184" s="4">
        <v>44579</v>
      </c>
      <c r="G1184" s="3">
        <v>202207</v>
      </c>
      <c r="H1184" s="3" t="s">
        <v>75</v>
      </c>
      <c r="I1184" s="3" t="s">
        <v>76</v>
      </c>
      <c r="J1184" s="3" t="s">
        <v>77</v>
      </c>
      <c r="K1184" s="3" t="s">
        <v>78</v>
      </c>
      <c r="L1184" s="3" t="s">
        <v>195</v>
      </c>
      <c r="M1184" s="3" t="s">
        <v>196</v>
      </c>
      <c r="N1184" s="3" t="s">
        <v>1501</v>
      </c>
      <c r="O1184" s="3" t="s">
        <v>82</v>
      </c>
      <c r="P1184" s="3" t="str">
        <f>"2170817147                    "</f>
        <v xml:space="preserve">2170817147                    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15.46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0</v>
      </c>
      <c r="AZ1184" s="3">
        <v>0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3">
        <v>1</v>
      </c>
      <c r="BI1184" s="3">
        <v>1</v>
      </c>
      <c r="BJ1184" s="3">
        <v>1.1000000000000001</v>
      </c>
      <c r="BK1184" s="3">
        <v>1.5</v>
      </c>
      <c r="BL1184" s="3">
        <v>59</v>
      </c>
      <c r="BM1184" s="3">
        <v>8.85</v>
      </c>
      <c r="BN1184" s="3">
        <v>67.849999999999994</v>
      </c>
      <c r="BO1184" s="3">
        <v>67.849999999999994</v>
      </c>
      <c r="BR1184" s="3" t="s">
        <v>84</v>
      </c>
      <c r="BS1184" s="4">
        <v>44582</v>
      </c>
      <c r="BT1184" s="5">
        <v>0.41319444444444442</v>
      </c>
      <c r="BU1184" s="3" t="s">
        <v>1502</v>
      </c>
      <c r="BV1184" s="3" t="s">
        <v>87</v>
      </c>
      <c r="BW1184" s="3" t="s">
        <v>278</v>
      </c>
      <c r="BX1184" s="3" t="s">
        <v>279</v>
      </c>
      <c r="BY1184" s="3">
        <v>5320</v>
      </c>
      <c r="CA1184" s="3" t="s">
        <v>1503</v>
      </c>
      <c r="CC1184" s="3" t="s">
        <v>196</v>
      </c>
      <c r="CD1184" s="3">
        <v>4156</v>
      </c>
      <c r="CE1184" s="3" t="s">
        <v>86</v>
      </c>
      <c r="CF1184" s="4">
        <v>44585</v>
      </c>
      <c r="CI1184" s="3">
        <v>1</v>
      </c>
      <c r="CJ1184" s="3">
        <v>3</v>
      </c>
      <c r="CK1184" s="3">
        <v>21</v>
      </c>
      <c r="CL1184" s="3" t="s">
        <v>87</v>
      </c>
    </row>
    <row r="1185" spans="1:90" x14ac:dyDescent="0.2">
      <c r="A1185" s="3" t="s">
        <v>72</v>
      </c>
      <c r="B1185" s="3" t="s">
        <v>73</v>
      </c>
      <c r="C1185" s="3" t="s">
        <v>74</v>
      </c>
      <c r="E1185" s="3" t="str">
        <f>"FES1162845655"</f>
        <v>FES1162845655</v>
      </c>
      <c r="F1185" s="4">
        <v>44579</v>
      </c>
      <c r="G1185" s="3">
        <v>202207</v>
      </c>
      <c r="H1185" s="3" t="s">
        <v>75</v>
      </c>
      <c r="I1185" s="3" t="s">
        <v>76</v>
      </c>
      <c r="J1185" s="3" t="s">
        <v>77</v>
      </c>
      <c r="K1185" s="3" t="s">
        <v>78</v>
      </c>
      <c r="L1185" s="3" t="s">
        <v>184</v>
      </c>
      <c r="M1185" s="3" t="s">
        <v>185</v>
      </c>
      <c r="N1185" s="3" t="s">
        <v>186</v>
      </c>
      <c r="O1185" s="3" t="s">
        <v>82</v>
      </c>
      <c r="P1185" s="3" t="str">
        <f>"2170817159                    "</f>
        <v xml:space="preserve">2170817159                    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30.91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0</v>
      </c>
      <c r="AZ1185" s="3">
        <v>0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3">
        <v>1</v>
      </c>
      <c r="BI1185" s="3">
        <v>4</v>
      </c>
      <c r="BJ1185" s="3">
        <v>1.5</v>
      </c>
      <c r="BK1185" s="3">
        <v>4</v>
      </c>
      <c r="BL1185" s="3">
        <v>117.97</v>
      </c>
      <c r="BM1185" s="3">
        <v>17.7</v>
      </c>
      <c r="BN1185" s="3">
        <v>135.66999999999999</v>
      </c>
      <c r="BO1185" s="3">
        <v>135.66999999999999</v>
      </c>
      <c r="BQ1185" s="3" t="s">
        <v>83</v>
      </c>
      <c r="BR1185" s="3" t="s">
        <v>84</v>
      </c>
      <c r="BS1185" s="4">
        <v>44580</v>
      </c>
      <c r="BT1185" s="5">
        <v>0.50347222222222221</v>
      </c>
      <c r="BU1185" s="3" t="s">
        <v>1542</v>
      </c>
      <c r="BV1185" s="3" t="s">
        <v>87</v>
      </c>
      <c r="BW1185" s="3" t="s">
        <v>353</v>
      </c>
      <c r="BX1185" s="3" t="s">
        <v>648</v>
      </c>
      <c r="BY1185" s="3">
        <v>7540</v>
      </c>
      <c r="CA1185" s="3" t="s">
        <v>357</v>
      </c>
      <c r="CC1185" s="3" t="s">
        <v>185</v>
      </c>
      <c r="CD1185" s="3">
        <v>5201</v>
      </c>
      <c r="CE1185" s="3" t="s">
        <v>86</v>
      </c>
      <c r="CF1185" s="4">
        <v>44580</v>
      </c>
      <c r="CI1185" s="3">
        <v>1</v>
      </c>
      <c r="CJ1185" s="3">
        <v>1</v>
      </c>
      <c r="CK1185" s="3">
        <v>21</v>
      </c>
      <c r="CL1185" s="3" t="s">
        <v>87</v>
      </c>
    </row>
    <row r="1186" spans="1:90" x14ac:dyDescent="0.2">
      <c r="A1186" s="3" t="s">
        <v>72</v>
      </c>
      <c r="B1186" s="3" t="s">
        <v>73</v>
      </c>
      <c r="C1186" s="3" t="s">
        <v>74</v>
      </c>
      <c r="E1186" s="3" t="str">
        <f>"FES1162845674"</f>
        <v>FES1162845674</v>
      </c>
      <c r="F1186" s="4">
        <v>44579</v>
      </c>
      <c r="G1186" s="3">
        <v>202207</v>
      </c>
      <c r="H1186" s="3" t="s">
        <v>75</v>
      </c>
      <c r="I1186" s="3" t="s">
        <v>76</v>
      </c>
      <c r="J1186" s="3" t="s">
        <v>77</v>
      </c>
      <c r="K1186" s="3" t="s">
        <v>78</v>
      </c>
      <c r="L1186" s="3" t="s">
        <v>171</v>
      </c>
      <c r="M1186" s="3" t="s">
        <v>172</v>
      </c>
      <c r="N1186" s="3" t="s">
        <v>199</v>
      </c>
      <c r="O1186" s="3" t="s">
        <v>82</v>
      </c>
      <c r="P1186" s="3" t="str">
        <f>"2170817181                    "</f>
        <v xml:space="preserve">2170817181                    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15.46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0</v>
      </c>
      <c r="AZ1186" s="3">
        <v>0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3">
        <v>1</v>
      </c>
      <c r="BI1186" s="3">
        <v>1</v>
      </c>
      <c r="BJ1186" s="3">
        <v>0.2</v>
      </c>
      <c r="BK1186" s="3">
        <v>1</v>
      </c>
      <c r="BL1186" s="3">
        <v>59</v>
      </c>
      <c r="BM1186" s="3">
        <v>8.85</v>
      </c>
      <c r="BN1186" s="3">
        <v>67.849999999999994</v>
      </c>
      <c r="BO1186" s="3">
        <v>67.849999999999994</v>
      </c>
      <c r="BR1186" s="3" t="s">
        <v>84</v>
      </c>
      <c r="BS1186" s="4">
        <v>44580</v>
      </c>
      <c r="BT1186" s="5">
        <v>0.32361111111111113</v>
      </c>
      <c r="BU1186" s="3" t="s">
        <v>1500</v>
      </c>
      <c r="BV1186" s="3" t="s">
        <v>105</v>
      </c>
      <c r="BY1186" s="3">
        <v>1200</v>
      </c>
      <c r="CA1186" s="3" t="s">
        <v>408</v>
      </c>
      <c r="CC1186" s="3" t="s">
        <v>172</v>
      </c>
      <c r="CD1186" s="3">
        <v>6000</v>
      </c>
      <c r="CE1186" s="3" t="s">
        <v>93</v>
      </c>
      <c r="CF1186" s="4">
        <v>44581</v>
      </c>
      <c r="CI1186" s="3">
        <v>1</v>
      </c>
      <c r="CJ1186" s="3">
        <v>1</v>
      </c>
      <c r="CK1186" s="3">
        <v>21</v>
      </c>
      <c r="CL1186" s="3" t="s">
        <v>87</v>
      </c>
    </row>
    <row r="1187" spans="1:90" x14ac:dyDescent="0.2">
      <c r="A1187" s="3" t="s">
        <v>72</v>
      </c>
      <c r="B1187" s="3" t="s">
        <v>73</v>
      </c>
      <c r="C1187" s="3" t="s">
        <v>74</v>
      </c>
      <c r="E1187" s="3" t="str">
        <f>"FES1162845693"</f>
        <v>FES1162845693</v>
      </c>
      <c r="F1187" s="4">
        <v>44579</v>
      </c>
      <c r="G1187" s="3">
        <v>202207</v>
      </c>
      <c r="H1187" s="3" t="s">
        <v>75</v>
      </c>
      <c r="I1187" s="3" t="s">
        <v>76</v>
      </c>
      <c r="J1187" s="3" t="s">
        <v>77</v>
      </c>
      <c r="K1187" s="3" t="s">
        <v>78</v>
      </c>
      <c r="L1187" s="3" t="s">
        <v>184</v>
      </c>
      <c r="M1187" s="3" t="s">
        <v>185</v>
      </c>
      <c r="N1187" s="3" t="s">
        <v>621</v>
      </c>
      <c r="O1187" s="3" t="s">
        <v>82</v>
      </c>
      <c r="P1187" s="3" t="str">
        <f>"2170815905                    "</f>
        <v xml:space="preserve">2170815905                    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15.46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0</v>
      </c>
      <c r="AZ1187" s="3">
        <v>0</v>
      </c>
      <c r="BA1187" s="3">
        <v>0</v>
      </c>
      <c r="BB1187" s="3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3">
        <v>1</v>
      </c>
      <c r="BI1187" s="3">
        <v>1</v>
      </c>
      <c r="BJ1187" s="3">
        <v>0.2</v>
      </c>
      <c r="BK1187" s="3">
        <v>1</v>
      </c>
      <c r="BL1187" s="3">
        <v>59</v>
      </c>
      <c r="BM1187" s="3">
        <v>8.85</v>
      </c>
      <c r="BN1187" s="3">
        <v>67.849999999999994</v>
      </c>
      <c r="BO1187" s="3">
        <v>67.849999999999994</v>
      </c>
      <c r="BQ1187" s="3" t="s">
        <v>83</v>
      </c>
      <c r="BR1187" s="3" t="s">
        <v>84</v>
      </c>
      <c r="BS1187" s="4">
        <v>44580</v>
      </c>
      <c r="BT1187" s="5">
        <v>0.71250000000000002</v>
      </c>
      <c r="BU1187" s="3" t="s">
        <v>1543</v>
      </c>
      <c r="BV1187" s="3" t="s">
        <v>87</v>
      </c>
      <c r="BW1187" s="3" t="s">
        <v>353</v>
      </c>
      <c r="BX1187" s="3" t="s">
        <v>648</v>
      </c>
      <c r="BY1187" s="3">
        <v>1200</v>
      </c>
      <c r="CA1187" s="3" t="s">
        <v>357</v>
      </c>
      <c r="CC1187" s="3" t="s">
        <v>185</v>
      </c>
      <c r="CD1187" s="3">
        <v>5201</v>
      </c>
      <c r="CE1187" s="3" t="s">
        <v>93</v>
      </c>
      <c r="CF1187" s="4">
        <v>44580</v>
      </c>
      <c r="CI1187" s="3">
        <v>1</v>
      </c>
      <c r="CJ1187" s="3">
        <v>1</v>
      </c>
      <c r="CK1187" s="3">
        <v>21</v>
      </c>
      <c r="CL1187" s="3" t="s">
        <v>87</v>
      </c>
    </row>
    <row r="1188" spans="1:90" x14ac:dyDescent="0.2">
      <c r="A1188" s="3" t="s">
        <v>72</v>
      </c>
      <c r="B1188" s="3" t="s">
        <v>73</v>
      </c>
      <c r="C1188" s="3" t="s">
        <v>74</v>
      </c>
      <c r="E1188" s="3" t="str">
        <f>"FES1162845688"</f>
        <v>FES1162845688</v>
      </c>
      <c r="F1188" s="4">
        <v>44579</v>
      </c>
      <c r="G1188" s="3">
        <v>202207</v>
      </c>
      <c r="H1188" s="3" t="s">
        <v>75</v>
      </c>
      <c r="I1188" s="3" t="s">
        <v>76</v>
      </c>
      <c r="J1188" s="3" t="s">
        <v>77</v>
      </c>
      <c r="K1188" s="3" t="s">
        <v>78</v>
      </c>
      <c r="L1188" s="3" t="s">
        <v>101</v>
      </c>
      <c r="M1188" s="3" t="s">
        <v>102</v>
      </c>
      <c r="N1188" s="3" t="s">
        <v>103</v>
      </c>
      <c r="O1188" s="3" t="s">
        <v>82</v>
      </c>
      <c r="P1188" s="3" t="str">
        <f>"2170815739                    "</f>
        <v xml:space="preserve">2170815739                    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15.46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0</v>
      </c>
      <c r="BA1188" s="3">
        <v>0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3">
        <v>1</v>
      </c>
      <c r="BI1188" s="3">
        <v>1</v>
      </c>
      <c r="BJ1188" s="3">
        <v>0.2</v>
      </c>
      <c r="BK1188" s="3">
        <v>1</v>
      </c>
      <c r="BL1188" s="3">
        <v>59</v>
      </c>
      <c r="BM1188" s="3">
        <v>8.85</v>
      </c>
      <c r="BN1188" s="3">
        <v>67.849999999999994</v>
      </c>
      <c r="BO1188" s="3">
        <v>67.849999999999994</v>
      </c>
      <c r="BQ1188" s="3" t="s">
        <v>83</v>
      </c>
      <c r="BR1188" s="3" t="s">
        <v>84</v>
      </c>
      <c r="BS1188" s="4">
        <v>44580</v>
      </c>
      <c r="BT1188" s="5">
        <v>0.33333333333333331</v>
      </c>
      <c r="BU1188" s="3" t="s">
        <v>463</v>
      </c>
      <c r="BV1188" s="3" t="s">
        <v>105</v>
      </c>
      <c r="BY1188" s="3">
        <v>1200</v>
      </c>
      <c r="CA1188" s="3" t="s">
        <v>334</v>
      </c>
      <c r="CC1188" s="3" t="s">
        <v>102</v>
      </c>
      <c r="CD1188" s="3">
        <v>4001</v>
      </c>
      <c r="CE1188" s="3" t="s">
        <v>93</v>
      </c>
      <c r="CF1188" s="4">
        <v>44581</v>
      </c>
      <c r="CI1188" s="3">
        <v>1</v>
      </c>
      <c r="CJ1188" s="3">
        <v>1</v>
      </c>
      <c r="CK1188" s="3">
        <v>21</v>
      </c>
      <c r="CL1188" s="3" t="s">
        <v>87</v>
      </c>
    </row>
    <row r="1189" spans="1:90" x14ac:dyDescent="0.2">
      <c r="A1189" s="3" t="s">
        <v>72</v>
      </c>
      <c r="B1189" s="3" t="s">
        <v>73</v>
      </c>
      <c r="C1189" s="3" t="s">
        <v>74</v>
      </c>
      <c r="E1189" s="3" t="str">
        <f>"FES1162845696"</f>
        <v>FES1162845696</v>
      </c>
      <c r="F1189" s="4">
        <v>44579</v>
      </c>
      <c r="G1189" s="3">
        <v>202207</v>
      </c>
      <c r="H1189" s="3" t="s">
        <v>75</v>
      </c>
      <c r="I1189" s="3" t="s">
        <v>76</v>
      </c>
      <c r="J1189" s="3" t="s">
        <v>77</v>
      </c>
      <c r="K1189" s="3" t="s">
        <v>78</v>
      </c>
      <c r="L1189" s="3" t="s">
        <v>993</v>
      </c>
      <c r="M1189" s="3" t="s">
        <v>994</v>
      </c>
      <c r="N1189" s="3" t="s">
        <v>995</v>
      </c>
      <c r="O1189" s="3" t="s">
        <v>82</v>
      </c>
      <c r="P1189" s="3" t="str">
        <f>"2170815987                    "</f>
        <v xml:space="preserve">2170815987                    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29.95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0</v>
      </c>
      <c r="AZ1189" s="3">
        <v>0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3">
        <v>1</v>
      </c>
      <c r="BI1189" s="3">
        <v>1</v>
      </c>
      <c r="BJ1189" s="3">
        <v>0.2</v>
      </c>
      <c r="BK1189" s="3">
        <v>1</v>
      </c>
      <c r="BL1189" s="3">
        <v>114.31</v>
      </c>
      <c r="BM1189" s="3">
        <v>17.149999999999999</v>
      </c>
      <c r="BN1189" s="3">
        <v>131.46</v>
      </c>
      <c r="BO1189" s="3">
        <v>131.46</v>
      </c>
      <c r="BR1189" s="3" t="s">
        <v>84</v>
      </c>
      <c r="BS1189" s="4">
        <v>44580</v>
      </c>
      <c r="BT1189" s="5">
        <v>0.59583333333333333</v>
      </c>
      <c r="BU1189" s="3" t="s">
        <v>1544</v>
      </c>
      <c r="BV1189" s="3" t="s">
        <v>87</v>
      </c>
      <c r="BY1189" s="3">
        <v>1200</v>
      </c>
      <c r="CA1189" s="3" t="s">
        <v>1545</v>
      </c>
      <c r="CC1189" s="3" t="s">
        <v>994</v>
      </c>
      <c r="CD1189" s="3">
        <v>850</v>
      </c>
      <c r="CE1189" s="3" t="s">
        <v>93</v>
      </c>
      <c r="CF1189" s="4">
        <v>44580</v>
      </c>
      <c r="CI1189" s="3">
        <v>1</v>
      </c>
      <c r="CJ1189" s="3">
        <v>1</v>
      </c>
      <c r="CK1189" s="3">
        <v>23</v>
      </c>
      <c r="CL1189" s="3" t="s">
        <v>87</v>
      </c>
    </row>
    <row r="1190" spans="1:90" x14ac:dyDescent="0.2">
      <c r="A1190" s="3" t="s">
        <v>72</v>
      </c>
      <c r="B1190" s="3" t="s">
        <v>73</v>
      </c>
      <c r="C1190" s="3" t="s">
        <v>74</v>
      </c>
      <c r="E1190" s="3" t="str">
        <f>"FES1162845675"</f>
        <v>FES1162845675</v>
      </c>
      <c r="F1190" s="4">
        <v>44579</v>
      </c>
      <c r="G1190" s="3">
        <v>202207</v>
      </c>
      <c r="H1190" s="3" t="s">
        <v>75</v>
      </c>
      <c r="I1190" s="3" t="s">
        <v>76</v>
      </c>
      <c r="J1190" s="3" t="s">
        <v>77</v>
      </c>
      <c r="K1190" s="3" t="s">
        <v>78</v>
      </c>
      <c r="L1190" s="3" t="s">
        <v>90</v>
      </c>
      <c r="M1190" s="3" t="s">
        <v>91</v>
      </c>
      <c r="N1190" s="3" t="s">
        <v>132</v>
      </c>
      <c r="O1190" s="3" t="s">
        <v>82</v>
      </c>
      <c r="P1190" s="3" t="str">
        <f>"2170817182                    "</f>
        <v xml:space="preserve">2170817182                    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15.46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0</v>
      </c>
      <c r="AZ1190" s="3">
        <v>0</v>
      </c>
      <c r="BA1190" s="3">
        <v>0</v>
      </c>
      <c r="BB1190" s="3">
        <v>0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3">
        <v>1</v>
      </c>
      <c r="BI1190" s="3">
        <v>1</v>
      </c>
      <c r="BJ1190" s="3">
        <v>0.2</v>
      </c>
      <c r="BK1190" s="3">
        <v>1</v>
      </c>
      <c r="BL1190" s="3">
        <v>59</v>
      </c>
      <c r="BM1190" s="3">
        <v>8.85</v>
      </c>
      <c r="BN1190" s="3">
        <v>67.849999999999994</v>
      </c>
      <c r="BO1190" s="3">
        <v>67.849999999999994</v>
      </c>
      <c r="BQ1190" s="3" t="s">
        <v>83</v>
      </c>
      <c r="BR1190" s="3" t="s">
        <v>84</v>
      </c>
      <c r="BS1190" s="4">
        <v>44580</v>
      </c>
      <c r="BT1190" s="5">
        <v>0.43402777777777773</v>
      </c>
      <c r="BU1190" s="3" t="s">
        <v>595</v>
      </c>
      <c r="BV1190" s="3" t="s">
        <v>105</v>
      </c>
      <c r="BY1190" s="3">
        <v>1200</v>
      </c>
      <c r="CA1190" s="3" t="s">
        <v>596</v>
      </c>
      <c r="CC1190" s="3" t="s">
        <v>91</v>
      </c>
      <c r="CD1190" s="3">
        <v>7530</v>
      </c>
      <c r="CE1190" s="3" t="s">
        <v>93</v>
      </c>
      <c r="CF1190" s="4">
        <v>44581</v>
      </c>
      <c r="CI1190" s="3">
        <v>1</v>
      </c>
      <c r="CJ1190" s="3">
        <v>1</v>
      </c>
      <c r="CK1190" s="3">
        <v>21</v>
      </c>
      <c r="CL1190" s="3" t="s">
        <v>87</v>
      </c>
    </row>
    <row r="1191" spans="1:90" x14ac:dyDescent="0.2">
      <c r="A1191" s="3" t="s">
        <v>72</v>
      </c>
      <c r="B1191" s="3" t="s">
        <v>73</v>
      </c>
      <c r="C1191" s="3" t="s">
        <v>74</v>
      </c>
      <c r="E1191" s="3" t="str">
        <f>"FES1162845742"</f>
        <v>FES1162845742</v>
      </c>
      <c r="F1191" s="4">
        <v>44579</v>
      </c>
      <c r="G1191" s="3">
        <v>202207</v>
      </c>
      <c r="H1191" s="3" t="s">
        <v>75</v>
      </c>
      <c r="I1191" s="3" t="s">
        <v>76</v>
      </c>
      <c r="J1191" s="3" t="s">
        <v>77</v>
      </c>
      <c r="K1191" s="3" t="s">
        <v>78</v>
      </c>
      <c r="L1191" s="3" t="s">
        <v>171</v>
      </c>
      <c r="M1191" s="3" t="s">
        <v>172</v>
      </c>
      <c r="N1191" s="3" t="s">
        <v>1546</v>
      </c>
      <c r="O1191" s="3" t="s">
        <v>82</v>
      </c>
      <c r="P1191" s="3" t="str">
        <f>"2170817066                    "</f>
        <v xml:space="preserve">2170817066                    </v>
      </c>
      <c r="Q1191" s="3">
        <v>0</v>
      </c>
      <c r="R1191" s="3">
        <v>0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15.46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0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3">
        <v>1</v>
      </c>
      <c r="BI1191" s="3">
        <v>1</v>
      </c>
      <c r="BJ1191" s="3">
        <v>0.2</v>
      </c>
      <c r="BK1191" s="3">
        <v>1</v>
      </c>
      <c r="BL1191" s="3">
        <v>59</v>
      </c>
      <c r="BM1191" s="3">
        <v>8.85</v>
      </c>
      <c r="BN1191" s="3">
        <v>67.849999999999994</v>
      </c>
      <c r="BO1191" s="3">
        <v>67.849999999999994</v>
      </c>
      <c r="BQ1191" s="3" t="s">
        <v>1547</v>
      </c>
      <c r="BR1191" s="3" t="s">
        <v>84</v>
      </c>
      <c r="BS1191" s="4">
        <v>44580</v>
      </c>
      <c r="BT1191" s="5">
        <v>0.40972222222222227</v>
      </c>
      <c r="BU1191" s="3" t="s">
        <v>1548</v>
      </c>
      <c r="BV1191" s="3" t="s">
        <v>105</v>
      </c>
      <c r="BY1191" s="3">
        <v>1200</v>
      </c>
      <c r="CA1191" s="3" t="s">
        <v>509</v>
      </c>
      <c r="CC1191" s="3" t="s">
        <v>172</v>
      </c>
      <c r="CD1191" s="3">
        <v>6014</v>
      </c>
      <c r="CE1191" s="3" t="s">
        <v>93</v>
      </c>
      <c r="CF1191" s="4">
        <v>44580</v>
      </c>
      <c r="CI1191" s="3">
        <v>1</v>
      </c>
      <c r="CJ1191" s="3">
        <v>1</v>
      </c>
      <c r="CK1191" s="3">
        <v>21</v>
      </c>
      <c r="CL1191" s="3" t="s">
        <v>87</v>
      </c>
    </row>
    <row r="1192" spans="1:90" x14ac:dyDescent="0.2">
      <c r="A1192" s="3" t="s">
        <v>72</v>
      </c>
      <c r="B1192" s="3" t="s">
        <v>73</v>
      </c>
      <c r="C1192" s="3" t="s">
        <v>74</v>
      </c>
      <c r="E1192" s="3" t="str">
        <f>"FES1162845761"</f>
        <v>FES1162845761</v>
      </c>
      <c r="F1192" s="4">
        <v>44579</v>
      </c>
      <c r="G1192" s="3">
        <v>202207</v>
      </c>
      <c r="H1192" s="3" t="s">
        <v>75</v>
      </c>
      <c r="I1192" s="3" t="s">
        <v>76</v>
      </c>
      <c r="J1192" s="3" t="s">
        <v>77</v>
      </c>
      <c r="K1192" s="3" t="s">
        <v>78</v>
      </c>
      <c r="L1192" s="3" t="s">
        <v>335</v>
      </c>
      <c r="M1192" s="3" t="s">
        <v>336</v>
      </c>
      <c r="N1192" s="3" t="s">
        <v>1113</v>
      </c>
      <c r="O1192" s="3" t="s">
        <v>82</v>
      </c>
      <c r="P1192" s="3" t="str">
        <f>"2170816978                    "</f>
        <v xml:space="preserve">2170816978                    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15.46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15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0</v>
      </c>
      <c r="AZ1192" s="3">
        <v>0</v>
      </c>
      <c r="BA1192" s="3">
        <v>0</v>
      </c>
      <c r="BB1192" s="3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3">
        <v>1</v>
      </c>
      <c r="BI1192" s="3">
        <v>1</v>
      </c>
      <c r="BJ1192" s="3">
        <v>0.2</v>
      </c>
      <c r="BK1192" s="3">
        <v>1</v>
      </c>
      <c r="BL1192" s="3">
        <v>74</v>
      </c>
      <c r="BM1192" s="3">
        <v>11.1</v>
      </c>
      <c r="BN1192" s="3">
        <v>85.1</v>
      </c>
      <c r="BO1192" s="3">
        <v>85.1</v>
      </c>
      <c r="BQ1192" s="3" t="s">
        <v>126</v>
      </c>
      <c r="BR1192" s="3" t="s">
        <v>84</v>
      </c>
      <c r="BS1192" s="4">
        <v>44580</v>
      </c>
      <c r="BT1192" s="5">
        <v>0.38472222222222219</v>
      </c>
      <c r="BU1192" s="3" t="s">
        <v>1114</v>
      </c>
      <c r="BV1192" s="3" t="s">
        <v>105</v>
      </c>
      <c r="BY1192" s="3">
        <v>1200</v>
      </c>
      <c r="BZ1192" s="3" t="s">
        <v>30</v>
      </c>
      <c r="CA1192" s="3" t="s">
        <v>528</v>
      </c>
      <c r="CC1192" s="3" t="s">
        <v>336</v>
      </c>
      <c r="CD1192" s="3">
        <v>4110</v>
      </c>
      <c r="CE1192" s="3" t="s">
        <v>93</v>
      </c>
      <c r="CF1192" s="4">
        <v>44581</v>
      </c>
      <c r="CI1192" s="3">
        <v>1</v>
      </c>
      <c r="CJ1192" s="3">
        <v>1</v>
      </c>
      <c r="CK1192" s="3">
        <v>21</v>
      </c>
      <c r="CL1192" s="3" t="s">
        <v>87</v>
      </c>
    </row>
    <row r="1193" spans="1:90" x14ac:dyDescent="0.2">
      <c r="A1193" s="3" t="s">
        <v>72</v>
      </c>
      <c r="B1193" s="3" t="s">
        <v>73</v>
      </c>
      <c r="C1193" s="3" t="s">
        <v>74</v>
      </c>
      <c r="E1193" s="3" t="str">
        <f>"FES1162845755"</f>
        <v>FES1162845755</v>
      </c>
      <c r="F1193" s="4">
        <v>44579</v>
      </c>
      <c r="G1193" s="3">
        <v>202207</v>
      </c>
      <c r="H1193" s="3" t="s">
        <v>75</v>
      </c>
      <c r="I1193" s="3" t="s">
        <v>76</v>
      </c>
      <c r="J1193" s="3" t="s">
        <v>77</v>
      </c>
      <c r="K1193" s="3" t="s">
        <v>78</v>
      </c>
      <c r="L1193" s="3" t="s">
        <v>90</v>
      </c>
      <c r="M1193" s="3" t="s">
        <v>91</v>
      </c>
      <c r="N1193" s="3" t="s">
        <v>584</v>
      </c>
      <c r="O1193" s="3" t="s">
        <v>82</v>
      </c>
      <c r="P1193" s="3" t="str">
        <f>"2170817253                    "</f>
        <v xml:space="preserve">2170817253                    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15.46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v>0</v>
      </c>
      <c r="BA1193" s="3">
        <v>0</v>
      </c>
      <c r="BB1193" s="3">
        <v>0</v>
      </c>
      <c r="BC1193" s="3">
        <v>0</v>
      </c>
      <c r="BD1193" s="3">
        <v>0</v>
      </c>
      <c r="BE1193" s="3">
        <v>0</v>
      </c>
      <c r="BF1193" s="3">
        <v>0</v>
      </c>
      <c r="BG1193" s="3">
        <v>0</v>
      </c>
      <c r="BH1193" s="3">
        <v>1</v>
      </c>
      <c r="BI1193" s="3">
        <v>1</v>
      </c>
      <c r="BJ1193" s="3">
        <v>0.2</v>
      </c>
      <c r="BK1193" s="3">
        <v>1</v>
      </c>
      <c r="BL1193" s="3">
        <v>59</v>
      </c>
      <c r="BM1193" s="3">
        <v>8.85</v>
      </c>
      <c r="BN1193" s="3">
        <v>67.849999999999994</v>
      </c>
      <c r="BO1193" s="3">
        <v>67.849999999999994</v>
      </c>
      <c r="BQ1193" s="3" t="s">
        <v>83</v>
      </c>
      <c r="BR1193" s="3" t="s">
        <v>84</v>
      </c>
      <c r="BS1193" s="4">
        <v>44580</v>
      </c>
      <c r="BT1193" s="5">
        <v>0.3354166666666667</v>
      </c>
      <c r="BU1193" s="3" t="s">
        <v>959</v>
      </c>
      <c r="BV1193" s="3" t="s">
        <v>105</v>
      </c>
      <c r="BY1193" s="3">
        <v>1200</v>
      </c>
      <c r="CA1193" s="3" t="s">
        <v>543</v>
      </c>
      <c r="CC1193" s="3" t="s">
        <v>91</v>
      </c>
      <c r="CD1193" s="3">
        <v>7530</v>
      </c>
      <c r="CE1193" s="3" t="s">
        <v>93</v>
      </c>
      <c r="CF1193" s="4">
        <v>44581</v>
      </c>
      <c r="CI1193" s="3">
        <v>1</v>
      </c>
      <c r="CJ1193" s="3">
        <v>1</v>
      </c>
      <c r="CK1193" s="3">
        <v>21</v>
      </c>
      <c r="CL1193" s="3" t="s">
        <v>87</v>
      </c>
    </row>
    <row r="1194" spans="1:90" x14ac:dyDescent="0.2">
      <c r="A1194" s="3" t="s">
        <v>72</v>
      </c>
      <c r="B1194" s="3" t="s">
        <v>73</v>
      </c>
      <c r="C1194" s="3" t="s">
        <v>74</v>
      </c>
      <c r="E1194" s="3" t="str">
        <f>"FES1162845753"</f>
        <v>FES1162845753</v>
      </c>
      <c r="F1194" s="4">
        <v>44579</v>
      </c>
      <c r="G1194" s="3">
        <v>202207</v>
      </c>
      <c r="H1194" s="3" t="s">
        <v>75</v>
      </c>
      <c r="I1194" s="3" t="s">
        <v>76</v>
      </c>
      <c r="J1194" s="3" t="s">
        <v>77</v>
      </c>
      <c r="K1194" s="3" t="s">
        <v>78</v>
      </c>
      <c r="L1194" s="3" t="s">
        <v>171</v>
      </c>
      <c r="M1194" s="3" t="s">
        <v>172</v>
      </c>
      <c r="N1194" s="3" t="s">
        <v>454</v>
      </c>
      <c r="O1194" s="3" t="s">
        <v>82</v>
      </c>
      <c r="P1194" s="3" t="str">
        <f>"2170817251                    "</f>
        <v xml:space="preserve">2170817251                    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15.46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0</v>
      </c>
      <c r="AZ1194" s="3">
        <v>0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3">
        <v>1</v>
      </c>
      <c r="BI1194" s="3">
        <v>1</v>
      </c>
      <c r="BJ1194" s="3">
        <v>0.2</v>
      </c>
      <c r="BK1194" s="3">
        <v>1</v>
      </c>
      <c r="BL1194" s="3">
        <v>59</v>
      </c>
      <c r="BM1194" s="3">
        <v>8.85</v>
      </c>
      <c r="BN1194" s="3">
        <v>67.849999999999994</v>
      </c>
      <c r="BO1194" s="3">
        <v>67.849999999999994</v>
      </c>
      <c r="BQ1194" s="3" t="s">
        <v>89</v>
      </c>
      <c r="BR1194" s="3" t="s">
        <v>84</v>
      </c>
      <c r="BS1194" s="4">
        <v>44580</v>
      </c>
      <c r="BT1194" s="5">
        <v>0.3888888888888889</v>
      </c>
      <c r="BU1194" s="3" t="s">
        <v>1549</v>
      </c>
      <c r="BV1194" s="3" t="s">
        <v>105</v>
      </c>
      <c r="BY1194" s="3">
        <v>1200</v>
      </c>
      <c r="CA1194" s="3" t="s">
        <v>509</v>
      </c>
      <c r="CC1194" s="3" t="s">
        <v>172</v>
      </c>
      <c r="CD1194" s="3">
        <v>6001</v>
      </c>
      <c r="CE1194" s="3" t="s">
        <v>93</v>
      </c>
      <c r="CF1194" s="4">
        <v>44580</v>
      </c>
      <c r="CI1194" s="3">
        <v>1</v>
      </c>
      <c r="CJ1194" s="3">
        <v>1</v>
      </c>
      <c r="CK1194" s="3">
        <v>21</v>
      </c>
      <c r="CL1194" s="3" t="s">
        <v>87</v>
      </c>
    </row>
    <row r="1195" spans="1:90" x14ac:dyDescent="0.2">
      <c r="A1195" s="3" t="s">
        <v>72</v>
      </c>
      <c r="B1195" s="3" t="s">
        <v>73</v>
      </c>
      <c r="C1195" s="3" t="s">
        <v>74</v>
      </c>
      <c r="E1195" s="3" t="str">
        <f>"009942045056"</f>
        <v>009942045056</v>
      </c>
      <c r="F1195" s="4">
        <v>44579</v>
      </c>
      <c r="G1195" s="3">
        <v>202207</v>
      </c>
      <c r="H1195" s="3" t="s">
        <v>75</v>
      </c>
      <c r="I1195" s="3" t="s">
        <v>76</v>
      </c>
      <c r="J1195" s="3" t="s">
        <v>77</v>
      </c>
      <c r="K1195" s="3" t="s">
        <v>78</v>
      </c>
      <c r="L1195" s="3" t="s">
        <v>138</v>
      </c>
      <c r="M1195" s="3" t="s">
        <v>139</v>
      </c>
      <c r="N1195" s="3" t="s">
        <v>140</v>
      </c>
      <c r="O1195" s="3" t="s">
        <v>82</v>
      </c>
      <c r="P1195" s="3" t="str">
        <f>"1162843583                    "</f>
        <v xml:space="preserve">1162843583                    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15.46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3">
        <v>1</v>
      </c>
      <c r="BI1195" s="3">
        <v>1</v>
      </c>
      <c r="BJ1195" s="3">
        <v>0.2</v>
      </c>
      <c r="BK1195" s="3">
        <v>1</v>
      </c>
      <c r="BL1195" s="3">
        <v>59</v>
      </c>
      <c r="BM1195" s="3">
        <v>8.85</v>
      </c>
      <c r="BN1195" s="3">
        <v>67.849999999999994</v>
      </c>
      <c r="BO1195" s="3">
        <v>67.849999999999994</v>
      </c>
      <c r="BQ1195" s="3" t="s">
        <v>126</v>
      </c>
      <c r="BR1195" s="3" t="s">
        <v>84</v>
      </c>
      <c r="BS1195" s="4">
        <v>44580</v>
      </c>
      <c r="BT1195" s="5">
        <v>0.36736111111111108</v>
      </c>
      <c r="BU1195" s="3" t="s">
        <v>819</v>
      </c>
      <c r="BV1195" s="3" t="s">
        <v>105</v>
      </c>
      <c r="BY1195" s="3">
        <v>1200</v>
      </c>
      <c r="CA1195" s="3" t="s">
        <v>334</v>
      </c>
      <c r="CC1195" s="3" t="s">
        <v>139</v>
      </c>
      <c r="CD1195" s="3">
        <v>3610</v>
      </c>
      <c r="CE1195" s="3" t="s">
        <v>93</v>
      </c>
      <c r="CF1195" s="4">
        <v>44581</v>
      </c>
      <c r="CI1195" s="3">
        <v>1</v>
      </c>
      <c r="CJ1195" s="3">
        <v>1</v>
      </c>
      <c r="CK1195" s="3">
        <v>21</v>
      </c>
      <c r="CL1195" s="3" t="s">
        <v>87</v>
      </c>
    </row>
    <row r="1196" spans="1:90" x14ac:dyDescent="0.2">
      <c r="A1196" s="3" t="s">
        <v>72</v>
      </c>
      <c r="B1196" s="3" t="s">
        <v>73</v>
      </c>
      <c r="C1196" s="3" t="s">
        <v>74</v>
      </c>
      <c r="E1196" s="3" t="str">
        <f>"FES1162845773"</f>
        <v>FES1162845773</v>
      </c>
      <c r="F1196" s="4">
        <v>44579</v>
      </c>
      <c r="G1196" s="3">
        <v>202207</v>
      </c>
      <c r="H1196" s="3" t="s">
        <v>75</v>
      </c>
      <c r="I1196" s="3" t="s">
        <v>76</v>
      </c>
      <c r="J1196" s="3" t="s">
        <v>77</v>
      </c>
      <c r="K1196" s="3" t="s">
        <v>78</v>
      </c>
      <c r="L1196" s="3" t="s">
        <v>90</v>
      </c>
      <c r="M1196" s="3" t="s">
        <v>91</v>
      </c>
      <c r="N1196" s="3" t="s">
        <v>1550</v>
      </c>
      <c r="O1196" s="3" t="s">
        <v>82</v>
      </c>
      <c r="P1196" s="3" t="str">
        <f>"2170817266                    "</f>
        <v xml:space="preserve">2170817266                    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15.46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0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0</v>
      </c>
      <c r="AZ1196" s="3">
        <v>0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3">
        <v>1</v>
      </c>
      <c r="BI1196" s="3">
        <v>1</v>
      </c>
      <c r="BJ1196" s="3">
        <v>0.2</v>
      </c>
      <c r="BK1196" s="3">
        <v>1</v>
      </c>
      <c r="BL1196" s="3">
        <v>59</v>
      </c>
      <c r="BM1196" s="3">
        <v>8.85</v>
      </c>
      <c r="BN1196" s="3">
        <v>67.849999999999994</v>
      </c>
      <c r="BO1196" s="3">
        <v>67.849999999999994</v>
      </c>
      <c r="BQ1196" s="3" t="s">
        <v>83</v>
      </c>
      <c r="BR1196" s="3" t="s">
        <v>84</v>
      </c>
      <c r="BS1196" s="4">
        <v>44580</v>
      </c>
      <c r="BT1196" s="5">
        <v>0.36319444444444443</v>
      </c>
      <c r="BU1196" s="3" t="s">
        <v>1551</v>
      </c>
      <c r="BV1196" s="3" t="s">
        <v>105</v>
      </c>
      <c r="BY1196" s="3">
        <v>1200</v>
      </c>
      <c r="CA1196" s="3" t="s">
        <v>566</v>
      </c>
      <c r="CC1196" s="3" t="s">
        <v>91</v>
      </c>
      <c r="CD1196" s="3">
        <v>7460</v>
      </c>
      <c r="CE1196" s="3" t="s">
        <v>93</v>
      </c>
      <c r="CF1196" s="4">
        <v>44581</v>
      </c>
      <c r="CI1196" s="3">
        <v>1</v>
      </c>
      <c r="CJ1196" s="3">
        <v>1</v>
      </c>
      <c r="CK1196" s="3">
        <v>21</v>
      </c>
      <c r="CL1196" s="3" t="s">
        <v>87</v>
      </c>
    </row>
    <row r="1197" spans="1:90" x14ac:dyDescent="0.2">
      <c r="A1197" s="3" t="s">
        <v>72</v>
      </c>
      <c r="B1197" s="3" t="s">
        <v>73</v>
      </c>
      <c r="C1197" s="3" t="s">
        <v>74</v>
      </c>
      <c r="E1197" s="3" t="str">
        <f>"FES1162845697"</f>
        <v>FES1162845697</v>
      </c>
      <c r="F1197" s="4">
        <v>44579</v>
      </c>
      <c r="G1197" s="3">
        <v>202207</v>
      </c>
      <c r="H1197" s="3" t="s">
        <v>75</v>
      </c>
      <c r="I1197" s="3" t="s">
        <v>76</v>
      </c>
      <c r="J1197" s="3" t="s">
        <v>77</v>
      </c>
      <c r="K1197" s="3" t="s">
        <v>78</v>
      </c>
      <c r="L1197" s="3" t="s">
        <v>97</v>
      </c>
      <c r="M1197" s="3" t="s">
        <v>98</v>
      </c>
      <c r="N1197" s="3" t="s">
        <v>845</v>
      </c>
      <c r="O1197" s="3" t="s">
        <v>82</v>
      </c>
      <c r="P1197" s="3" t="str">
        <f>"2170816171                    "</f>
        <v xml:space="preserve">2170816171                    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12.07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0</v>
      </c>
      <c r="AZ1197" s="3">
        <v>0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3">
        <v>1</v>
      </c>
      <c r="BI1197" s="3">
        <v>1</v>
      </c>
      <c r="BJ1197" s="3">
        <v>0.2</v>
      </c>
      <c r="BK1197" s="3">
        <v>1</v>
      </c>
      <c r="BL1197" s="3">
        <v>46.08</v>
      </c>
      <c r="BM1197" s="3">
        <v>6.91</v>
      </c>
      <c r="BN1197" s="3">
        <v>52.99</v>
      </c>
      <c r="BO1197" s="3">
        <v>52.99</v>
      </c>
      <c r="BQ1197" s="3" t="s">
        <v>83</v>
      </c>
      <c r="BR1197" s="3" t="s">
        <v>84</v>
      </c>
      <c r="BS1197" s="4">
        <v>44580</v>
      </c>
      <c r="BT1197" s="5">
        <v>0.43263888888888885</v>
      </c>
      <c r="BU1197" s="3" t="s">
        <v>1552</v>
      </c>
      <c r="BV1197" s="3" t="s">
        <v>105</v>
      </c>
      <c r="BY1197" s="3">
        <v>1200</v>
      </c>
      <c r="CA1197" s="3" t="s">
        <v>1189</v>
      </c>
      <c r="CC1197" s="3" t="s">
        <v>98</v>
      </c>
      <c r="CD1197" s="3">
        <v>2091</v>
      </c>
      <c r="CE1197" s="3" t="s">
        <v>93</v>
      </c>
      <c r="CF1197" s="4">
        <v>44580</v>
      </c>
      <c r="CI1197" s="3">
        <v>1</v>
      </c>
      <c r="CJ1197" s="3">
        <v>1</v>
      </c>
      <c r="CK1197" s="3">
        <v>22</v>
      </c>
      <c r="CL1197" s="3" t="s">
        <v>87</v>
      </c>
    </row>
    <row r="1198" spans="1:90" x14ac:dyDescent="0.2">
      <c r="A1198" s="3" t="s">
        <v>72</v>
      </c>
      <c r="B1198" s="3" t="s">
        <v>73</v>
      </c>
      <c r="C1198" s="3" t="s">
        <v>74</v>
      </c>
      <c r="E1198" s="3" t="str">
        <f>"FES1162845758"</f>
        <v>FES1162845758</v>
      </c>
      <c r="F1198" s="4">
        <v>44579</v>
      </c>
      <c r="G1198" s="3">
        <v>202207</v>
      </c>
      <c r="H1198" s="3" t="s">
        <v>75</v>
      </c>
      <c r="I1198" s="3" t="s">
        <v>76</v>
      </c>
      <c r="J1198" s="3" t="s">
        <v>77</v>
      </c>
      <c r="K1198" s="3" t="s">
        <v>78</v>
      </c>
      <c r="L1198" s="3" t="s">
        <v>90</v>
      </c>
      <c r="M1198" s="3" t="s">
        <v>91</v>
      </c>
      <c r="N1198" s="3" t="s">
        <v>157</v>
      </c>
      <c r="O1198" s="3" t="s">
        <v>82</v>
      </c>
      <c r="P1198" s="3" t="str">
        <f>"2170816903                    "</f>
        <v xml:space="preserve">2170816903                    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15.46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3">
        <v>1</v>
      </c>
      <c r="BI1198" s="3">
        <v>2</v>
      </c>
      <c r="BJ1198" s="3">
        <v>0.5</v>
      </c>
      <c r="BK1198" s="3">
        <v>2</v>
      </c>
      <c r="BL1198" s="3">
        <v>59</v>
      </c>
      <c r="BM1198" s="3">
        <v>8.85</v>
      </c>
      <c r="BN1198" s="3">
        <v>67.849999999999994</v>
      </c>
      <c r="BO1198" s="3">
        <v>67.849999999999994</v>
      </c>
      <c r="BQ1198" s="3" t="s">
        <v>89</v>
      </c>
      <c r="BR1198" s="3" t="s">
        <v>84</v>
      </c>
      <c r="BS1198" s="4">
        <v>44580</v>
      </c>
      <c r="BT1198" s="5">
        <v>0.37847222222222227</v>
      </c>
      <c r="BU1198" s="3" t="s">
        <v>693</v>
      </c>
      <c r="BV1198" s="3" t="s">
        <v>105</v>
      </c>
      <c r="BY1198" s="3">
        <v>2430</v>
      </c>
      <c r="CA1198" s="3" t="s">
        <v>289</v>
      </c>
      <c r="CC1198" s="3" t="s">
        <v>91</v>
      </c>
      <c r="CD1198" s="3">
        <v>7441</v>
      </c>
      <c r="CE1198" s="3" t="s">
        <v>86</v>
      </c>
      <c r="CF1198" s="4">
        <v>44581</v>
      </c>
      <c r="CI1198" s="3">
        <v>1</v>
      </c>
      <c r="CJ1198" s="3">
        <v>1</v>
      </c>
      <c r="CK1198" s="3">
        <v>21</v>
      </c>
      <c r="CL1198" s="3" t="s">
        <v>87</v>
      </c>
    </row>
    <row r="1199" spans="1:90" x14ac:dyDescent="0.2">
      <c r="A1199" s="3" t="s">
        <v>72</v>
      </c>
      <c r="B1199" s="3" t="s">
        <v>73</v>
      </c>
      <c r="C1199" s="3" t="s">
        <v>74</v>
      </c>
      <c r="E1199" s="3" t="str">
        <f>"FES1162845727"</f>
        <v>FES1162845727</v>
      </c>
      <c r="F1199" s="4">
        <v>44579</v>
      </c>
      <c r="G1199" s="3">
        <v>202207</v>
      </c>
      <c r="H1199" s="3" t="s">
        <v>75</v>
      </c>
      <c r="I1199" s="3" t="s">
        <v>76</v>
      </c>
      <c r="J1199" s="3" t="s">
        <v>77</v>
      </c>
      <c r="K1199" s="3" t="s">
        <v>78</v>
      </c>
      <c r="L1199" s="3" t="s">
        <v>75</v>
      </c>
      <c r="M1199" s="3" t="s">
        <v>76</v>
      </c>
      <c r="N1199" s="3" t="s">
        <v>688</v>
      </c>
      <c r="O1199" s="3" t="s">
        <v>148</v>
      </c>
      <c r="P1199" s="3" t="str">
        <f>"2170817203                    "</f>
        <v xml:space="preserve">2170817203                    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25.76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0</v>
      </c>
      <c r="AZ1199" s="3">
        <v>0</v>
      </c>
      <c r="BA1199" s="3">
        <v>0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3">
        <v>1</v>
      </c>
      <c r="BI1199" s="3">
        <v>16</v>
      </c>
      <c r="BJ1199" s="3">
        <v>18.3</v>
      </c>
      <c r="BK1199" s="3">
        <v>19</v>
      </c>
      <c r="BL1199" s="3">
        <v>103.58</v>
      </c>
      <c r="BM1199" s="3">
        <v>15.54</v>
      </c>
      <c r="BN1199" s="3">
        <v>119.12</v>
      </c>
      <c r="BO1199" s="3">
        <v>119.12</v>
      </c>
      <c r="BQ1199" s="3" t="s">
        <v>83</v>
      </c>
      <c r="BR1199" s="3" t="s">
        <v>84</v>
      </c>
      <c r="BS1199" s="4">
        <v>44580</v>
      </c>
      <c r="BT1199" s="5">
        <v>0.3125</v>
      </c>
      <c r="BU1199" s="3" t="s">
        <v>689</v>
      </c>
      <c r="BV1199" s="3" t="s">
        <v>105</v>
      </c>
      <c r="BY1199" s="3">
        <v>91264</v>
      </c>
      <c r="CA1199" s="3" t="s">
        <v>227</v>
      </c>
      <c r="CC1199" s="3" t="s">
        <v>76</v>
      </c>
      <c r="CD1199" s="3">
        <v>1620</v>
      </c>
      <c r="CE1199" s="3" t="s">
        <v>86</v>
      </c>
      <c r="CF1199" s="4">
        <v>44580</v>
      </c>
      <c r="CI1199" s="3">
        <v>1</v>
      </c>
      <c r="CJ1199" s="3">
        <v>1</v>
      </c>
      <c r="CK1199" s="3">
        <v>42</v>
      </c>
      <c r="CL1199" s="3" t="s">
        <v>87</v>
      </c>
    </row>
    <row r="1200" spans="1:90" x14ac:dyDescent="0.2">
      <c r="A1200" s="3" t="s">
        <v>72</v>
      </c>
      <c r="B1200" s="3" t="s">
        <v>73</v>
      </c>
      <c r="C1200" s="3" t="s">
        <v>74</v>
      </c>
      <c r="E1200" s="3" t="str">
        <f>"FES1162845737"</f>
        <v>FES1162845737</v>
      </c>
      <c r="F1200" s="4">
        <v>44579</v>
      </c>
      <c r="G1200" s="3">
        <v>202207</v>
      </c>
      <c r="H1200" s="3" t="s">
        <v>75</v>
      </c>
      <c r="I1200" s="3" t="s">
        <v>76</v>
      </c>
      <c r="J1200" s="3" t="s">
        <v>77</v>
      </c>
      <c r="K1200" s="3" t="s">
        <v>78</v>
      </c>
      <c r="L1200" s="3" t="s">
        <v>75</v>
      </c>
      <c r="M1200" s="3" t="s">
        <v>76</v>
      </c>
      <c r="N1200" s="3" t="s">
        <v>147</v>
      </c>
      <c r="O1200" s="3" t="s">
        <v>82</v>
      </c>
      <c r="P1200" s="3" t="str">
        <f>"2170817230                    "</f>
        <v xml:space="preserve">2170817230                    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17.87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0</v>
      </c>
      <c r="AZ1200" s="3">
        <v>0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3">
        <v>1</v>
      </c>
      <c r="BI1200" s="3">
        <v>10</v>
      </c>
      <c r="BJ1200" s="3">
        <v>4.0999999999999996</v>
      </c>
      <c r="BK1200" s="3">
        <v>10</v>
      </c>
      <c r="BL1200" s="3">
        <v>68.2</v>
      </c>
      <c r="BM1200" s="3">
        <v>10.23</v>
      </c>
      <c r="BN1200" s="3">
        <v>78.430000000000007</v>
      </c>
      <c r="BO1200" s="3">
        <v>78.430000000000007</v>
      </c>
      <c r="BQ1200" s="3" t="s">
        <v>89</v>
      </c>
      <c r="BR1200" s="3" t="s">
        <v>84</v>
      </c>
      <c r="BS1200" s="4">
        <v>44580</v>
      </c>
      <c r="BT1200" s="5">
        <v>0.39305555555555555</v>
      </c>
      <c r="BU1200" s="3" t="s">
        <v>656</v>
      </c>
      <c r="BV1200" s="3" t="s">
        <v>105</v>
      </c>
      <c r="BY1200" s="3">
        <v>20358</v>
      </c>
      <c r="CA1200" s="3" t="s">
        <v>477</v>
      </c>
      <c r="CC1200" s="3" t="s">
        <v>76</v>
      </c>
      <c r="CD1200" s="3">
        <v>1645</v>
      </c>
      <c r="CE1200" s="3" t="s">
        <v>86</v>
      </c>
      <c r="CF1200" s="4">
        <v>44580</v>
      </c>
      <c r="CI1200" s="3">
        <v>1</v>
      </c>
      <c r="CJ1200" s="3">
        <v>1</v>
      </c>
      <c r="CK1200" s="3">
        <v>22</v>
      </c>
      <c r="CL1200" s="3" t="s">
        <v>87</v>
      </c>
    </row>
    <row r="1201" spans="1:90" x14ac:dyDescent="0.2">
      <c r="A1201" s="3" t="s">
        <v>72</v>
      </c>
      <c r="B1201" s="3" t="s">
        <v>73</v>
      </c>
      <c r="C1201" s="3" t="s">
        <v>74</v>
      </c>
      <c r="E1201" s="3" t="str">
        <f>"FES1162845706"</f>
        <v>FES1162845706</v>
      </c>
      <c r="F1201" s="4">
        <v>44579</v>
      </c>
      <c r="G1201" s="3">
        <v>202207</v>
      </c>
      <c r="H1201" s="3" t="s">
        <v>75</v>
      </c>
      <c r="I1201" s="3" t="s">
        <v>76</v>
      </c>
      <c r="J1201" s="3" t="s">
        <v>77</v>
      </c>
      <c r="K1201" s="3" t="s">
        <v>78</v>
      </c>
      <c r="L1201" s="3" t="s">
        <v>298</v>
      </c>
      <c r="M1201" s="3" t="s">
        <v>299</v>
      </c>
      <c r="N1201" s="3" t="s">
        <v>300</v>
      </c>
      <c r="O1201" s="3" t="s">
        <v>82</v>
      </c>
      <c r="P1201" s="3" t="str">
        <f>"2170816927                    "</f>
        <v xml:space="preserve">2170816927                    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29.95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0</v>
      </c>
      <c r="AZ1201" s="3">
        <v>0</v>
      </c>
      <c r="BA1201" s="3">
        <v>0</v>
      </c>
      <c r="BB1201" s="3">
        <v>0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3">
        <v>1</v>
      </c>
      <c r="BI1201" s="3">
        <v>1</v>
      </c>
      <c r="BJ1201" s="3">
        <v>0.2</v>
      </c>
      <c r="BK1201" s="3">
        <v>1</v>
      </c>
      <c r="BL1201" s="3">
        <v>114.31</v>
      </c>
      <c r="BM1201" s="3">
        <v>17.149999999999999</v>
      </c>
      <c r="BN1201" s="3">
        <v>131.46</v>
      </c>
      <c r="BO1201" s="3">
        <v>131.46</v>
      </c>
      <c r="BR1201" s="3" t="s">
        <v>84</v>
      </c>
      <c r="BS1201" s="4">
        <v>44580</v>
      </c>
      <c r="BT1201" s="5">
        <v>0.45</v>
      </c>
      <c r="BU1201" s="3" t="s">
        <v>1553</v>
      </c>
      <c r="BV1201" s="3" t="s">
        <v>105</v>
      </c>
      <c r="BY1201" s="3">
        <v>1200</v>
      </c>
      <c r="CA1201" s="3" t="s">
        <v>268</v>
      </c>
      <c r="CC1201" s="3" t="s">
        <v>299</v>
      </c>
      <c r="CD1201" s="3">
        <v>7349</v>
      </c>
      <c r="CE1201" s="3" t="s">
        <v>93</v>
      </c>
      <c r="CF1201" s="4">
        <v>44581</v>
      </c>
      <c r="CI1201" s="3">
        <v>1</v>
      </c>
      <c r="CJ1201" s="3">
        <v>1</v>
      </c>
      <c r="CK1201" s="3">
        <v>23</v>
      </c>
      <c r="CL1201" s="3" t="s">
        <v>87</v>
      </c>
    </row>
    <row r="1202" spans="1:90" x14ac:dyDescent="0.2">
      <c r="A1202" s="3" t="s">
        <v>72</v>
      </c>
      <c r="B1202" s="3" t="s">
        <v>73</v>
      </c>
      <c r="C1202" s="3" t="s">
        <v>74</v>
      </c>
      <c r="E1202" s="3" t="str">
        <f>"FES1162845691"</f>
        <v>FES1162845691</v>
      </c>
      <c r="F1202" s="4">
        <v>44579</v>
      </c>
      <c r="G1202" s="3">
        <v>202207</v>
      </c>
      <c r="H1202" s="3" t="s">
        <v>75</v>
      </c>
      <c r="I1202" s="3" t="s">
        <v>76</v>
      </c>
      <c r="J1202" s="3" t="s">
        <v>77</v>
      </c>
      <c r="K1202" s="3" t="s">
        <v>78</v>
      </c>
      <c r="L1202" s="3" t="s">
        <v>79</v>
      </c>
      <c r="M1202" s="3" t="s">
        <v>80</v>
      </c>
      <c r="N1202" s="3" t="s">
        <v>771</v>
      </c>
      <c r="O1202" s="3" t="s">
        <v>82</v>
      </c>
      <c r="P1202" s="3" t="str">
        <f>"2170815808                    "</f>
        <v xml:space="preserve">2170815808                    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15.46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0</v>
      </c>
      <c r="AZ1202" s="3">
        <v>0</v>
      </c>
      <c r="BA1202" s="3">
        <v>0</v>
      </c>
      <c r="BB1202" s="3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3">
        <v>1</v>
      </c>
      <c r="BI1202" s="3">
        <v>1</v>
      </c>
      <c r="BJ1202" s="3">
        <v>0.2</v>
      </c>
      <c r="BK1202" s="3">
        <v>1</v>
      </c>
      <c r="BL1202" s="3">
        <v>59</v>
      </c>
      <c r="BM1202" s="3">
        <v>8.85</v>
      </c>
      <c r="BN1202" s="3">
        <v>67.849999999999994</v>
      </c>
      <c r="BO1202" s="3">
        <v>67.849999999999994</v>
      </c>
      <c r="BQ1202" s="3" t="s">
        <v>89</v>
      </c>
      <c r="BR1202" s="3" t="s">
        <v>84</v>
      </c>
      <c r="BS1202" s="4">
        <v>44580</v>
      </c>
      <c r="BT1202" s="5">
        <v>0.39305555555555555</v>
      </c>
      <c r="BU1202" s="3" t="s">
        <v>1554</v>
      </c>
      <c r="BV1202" s="3" t="s">
        <v>105</v>
      </c>
      <c r="BY1202" s="3">
        <v>1200</v>
      </c>
      <c r="CA1202" s="3" t="s">
        <v>1511</v>
      </c>
      <c r="CC1202" s="3" t="s">
        <v>80</v>
      </c>
      <c r="CD1202" s="3">
        <v>1</v>
      </c>
      <c r="CE1202" s="3" t="s">
        <v>93</v>
      </c>
      <c r="CF1202" s="4">
        <v>44580</v>
      </c>
      <c r="CI1202" s="3">
        <v>1</v>
      </c>
      <c r="CJ1202" s="3">
        <v>1</v>
      </c>
      <c r="CK1202" s="3">
        <v>21</v>
      </c>
      <c r="CL1202" s="3" t="s">
        <v>87</v>
      </c>
    </row>
    <row r="1203" spans="1:90" x14ac:dyDescent="0.2">
      <c r="A1203" s="3" t="s">
        <v>72</v>
      </c>
      <c r="B1203" s="3" t="s">
        <v>73</v>
      </c>
      <c r="C1203" s="3" t="s">
        <v>74</v>
      </c>
      <c r="E1203" s="3" t="str">
        <f>"FES1162845716"</f>
        <v>FES1162845716</v>
      </c>
      <c r="F1203" s="4">
        <v>44579</v>
      </c>
      <c r="G1203" s="3">
        <v>202207</v>
      </c>
      <c r="H1203" s="3" t="s">
        <v>75</v>
      </c>
      <c r="I1203" s="3" t="s">
        <v>76</v>
      </c>
      <c r="J1203" s="3" t="s">
        <v>77</v>
      </c>
      <c r="K1203" s="3" t="s">
        <v>78</v>
      </c>
      <c r="L1203" s="3" t="s">
        <v>120</v>
      </c>
      <c r="M1203" s="3" t="s">
        <v>121</v>
      </c>
      <c r="N1203" s="3" t="s">
        <v>122</v>
      </c>
      <c r="O1203" s="3" t="s">
        <v>82</v>
      </c>
      <c r="P1203" s="3" t="str">
        <f>"2170817186                    "</f>
        <v xml:space="preserve">2170817186                    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15.46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3">
        <v>1</v>
      </c>
      <c r="BI1203" s="3">
        <v>1</v>
      </c>
      <c r="BJ1203" s="3">
        <v>0.2</v>
      </c>
      <c r="BK1203" s="3">
        <v>1</v>
      </c>
      <c r="BL1203" s="3">
        <v>59</v>
      </c>
      <c r="BM1203" s="3">
        <v>8.85</v>
      </c>
      <c r="BN1203" s="3">
        <v>67.849999999999994</v>
      </c>
      <c r="BO1203" s="3">
        <v>67.849999999999994</v>
      </c>
      <c r="BQ1203" s="3" t="s">
        <v>89</v>
      </c>
      <c r="BR1203" s="3" t="s">
        <v>84</v>
      </c>
      <c r="BS1203" s="4">
        <v>44580</v>
      </c>
      <c r="BT1203" s="5">
        <v>0.35416666666666669</v>
      </c>
      <c r="BU1203" s="3" t="s">
        <v>1488</v>
      </c>
      <c r="BV1203" s="3" t="s">
        <v>105</v>
      </c>
      <c r="BY1203" s="3">
        <v>1200</v>
      </c>
      <c r="CA1203" s="3" t="s">
        <v>553</v>
      </c>
      <c r="CC1203" s="3" t="s">
        <v>121</v>
      </c>
      <c r="CD1203" s="3">
        <v>6230</v>
      </c>
      <c r="CE1203" s="3" t="s">
        <v>93</v>
      </c>
      <c r="CF1203" s="4">
        <v>44580</v>
      </c>
      <c r="CI1203" s="3">
        <v>1</v>
      </c>
      <c r="CJ1203" s="3">
        <v>1</v>
      </c>
      <c r="CK1203" s="3">
        <v>21</v>
      </c>
      <c r="CL1203" s="3" t="s">
        <v>87</v>
      </c>
    </row>
    <row r="1204" spans="1:90" x14ac:dyDescent="0.2">
      <c r="A1204" s="3" t="s">
        <v>72</v>
      </c>
      <c r="B1204" s="3" t="s">
        <v>73</v>
      </c>
      <c r="C1204" s="3" t="s">
        <v>74</v>
      </c>
      <c r="E1204" s="3" t="str">
        <f>"FES1162845683"</f>
        <v>FES1162845683</v>
      </c>
      <c r="F1204" s="4">
        <v>44579</v>
      </c>
      <c r="G1204" s="3">
        <v>202207</v>
      </c>
      <c r="H1204" s="3" t="s">
        <v>75</v>
      </c>
      <c r="I1204" s="3" t="s">
        <v>76</v>
      </c>
      <c r="J1204" s="3" t="s">
        <v>77</v>
      </c>
      <c r="K1204" s="3" t="s">
        <v>78</v>
      </c>
      <c r="L1204" s="3" t="s">
        <v>427</v>
      </c>
      <c r="M1204" s="3" t="s">
        <v>428</v>
      </c>
      <c r="N1204" s="3" t="s">
        <v>217</v>
      </c>
      <c r="O1204" s="3" t="s">
        <v>82</v>
      </c>
      <c r="P1204" s="3" t="str">
        <f>"2170814607                    "</f>
        <v xml:space="preserve">2170814607                    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29.95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0</v>
      </c>
      <c r="AZ1204" s="3">
        <v>0</v>
      </c>
      <c r="BA1204" s="3">
        <v>0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1</v>
      </c>
      <c r="BI1204" s="3">
        <v>1</v>
      </c>
      <c r="BJ1204" s="3">
        <v>2</v>
      </c>
      <c r="BK1204" s="3">
        <v>2</v>
      </c>
      <c r="BL1204" s="3">
        <v>114.31</v>
      </c>
      <c r="BM1204" s="3">
        <v>17.149999999999999</v>
      </c>
      <c r="BN1204" s="3">
        <v>131.46</v>
      </c>
      <c r="BO1204" s="3">
        <v>131.46</v>
      </c>
      <c r="BR1204" s="3" t="s">
        <v>84</v>
      </c>
      <c r="BS1204" s="4">
        <v>44580</v>
      </c>
      <c r="BT1204" s="5">
        <v>0.56319444444444444</v>
      </c>
      <c r="BU1204" s="3" t="s">
        <v>1555</v>
      </c>
      <c r="BV1204" s="3" t="s">
        <v>87</v>
      </c>
      <c r="BW1204" s="3" t="s">
        <v>457</v>
      </c>
      <c r="BX1204" s="3" t="s">
        <v>602</v>
      </c>
      <c r="BY1204" s="3">
        <v>9900</v>
      </c>
      <c r="CA1204" s="3" t="s">
        <v>488</v>
      </c>
      <c r="CC1204" s="3" t="s">
        <v>428</v>
      </c>
      <c r="CD1204" s="3">
        <v>7130</v>
      </c>
      <c r="CE1204" s="3" t="s">
        <v>86</v>
      </c>
      <c r="CF1204" s="4">
        <v>44581</v>
      </c>
      <c r="CI1204" s="3">
        <v>1</v>
      </c>
      <c r="CJ1204" s="3">
        <v>1</v>
      </c>
      <c r="CK1204" s="3">
        <v>23</v>
      </c>
      <c r="CL1204" s="3" t="s">
        <v>87</v>
      </c>
    </row>
    <row r="1205" spans="1:90" x14ac:dyDescent="0.2">
      <c r="A1205" s="3" t="s">
        <v>72</v>
      </c>
      <c r="B1205" s="3" t="s">
        <v>73</v>
      </c>
      <c r="C1205" s="3" t="s">
        <v>74</v>
      </c>
      <c r="E1205" s="3" t="str">
        <f>"FES1162845731"</f>
        <v>FES1162845731</v>
      </c>
      <c r="F1205" s="4">
        <v>44579</v>
      </c>
      <c r="G1205" s="3">
        <v>202207</v>
      </c>
      <c r="H1205" s="3" t="s">
        <v>75</v>
      </c>
      <c r="I1205" s="3" t="s">
        <v>76</v>
      </c>
      <c r="J1205" s="3" t="s">
        <v>77</v>
      </c>
      <c r="K1205" s="3" t="s">
        <v>78</v>
      </c>
      <c r="L1205" s="3" t="s">
        <v>75</v>
      </c>
      <c r="M1205" s="3" t="s">
        <v>76</v>
      </c>
      <c r="N1205" s="3" t="s">
        <v>1556</v>
      </c>
      <c r="O1205" s="3" t="s">
        <v>82</v>
      </c>
      <c r="P1205" s="3" t="str">
        <f>"2170816711                    "</f>
        <v xml:space="preserve">2170816711                    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14.97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0</v>
      </c>
      <c r="AZ1205" s="3">
        <v>0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3">
        <v>1</v>
      </c>
      <c r="BI1205" s="3">
        <v>9</v>
      </c>
      <c r="BJ1205" s="3">
        <v>4.0999999999999996</v>
      </c>
      <c r="BK1205" s="3">
        <v>9</v>
      </c>
      <c r="BL1205" s="3">
        <v>57.14</v>
      </c>
      <c r="BM1205" s="3">
        <v>8.57</v>
      </c>
      <c r="BN1205" s="3">
        <v>65.709999999999994</v>
      </c>
      <c r="BO1205" s="3">
        <v>65.709999999999994</v>
      </c>
      <c r="BR1205" s="3" t="s">
        <v>84</v>
      </c>
      <c r="BS1205" s="4">
        <v>44580</v>
      </c>
      <c r="BT1205" s="5">
        <v>0.37986111111111115</v>
      </c>
      <c r="BU1205" s="3" t="s">
        <v>1557</v>
      </c>
      <c r="BV1205" s="3" t="s">
        <v>105</v>
      </c>
      <c r="BY1205" s="3">
        <v>20358</v>
      </c>
      <c r="CA1205" s="3" t="s">
        <v>227</v>
      </c>
      <c r="CC1205" s="3" t="s">
        <v>76</v>
      </c>
      <c r="CD1205" s="3">
        <v>1600</v>
      </c>
      <c r="CE1205" s="3" t="s">
        <v>86</v>
      </c>
      <c r="CF1205" s="4">
        <v>44580</v>
      </c>
      <c r="CI1205" s="3">
        <v>1</v>
      </c>
      <c r="CJ1205" s="3">
        <v>1</v>
      </c>
      <c r="CK1205" s="3">
        <v>22</v>
      </c>
      <c r="CL1205" s="3" t="s">
        <v>87</v>
      </c>
    </row>
    <row r="1206" spans="1:90" x14ac:dyDescent="0.2">
      <c r="A1206" s="3" t="s">
        <v>72</v>
      </c>
      <c r="B1206" s="3" t="s">
        <v>73</v>
      </c>
      <c r="C1206" s="3" t="s">
        <v>74</v>
      </c>
      <c r="E1206" s="3" t="str">
        <f>"FES1162845777"</f>
        <v>FES1162845777</v>
      </c>
      <c r="F1206" s="4">
        <v>44579</v>
      </c>
      <c r="G1206" s="3">
        <v>202207</v>
      </c>
      <c r="H1206" s="3" t="s">
        <v>75</v>
      </c>
      <c r="I1206" s="3" t="s">
        <v>76</v>
      </c>
      <c r="J1206" s="3" t="s">
        <v>77</v>
      </c>
      <c r="K1206" s="3" t="s">
        <v>78</v>
      </c>
      <c r="L1206" s="3" t="s">
        <v>162</v>
      </c>
      <c r="M1206" s="3" t="s">
        <v>163</v>
      </c>
      <c r="N1206" s="3" t="s">
        <v>1048</v>
      </c>
      <c r="O1206" s="3" t="s">
        <v>82</v>
      </c>
      <c r="P1206" s="3" t="str">
        <f>"2170817057                    "</f>
        <v xml:space="preserve">2170817057                    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12.07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3">
        <v>1</v>
      </c>
      <c r="BI1206" s="3">
        <v>1</v>
      </c>
      <c r="BJ1206" s="3">
        <v>0.4</v>
      </c>
      <c r="BK1206" s="3">
        <v>1</v>
      </c>
      <c r="BL1206" s="3">
        <v>46.08</v>
      </c>
      <c r="BM1206" s="3">
        <v>6.91</v>
      </c>
      <c r="BN1206" s="3">
        <v>52.99</v>
      </c>
      <c r="BO1206" s="3">
        <v>52.99</v>
      </c>
      <c r="BQ1206" s="3" t="s">
        <v>1049</v>
      </c>
      <c r="BR1206" s="3" t="s">
        <v>84</v>
      </c>
      <c r="BS1206" s="4">
        <v>44580</v>
      </c>
      <c r="BT1206" s="5">
        <v>0.38611111111111113</v>
      </c>
      <c r="BU1206" s="3" t="s">
        <v>1050</v>
      </c>
      <c r="BV1206" s="3" t="s">
        <v>105</v>
      </c>
      <c r="BY1206" s="3">
        <v>1920</v>
      </c>
      <c r="CA1206" s="3" t="s">
        <v>1051</v>
      </c>
      <c r="CC1206" s="3" t="s">
        <v>163</v>
      </c>
      <c r="CD1206" s="3">
        <v>1406</v>
      </c>
      <c r="CE1206" s="3" t="s">
        <v>86</v>
      </c>
      <c r="CF1206" s="4">
        <v>44580</v>
      </c>
      <c r="CI1206" s="3">
        <v>1</v>
      </c>
      <c r="CJ1206" s="3">
        <v>1</v>
      </c>
      <c r="CK1206" s="3">
        <v>22</v>
      </c>
      <c r="CL1206" s="3" t="s">
        <v>87</v>
      </c>
    </row>
    <row r="1207" spans="1:90" x14ac:dyDescent="0.2">
      <c r="A1207" s="3" t="s">
        <v>72</v>
      </c>
      <c r="B1207" s="3" t="s">
        <v>73</v>
      </c>
      <c r="C1207" s="3" t="s">
        <v>74</v>
      </c>
      <c r="E1207" s="3" t="str">
        <f>"FES1162845583"</f>
        <v>FES1162845583</v>
      </c>
      <c r="F1207" s="4">
        <v>44579</v>
      </c>
      <c r="G1207" s="3">
        <v>202207</v>
      </c>
      <c r="H1207" s="3" t="s">
        <v>75</v>
      </c>
      <c r="I1207" s="3" t="s">
        <v>76</v>
      </c>
      <c r="J1207" s="3" t="s">
        <v>77</v>
      </c>
      <c r="K1207" s="3" t="s">
        <v>78</v>
      </c>
      <c r="L1207" s="3" t="s">
        <v>75</v>
      </c>
      <c r="M1207" s="3" t="s">
        <v>76</v>
      </c>
      <c r="N1207" s="3" t="s">
        <v>224</v>
      </c>
      <c r="O1207" s="3" t="s">
        <v>82</v>
      </c>
      <c r="P1207" s="3" t="str">
        <f>"2170817115                    "</f>
        <v xml:space="preserve">2170817115                    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12.07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0</v>
      </c>
      <c r="AZ1207" s="3">
        <v>0</v>
      </c>
      <c r="BA1207" s="3">
        <v>0</v>
      </c>
      <c r="BB1207" s="3">
        <v>0</v>
      </c>
      <c r="BC1207" s="3">
        <v>0</v>
      </c>
      <c r="BD1207" s="3">
        <v>0</v>
      </c>
      <c r="BE1207" s="3">
        <v>0</v>
      </c>
      <c r="BF1207" s="3">
        <v>0</v>
      </c>
      <c r="BG1207" s="3">
        <v>0</v>
      </c>
      <c r="BH1207" s="3">
        <v>1</v>
      </c>
      <c r="BI1207" s="3">
        <v>1</v>
      </c>
      <c r="BJ1207" s="3">
        <v>1</v>
      </c>
      <c r="BK1207" s="3">
        <v>1</v>
      </c>
      <c r="BL1207" s="3">
        <v>46.08</v>
      </c>
      <c r="BM1207" s="3">
        <v>6.91</v>
      </c>
      <c r="BN1207" s="3">
        <v>52.99</v>
      </c>
      <c r="BO1207" s="3">
        <v>52.99</v>
      </c>
      <c r="BQ1207" s="3" t="s">
        <v>83</v>
      </c>
      <c r="BR1207" s="3" t="s">
        <v>84</v>
      </c>
      <c r="BS1207" s="4">
        <v>44580</v>
      </c>
      <c r="BT1207" s="5">
        <v>0.35069444444444442</v>
      </c>
      <c r="BU1207" s="3" t="s">
        <v>347</v>
      </c>
      <c r="BV1207" s="3" t="s">
        <v>105</v>
      </c>
      <c r="BY1207" s="3">
        <v>5000</v>
      </c>
      <c r="BZ1207" s="3" t="s">
        <v>165</v>
      </c>
      <c r="CA1207" s="3" t="s">
        <v>227</v>
      </c>
      <c r="CC1207" s="3" t="s">
        <v>76</v>
      </c>
      <c r="CD1207" s="3">
        <v>1600</v>
      </c>
      <c r="CE1207" s="3" t="s">
        <v>86</v>
      </c>
      <c r="CF1207" s="4">
        <v>44580</v>
      </c>
      <c r="CI1207" s="3">
        <v>1</v>
      </c>
      <c r="CJ1207" s="3">
        <v>1</v>
      </c>
      <c r="CK1207" s="3">
        <v>22</v>
      </c>
      <c r="CL1207" s="3" t="s">
        <v>87</v>
      </c>
    </row>
    <row r="1208" spans="1:90" x14ac:dyDescent="0.2">
      <c r="A1208" s="3" t="s">
        <v>72</v>
      </c>
      <c r="B1208" s="3" t="s">
        <v>73</v>
      </c>
      <c r="C1208" s="3" t="s">
        <v>74</v>
      </c>
      <c r="E1208" s="3" t="str">
        <f>"FES1162845540"</f>
        <v>FES1162845540</v>
      </c>
      <c r="F1208" s="4">
        <v>44579</v>
      </c>
      <c r="G1208" s="3">
        <v>202207</v>
      </c>
      <c r="H1208" s="3" t="s">
        <v>75</v>
      </c>
      <c r="I1208" s="3" t="s">
        <v>76</v>
      </c>
      <c r="J1208" s="3" t="s">
        <v>77</v>
      </c>
      <c r="K1208" s="3" t="s">
        <v>78</v>
      </c>
      <c r="L1208" s="3" t="s">
        <v>244</v>
      </c>
      <c r="M1208" s="3" t="s">
        <v>245</v>
      </c>
      <c r="N1208" s="3" t="s">
        <v>208</v>
      </c>
      <c r="O1208" s="3" t="s">
        <v>82</v>
      </c>
      <c r="P1208" s="3" t="str">
        <f>"2170815986                    "</f>
        <v xml:space="preserve">2170815986                    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63.76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3">
        <v>1</v>
      </c>
      <c r="BI1208" s="3">
        <v>2</v>
      </c>
      <c r="BJ1208" s="3">
        <v>4.0999999999999996</v>
      </c>
      <c r="BK1208" s="3">
        <v>4.5</v>
      </c>
      <c r="BL1208" s="3">
        <v>243.37</v>
      </c>
      <c r="BM1208" s="3">
        <v>36.51</v>
      </c>
      <c r="BN1208" s="3">
        <v>279.88</v>
      </c>
      <c r="BO1208" s="3">
        <v>279.88</v>
      </c>
      <c r="BQ1208" s="3" t="s">
        <v>83</v>
      </c>
      <c r="BR1208" s="3" t="s">
        <v>84</v>
      </c>
      <c r="BS1208" s="4">
        <v>44580</v>
      </c>
      <c r="BT1208" s="5">
        <v>0.64027777777777783</v>
      </c>
      <c r="BU1208" s="3" t="s">
        <v>658</v>
      </c>
      <c r="BV1208" s="3" t="s">
        <v>87</v>
      </c>
      <c r="BW1208" s="3" t="s">
        <v>353</v>
      </c>
      <c r="BX1208" s="3" t="s">
        <v>723</v>
      </c>
      <c r="BY1208" s="3">
        <v>20358</v>
      </c>
      <c r="BZ1208" s="3" t="s">
        <v>165</v>
      </c>
      <c r="CA1208" s="3" t="s">
        <v>402</v>
      </c>
      <c r="CC1208" s="3" t="s">
        <v>245</v>
      </c>
      <c r="CD1208" s="3">
        <v>1947</v>
      </c>
      <c r="CE1208" s="3" t="s">
        <v>86</v>
      </c>
      <c r="CF1208" s="4">
        <v>44581</v>
      </c>
      <c r="CI1208" s="3">
        <v>1</v>
      </c>
      <c r="CJ1208" s="3">
        <v>1</v>
      </c>
      <c r="CK1208" s="3">
        <v>23</v>
      </c>
      <c r="CL1208" s="3" t="s">
        <v>87</v>
      </c>
    </row>
    <row r="1209" spans="1:90" x14ac:dyDescent="0.2">
      <c r="A1209" s="3" t="s">
        <v>72</v>
      </c>
      <c r="B1209" s="3" t="s">
        <v>73</v>
      </c>
      <c r="C1209" s="3" t="s">
        <v>74</v>
      </c>
      <c r="E1209" s="3" t="str">
        <f>"FES1162845525"</f>
        <v>FES1162845525</v>
      </c>
      <c r="F1209" s="4">
        <v>44579</v>
      </c>
      <c r="G1209" s="3">
        <v>202207</v>
      </c>
      <c r="H1209" s="3" t="s">
        <v>75</v>
      </c>
      <c r="I1209" s="3" t="s">
        <v>76</v>
      </c>
      <c r="J1209" s="3" t="s">
        <v>77</v>
      </c>
      <c r="K1209" s="3" t="s">
        <v>78</v>
      </c>
      <c r="L1209" s="3" t="s">
        <v>162</v>
      </c>
      <c r="M1209" s="3" t="s">
        <v>163</v>
      </c>
      <c r="N1209" s="3" t="s">
        <v>1558</v>
      </c>
      <c r="O1209" s="3" t="s">
        <v>82</v>
      </c>
      <c r="P1209" s="3" t="str">
        <f>"2170817058                    "</f>
        <v xml:space="preserve">2170817058                    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12.07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15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0</v>
      </c>
      <c r="AZ1209" s="3">
        <v>0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3">
        <v>1</v>
      </c>
      <c r="BI1209" s="3">
        <v>3</v>
      </c>
      <c r="BJ1209" s="3">
        <v>4.7</v>
      </c>
      <c r="BK1209" s="3">
        <v>5</v>
      </c>
      <c r="BL1209" s="3">
        <v>61.08</v>
      </c>
      <c r="BM1209" s="3">
        <v>9.16</v>
      </c>
      <c r="BN1209" s="3">
        <v>70.239999999999995</v>
      </c>
      <c r="BO1209" s="3">
        <v>70.239999999999995</v>
      </c>
      <c r="BQ1209" s="3" t="s">
        <v>89</v>
      </c>
      <c r="BR1209" s="3" t="s">
        <v>84</v>
      </c>
      <c r="BS1209" s="4">
        <v>44580</v>
      </c>
      <c r="BT1209" s="5">
        <v>0.3298611111111111</v>
      </c>
      <c r="BU1209" s="3" t="s">
        <v>1559</v>
      </c>
      <c r="BV1209" s="3" t="s">
        <v>105</v>
      </c>
      <c r="BY1209" s="3">
        <v>23552</v>
      </c>
      <c r="BZ1209" s="3" t="s">
        <v>446</v>
      </c>
      <c r="CA1209" s="3" t="s">
        <v>1560</v>
      </c>
      <c r="CC1209" s="3" t="s">
        <v>163</v>
      </c>
      <c r="CD1209" s="3">
        <v>1401</v>
      </c>
      <c r="CE1209" s="3" t="s">
        <v>86</v>
      </c>
      <c r="CF1209" s="4">
        <v>44581</v>
      </c>
      <c r="CI1209" s="3">
        <v>1</v>
      </c>
      <c r="CJ1209" s="3">
        <v>1</v>
      </c>
      <c r="CK1209" s="3">
        <v>22</v>
      </c>
      <c r="CL1209" s="3" t="s">
        <v>87</v>
      </c>
    </row>
    <row r="1210" spans="1:90" x14ac:dyDescent="0.2">
      <c r="A1210" s="3" t="s">
        <v>72</v>
      </c>
      <c r="B1210" s="3" t="s">
        <v>73</v>
      </c>
      <c r="C1210" s="3" t="s">
        <v>74</v>
      </c>
      <c r="E1210" s="3" t="str">
        <f>"FES1162845519"</f>
        <v>FES1162845519</v>
      </c>
      <c r="F1210" s="4">
        <v>44579</v>
      </c>
      <c r="G1210" s="3">
        <v>202207</v>
      </c>
      <c r="H1210" s="3" t="s">
        <v>75</v>
      </c>
      <c r="I1210" s="3" t="s">
        <v>76</v>
      </c>
      <c r="J1210" s="3" t="s">
        <v>77</v>
      </c>
      <c r="K1210" s="3" t="s">
        <v>78</v>
      </c>
      <c r="L1210" s="3" t="s">
        <v>206</v>
      </c>
      <c r="M1210" s="3" t="s">
        <v>207</v>
      </c>
      <c r="N1210" s="3" t="s">
        <v>1275</v>
      </c>
      <c r="O1210" s="3" t="s">
        <v>82</v>
      </c>
      <c r="P1210" s="3" t="str">
        <f>"2170816812                    "</f>
        <v xml:space="preserve">2170816812                    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21.74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0</v>
      </c>
      <c r="AX1210" s="3">
        <v>0</v>
      </c>
      <c r="AY1210" s="3">
        <v>0</v>
      </c>
      <c r="AZ1210" s="3">
        <v>0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3">
        <v>1</v>
      </c>
      <c r="BI1210" s="3">
        <v>1</v>
      </c>
      <c r="BJ1210" s="3">
        <v>1.5</v>
      </c>
      <c r="BK1210" s="3">
        <v>1.5</v>
      </c>
      <c r="BL1210" s="3">
        <v>82.98</v>
      </c>
      <c r="BM1210" s="3">
        <v>12.45</v>
      </c>
      <c r="BN1210" s="3">
        <v>95.43</v>
      </c>
      <c r="BO1210" s="3">
        <v>95.43</v>
      </c>
      <c r="BR1210" s="3" t="s">
        <v>84</v>
      </c>
      <c r="BS1210" s="4">
        <v>44580</v>
      </c>
      <c r="BT1210" s="5">
        <v>0.64027777777777783</v>
      </c>
      <c r="BU1210" s="3" t="s">
        <v>1276</v>
      </c>
      <c r="BV1210" s="3" t="s">
        <v>87</v>
      </c>
      <c r="BW1210" s="3" t="s">
        <v>353</v>
      </c>
      <c r="BX1210" s="3" t="s">
        <v>618</v>
      </c>
      <c r="BY1210" s="3">
        <v>7540</v>
      </c>
      <c r="BZ1210" s="3" t="s">
        <v>165</v>
      </c>
      <c r="CA1210" s="3" t="s">
        <v>619</v>
      </c>
      <c r="CC1210" s="3" t="s">
        <v>207</v>
      </c>
      <c r="CD1210" s="3">
        <v>1739</v>
      </c>
      <c r="CE1210" s="3" t="s">
        <v>86</v>
      </c>
      <c r="CF1210" s="4">
        <v>44580</v>
      </c>
      <c r="CI1210" s="3">
        <v>1</v>
      </c>
      <c r="CJ1210" s="3">
        <v>1</v>
      </c>
      <c r="CK1210" s="3">
        <v>24</v>
      </c>
      <c r="CL1210" s="3" t="s">
        <v>87</v>
      </c>
    </row>
    <row r="1211" spans="1:90" x14ac:dyDescent="0.2">
      <c r="A1211" s="3" t="s">
        <v>72</v>
      </c>
      <c r="B1211" s="3" t="s">
        <v>73</v>
      </c>
      <c r="C1211" s="3" t="s">
        <v>74</v>
      </c>
      <c r="E1211" s="3" t="str">
        <f>"FES1162845522"</f>
        <v>FES1162845522</v>
      </c>
      <c r="F1211" s="4">
        <v>44579</v>
      </c>
      <c r="G1211" s="3">
        <v>202207</v>
      </c>
      <c r="H1211" s="3" t="s">
        <v>75</v>
      </c>
      <c r="I1211" s="3" t="s">
        <v>76</v>
      </c>
      <c r="J1211" s="3" t="s">
        <v>77</v>
      </c>
      <c r="K1211" s="3" t="s">
        <v>78</v>
      </c>
      <c r="L1211" s="3" t="s">
        <v>162</v>
      </c>
      <c r="M1211" s="3" t="s">
        <v>163</v>
      </c>
      <c r="N1211" s="3" t="s">
        <v>1419</v>
      </c>
      <c r="O1211" s="3" t="s">
        <v>82</v>
      </c>
      <c r="P1211" s="3" t="str">
        <f>"2170816870                    "</f>
        <v xml:space="preserve">2170816870                    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12.07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3">
        <v>1</v>
      </c>
      <c r="BI1211" s="3">
        <v>1</v>
      </c>
      <c r="BJ1211" s="3">
        <v>0.2</v>
      </c>
      <c r="BK1211" s="3">
        <v>1</v>
      </c>
      <c r="BL1211" s="3">
        <v>46.08</v>
      </c>
      <c r="BM1211" s="3">
        <v>6.91</v>
      </c>
      <c r="BN1211" s="3">
        <v>52.99</v>
      </c>
      <c r="BO1211" s="3">
        <v>52.99</v>
      </c>
      <c r="BQ1211" s="3" t="s">
        <v>750</v>
      </c>
      <c r="BR1211" s="3" t="s">
        <v>84</v>
      </c>
      <c r="BS1211" s="4">
        <v>44580</v>
      </c>
      <c r="BT1211" s="5">
        <v>0.40763888888888888</v>
      </c>
      <c r="BU1211" s="3" t="s">
        <v>1420</v>
      </c>
      <c r="BV1211" s="3" t="s">
        <v>105</v>
      </c>
      <c r="BY1211" s="3">
        <v>1200</v>
      </c>
      <c r="BZ1211" s="3" t="s">
        <v>165</v>
      </c>
      <c r="CA1211" s="3" t="s">
        <v>588</v>
      </c>
      <c r="CC1211" s="3" t="s">
        <v>163</v>
      </c>
      <c r="CD1211" s="3">
        <v>1401</v>
      </c>
      <c r="CE1211" s="3" t="s">
        <v>93</v>
      </c>
      <c r="CF1211" s="4">
        <v>44580</v>
      </c>
      <c r="CI1211" s="3">
        <v>1</v>
      </c>
      <c r="CJ1211" s="3">
        <v>1</v>
      </c>
      <c r="CK1211" s="3">
        <v>22</v>
      </c>
      <c r="CL1211" s="3" t="s">
        <v>87</v>
      </c>
    </row>
    <row r="1212" spans="1:90" x14ac:dyDescent="0.2">
      <c r="A1212" s="3" t="s">
        <v>72</v>
      </c>
      <c r="B1212" s="3" t="s">
        <v>73</v>
      </c>
      <c r="C1212" s="3" t="s">
        <v>74</v>
      </c>
      <c r="E1212" s="3" t="str">
        <f>"009942045053"</f>
        <v>009942045053</v>
      </c>
      <c r="F1212" s="4">
        <v>44579</v>
      </c>
      <c r="G1212" s="3">
        <v>202207</v>
      </c>
      <c r="H1212" s="3" t="s">
        <v>75</v>
      </c>
      <c r="I1212" s="3" t="s">
        <v>76</v>
      </c>
      <c r="J1212" s="3" t="s">
        <v>77</v>
      </c>
      <c r="K1212" s="3" t="s">
        <v>78</v>
      </c>
      <c r="L1212" s="3" t="s">
        <v>731</v>
      </c>
      <c r="M1212" s="3" t="s">
        <v>732</v>
      </c>
      <c r="N1212" s="3" t="s">
        <v>733</v>
      </c>
      <c r="O1212" s="3" t="s">
        <v>82</v>
      </c>
      <c r="P1212" s="3" t="str">
        <f>"1162843884                    "</f>
        <v xml:space="preserve">1162843884                    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29.95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0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3">
        <v>1</v>
      </c>
      <c r="BI1212" s="3">
        <v>1</v>
      </c>
      <c r="BJ1212" s="3">
        <v>0.2</v>
      </c>
      <c r="BK1212" s="3">
        <v>1</v>
      </c>
      <c r="BL1212" s="3">
        <v>114.31</v>
      </c>
      <c r="BM1212" s="3">
        <v>17.149999999999999</v>
      </c>
      <c r="BN1212" s="3">
        <v>131.46</v>
      </c>
      <c r="BO1212" s="3">
        <v>131.46</v>
      </c>
      <c r="BQ1212" s="3" t="s">
        <v>89</v>
      </c>
      <c r="BR1212" s="3" t="s">
        <v>84</v>
      </c>
      <c r="BS1212" s="4">
        <v>44580</v>
      </c>
      <c r="BT1212" s="5">
        <v>0.52986111111111112</v>
      </c>
      <c r="BU1212" s="3" t="s">
        <v>937</v>
      </c>
      <c r="BV1212" s="3" t="s">
        <v>105</v>
      </c>
      <c r="BY1212" s="3">
        <v>1200</v>
      </c>
      <c r="BZ1212" s="3" t="s">
        <v>165</v>
      </c>
      <c r="CC1212" s="3" t="s">
        <v>732</v>
      </c>
      <c r="CD1212" s="3">
        <v>3290</v>
      </c>
      <c r="CE1212" s="3" t="s">
        <v>93</v>
      </c>
      <c r="CF1212" s="4">
        <v>44585</v>
      </c>
      <c r="CI1212" s="3">
        <v>1</v>
      </c>
      <c r="CJ1212" s="3">
        <v>1</v>
      </c>
      <c r="CK1212" s="3">
        <v>23</v>
      </c>
      <c r="CL1212" s="3" t="s">
        <v>87</v>
      </c>
    </row>
    <row r="1213" spans="1:90" x14ac:dyDescent="0.2">
      <c r="A1213" s="3" t="s">
        <v>72</v>
      </c>
      <c r="B1213" s="3" t="s">
        <v>73</v>
      </c>
      <c r="C1213" s="3" t="s">
        <v>74</v>
      </c>
      <c r="E1213" s="3" t="str">
        <f>"FES1162845537"</f>
        <v>FES1162845537</v>
      </c>
      <c r="F1213" s="4">
        <v>44579</v>
      </c>
      <c r="G1213" s="3">
        <v>202207</v>
      </c>
      <c r="H1213" s="3" t="s">
        <v>75</v>
      </c>
      <c r="I1213" s="3" t="s">
        <v>76</v>
      </c>
      <c r="J1213" s="3" t="s">
        <v>77</v>
      </c>
      <c r="K1213" s="3" t="s">
        <v>78</v>
      </c>
      <c r="L1213" s="3" t="s">
        <v>218</v>
      </c>
      <c r="M1213" s="3" t="s">
        <v>219</v>
      </c>
      <c r="N1213" s="3" t="s">
        <v>1561</v>
      </c>
      <c r="O1213" s="3" t="s">
        <v>148</v>
      </c>
      <c r="P1213" s="3" t="str">
        <f>"2170815525                    "</f>
        <v xml:space="preserve">2170815525                    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36.049999999999997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0</v>
      </c>
      <c r="AZ1213" s="3">
        <v>0</v>
      </c>
      <c r="BA1213" s="3">
        <v>0</v>
      </c>
      <c r="BB1213" s="3">
        <v>0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3">
        <v>1</v>
      </c>
      <c r="BI1213" s="3">
        <v>19</v>
      </c>
      <c r="BJ1213" s="3">
        <v>19.399999999999999</v>
      </c>
      <c r="BK1213" s="3">
        <v>20</v>
      </c>
      <c r="BL1213" s="3">
        <v>142.85</v>
      </c>
      <c r="BM1213" s="3">
        <v>21.43</v>
      </c>
      <c r="BN1213" s="3">
        <v>164.28</v>
      </c>
      <c r="BO1213" s="3">
        <v>164.28</v>
      </c>
      <c r="BQ1213" s="3" t="s">
        <v>83</v>
      </c>
      <c r="BR1213" s="3" t="s">
        <v>84</v>
      </c>
      <c r="BS1213" s="4">
        <v>44580</v>
      </c>
      <c r="BT1213" s="5">
        <v>0.41319444444444442</v>
      </c>
      <c r="BU1213" s="3" t="s">
        <v>1562</v>
      </c>
      <c r="BV1213" s="3" t="s">
        <v>105</v>
      </c>
      <c r="BY1213" s="3">
        <v>97200</v>
      </c>
      <c r="BZ1213" s="3" t="s">
        <v>327</v>
      </c>
      <c r="CA1213" s="3" t="s">
        <v>1381</v>
      </c>
      <c r="CC1213" s="3" t="s">
        <v>219</v>
      </c>
      <c r="CD1213" s="3">
        <v>157</v>
      </c>
      <c r="CE1213" s="3" t="s">
        <v>86</v>
      </c>
      <c r="CF1213" s="4">
        <v>44580</v>
      </c>
      <c r="CI1213" s="3">
        <v>1</v>
      </c>
      <c r="CJ1213" s="3">
        <v>1</v>
      </c>
      <c r="CK1213" s="3">
        <v>41</v>
      </c>
      <c r="CL1213" s="3" t="s">
        <v>87</v>
      </c>
    </row>
    <row r="1214" spans="1:90" x14ac:dyDescent="0.2">
      <c r="A1214" s="3" t="s">
        <v>72</v>
      </c>
      <c r="B1214" s="3" t="s">
        <v>73</v>
      </c>
      <c r="C1214" s="3" t="s">
        <v>74</v>
      </c>
      <c r="E1214" s="3" t="str">
        <f>"FES1162845549"</f>
        <v>FES1162845549</v>
      </c>
      <c r="F1214" s="4">
        <v>44579</v>
      </c>
      <c r="G1214" s="3">
        <v>202207</v>
      </c>
      <c r="H1214" s="3" t="s">
        <v>75</v>
      </c>
      <c r="I1214" s="3" t="s">
        <v>76</v>
      </c>
      <c r="J1214" s="3" t="s">
        <v>77</v>
      </c>
      <c r="K1214" s="3" t="s">
        <v>78</v>
      </c>
      <c r="L1214" s="3" t="s">
        <v>101</v>
      </c>
      <c r="M1214" s="3" t="s">
        <v>102</v>
      </c>
      <c r="N1214" s="3" t="s">
        <v>1387</v>
      </c>
      <c r="O1214" s="3" t="s">
        <v>82</v>
      </c>
      <c r="P1214" s="3" t="str">
        <f>"2170816770                    "</f>
        <v xml:space="preserve">2170816770                    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38.630000000000003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0</v>
      </c>
      <c r="AZ1214" s="3">
        <v>0</v>
      </c>
      <c r="BA1214" s="3">
        <v>0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3">
        <v>1</v>
      </c>
      <c r="BI1214" s="3">
        <v>5</v>
      </c>
      <c r="BJ1214" s="3">
        <v>2</v>
      </c>
      <c r="BK1214" s="3">
        <v>5</v>
      </c>
      <c r="BL1214" s="3">
        <v>147.44999999999999</v>
      </c>
      <c r="BM1214" s="3">
        <v>22.12</v>
      </c>
      <c r="BN1214" s="3">
        <v>169.57</v>
      </c>
      <c r="BO1214" s="3">
        <v>169.57</v>
      </c>
      <c r="BQ1214" s="3" t="s">
        <v>83</v>
      </c>
      <c r="BR1214" s="3" t="s">
        <v>84</v>
      </c>
      <c r="BS1214" s="4">
        <v>44580</v>
      </c>
      <c r="BT1214" s="5">
        <v>0.40763888888888888</v>
      </c>
      <c r="BU1214" s="3" t="s">
        <v>1563</v>
      </c>
      <c r="BV1214" s="3" t="s">
        <v>105</v>
      </c>
      <c r="BY1214" s="3">
        <v>9918</v>
      </c>
      <c r="BZ1214" s="3" t="s">
        <v>165</v>
      </c>
      <c r="CA1214" s="3" t="s">
        <v>615</v>
      </c>
      <c r="CC1214" s="3" t="s">
        <v>102</v>
      </c>
      <c r="CD1214" s="3">
        <v>4052</v>
      </c>
      <c r="CE1214" s="3" t="s">
        <v>86</v>
      </c>
      <c r="CF1214" s="4">
        <v>44581</v>
      </c>
      <c r="CI1214" s="3">
        <v>1</v>
      </c>
      <c r="CJ1214" s="3">
        <v>1</v>
      </c>
      <c r="CK1214" s="3">
        <v>21</v>
      </c>
      <c r="CL1214" s="3" t="s">
        <v>87</v>
      </c>
    </row>
    <row r="1215" spans="1:90" x14ac:dyDescent="0.2">
      <c r="A1215" s="3" t="s">
        <v>72</v>
      </c>
      <c r="B1215" s="3" t="s">
        <v>73</v>
      </c>
      <c r="C1215" s="3" t="s">
        <v>74</v>
      </c>
      <c r="E1215" s="3" t="str">
        <f>"FES1162845651"</f>
        <v>FES1162845651</v>
      </c>
      <c r="F1215" s="4">
        <v>44579</v>
      </c>
      <c r="G1215" s="3">
        <v>202207</v>
      </c>
      <c r="H1215" s="3" t="s">
        <v>75</v>
      </c>
      <c r="I1215" s="3" t="s">
        <v>76</v>
      </c>
      <c r="J1215" s="3" t="s">
        <v>77</v>
      </c>
      <c r="K1215" s="3" t="s">
        <v>78</v>
      </c>
      <c r="L1215" s="3" t="s">
        <v>120</v>
      </c>
      <c r="M1215" s="3" t="s">
        <v>121</v>
      </c>
      <c r="N1215" s="3" t="s">
        <v>122</v>
      </c>
      <c r="O1215" s="3" t="s">
        <v>82</v>
      </c>
      <c r="P1215" s="3" t="str">
        <f>"2170817154                    "</f>
        <v xml:space="preserve">2170817154                    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15.46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3">
        <v>1</v>
      </c>
      <c r="BI1215" s="3">
        <v>1</v>
      </c>
      <c r="BJ1215" s="3">
        <v>0.2</v>
      </c>
      <c r="BK1215" s="3">
        <v>1</v>
      </c>
      <c r="BL1215" s="3">
        <v>59</v>
      </c>
      <c r="BM1215" s="3">
        <v>8.85</v>
      </c>
      <c r="BN1215" s="3">
        <v>67.849999999999994</v>
      </c>
      <c r="BO1215" s="3">
        <v>67.849999999999994</v>
      </c>
      <c r="BQ1215" s="3" t="s">
        <v>89</v>
      </c>
      <c r="BR1215" s="3" t="s">
        <v>84</v>
      </c>
      <c r="BS1215" s="4">
        <v>44581</v>
      </c>
      <c r="BT1215" s="5">
        <v>0.42222222222222222</v>
      </c>
      <c r="BU1215" s="3" t="s">
        <v>1488</v>
      </c>
      <c r="BV1215" s="3" t="s">
        <v>87</v>
      </c>
      <c r="BW1215" s="3" t="s">
        <v>457</v>
      </c>
      <c r="BX1215" s="3" t="s">
        <v>458</v>
      </c>
      <c r="BY1215" s="3">
        <v>1200</v>
      </c>
      <c r="BZ1215" s="3" t="s">
        <v>165</v>
      </c>
      <c r="CA1215" s="3" t="s">
        <v>553</v>
      </c>
      <c r="CC1215" s="3" t="s">
        <v>121</v>
      </c>
      <c r="CD1215" s="3">
        <v>6230</v>
      </c>
      <c r="CE1215" s="3" t="s">
        <v>93</v>
      </c>
      <c r="CF1215" s="4">
        <v>44581</v>
      </c>
      <c r="CI1215" s="3">
        <v>1</v>
      </c>
      <c r="CJ1215" s="3">
        <v>2</v>
      </c>
      <c r="CK1215" s="3">
        <v>21</v>
      </c>
      <c r="CL1215" s="3" t="s">
        <v>87</v>
      </c>
    </row>
    <row r="1216" spans="1:90" x14ac:dyDescent="0.2">
      <c r="A1216" s="3" t="s">
        <v>72</v>
      </c>
      <c r="B1216" s="3" t="s">
        <v>73</v>
      </c>
      <c r="C1216" s="3" t="s">
        <v>74</v>
      </c>
      <c r="E1216" s="3" t="str">
        <f>"FES1162845527"</f>
        <v>FES1162845527</v>
      </c>
      <c r="F1216" s="4">
        <v>44579</v>
      </c>
      <c r="G1216" s="3">
        <v>202207</v>
      </c>
      <c r="H1216" s="3" t="s">
        <v>75</v>
      </c>
      <c r="I1216" s="3" t="s">
        <v>76</v>
      </c>
      <c r="J1216" s="3" t="s">
        <v>77</v>
      </c>
      <c r="K1216" s="3" t="s">
        <v>78</v>
      </c>
      <c r="L1216" s="3" t="s">
        <v>123</v>
      </c>
      <c r="M1216" s="3" t="s">
        <v>124</v>
      </c>
      <c r="N1216" s="3" t="s">
        <v>709</v>
      </c>
      <c r="O1216" s="3" t="s">
        <v>82</v>
      </c>
      <c r="P1216" s="3" t="str">
        <f>"2170817061                    "</f>
        <v xml:space="preserve">2170817061                    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12.07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0</v>
      </c>
      <c r="AZ1216" s="3">
        <v>0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3">
        <v>1</v>
      </c>
      <c r="BI1216" s="3">
        <v>1</v>
      </c>
      <c r="BJ1216" s="3">
        <v>0.2</v>
      </c>
      <c r="BK1216" s="3">
        <v>1</v>
      </c>
      <c r="BL1216" s="3">
        <v>46.08</v>
      </c>
      <c r="BM1216" s="3">
        <v>6.91</v>
      </c>
      <c r="BN1216" s="3">
        <v>52.99</v>
      </c>
      <c r="BO1216" s="3">
        <v>52.99</v>
      </c>
      <c r="BQ1216" s="3" t="s">
        <v>89</v>
      </c>
      <c r="BR1216" s="3" t="s">
        <v>84</v>
      </c>
      <c r="BS1216" s="4">
        <v>44580</v>
      </c>
      <c r="BT1216" s="5">
        <v>0.3923611111111111</v>
      </c>
      <c r="BU1216" s="3" t="s">
        <v>1105</v>
      </c>
      <c r="BV1216" s="3" t="s">
        <v>105</v>
      </c>
      <c r="BY1216" s="3">
        <v>1200</v>
      </c>
      <c r="BZ1216" s="3" t="s">
        <v>165</v>
      </c>
      <c r="CA1216" s="3" t="s">
        <v>266</v>
      </c>
      <c r="CC1216" s="3" t="s">
        <v>124</v>
      </c>
      <c r="CD1216" s="3">
        <v>1725</v>
      </c>
      <c r="CE1216" s="3" t="s">
        <v>93</v>
      </c>
      <c r="CF1216" s="4">
        <v>44580</v>
      </c>
      <c r="CI1216" s="3">
        <v>1</v>
      </c>
      <c r="CJ1216" s="3">
        <v>1</v>
      </c>
      <c r="CK1216" s="3">
        <v>22</v>
      </c>
      <c r="CL1216" s="3" t="s">
        <v>87</v>
      </c>
    </row>
    <row r="1217" spans="1:90" x14ac:dyDescent="0.2">
      <c r="A1217" s="3" t="s">
        <v>72</v>
      </c>
      <c r="B1217" s="3" t="s">
        <v>73</v>
      </c>
      <c r="C1217" s="3" t="s">
        <v>74</v>
      </c>
      <c r="E1217" s="3" t="str">
        <f>"FES1162845653"</f>
        <v>FES1162845653</v>
      </c>
      <c r="F1217" s="4">
        <v>44579</v>
      </c>
      <c r="G1217" s="3">
        <v>202207</v>
      </c>
      <c r="H1217" s="3" t="s">
        <v>75</v>
      </c>
      <c r="I1217" s="3" t="s">
        <v>76</v>
      </c>
      <c r="J1217" s="3" t="s">
        <v>77</v>
      </c>
      <c r="K1217" s="3" t="s">
        <v>78</v>
      </c>
      <c r="L1217" s="3" t="s">
        <v>120</v>
      </c>
      <c r="M1217" s="3" t="s">
        <v>121</v>
      </c>
      <c r="N1217" s="3" t="s">
        <v>122</v>
      </c>
      <c r="O1217" s="3" t="s">
        <v>82</v>
      </c>
      <c r="P1217" s="3" t="str">
        <f>"2170817156                    "</f>
        <v xml:space="preserve">2170817156                    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15.46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0</v>
      </c>
      <c r="BA1217" s="3">
        <v>0</v>
      </c>
      <c r="BB1217" s="3">
        <v>0</v>
      </c>
      <c r="BC1217" s="3">
        <v>0</v>
      </c>
      <c r="BD1217" s="3">
        <v>0</v>
      </c>
      <c r="BE1217" s="3">
        <v>0</v>
      </c>
      <c r="BF1217" s="3">
        <v>0</v>
      </c>
      <c r="BG1217" s="3">
        <v>0</v>
      </c>
      <c r="BH1217" s="3">
        <v>1</v>
      </c>
      <c r="BI1217" s="3">
        <v>1</v>
      </c>
      <c r="BJ1217" s="3">
        <v>1.1000000000000001</v>
      </c>
      <c r="BK1217" s="3">
        <v>1.5</v>
      </c>
      <c r="BL1217" s="3">
        <v>59</v>
      </c>
      <c r="BM1217" s="3">
        <v>8.85</v>
      </c>
      <c r="BN1217" s="3">
        <v>67.849999999999994</v>
      </c>
      <c r="BO1217" s="3">
        <v>67.849999999999994</v>
      </c>
      <c r="BQ1217" s="3" t="s">
        <v>89</v>
      </c>
      <c r="BR1217" s="3" t="s">
        <v>84</v>
      </c>
      <c r="BS1217" s="4">
        <v>44580</v>
      </c>
      <c r="BT1217" s="5">
        <v>0.35347222222222219</v>
      </c>
      <c r="BU1217" s="3" t="s">
        <v>1564</v>
      </c>
      <c r="BV1217" s="3" t="s">
        <v>105</v>
      </c>
      <c r="BY1217" s="3">
        <v>5320</v>
      </c>
      <c r="BZ1217" s="3" t="s">
        <v>165</v>
      </c>
      <c r="CA1217" s="3" t="s">
        <v>553</v>
      </c>
      <c r="CC1217" s="3" t="s">
        <v>121</v>
      </c>
      <c r="CD1217" s="3">
        <v>6230</v>
      </c>
      <c r="CE1217" s="3" t="s">
        <v>86</v>
      </c>
      <c r="CF1217" s="4">
        <v>44580</v>
      </c>
      <c r="CI1217" s="3">
        <v>1</v>
      </c>
      <c r="CJ1217" s="3">
        <v>1</v>
      </c>
      <c r="CK1217" s="3">
        <v>21</v>
      </c>
      <c r="CL1217" s="3" t="s">
        <v>87</v>
      </c>
    </row>
    <row r="1218" spans="1:90" x14ac:dyDescent="0.2">
      <c r="A1218" s="3" t="s">
        <v>72</v>
      </c>
      <c r="B1218" s="3" t="s">
        <v>73</v>
      </c>
      <c r="C1218" s="3" t="s">
        <v>74</v>
      </c>
      <c r="E1218" s="3" t="str">
        <f>"FES1162845531"</f>
        <v>FES1162845531</v>
      </c>
      <c r="F1218" s="4">
        <v>44579</v>
      </c>
      <c r="G1218" s="3">
        <v>202207</v>
      </c>
      <c r="H1218" s="3" t="s">
        <v>75</v>
      </c>
      <c r="I1218" s="3" t="s">
        <v>76</v>
      </c>
      <c r="J1218" s="3" t="s">
        <v>77</v>
      </c>
      <c r="K1218" s="3" t="s">
        <v>78</v>
      </c>
      <c r="L1218" s="3" t="s">
        <v>97</v>
      </c>
      <c r="M1218" s="3" t="s">
        <v>98</v>
      </c>
      <c r="N1218" s="3" t="s">
        <v>1565</v>
      </c>
      <c r="O1218" s="3" t="s">
        <v>82</v>
      </c>
      <c r="P1218" s="3" t="str">
        <f>"2170817068                    "</f>
        <v xml:space="preserve">2170817068                    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12.07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0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3">
        <v>1</v>
      </c>
      <c r="BI1218" s="3">
        <v>4</v>
      </c>
      <c r="BJ1218" s="3">
        <v>2</v>
      </c>
      <c r="BK1218" s="3">
        <v>4</v>
      </c>
      <c r="BL1218" s="3">
        <v>46.08</v>
      </c>
      <c r="BM1218" s="3">
        <v>6.91</v>
      </c>
      <c r="BN1218" s="3">
        <v>52.99</v>
      </c>
      <c r="BO1218" s="3">
        <v>52.99</v>
      </c>
      <c r="BR1218" s="3" t="s">
        <v>84</v>
      </c>
      <c r="BS1218" s="4">
        <v>44581</v>
      </c>
      <c r="BT1218" s="5">
        <v>0.34861111111111115</v>
      </c>
      <c r="BU1218" s="3" t="s">
        <v>1566</v>
      </c>
      <c r="BV1218" s="3" t="s">
        <v>87</v>
      </c>
      <c r="BW1218" s="3" t="s">
        <v>376</v>
      </c>
      <c r="BX1218" s="3" t="s">
        <v>618</v>
      </c>
      <c r="BY1218" s="3">
        <v>9918</v>
      </c>
      <c r="BZ1218" s="3" t="s">
        <v>165</v>
      </c>
      <c r="CA1218" s="3" t="s">
        <v>1293</v>
      </c>
      <c r="CC1218" s="3" t="s">
        <v>98</v>
      </c>
      <c r="CD1218" s="3">
        <v>2090</v>
      </c>
      <c r="CE1218" s="3" t="s">
        <v>86</v>
      </c>
      <c r="CF1218" s="4">
        <v>44582</v>
      </c>
      <c r="CI1218" s="3">
        <v>1</v>
      </c>
      <c r="CJ1218" s="3">
        <v>2</v>
      </c>
      <c r="CK1218" s="3">
        <v>22</v>
      </c>
      <c r="CL1218" s="3" t="s">
        <v>87</v>
      </c>
    </row>
    <row r="1219" spans="1:90" x14ac:dyDescent="0.2">
      <c r="A1219" s="3" t="s">
        <v>72</v>
      </c>
      <c r="B1219" s="3" t="s">
        <v>73</v>
      </c>
      <c r="C1219" s="3" t="s">
        <v>74</v>
      </c>
      <c r="E1219" s="3" t="str">
        <f>"FES1162845542"</f>
        <v>FES1162845542</v>
      </c>
      <c r="F1219" s="4">
        <v>44579</v>
      </c>
      <c r="G1219" s="3">
        <v>202207</v>
      </c>
      <c r="H1219" s="3" t="s">
        <v>75</v>
      </c>
      <c r="I1219" s="3" t="s">
        <v>76</v>
      </c>
      <c r="J1219" s="3" t="s">
        <v>77</v>
      </c>
      <c r="K1219" s="3" t="s">
        <v>78</v>
      </c>
      <c r="L1219" s="3" t="s">
        <v>298</v>
      </c>
      <c r="M1219" s="3" t="s">
        <v>299</v>
      </c>
      <c r="N1219" s="3" t="s">
        <v>1567</v>
      </c>
      <c r="O1219" s="3" t="s">
        <v>82</v>
      </c>
      <c r="P1219" s="3" t="str">
        <f>"2170816082                    "</f>
        <v xml:space="preserve">2170816082                    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63.76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1</v>
      </c>
      <c r="BI1219" s="3">
        <v>1</v>
      </c>
      <c r="BJ1219" s="3">
        <v>4.0999999999999996</v>
      </c>
      <c r="BK1219" s="3">
        <v>4.5</v>
      </c>
      <c r="BL1219" s="3">
        <v>243.37</v>
      </c>
      <c r="BM1219" s="3">
        <v>36.51</v>
      </c>
      <c r="BN1219" s="3">
        <v>279.88</v>
      </c>
      <c r="BO1219" s="3">
        <v>279.88</v>
      </c>
      <c r="BQ1219" s="3" t="s">
        <v>89</v>
      </c>
      <c r="BR1219" s="3" t="s">
        <v>84</v>
      </c>
      <c r="BS1219" s="4">
        <v>44580</v>
      </c>
      <c r="BT1219" s="5">
        <v>0.44027777777777777</v>
      </c>
      <c r="BU1219" s="3" t="s">
        <v>1262</v>
      </c>
      <c r="BV1219" s="3" t="s">
        <v>105</v>
      </c>
      <c r="BY1219" s="3">
        <v>20358</v>
      </c>
      <c r="BZ1219" s="3" t="s">
        <v>165</v>
      </c>
      <c r="CA1219" s="3" t="s">
        <v>268</v>
      </c>
      <c r="CC1219" s="3" t="s">
        <v>299</v>
      </c>
      <c r="CD1219" s="3">
        <v>7349</v>
      </c>
      <c r="CE1219" s="3" t="s">
        <v>86</v>
      </c>
      <c r="CF1219" s="4">
        <v>44581</v>
      </c>
      <c r="CI1219" s="3">
        <v>1</v>
      </c>
      <c r="CJ1219" s="3">
        <v>1</v>
      </c>
      <c r="CK1219" s="3">
        <v>23</v>
      </c>
      <c r="CL1219" s="3" t="s">
        <v>87</v>
      </c>
    </row>
    <row r="1220" spans="1:90" x14ac:dyDescent="0.2">
      <c r="A1220" s="3" t="s">
        <v>72</v>
      </c>
      <c r="B1220" s="3" t="s">
        <v>73</v>
      </c>
      <c r="C1220" s="3" t="s">
        <v>74</v>
      </c>
      <c r="E1220" s="3" t="str">
        <f>"FES1162845557"</f>
        <v>FES1162845557</v>
      </c>
      <c r="F1220" s="4">
        <v>44579</v>
      </c>
      <c r="G1220" s="3">
        <v>202207</v>
      </c>
      <c r="H1220" s="3" t="s">
        <v>75</v>
      </c>
      <c r="I1220" s="3" t="s">
        <v>76</v>
      </c>
      <c r="J1220" s="3" t="s">
        <v>77</v>
      </c>
      <c r="K1220" s="3" t="s">
        <v>78</v>
      </c>
      <c r="L1220" s="3" t="s">
        <v>101</v>
      </c>
      <c r="M1220" s="3" t="s">
        <v>102</v>
      </c>
      <c r="N1220" s="3" t="s">
        <v>272</v>
      </c>
      <c r="O1220" s="3" t="s">
        <v>82</v>
      </c>
      <c r="P1220" s="3" t="str">
        <f>"2170817078                    "</f>
        <v xml:space="preserve">2170817078                    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34.770000000000003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1</v>
      </c>
      <c r="BI1220" s="3">
        <v>4</v>
      </c>
      <c r="BJ1220" s="3">
        <v>4.0999999999999996</v>
      </c>
      <c r="BK1220" s="3">
        <v>4.5</v>
      </c>
      <c r="BL1220" s="3">
        <v>132.71</v>
      </c>
      <c r="BM1220" s="3">
        <v>19.91</v>
      </c>
      <c r="BN1220" s="3">
        <v>152.62</v>
      </c>
      <c r="BO1220" s="3">
        <v>152.62</v>
      </c>
      <c r="BQ1220" s="3" t="s">
        <v>273</v>
      </c>
      <c r="BR1220" s="3" t="s">
        <v>84</v>
      </c>
      <c r="BS1220" s="4">
        <v>44580</v>
      </c>
      <c r="BT1220" s="5">
        <v>0.39097222222222222</v>
      </c>
      <c r="BU1220" s="3" t="s">
        <v>855</v>
      </c>
      <c r="BV1220" s="3" t="s">
        <v>105</v>
      </c>
      <c r="BY1220" s="3">
        <v>20358</v>
      </c>
      <c r="BZ1220" s="3" t="s">
        <v>165</v>
      </c>
      <c r="CA1220" s="3" t="s">
        <v>275</v>
      </c>
      <c r="CC1220" s="3" t="s">
        <v>102</v>
      </c>
      <c r="CD1220" s="3">
        <v>4000</v>
      </c>
      <c r="CE1220" s="3" t="s">
        <v>86</v>
      </c>
      <c r="CF1220" s="4">
        <v>44581</v>
      </c>
      <c r="CI1220" s="3">
        <v>1</v>
      </c>
      <c r="CJ1220" s="3">
        <v>1</v>
      </c>
      <c r="CK1220" s="3">
        <v>21</v>
      </c>
      <c r="CL1220" s="3" t="s">
        <v>87</v>
      </c>
    </row>
    <row r="1221" spans="1:90" x14ac:dyDescent="0.2">
      <c r="A1221" s="3" t="s">
        <v>72</v>
      </c>
      <c r="B1221" s="3" t="s">
        <v>73</v>
      </c>
      <c r="C1221" s="3" t="s">
        <v>74</v>
      </c>
      <c r="E1221" s="3" t="str">
        <f>"FES1162845633"</f>
        <v>FES1162845633</v>
      </c>
      <c r="F1221" s="4">
        <v>44579</v>
      </c>
      <c r="G1221" s="3">
        <v>202207</v>
      </c>
      <c r="H1221" s="3" t="s">
        <v>75</v>
      </c>
      <c r="I1221" s="3" t="s">
        <v>76</v>
      </c>
      <c r="J1221" s="3" t="s">
        <v>77</v>
      </c>
      <c r="K1221" s="3" t="s">
        <v>78</v>
      </c>
      <c r="L1221" s="3" t="s">
        <v>97</v>
      </c>
      <c r="M1221" s="3" t="s">
        <v>98</v>
      </c>
      <c r="N1221" s="3" t="s">
        <v>1568</v>
      </c>
      <c r="O1221" s="3" t="s">
        <v>82</v>
      </c>
      <c r="P1221" s="3" t="str">
        <f>"2170817140                    "</f>
        <v xml:space="preserve">2170817140                    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12.07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15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3">
        <v>1</v>
      </c>
      <c r="BI1221" s="3">
        <v>1</v>
      </c>
      <c r="BJ1221" s="3">
        <v>2</v>
      </c>
      <c r="BK1221" s="3">
        <v>2</v>
      </c>
      <c r="BL1221" s="3">
        <v>61.08</v>
      </c>
      <c r="BM1221" s="3">
        <v>9.16</v>
      </c>
      <c r="BN1221" s="3">
        <v>70.239999999999995</v>
      </c>
      <c r="BO1221" s="3">
        <v>70.239999999999995</v>
      </c>
      <c r="BQ1221" s="3" t="s">
        <v>89</v>
      </c>
      <c r="BR1221" s="3" t="s">
        <v>84</v>
      </c>
      <c r="BS1221" s="4">
        <v>44580</v>
      </c>
      <c r="BT1221" s="5">
        <v>0.57361111111111118</v>
      </c>
      <c r="BU1221" s="3" t="s">
        <v>1569</v>
      </c>
      <c r="BV1221" s="3" t="s">
        <v>87</v>
      </c>
      <c r="BW1221" s="3" t="s">
        <v>353</v>
      </c>
      <c r="BX1221" s="3" t="s">
        <v>377</v>
      </c>
      <c r="BY1221" s="3">
        <v>9900</v>
      </c>
      <c r="BZ1221" s="3" t="s">
        <v>446</v>
      </c>
      <c r="CC1221" s="3" t="s">
        <v>98</v>
      </c>
      <c r="CD1221" s="3">
        <v>1723</v>
      </c>
      <c r="CE1221" s="3" t="s">
        <v>86</v>
      </c>
      <c r="CF1221" s="4">
        <v>44580</v>
      </c>
      <c r="CI1221" s="3">
        <v>1</v>
      </c>
      <c r="CJ1221" s="3">
        <v>1</v>
      </c>
      <c r="CK1221" s="3">
        <v>22</v>
      </c>
      <c r="CL1221" s="3" t="s">
        <v>87</v>
      </c>
    </row>
    <row r="1222" spans="1:90" x14ac:dyDescent="0.2">
      <c r="A1222" s="3" t="s">
        <v>72</v>
      </c>
      <c r="B1222" s="3" t="s">
        <v>73</v>
      </c>
      <c r="C1222" s="3" t="s">
        <v>74</v>
      </c>
      <c r="E1222" s="3" t="str">
        <f>"FES1162845547"</f>
        <v>FES1162845547</v>
      </c>
      <c r="F1222" s="4">
        <v>44579</v>
      </c>
      <c r="G1222" s="3">
        <v>202207</v>
      </c>
      <c r="H1222" s="3" t="s">
        <v>75</v>
      </c>
      <c r="I1222" s="3" t="s">
        <v>76</v>
      </c>
      <c r="J1222" s="3" t="s">
        <v>77</v>
      </c>
      <c r="K1222" s="3" t="s">
        <v>78</v>
      </c>
      <c r="L1222" s="3" t="s">
        <v>75</v>
      </c>
      <c r="M1222" s="3" t="s">
        <v>76</v>
      </c>
      <c r="N1222" s="3" t="s">
        <v>1328</v>
      </c>
      <c r="O1222" s="3" t="s">
        <v>82</v>
      </c>
      <c r="P1222" s="3" t="str">
        <f>"2170816606                    "</f>
        <v xml:space="preserve">2170816606                    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12.07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1</v>
      </c>
      <c r="BI1222" s="3">
        <v>1</v>
      </c>
      <c r="BJ1222" s="3">
        <v>1.5</v>
      </c>
      <c r="BK1222" s="3">
        <v>1.5</v>
      </c>
      <c r="BL1222" s="3">
        <v>46.08</v>
      </c>
      <c r="BM1222" s="3">
        <v>6.91</v>
      </c>
      <c r="BN1222" s="3">
        <v>52.99</v>
      </c>
      <c r="BO1222" s="3">
        <v>52.99</v>
      </c>
      <c r="BQ1222" s="3" t="s">
        <v>83</v>
      </c>
      <c r="BR1222" s="3" t="s">
        <v>84</v>
      </c>
      <c r="BS1222" s="4">
        <v>44580</v>
      </c>
      <c r="BT1222" s="5">
        <v>0.47847222222222219</v>
      </c>
      <c r="BU1222" s="3" t="s">
        <v>1570</v>
      </c>
      <c r="BV1222" s="3" t="s">
        <v>87</v>
      </c>
      <c r="BW1222" s="3" t="s">
        <v>353</v>
      </c>
      <c r="BX1222" s="3" t="s">
        <v>618</v>
      </c>
      <c r="BY1222" s="3">
        <v>7540</v>
      </c>
      <c r="BZ1222" s="3" t="s">
        <v>165</v>
      </c>
      <c r="CA1222" s="3" t="s">
        <v>227</v>
      </c>
      <c r="CC1222" s="3" t="s">
        <v>76</v>
      </c>
      <c r="CD1222" s="3">
        <v>1624</v>
      </c>
      <c r="CE1222" s="3" t="s">
        <v>86</v>
      </c>
      <c r="CF1222" s="4">
        <v>44580</v>
      </c>
      <c r="CI1222" s="3">
        <v>1</v>
      </c>
      <c r="CJ1222" s="3">
        <v>1</v>
      </c>
      <c r="CK1222" s="3">
        <v>22</v>
      </c>
      <c r="CL1222" s="3" t="s">
        <v>87</v>
      </c>
    </row>
    <row r="1223" spans="1:90" x14ac:dyDescent="0.2">
      <c r="A1223" s="3" t="s">
        <v>72</v>
      </c>
      <c r="B1223" s="3" t="s">
        <v>73</v>
      </c>
      <c r="C1223" s="3" t="s">
        <v>74</v>
      </c>
      <c r="E1223" s="3" t="str">
        <f>"FES1162845596"</f>
        <v>FES1162845596</v>
      </c>
      <c r="F1223" s="4">
        <v>44579</v>
      </c>
      <c r="G1223" s="3">
        <v>202207</v>
      </c>
      <c r="H1223" s="3" t="s">
        <v>75</v>
      </c>
      <c r="I1223" s="3" t="s">
        <v>76</v>
      </c>
      <c r="J1223" s="3" t="s">
        <v>77</v>
      </c>
      <c r="K1223" s="3" t="s">
        <v>78</v>
      </c>
      <c r="L1223" s="3" t="s">
        <v>162</v>
      </c>
      <c r="M1223" s="3" t="s">
        <v>163</v>
      </c>
      <c r="N1223" s="3" t="s">
        <v>983</v>
      </c>
      <c r="O1223" s="3" t="s">
        <v>82</v>
      </c>
      <c r="P1223" s="3" t="str">
        <f>"2170810069                    "</f>
        <v xml:space="preserve">2170810069                    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12.07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3">
        <v>0</v>
      </c>
      <c r="BD1223" s="3">
        <v>0</v>
      </c>
      <c r="BE1223" s="3">
        <v>0</v>
      </c>
      <c r="BF1223" s="3">
        <v>0</v>
      </c>
      <c r="BG1223" s="3">
        <v>0</v>
      </c>
      <c r="BH1223" s="3">
        <v>1</v>
      </c>
      <c r="BI1223" s="3">
        <v>4</v>
      </c>
      <c r="BJ1223" s="3">
        <v>4.0999999999999996</v>
      </c>
      <c r="BK1223" s="3">
        <v>4.5</v>
      </c>
      <c r="BL1223" s="3">
        <v>46.08</v>
      </c>
      <c r="BM1223" s="3">
        <v>6.91</v>
      </c>
      <c r="BN1223" s="3">
        <v>52.99</v>
      </c>
      <c r="BO1223" s="3">
        <v>52.99</v>
      </c>
      <c r="BQ1223" s="3" t="s">
        <v>126</v>
      </c>
      <c r="BR1223" s="3" t="s">
        <v>84</v>
      </c>
      <c r="BS1223" s="4">
        <v>44580</v>
      </c>
      <c r="BT1223" s="5">
        <v>0.59375</v>
      </c>
      <c r="BU1223" s="3" t="s">
        <v>984</v>
      </c>
      <c r="BV1223" s="3" t="s">
        <v>87</v>
      </c>
      <c r="BW1223" s="3" t="s">
        <v>353</v>
      </c>
      <c r="BX1223" s="3" t="s">
        <v>377</v>
      </c>
      <c r="BY1223" s="3">
        <v>20358</v>
      </c>
      <c r="BZ1223" s="3" t="s">
        <v>165</v>
      </c>
      <c r="CA1223" s="3" t="s">
        <v>591</v>
      </c>
      <c r="CC1223" s="3" t="s">
        <v>163</v>
      </c>
      <c r="CD1223" s="3">
        <v>1401</v>
      </c>
      <c r="CE1223" s="3" t="s">
        <v>86</v>
      </c>
      <c r="CF1223" s="4">
        <v>44580</v>
      </c>
      <c r="CI1223" s="3">
        <v>1</v>
      </c>
      <c r="CJ1223" s="3">
        <v>1</v>
      </c>
      <c r="CK1223" s="3">
        <v>22</v>
      </c>
      <c r="CL1223" s="3" t="s">
        <v>87</v>
      </c>
    </row>
    <row r="1224" spans="1:90" x14ac:dyDescent="0.2">
      <c r="A1224" s="3" t="s">
        <v>72</v>
      </c>
      <c r="B1224" s="3" t="s">
        <v>73</v>
      </c>
      <c r="C1224" s="3" t="s">
        <v>74</v>
      </c>
      <c r="E1224" s="3" t="str">
        <f>"FES1162845593"</f>
        <v>FES1162845593</v>
      </c>
      <c r="F1224" s="4">
        <v>44579</v>
      </c>
      <c r="G1224" s="3">
        <v>202207</v>
      </c>
      <c r="H1224" s="3" t="s">
        <v>75</v>
      </c>
      <c r="I1224" s="3" t="s">
        <v>76</v>
      </c>
      <c r="J1224" s="3" t="s">
        <v>77</v>
      </c>
      <c r="K1224" s="3" t="s">
        <v>78</v>
      </c>
      <c r="L1224" s="3" t="s">
        <v>1201</v>
      </c>
      <c r="M1224" s="3" t="s">
        <v>1202</v>
      </c>
      <c r="N1224" s="3" t="s">
        <v>321</v>
      </c>
      <c r="O1224" s="3" t="s">
        <v>82</v>
      </c>
      <c r="P1224" s="3" t="str">
        <f>"2170807020                    "</f>
        <v xml:space="preserve">2170807020                    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70.52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0</v>
      </c>
      <c r="AZ1224" s="3">
        <v>0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0</v>
      </c>
      <c r="BG1224" s="3">
        <v>0</v>
      </c>
      <c r="BH1224" s="3">
        <v>1</v>
      </c>
      <c r="BI1224" s="3">
        <v>5</v>
      </c>
      <c r="BJ1224" s="3">
        <v>4.0999999999999996</v>
      </c>
      <c r="BK1224" s="3">
        <v>5</v>
      </c>
      <c r="BL1224" s="3">
        <v>269.18</v>
      </c>
      <c r="BM1224" s="3">
        <v>40.380000000000003</v>
      </c>
      <c r="BN1224" s="3">
        <v>309.56</v>
      </c>
      <c r="BO1224" s="3">
        <v>309.56</v>
      </c>
      <c r="BQ1224" s="3" t="s">
        <v>83</v>
      </c>
      <c r="BR1224" s="3" t="s">
        <v>84</v>
      </c>
      <c r="BS1224" s="4">
        <v>44580</v>
      </c>
      <c r="BT1224" s="5">
        <v>0.58333333333333337</v>
      </c>
      <c r="BU1224" s="3" t="s">
        <v>1203</v>
      </c>
      <c r="BV1224" s="3" t="s">
        <v>105</v>
      </c>
      <c r="BY1224" s="3">
        <v>20358</v>
      </c>
      <c r="BZ1224" s="3" t="s">
        <v>165</v>
      </c>
      <c r="CA1224" s="3" t="s">
        <v>1204</v>
      </c>
      <c r="CC1224" s="3" t="s">
        <v>1202</v>
      </c>
      <c r="CD1224" s="3">
        <v>9880</v>
      </c>
      <c r="CE1224" s="3" t="s">
        <v>86</v>
      </c>
      <c r="CF1224" s="4">
        <v>44581</v>
      </c>
      <c r="CI1224" s="3">
        <v>1</v>
      </c>
      <c r="CJ1224" s="3">
        <v>1</v>
      </c>
      <c r="CK1224" s="3">
        <v>23</v>
      </c>
      <c r="CL1224" s="3" t="s">
        <v>87</v>
      </c>
    </row>
    <row r="1225" spans="1:90" x14ac:dyDescent="0.2">
      <c r="A1225" s="3" t="s">
        <v>72</v>
      </c>
      <c r="B1225" s="3" t="s">
        <v>73</v>
      </c>
      <c r="C1225" s="3" t="s">
        <v>74</v>
      </c>
      <c r="E1225" s="3" t="str">
        <f>"FES1162845632"</f>
        <v>FES1162845632</v>
      </c>
      <c r="F1225" s="4">
        <v>44579</v>
      </c>
      <c r="G1225" s="3">
        <v>202207</v>
      </c>
      <c r="H1225" s="3" t="s">
        <v>75</v>
      </c>
      <c r="I1225" s="3" t="s">
        <v>76</v>
      </c>
      <c r="J1225" s="3" t="s">
        <v>77</v>
      </c>
      <c r="K1225" s="3" t="s">
        <v>78</v>
      </c>
      <c r="L1225" s="3" t="s">
        <v>90</v>
      </c>
      <c r="M1225" s="3" t="s">
        <v>91</v>
      </c>
      <c r="N1225" s="3" t="s">
        <v>157</v>
      </c>
      <c r="O1225" s="3" t="s">
        <v>82</v>
      </c>
      <c r="P1225" s="3" t="str">
        <f>"2170817136                    "</f>
        <v xml:space="preserve">2170817136                    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69.53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0</v>
      </c>
      <c r="AZ1225" s="3">
        <v>0</v>
      </c>
      <c r="BA1225" s="3">
        <v>0</v>
      </c>
      <c r="BB1225" s="3">
        <v>0</v>
      </c>
      <c r="BC1225" s="3">
        <v>0</v>
      </c>
      <c r="BD1225" s="3">
        <v>0</v>
      </c>
      <c r="BE1225" s="3">
        <v>0</v>
      </c>
      <c r="BF1225" s="3">
        <v>0</v>
      </c>
      <c r="BG1225" s="3">
        <v>0</v>
      </c>
      <c r="BH1225" s="3">
        <v>1</v>
      </c>
      <c r="BI1225" s="3">
        <v>9</v>
      </c>
      <c r="BJ1225" s="3">
        <v>4.0999999999999996</v>
      </c>
      <c r="BK1225" s="3">
        <v>9</v>
      </c>
      <c r="BL1225" s="3">
        <v>265.39</v>
      </c>
      <c r="BM1225" s="3">
        <v>39.81</v>
      </c>
      <c r="BN1225" s="3">
        <v>305.2</v>
      </c>
      <c r="BO1225" s="3">
        <v>305.2</v>
      </c>
      <c r="BQ1225" s="3" t="s">
        <v>89</v>
      </c>
      <c r="BR1225" s="3" t="s">
        <v>84</v>
      </c>
      <c r="BS1225" s="4">
        <v>44580</v>
      </c>
      <c r="BT1225" s="5">
        <v>0.37847222222222227</v>
      </c>
      <c r="BU1225" s="3" t="s">
        <v>693</v>
      </c>
      <c r="BV1225" s="3" t="s">
        <v>105</v>
      </c>
      <c r="BY1225" s="3">
        <v>20358</v>
      </c>
      <c r="BZ1225" s="3" t="s">
        <v>165</v>
      </c>
      <c r="CA1225" s="3" t="s">
        <v>289</v>
      </c>
      <c r="CC1225" s="3" t="s">
        <v>91</v>
      </c>
      <c r="CD1225" s="3">
        <v>7441</v>
      </c>
      <c r="CE1225" s="3" t="s">
        <v>86</v>
      </c>
      <c r="CF1225" s="4">
        <v>44581</v>
      </c>
      <c r="CI1225" s="3">
        <v>1</v>
      </c>
      <c r="CJ1225" s="3">
        <v>1</v>
      </c>
      <c r="CK1225" s="3">
        <v>21</v>
      </c>
      <c r="CL1225" s="3" t="s">
        <v>87</v>
      </c>
    </row>
    <row r="1226" spans="1:90" x14ac:dyDescent="0.2">
      <c r="A1226" s="3" t="s">
        <v>72</v>
      </c>
      <c r="B1226" s="3" t="s">
        <v>73</v>
      </c>
      <c r="C1226" s="3" t="s">
        <v>74</v>
      </c>
      <c r="E1226" s="3" t="str">
        <f>"FES1162845592"</f>
        <v>FES1162845592</v>
      </c>
      <c r="F1226" s="4">
        <v>44579</v>
      </c>
      <c r="G1226" s="3">
        <v>202207</v>
      </c>
      <c r="H1226" s="3" t="s">
        <v>75</v>
      </c>
      <c r="I1226" s="3" t="s">
        <v>76</v>
      </c>
      <c r="J1226" s="3" t="s">
        <v>77</v>
      </c>
      <c r="K1226" s="3" t="s">
        <v>78</v>
      </c>
      <c r="L1226" s="3" t="s">
        <v>115</v>
      </c>
      <c r="M1226" s="3" t="s">
        <v>116</v>
      </c>
      <c r="N1226" s="3" t="s">
        <v>1571</v>
      </c>
      <c r="O1226" s="3" t="s">
        <v>82</v>
      </c>
      <c r="P1226" s="3" t="str">
        <f>"2170805872                    "</f>
        <v xml:space="preserve">2170805872                    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12.07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</v>
      </c>
      <c r="BF1226" s="3">
        <v>0</v>
      </c>
      <c r="BG1226" s="3">
        <v>0</v>
      </c>
      <c r="BH1226" s="3">
        <v>1</v>
      </c>
      <c r="BI1226" s="3">
        <v>3</v>
      </c>
      <c r="BJ1226" s="3">
        <v>4.0999999999999996</v>
      </c>
      <c r="BK1226" s="3">
        <v>4.5</v>
      </c>
      <c r="BL1226" s="3">
        <v>46.08</v>
      </c>
      <c r="BM1226" s="3">
        <v>6.91</v>
      </c>
      <c r="BN1226" s="3">
        <v>52.99</v>
      </c>
      <c r="BO1226" s="3">
        <v>52.99</v>
      </c>
      <c r="BQ1226" s="3" t="s">
        <v>83</v>
      </c>
      <c r="BR1226" s="3" t="s">
        <v>84</v>
      </c>
      <c r="BS1226" s="4">
        <v>44580</v>
      </c>
      <c r="BT1226" s="5">
        <v>0.35347222222222219</v>
      </c>
      <c r="BU1226" s="3" t="s">
        <v>1572</v>
      </c>
      <c r="BV1226" s="3" t="s">
        <v>105</v>
      </c>
      <c r="BY1226" s="3">
        <v>20358</v>
      </c>
      <c r="BZ1226" s="3" t="s">
        <v>165</v>
      </c>
      <c r="CA1226" s="3" t="s">
        <v>119</v>
      </c>
      <c r="CC1226" s="3" t="s">
        <v>116</v>
      </c>
      <c r="CD1226" s="3">
        <v>1559</v>
      </c>
      <c r="CE1226" s="3" t="s">
        <v>86</v>
      </c>
      <c r="CF1226" s="4">
        <v>44580</v>
      </c>
      <c r="CI1226" s="3">
        <v>1</v>
      </c>
      <c r="CJ1226" s="3">
        <v>1</v>
      </c>
      <c r="CK1226" s="3">
        <v>22</v>
      </c>
      <c r="CL1226" s="3" t="s">
        <v>87</v>
      </c>
    </row>
    <row r="1227" spans="1:90" x14ac:dyDescent="0.2">
      <c r="A1227" s="3" t="s">
        <v>72</v>
      </c>
      <c r="B1227" s="3" t="s">
        <v>73</v>
      </c>
      <c r="C1227" s="3" t="s">
        <v>74</v>
      </c>
      <c r="E1227" s="3" t="str">
        <f>"FES1162845600"</f>
        <v>FES1162845600</v>
      </c>
      <c r="F1227" s="4">
        <v>44579</v>
      </c>
      <c r="G1227" s="3">
        <v>202207</v>
      </c>
      <c r="H1227" s="3" t="s">
        <v>75</v>
      </c>
      <c r="I1227" s="3" t="s">
        <v>76</v>
      </c>
      <c r="J1227" s="3" t="s">
        <v>77</v>
      </c>
      <c r="K1227" s="3" t="s">
        <v>78</v>
      </c>
      <c r="L1227" s="3" t="s">
        <v>90</v>
      </c>
      <c r="M1227" s="3" t="s">
        <v>91</v>
      </c>
      <c r="N1227" s="3" t="s">
        <v>1573</v>
      </c>
      <c r="O1227" s="3" t="s">
        <v>82</v>
      </c>
      <c r="P1227" s="3" t="str">
        <f>"2170811796                    "</f>
        <v xml:space="preserve">2170811796                    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15.46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0</v>
      </c>
      <c r="BA1227" s="3">
        <v>0</v>
      </c>
      <c r="BB1227" s="3">
        <v>0</v>
      </c>
      <c r="BC1227" s="3">
        <v>0</v>
      </c>
      <c r="BD1227" s="3">
        <v>0</v>
      </c>
      <c r="BE1227" s="3">
        <v>0</v>
      </c>
      <c r="BF1227" s="3">
        <v>0</v>
      </c>
      <c r="BG1227" s="3">
        <v>0</v>
      </c>
      <c r="BH1227" s="3">
        <v>1</v>
      </c>
      <c r="BI1227" s="3">
        <v>1</v>
      </c>
      <c r="BJ1227" s="3">
        <v>0.2</v>
      </c>
      <c r="BK1227" s="3">
        <v>1</v>
      </c>
      <c r="BL1227" s="3">
        <v>59</v>
      </c>
      <c r="BM1227" s="3">
        <v>8.85</v>
      </c>
      <c r="BN1227" s="3">
        <v>67.849999999999994</v>
      </c>
      <c r="BO1227" s="3">
        <v>67.849999999999994</v>
      </c>
      <c r="BQ1227" s="3" t="s">
        <v>83</v>
      </c>
      <c r="BR1227" s="3" t="s">
        <v>84</v>
      </c>
      <c r="BS1227" s="4">
        <v>44580</v>
      </c>
      <c r="BT1227" s="5">
        <v>0.40902777777777777</v>
      </c>
      <c r="BU1227" s="3" t="s">
        <v>1574</v>
      </c>
      <c r="BV1227" s="3" t="s">
        <v>105</v>
      </c>
      <c r="BY1227" s="3">
        <v>1200</v>
      </c>
      <c r="BZ1227" s="3" t="s">
        <v>165</v>
      </c>
      <c r="CA1227" s="3" t="s">
        <v>566</v>
      </c>
      <c r="CC1227" s="3" t="s">
        <v>91</v>
      </c>
      <c r="CD1227" s="3">
        <v>7460</v>
      </c>
      <c r="CE1227" s="3" t="s">
        <v>93</v>
      </c>
      <c r="CF1227" s="4">
        <v>44581</v>
      </c>
      <c r="CI1227" s="3">
        <v>1</v>
      </c>
      <c r="CJ1227" s="3">
        <v>1</v>
      </c>
      <c r="CK1227" s="3">
        <v>21</v>
      </c>
      <c r="CL1227" s="3" t="s">
        <v>87</v>
      </c>
    </row>
    <row r="1228" spans="1:90" x14ac:dyDescent="0.2">
      <c r="A1228" s="3" t="s">
        <v>72</v>
      </c>
      <c r="B1228" s="3" t="s">
        <v>73</v>
      </c>
      <c r="C1228" s="3" t="s">
        <v>74</v>
      </c>
      <c r="E1228" s="3" t="str">
        <f>"FES1162845541"</f>
        <v>FES1162845541</v>
      </c>
      <c r="F1228" s="4">
        <v>44579</v>
      </c>
      <c r="G1228" s="3">
        <v>202207</v>
      </c>
      <c r="H1228" s="3" t="s">
        <v>75</v>
      </c>
      <c r="I1228" s="3" t="s">
        <v>76</v>
      </c>
      <c r="J1228" s="3" t="s">
        <v>77</v>
      </c>
      <c r="K1228" s="3" t="s">
        <v>78</v>
      </c>
      <c r="L1228" s="3" t="s">
        <v>101</v>
      </c>
      <c r="M1228" s="3" t="s">
        <v>102</v>
      </c>
      <c r="N1228" s="3" t="s">
        <v>276</v>
      </c>
      <c r="O1228" s="3" t="s">
        <v>82</v>
      </c>
      <c r="P1228" s="3" t="str">
        <f>"2170816046                    "</f>
        <v xml:space="preserve">2170816046                    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15.46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0</v>
      </c>
      <c r="BF1228" s="3">
        <v>0</v>
      </c>
      <c r="BG1228" s="3">
        <v>0</v>
      </c>
      <c r="BH1228" s="3">
        <v>1</v>
      </c>
      <c r="BI1228" s="3">
        <v>1</v>
      </c>
      <c r="BJ1228" s="3">
        <v>0.2</v>
      </c>
      <c r="BK1228" s="3">
        <v>1</v>
      </c>
      <c r="BL1228" s="3">
        <v>59</v>
      </c>
      <c r="BM1228" s="3">
        <v>8.85</v>
      </c>
      <c r="BN1228" s="3">
        <v>67.849999999999994</v>
      </c>
      <c r="BO1228" s="3">
        <v>67.849999999999994</v>
      </c>
      <c r="BQ1228" s="3" t="s">
        <v>89</v>
      </c>
      <c r="BR1228" s="3" t="s">
        <v>84</v>
      </c>
      <c r="BS1228" s="4">
        <v>44580</v>
      </c>
      <c r="BT1228" s="5">
        <v>0.4375</v>
      </c>
      <c r="BU1228" s="3" t="s">
        <v>1575</v>
      </c>
      <c r="BV1228" s="3" t="s">
        <v>105</v>
      </c>
      <c r="BY1228" s="3">
        <v>1200</v>
      </c>
      <c r="BZ1228" s="3" t="s">
        <v>165</v>
      </c>
      <c r="CC1228" s="3" t="s">
        <v>102</v>
      </c>
      <c r="CD1228" s="3">
        <v>4001</v>
      </c>
      <c r="CE1228" s="3" t="s">
        <v>93</v>
      </c>
      <c r="CF1228" s="4">
        <v>44581</v>
      </c>
      <c r="CI1228" s="3">
        <v>1</v>
      </c>
      <c r="CJ1228" s="3">
        <v>1</v>
      </c>
      <c r="CK1228" s="3">
        <v>21</v>
      </c>
      <c r="CL1228" s="3" t="s">
        <v>87</v>
      </c>
    </row>
    <row r="1229" spans="1:90" x14ac:dyDescent="0.2">
      <c r="A1229" s="3" t="s">
        <v>72</v>
      </c>
      <c r="B1229" s="3" t="s">
        <v>73</v>
      </c>
      <c r="C1229" s="3" t="s">
        <v>74</v>
      </c>
      <c r="E1229" s="3" t="str">
        <f>"FES1162845571"</f>
        <v>FES1162845571</v>
      </c>
      <c r="F1229" s="4">
        <v>44579</v>
      </c>
      <c r="G1229" s="3">
        <v>202207</v>
      </c>
      <c r="H1229" s="3" t="s">
        <v>75</v>
      </c>
      <c r="I1229" s="3" t="s">
        <v>76</v>
      </c>
      <c r="J1229" s="3" t="s">
        <v>77</v>
      </c>
      <c r="K1229" s="3" t="s">
        <v>78</v>
      </c>
      <c r="L1229" s="3" t="s">
        <v>75</v>
      </c>
      <c r="M1229" s="3" t="s">
        <v>76</v>
      </c>
      <c r="N1229" s="3" t="s">
        <v>688</v>
      </c>
      <c r="O1229" s="3" t="s">
        <v>82</v>
      </c>
      <c r="P1229" s="3" t="str">
        <f>"2170817101                    "</f>
        <v xml:space="preserve">2170817101                    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12.07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1</v>
      </c>
      <c r="BI1229" s="3">
        <v>1</v>
      </c>
      <c r="BJ1229" s="3">
        <v>0.2</v>
      </c>
      <c r="BK1229" s="3">
        <v>1</v>
      </c>
      <c r="BL1229" s="3">
        <v>46.08</v>
      </c>
      <c r="BM1229" s="3">
        <v>6.91</v>
      </c>
      <c r="BN1229" s="3">
        <v>52.99</v>
      </c>
      <c r="BO1229" s="3">
        <v>52.99</v>
      </c>
      <c r="BQ1229" s="3" t="s">
        <v>83</v>
      </c>
      <c r="BR1229" s="3" t="s">
        <v>84</v>
      </c>
      <c r="BS1229" s="4">
        <v>44580</v>
      </c>
      <c r="BT1229" s="5">
        <v>0.3125</v>
      </c>
      <c r="BU1229" s="3" t="s">
        <v>689</v>
      </c>
      <c r="BV1229" s="3" t="s">
        <v>105</v>
      </c>
      <c r="BY1229" s="3">
        <v>1200</v>
      </c>
      <c r="BZ1229" s="3" t="s">
        <v>165</v>
      </c>
      <c r="CA1229" s="3" t="s">
        <v>227</v>
      </c>
      <c r="CC1229" s="3" t="s">
        <v>76</v>
      </c>
      <c r="CD1229" s="3">
        <v>1620</v>
      </c>
      <c r="CE1229" s="3" t="s">
        <v>93</v>
      </c>
      <c r="CF1229" s="4">
        <v>44580</v>
      </c>
      <c r="CI1229" s="3">
        <v>1</v>
      </c>
      <c r="CJ1229" s="3">
        <v>1</v>
      </c>
      <c r="CK1229" s="3">
        <v>22</v>
      </c>
      <c r="CL1229" s="3" t="s">
        <v>87</v>
      </c>
    </row>
    <row r="1230" spans="1:90" x14ac:dyDescent="0.2">
      <c r="A1230" s="3" t="s">
        <v>72</v>
      </c>
      <c r="B1230" s="3" t="s">
        <v>73</v>
      </c>
      <c r="C1230" s="3" t="s">
        <v>74</v>
      </c>
      <c r="E1230" s="3" t="str">
        <f>"FES1162845539"</f>
        <v>FES1162845539</v>
      </c>
      <c r="F1230" s="4">
        <v>44579</v>
      </c>
      <c r="G1230" s="3">
        <v>202207</v>
      </c>
      <c r="H1230" s="3" t="s">
        <v>75</v>
      </c>
      <c r="I1230" s="3" t="s">
        <v>76</v>
      </c>
      <c r="J1230" s="3" t="s">
        <v>77</v>
      </c>
      <c r="K1230" s="3" t="s">
        <v>78</v>
      </c>
      <c r="L1230" s="3" t="s">
        <v>90</v>
      </c>
      <c r="M1230" s="3" t="s">
        <v>91</v>
      </c>
      <c r="N1230" s="3" t="s">
        <v>735</v>
      </c>
      <c r="O1230" s="3" t="s">
        <v>82</v>
      </c>
      <c r="P1230" s="3" t="str">
        <f>"2170815958                    "</f>
        <v xml:space="preserve">2170815958                    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15.46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0</v>
      </c>
      <c r="AZ1230" s="3">
        <v>0</v>
      </c>
      <c r="BA1230" s="3">
        <v>0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3">
        <v>1</v>
      </c>
      <c r="BI1230" s="3">
        <v>1</v>
      </c>
      <c r="BJ1230" s="3">
        <v>0.2</v>
      </c>
      <c r="BK1230" s="3">
        <v>1</v>
      </c>
      <c r="BL1230" s="3">
        <v>59</v>
      </c>
      <c r="BM1230" s="3">
        <v>8.85</v>
      </c>
      <c r="BN1230" s="3">
        <v>67.849999999999994</v>
      </c>
      <c r="BO1230" s="3">
        <v>67.849999999999994</v>
      </c>
      <c r="BQ1230" s="3" t="s">
        <v>273</v>
      </c>
      <c r="BR1230" s="3" t="s">
        <v>84</v>
      </c>
      <c r="BS1230" s="4">
        <v>44580</v>
      </c>
      <c r="BT1230" s="5">
        <v>0.31597222222222221</v>
      </c>
      <c r="BU1230" s="3" t="s">
        <v>1576</v>
      </c>
      <c r="BV1230" s="3" t="s">
        <v>105</v>
      </c>
      <c r="BY1230" s="3">
        <v>1200</v>
      </c>
      <c r="BZ1230" s="3" t="s">
        <v>165</v>
      </c>
      <c r="CA1230" s="3" t="s">
        <v>566</v>
      </c>
      <c r="CC1230" s="3" t="s">
        <v>91</v>
      </c>
      <c r="CD1230" s="3">
        <v>7460</v>
      </c>
      <c r="CE1230" s="3" t="s">
        <v>93</v>
      </c>
      <c r="CF1230" s="4">
        <v>44581</v>
      </c>
      <c r="CI1230" s="3">
        <v>1</v>
      </c>
      <c r="CJ1230" s="3">
        <v>1</v>
      </c>
      <c r="CK1230" s="3">
        <v>21</v>
      </c>
      <c r="CL1230" s="3" t="s">
        <v>87</v>
      </c>
    </row>
    <row r="1231" spans="1:90" x14ac:dyDescent="0.2">
      <c r="A1231" s="3" t="s">
        <v>72</v>
      </c>
      <c r="B1231" s="3" t="s">
        <v>73</v>
      </c>
      <c r="C1231" s="3" t="s">
        <v>74</v>
      </c>
      <c r="E1231" s="3" t="str">
        <f>"FES1162845544"</f>
        <v>FES1162845544</v>
      </c>
      <c r="F1231" s="4">
        <v>44579</v>
      </c>
      <c r="G1231" s="3">
        <v>202207</v>
      </c>
      <c r="H1231" s="3" t="s">
        <v>75</v>
      </c>
      <c r="I1231" s="3" t="s">
        <v>76</v>
      </c>
      <c r="J1231" s="3" t="s">
        <v>77</v>
      </c>
      <c r="K1231" s="3" t="s">
        <v>78</v>
      </c>
      <c r="L1231" s="3" t="s">
        <v>123</v>
      </c>
      <c r="M1231" s="3" t="s">
        <v>124</v>
      </c>
      <c r="N1231" s="3" t="s">
        <v>264</v>
      </c>
      <c r="O1231" s="3" t="s">
        <v>82</v>
      </c>
      <c r="P1231" s="3" t="str">
        <f>"2170816328                    "</f>
        <v xml:space="preserve">2170816328                    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12.07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0</v>
      </c>
      <c r="AZ1231" s="3">
        <v>0</v>
      </c>
      <c r="BA1231" s="3">
        <v>0</v>
      </c>
      <c r="BB1231" s="3">
        <v>0</v>
      </c>
      <c r="BC1231" s="3">
        <v>0</v>
      </c>
      <c r="BD1231" s="3">
        <v>0</v>
      </c>
      <c r="BE1231" s="3">
        <v>0</v>
      </c>
      <c r="BF1231" s="3">
        <v>0</v>
      </c>
      <c r="BG1231" s="3">
        <v>0</v>
      </c>
      <c r="BH1231" s="3">
        <v>1</v>
      </c>
      <c r="BI1231" s="3">
        <v>1</v>
      </c>
      <c r="BJ1231" s="3">
        <v>0.2</v>
      </c>
      <c r="BK1231" s="3">
        <v>1</v>
      </c>
      <c r="BL1231" s="3">
        <v>46.08</v>
      </c>
      <c r="BM1231" s="3">
        <v>6.91</v>
      </c>
      <c r="BN1231" s="3">
        <v>52.99</v>
      </c>
      <c r="BO1231" s="3">
        <v>52.99</v>
      </c>
      <c r="BQ1231" s="3" t="s">
        <v>89</v>
      </c>
      <c r="BR1231" s="3" t="s">
        <v>84</v>
      </c>
      <c r="BS1231" s="4">
        <v>44580</v>
      </c>
      <c r="BT1231" s="5">
        <v>0.35902777777777778</v>
      </c>
      <c r="BU1231" s="3" t="s">
        <v>865</v>
      </c>
      <c r="BV1231" s="3" t="s">
        <v>105</v>
      </c>
      <c r="BY1231" s="3">
        <v>1200</v>
      </c>
      <c r="BZ1231" s="3" t="s">
        <v>165</v>
      </c>
      <c r="CA1231" s="3" t="s">
        <v>266</v>
      </c>
      <c r="CC1231" s="3" t="s">
        <v>124</v>
      </c>
      <c r="CD1231" s="3">
        <v>1724</v>
      </c>
      <c r="CE1231" s="3" t="s">
        <v>93</v>
      </c>
      <c r="CF1231" s="4">
        <v>44580</v>
      </c>
      <c r="CI1231" s="3">
        <v>1</v>
      </c>
      <c r="CJ1231" s="3">
        <v>1</v>
      </c>
      <c r="CK1231" s="3">
        <v>22</v>
      </c>
      <c r="CL1231" s="3" t="s">
        <v>87</v>
      </c>
    </row>
    <row r="1232" spans="1:90" x14ac:dyDescent="0.2">
      <c r="A1232" s="3" t="s">
        <v>72</v>
      </c>
      <c r="B1232" s="3" t="s">
        <v>73</v>
      </c>
      <c r="C1232" s="3" t="s">
        <v>74</v>
      </c>
      <c r="E1232" s="3" t="str">
        <f>"FES1162845582"</f>
        <v>FES1162845582</v>
      </c>
      <c r="F1232" s="4">
        <v>44579</v>
      </c>
      <c r="G1232" s="3">
        <v>202207</v>
      </c>
      <c r="H1232" s="3" t="s">
        <v>75</v>
      </c>
      <c r="I1232" s="3" t="s">
        <v>76</v>
      </c>
      <c r="J1232" s="3" t="s">
        <v>77</v>
      </c>
      <c r="K1232" s="3" t="s">
        <v>78</v>
      </c>
      <c r="L1232" s="3" t="s">
        <v>75</v>
      </c>
      <c r="M1232" s="3" t="s">
        <v>76</v>
      </c>
      <c r="N1232" s="3" t="s">
        <v>224</v>
      </c>
      <c r="O1232" s="3" t="s">
        <v>82</v>
      </c>
      <c r="P1232" s="3" t="str">
        <f>"2170817114                    "</f>
        <v xml:space="preserve">2170817114                    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12.07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0</v>
      </c>
      <c r="AZ1232" s="3">
        <v>0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  <c r="BH1232" s="3">
        <v>1</v>
      </c>
      <c r="BI1232" s="3">
        <v>1</v>
      </c>
      <c r="BJ1232" s="3">
        <v>0.2</v>
      </c>
      <c r="BK1232" s="3">
        <v>1</v>
      </c>
      <c r="BL1232" s="3">
        <v>46.08</v>
      </c>
      <c r="BM1232" s="3">
        <v>6.91</v>
      </c>
      <c r="BN1232" s="3">
        <v>52.99</v>
      </c>
      <c r="BO1232" s="3">
        <v>52.99</v>
      </c>
      <c r="BQ1232" s="3" t="s">
        <v>83</v>
      </c>
      <c r="BR1232" s="3" t="s">
        <v>84</v>
      </c>
      <c r="BS1232" s="4">
        <v>44580</v>
      </c>
      <c r="BT1232" s="5">
        <v>0.35069444444444442</v>
      </c>
      <c r="BU1232" s="3" t="s">
        <v>347</v>
      </c>
      <c r="BV1232" s="3" t="s">
        <v>105</v>
      </c>
      <c r="BY1232" s="3">
        <v>1200</v>
      </c>
      <c r="BZ1232" s="3" t="s">
        <v>165</v>
      </c>
      <c r="CA1232" s="3" t="s">
        <v>227</v>
      </c>
      <c r="CC1232" s="3" t="s">
        <v>76</v>
      </c>
      <c r="CD1232" s="3">
        <v>1600</v>
      </c>
      <c r="CE1232" s="3" t="s">
        <v>93</v>
      </c>
      <c r="CF1232" s="4">
        <v>44580</v>
      </c>
      <c r="CI1232" s="3">
        <v>1</v>
      </c>
      <c r="CJ1232" s="3">
        <v>1</v>
      </c>
      <c r="CK1232" s="3">
        <v>22</v>
      </c>
      <c r="CL1232" s="3" t="s">
        <v>87</v>
      </c>
    </row>
    <row r="1233" spans="1:90" x14ac:dyDescent="0.2">
      <c r="A1233" s="3" t="s">
        <v>72</v>
      </c>
      <c r="B1233" s="3" t="s">
        <v>73</v>
      </c>
      <c r="C1233" s="3" t="s">
        <v>74</v>
      </c>
      <c r="E1233" s="3" t="str">
        <f>"FES1162845609"</f>
        <v>FES1162845609</v>
      </c>
      <c r="F1233" s="4">
        <v>44579</v>
      </c>
      <c r="G1233" s="3">
        <v>202207</v>
      </c>
      <c r="H1233" s="3" t="s">
        <v>75</v>
      </c>
      <c r="I1233" s="3" t="s">
        <v>76</v>
      </c>
      <c r="J1233" s="3" t="s">
        <v>77</v>
      </c>
      <c r="K1233" s="3" t="s">
        <v>78</v>
      </c>
      <c r="L1233" s="3" t="s">
        <v>90</v>
      </c>
      <c r="M1233" s="3" t="s">
        <v>91</v>
      </c>
      <c r="N1233" s="3" t="s">
        <v>157</v>
      </c>
      <c r="O1233" s="3" t="s">
        <v>82</v>
      </c>
      <c r="P1233" s="3" t="str">
        <f>"2170815192                    "</f>
        <v xml:space="preserve">2170815192                    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15.46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1</v>
      </c>
      <c r="BI1233" s="3">
        <v>1</v>
      </c>
      <c r="BJ1233" s="3">
        <v>0.2</v>
      </c>
      <c r="BK1233" s="3">
        <v>1</v>
      </c>
      <c r="BL1233" s="3">
        <v>59</v>
      </c>
      <c r="BM1233" s="3">
        <v>8.85</v>
      </c>
      <c r="BN1233" s="3">
        <v>67.849999999999994</v>
      </c>
      <c r="BO1233" s="3">
        <v>67.849999999999994</v>
      </c>
      <c r="BQ1233" s="3" t="s">
        <v>89</v>
      </c>
      <c r="BR1233" s="3" t="s">
        <v>84</v>
      </c>
      <c r="BS1233" s="4">
        <v>44580</v>
      </c>
      <c r="BT1233" s="5">
        <v>0.37847222222222227</v>
      </c>
      <c r="BU1233" s="3" t="s">
        <v>693</v>
      </c>
      <c r="BV1233" s="3" t="s">
        <v>105</v>
      </c>
      <c r="BY1233" s="3">
        <v>1200</v>
      </c>
      <c r="BZ1233" s="3" t="s">
        <v>165</v>
      </c>
      <c r="CA1233" s="3" t="s">
        <v>289</v>
      </c>
      <c r="CC1233" s="3" t="s">
        <v>91</v>
      </c>
      <c r="CD1233" s="3">
        <v>7441</v>
      </c>
      <c r="CE1233" s="3" t="s">
        <v>93</v>
      </c>
      <c r="CF1233" s="4">
        <v>44581</v>
      </c>
      <c r="CI1233" s="3">
        <v>1</v>
      </c>
      <c r="CJ1233" s="3">
        <v>1</v>
      </c>
      <c r="CK1233" s="3">
        <v>21</v>
      </c>
      <c r="CL1233" s="3" t="s">
        <v>87</v>
      </c>
    </row>
    <row r="1234" spans="1:90" x14ac:dyDescent="0.2">
      <c r="A1234" s="3" t="s">
        <v>72</v>
      </c>
      <c r="B1234" s="3" t="s">
        <v>73</v>
      </c>
      <c r="C1234" s="3" t="s">
        <v>74</v>
      </c>
      <c r="E1234" s="3" t="str">
        <f>"FES1162845565"</f>
        <v>FES1162845565</v>
      </c>
      <c r="F1234" s="4">
        <v>44579</v>
      </c>
      <c r="G1234" s="3">
        <v>202207</v>
      </c>
      <c r="H1234" s="3" t="s">
        <v>75</v>
      </c>
      <c r="I1234" s="3" t="s">
        <v>76</v>
      </c>
      <c r="J1234" s="3" t="s">
        <v>77</v>
      </c>
      <c r="K1234" s="3" t="s">
        <v>78</v>
      </c>
      <c r="L1234" s="3" t="s">
        <v>123</v>
      </c>
      <c r="M1234" s="3" t="s">
        <v>124</v>
      </c>
      <c r="N1234" s="3" t="s">
        <v>1577</v>
      </c>
      <c r="O1234" s="3" t="s">
        <v>82</v>
      </c>
      <c r="P1234" s="3" t="str">
        <f>"2170817089                    "</f>
        <v xml:space="preserve">2170817089                    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16.420000000000002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1</v>
      </c>
      <c r="BI1234" s="3">
        <v>7</v>
      </c>
      <c r="BJ1234" s="3">
        <v>9.1</v>
      </c>
      <c r="BK1234" s="3">
        <v>9.5</v>
      </c>
      <c r="BL1234" s="3">
        <v>62.67</v>
      </c>
      <c r="BM1234" s="3">
        <v>9.4</v>
      </c>
      <c r="BN1234" s="3">
        <v>72.069999999999993</v>
      </c>
      <c r="BO1234" s="3">
        <v>72.069999999999993</v>
      </c>
      <c r="BQ1234" s="3" t="s">
        <v>83</v>
      </c>
      <c r="BR1234" s="3" t="s">
        <v>84</v>
      </c>
      <c r="BS1234" s="4">
        <v>44580</v>
      </c>
      <c r="BT1234" s="5">
        <v>0.40069444444444446</v>
      </c>
      <c r="BU1234" s="3" t="s">
        <v>1578</v>
      </c>
      <c r="BV1234" s="3" t="s">
        <v>105</v>
      </c>
      <c r="BY1234" s="3">
        <v>45632</v>
      </c>
      <c r="BZ1234" s="3" t="s">
        <v>165</v>
      </c>
      <c r="CA1234" s="3" t="s">
        <v>266</v>
      </c>
      <c r="CC1234" s="3" t="s">
        <v>124</v>
      </c>
      <c r="CD1234" s="3">
        <v>1724</v>
      </c>
      <c r="CE1234" s="3" t="s">
        <v>86</v>
      </c>
      <c r="CF1234" s="4">
        <v>44580</v>
      </c>
      <c r="CI1234" s="3">
        <v>1</v>
      </c>
      <c r="CJ1234" s="3">
        <v>1</v>
      </c>
      <c r="CK1234" s="3">
        <v>22</v>
      </c>
      <c r="CL1234" s="3" t="s">
        <v>87</v>
      </c>
    </row>
    <row r="1235" spans="1:90" x14ac:dyDescent="0.2">
      <c r="A1235" s="3" t="s">
        <v>72</v>
      </c>
      <c r="B1235" s="3" t="s">
        <v>73</v>
      </c>
      <c r="C1235" s="3" t="s">
        <v>74</v>
      </c>
      <c r="E1235" s="3" t="str">
        <f>"FES1162845635"</f>
        <v>FES1162845635</v>
      </c>
      <c r="F1235" s="4">
        <v>44579</v>
      </c>
      <c r="G1235" s="3">
        <v>202207</v>
      </c>
      <c r="H1235" s="3" t="s">
        <v>75</v>
      </c>
      <c r="I1235" s="3" t="s">
        <v>76</v>
      </c>
      <c r="J1235" s="3" t="s">
        <v>77</v>
      </c>
      <c r="K1235" s="3" t="s">
        <v>78</v>
      </c>
      <c r="L1235" s="3" t="s">
        <v>75</v>
      </c>
      <c r="M1235" s="3" t="s">
        <v>76</v>
      </c>
      <c r="N1235" s="3" t="s">
        <v>224</v>
      </c>
      <c r="O1235" s="3" t="s">
        <v>82</v>
      </c>
      <c r="P1235" s="3" t="str">
        <f>"2170817143                    "</f>
        <v xml:space="preserve">2170817143                    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12.07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3">
        <v>1</v>
      </c>
      <c r="BI1235" s="3">
        <v>1</v>
      </c>
      <c r="BJ1235" s="3">
        <v>0.2</v>
      </c>
      <c r="BK1235" s="3">
        <v>1</v>
      </c>
      <c r="BL1235" s="3">
        <v>46.08</v>
      </c>
      <c r="BM1235" s="3">
        <v>6.91</v>
      </c>
      <c r="BN1235" s="3">
        <v>52.99</v>
      </c>
      <c r="BO1235" s="3">
        <v>52.99</v>
      </c>
      <c r="BQ1235" s="3" t="s">
        <v>83</v>
      </c>
      <c r="BR1235" s="3" t="s">
        <v>84</v>
      </c>
      <c r="BS1235" s="4">
        <v>44580</v>
      </c>
      <c r="BT1235" s="5">
        <v>0.35069444444444442</v>
      </c>
      <c r="BU1235" s="3" t="s">
        <v>347</v>
      </c>
      <c r="BV1235" s="3" t="s">
        <v>105</v>
      </c>
      <c r="BY1235" s="3">
        <v>1200</v>
      </c>
      <c r="BZ1235" s="3" t="s">
        <v>165</v>
      </c>
      <c r="CA1235" s="3" t="s">
        <v>227</v>
      </c>
      <c r="CC1235" s="3" t="s">
        <v>76</v>
      </c>
      <c r="CD1235" s="3">
        <v>1600</v>
      </c>
      <c r="CE1235" s="3" t="s">
        <v>93</v>
      </c>
      <c r="CF1235" s="4">
        <v>44580</v>
      </c>
      <c r="CI1235" s="3">
        <v>1</v>
      </c>
      <c r="CJ1235" s="3">
        <v>1</v>
      </c>
      <c r="CK1235" s="3">
        <v>22</v>
      </c>
      <c r="CL1235" s="3" t="s">
        <v>87</v>
      </c>
    </row>
    <row r="1236" spans="1:90" x14ac:dyDescent="0.2">
      <c r="A1236" s="3" t="s">
        <v>72</v>
      </c>
      <c r="B1236" s="3" t="s">
        <v>73</v>
      </c>
      <c r="C1236" s="3" t="s">
        <v>74</v>
      </c>
      <c r="E1236" s="3" t="str">
        <f>"FES1162845678"</f>
        <v>FES1162845678</v>
      </c>
      <c r="F1236" s="4">
        <v>44579</v>
      </c>
      <c r="G1236" s="3">
        <v>202207</v>
      </c>
      <c r="H1236" s="3" t="s">
        <v>75</v>
      </c>
      <c r="I1236" s="3" t="s">
        <v>76</v>
      </c>
      <c r="J1236" s="3" t="s">
        <v>77</v>
      </c>
      <c r="K1236" s="3" t="s">
        <v>78</v>
      </c>
      <c r="L1236" s="3" t="s">
        <v>90</v>
      </c>
      <c r="M1236" s="3" t="s">
        <v>91</v>
      </c>
      <c r="N1236" s="3" t="s">
        <v>114</v>
      </c>
      <c r="O1236" s="3" t="s">
        <v>82</v>
      </c>
      <c r="P1236" s="3" t="str">
        <f>"2170817187                    "</f>
        <v xml:space="preserve">2170817187                    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15.46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0</v>
      </c>
      <c r="AZ1236" s="3">
        <v>0</v>
      </c>
      <c r="BA1236" s="3">
        <v>0</v>
      </c>
      <c r="BB1236" s="3">
        <v>0</v>
      </c>
      <c r="BC1236" s="3">
        <v>0</v>
      </c>
      <c r="BD1236" s="3">
        <v>0</v>
      </c>
      <c r="BE1236" s="3">
        <v>0</v>
      </c>
      <c r="BF1236" s="3">
        <v>0</v>
      </c>
      <c r="BG1236" s="3">
        <v>0</v>
      </c>
      <c r="BH1236" s="3">
        <v>1</v>
      </c>
      <c r="BI1236" s="3">
        <v>1</v>
      </c>
      <c r="BJ1236" s="3">
        <v>0.2</v>
      </c>
      <c r="BK1236" s="3">
        <v>1</v>
      </c>
      <c r="BL1236" s="3">
        <v>59</v>
      </c>
      <c r="BM1236" s="3">
        <v>8.85</v>
      </c>
      <c r="BN1236" s="3">
        <v>67.849999999999994</v>
      </c>
      <c r="BO1236" s="3">
        <v>67.849999999999994</v>
      </c>
      <c r="BQ1236" s="3" t="s">
        <v>89</v>
      </c>
      <c r="BR1236" s="3" t="s">
        <v>84</v>
      </c>
      <c r="BS1236" s="4">
        <v>44580</v>
      </c>
      <c r="BT1236" s="5">
        <v>0.38750000000000001</v>
      </c>
      <c r="BU1236" s="3" t="s">
        <v>1205</v>
      </c>
      <c r="BV1236" s="3" t="s">
        <v>105</v>
      </c>
      <c r="BY1236" s="3">
        <v>1200</v>
      </c>
      <c r="BZ1236" s="3" t="s">
        <v>165</v>
      </c>
      <c r="CA1236" s="3" t="s">
        <v>289</v>
      </c>
      <c r="CC1236" s="3" t="s">
        <v>91</v>
      </c>
      <c r="CD1236" s="3">
        <v>7441</v>
      </c>
      <c r="CE1236" s="3" t="s">
        <v>93</v>
      </c>
      <c r="CF1236" s="4">
        <v>44581</v>
      </c>
      <c r="CI1236" s="3">
        <v>1</v>
      </c>
      <c r="CJ1236" s="3">
        <v>1</v>
      </c>
      <c r="CK1236" s="3">
        <v>21</v>
      </c>
      <c r="CL1236" s="3" t="s">
        <v>87</v>
      </c>
    </row>
    <row r="1237" spans="1:90" x14ac:dyDescent="0.2">
      <c r="A1237" s="3" t="s">
        <v>72</v>
      </c>
      <c r="B1237" s="3" t="s">
        <v>73</v>
      </c>
      <c r="C1237" s="3" t="s">
        <v>74</v>
      </c>
      <c r="E1237" s="3" t="str">
        <f>"FES1162845601"</f>
        <v>FES1162845601</v>
      </c>
      <c r="F1237" s="4">
        <v>44579</v>
      </c>
      <c r="G1237" s="3">
        <v>202207</v>
      </c>
      <c r="H1237" s="3" t="s">
        <v>75</v>
      </c>
      <c r="I1237" s="3" t="s">
        <v>76</v>
      </c>
      <c r="J1237" s="3" t="s">
        <v>77</v>
      </c>
      <c r="K1237" s="3" t="s">
        <v>78</v>
      </c>
      <c r="L1237" s="3" t="s">
        <v>195</v>
      </c>
      <c r="M1237" s="3" t="s">
        <v>196</v>
      </c>
      <c r="N1237" s="3" t="s">
        <v>197</v>
      </c>
      <c r="O1237" s="3" t="s">
        <v>82</v>
      </c>
      <c r="P1237" s="3" t="str">
        <f>"2170812574                    "</f>
        <v xml:space="preserve">2170812574                    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15.46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0</v>
      </c>
      <c r="AZ1237" s="3">
        <v>0</v>
      </c>
      <c r="BA1237" s="3">
        <v>0</v>
      </c>
      <c r="BB1237" s="3">
        <v>0</v>
      </c>
      <c r="BC1237" s="3">
        <v>0</v>
      </c>
      <c r="BD1237" s="3">
        <v>0</v>
      </c>
      <c r="BE1237" s="3">
        <v>0</v>
      </c>
      <c r="BF1237" s="3">
        <v>0</v>
      </c>
      <c r="BG1237" s="3">
        <v>0</v>
      </c>
      <c r="BH1237" s="3">
        <v>1</v>
      </c>
      <c r="BI1237" s="3">
        <v>1</v>
      </c>
      <c r="BJ1237" s="3">
        <v>0.2</v>
      </c>
      <c r="BK1237" s="3">
        <v>1</v>
      </c>
      <c r="BL1237" s="3">
        <v>59</v>
      </c>
      <c r="BM1237" s="3">
        <v>8.85</v>
      </c>
      <c r="BN1237" s="3">
        <v>67.849999999999994</v>
      </c>
      <c r="BO1237" s="3">
        <v>67.849999999999994</v>
      </c>
      <c r="BQ1237" s="3" t="s">
        <v>89</v>
      </c>
      <c r="BR1237" s="3" t="s">
        <v>84</v>
      </c>
      <c r="BS1237" s="4">
        <v>44582</v>
      </c>
      <c r="BT1237" s="5">
        <v>0.40069444444444446</v>
      </c>
      <c r="BU1237" s="3" t="s">
        <v>570</v>
      </c>
      <c r="BV1237" s="3" t="s">
        <v>87</v>
      </c>
      <c r="BW1237" s="3" t="s">
        <v>457</v>
      </c>
      <c r="BX1237" s="3" t="s">
        <v>758</v>
      </c>
      <c r="BY1237" s="3">
        <v>1200</v>
      </c>
      <c r="BZ1237" s="3" t="s">
        <v>165</v>
      </c>
      <c r="CA1237" s="3" t="s">
        <v>571</v>
      </c>
      <c r="CC1237" s="3" t="s">
        <v>196</v>
      </c>
      <c r="CD1237" s="3">
        <v>4302</v>
      </c>
      <c r="CE1237" s="3" t="s">
        <v>93</v>
      </c>
      <c r="CF1237" s="4">
        <v>44585</v>
      </c>
      <c r="CI1237" s="3">
        <v>1</v>
      </c>
      <c r="CJ1237" s="3">
        <v>3</v>
      </c>
      <c r="CK1237" s="3">
        <v>21</v>
      </c>
      <c r="CL1237" s="3" t="s">
        <v>87</v>
      </c>
    </row>
    <row r="1238" spans="1:90" x14ac:dyDescent="0.2">
      <c r="A1238" s="3" t="s">
        <v>72</v>
      </c>
      <c r="B1238" s="3" t="s">
        <v>73</v>
      </c>
      <c r="C1238" s="3" t="s">
        <v>74</v>
      </c>
      <c r="E1238" s="3" t="str">
        <f>"FES1162845660"</f>
        <v>FES1162845660</v>
      </c>
      <c r="F1238" s="4">
        <v>44579</v>
      </c>
      <c r="G1238" s="3">
        <v>202207</v>
      </c>
      <c r="H1238" s="3" t="s">
        <v>75</v>
      </c>
      <c r="I1238" s="3" t="s">
        <v>76</v>
      </c>
      <c r="J1238" s="3" t="s">
        <v>77</v>
      </c>
      <c r="K1238" s="3" t="s">
        <v>78</v>
      </c>
      <c r="L1238" s="3" t="s">
        <v>90</v>
      </c>
      <c r="M1238" s="3" t="s">
        <v>91</v>
      </c>
      <c r="N1238" s="3" t="s">
        <v>210</v>
      </c>
      <c r="O1238" s="3" t="s">
        <v>82</v>
      </c>
      <c r="P1238" s="3" t="str">
        <f>"2170817167                    "</f>
        <v xml:space="preserve">2170817167                    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15.46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1</v>
      </c>
      <c r="BI1238" s="3">
        <v>1</v>
      </c>
      <c r="BJ1238" s="3">
        <v>0.2</v>
      </c>
      <c r="BK1238" s="3">
        <v>1</v>
      </c>
      <c r="BL1238" s="3">
        <v>59</v>
      </c>
      <c r="BM1238" s="3">
        <v>8.85</v>
      </c>
      <c r="BN1238" s="3">
        <v>67.849999999999994</v>
      </c>
      <c r="BO1238" s="3">
        <v>67.849999999999994</v>
      </c>
      <c r="BQ1238" s="3" t="s">
        <v>89</v>
      </c>
      <c r="BR1238" s="3" t="s">
        <v>84</v>
      </c>
      <c r="BS1238" s="4">
        <v>44580</v>
      </c>
      <c r="BT1238" s="5">
        <v>0.46736111111111112</v>
      </c>
      <c r="BU1238" s="3" t="s">
        <v>1579</v>
      </c>
      <c r="BV1238" s="3" t="s">
        <v>87</v>
      </c>
      <c r="BW1238" s="3" t="s">
        <v>457</v>
      </c>
      <c r="BX1238" s="3" t="s">
        <v>354</v>
      </c>
      <c r="BY1238" s="3">
        <v>1200</v>
      </c>
      <c r="CA1238" s="3" t="s">
        <v>289</v>
      </c>
      <c r="CC1238" s="3" t="s">
        <v>91</v>
      </c>
      <c r="CD1238" s="3">
        <v>7441</v>
      </c>
      <c r="CE1238" s="3" t="s">
        <v>93</v>
      </c>
      <c r="CF1238" s="4">
        <v>44581</v>
      </c>
      <c r="CI1238" s="3">
        <v>1</v>
      </c>
      <c r="CJ1238" s="3">
        <v>1</v>
      </c>
      <c r="CK1238" s="3">
        <v>21</v>
      </c>
      <c r="CL1238" s="3" t="s">
        <v>87</v>
      </c>
    </row>
    <row r="1239" spans="1:90" x14ac:dyDescent="0.2">
      <c r="A1239" s="3" t="s">
        <v>72</v>
      </c>
      <c r="B1239" s="3" t="s">
        <v>73</v>
      </c>
      <c r="C1239" s="3" t="s">
        <v>74</v>
      </c>
      <c r="E1239" s="3" t="str">
        <f>"FES1162845578"</f>
        <v>FES1162845578</v>
      </c>
      <c r="F1239" s="4">
        <v>44579</v>
      </c>
      <c r="G1239" s="3">
        <v>202207</v>
      </c>
      <c r="H1239" s="3" t="s">
        <v>75</v>
      </c>
      <c r="I1239" s="3" t="s">
        <v>76</v>
      </c>
      <c r="J1239" s="3" t="s">
        <v>77</v>
      </c>
      <c r="K1239" s="3" t="s">
        <v>78</v>
      </c>
      <c r="L1239" s="3" t="s">
        <v>138</v>
      </c>
      <c r="M1239" s="3" t="s">
        <v>139</v>
      </c>
      <c r="N1239" s="3" t="s">
        <v>1206</v>
      </c>
      <c r="O1239" s="3" t="s">
        <v>82</v>
      </c>
      <c r="P1239" s="3" t="str">
        <f>"2170817109                    "</f>
        <v xml:space="preserve">2170817109                    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15.46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0</v>
      </c>
      <c r="AZ1239" s="3">
        <v>0</v>
      </c>
      <c r="BA1239" s="3">
        <v>0</v>
      </c>
      <c r="BB1239" s="3">
        <v>0</v>
      </c>
      <c r="BC1239" s="3">
        <v>0</v>
      </c>
      <c r="BD1239" s="3">
        <v>0</v>
      </c>
      <c r="BE1239" s="3">
        <v>0</v>
      </c>
      <c r="BF1239" s="3">
        <v>0</v>
      </c>
      <c r="BG1239" s="3">
        <v>0</v>
      </c>
      <c r="BH1239" s="3">
        <v>1</v>
      </c>
      <c r="BI1239" s="3">
        <v>1</v>
      </c>
      <c r="BJ1239" s="3">
        <v>0.2</v>
      </c>
      <c r="BK1239" s="3">
        <v>1</v>
      </c>
      <c r="BL1239" s="3">
        <v>59</v>
      </c>
      <c r="BM1239" s="3">
        <v>8.85</v>
      </c>
      <c r="BN1239" s="3">
        <v>67.849999999999994</v>
      </c>
      <c r="BO1239" s="3">
        <v>67.849999999999994</v>
      </c>
      <c r="BR1239" s="3" t="s">
        <v>84</v>
      </c>
      <c r="BS1239" s="4">
        <v>44580</v>
      </c>
      <c r="BT1239" s="5">
        <v>0.38055555555555554</v>
      </c>
      <c r="BU1239" s="3" t="s">
        <v>559</v>
      </c>
      <c r="BV1239" s="3" t="s">
        <v>105</v>
      </c>
      <c r="BY1239" s="3">
        <v>1200</v>
      </c>
      <c r="CA1239" s="3" t="s">
        <v>303</v>
      </c>
      <c r="CC1239" s="3" t="s">
        <v>139</v>
      </c>
      <c r="CD1239" s="3">
        <v>3610</v>
      </c>
      <c r="CE1239" s="3" t="s">
        <v>93</v>
      </c>
      <c r="CF1239" s="4">
        <v>44581</v>
      </c>
      <c r="CI1239" s="3">
        <v>1</v>
      </c>
      <c r="CJ1239" s="3">
        <v>1</v>
      </c>
      <c r="CK1239" s="3">
        <v>21</v>
      </c>
      <c r="CL1239" s="3" t="s">
        <v>87</v>
      </c>
    </row>
    <row r="1240" spans="1:90" x14ac:dyDescent="0.2">
      <c r="A1240" s="3" t="s">
        <v>72</v>
      </c>
      <c r="B1240" s="3" t="s">
        <v>73</v>
      </c>
      <c r="C1240" s="3" t="s">
        <v>74</v>
      </c>
      <c r="E1240" s="3" t="str">
        <f>"FES1162845619"</f>
        <v>FES1162845619</v>
      </c>
      <c r="F1240" s="4">
        <v>44579</v>
      </c>
      <c r="G1240" s="3">
        <v>202207</v>
      </c>
      <c r="H1240" s="3" t="s">
        <v>75</v>
      </c>
      <c r="I1240" s="3" t="s">
        <v>76</v>
      </c>
      <c r="J1240" s="3" t="s">
        <v>77</v>
      </c>
      <c r="K1240" s="3" t="s">
        <v>78</v>
      </c>
      <c r="L1240" s="3" t="s">
        <v>90</v>
      </c>
      <c r="M1240" s="3" t="s">
        <v>91</v>
      </c>
      <c r="N1240" s="3" t="s">
        <v>132</v>
      </c>
      <c r="O1240" s="3" t="s">
        <v>82</v>
      </c>
      <c r="P1240" s="3" t="str">
        <f>"2170815545                    "</f>
        <v xml:space="preserve">2170815545                    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15.46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0</v>
      </c>
      <c r="AZ1240" s="3">
        <v>0</v>
      </c>
      <c r="BA1240" s="3">
        <v>0</v>
      </c>
      <c r="BB1240" s="3">
        <v>0</v>
      </c>
      <c r="BC1240" s="3">
        <v>0</v>
      </c>
      <c r="BD1240" s="3">
        <v>0</v>
      </c>
      <c r="BE1240" s="3">
        <v>0</v>
      </c>
      <c r="BF1240" s="3">
        <v>0</v>
      </c>
      <c r="BG1240" s="3">
        <v>0</v>
      </c>
      <c r="BH1240" s="3">
        <v>1</v>
      </c>
      <c r="BI1240" s="3">
        <v>1</v>
      </c>
      <c r="BJ1240" s="3">
        <v>0.2</v>
      </c>
      <c r="BK1240" s="3">
        <v>1</v>
      </c>
      <c r="BL1240" s="3">
        <v>59</v>
      </c>
      <c r="BM1240" s="3">
        <v>8.85</v>
      </c>
      <c r="BN1240" s="3">
        <v>67.849999999999994</v>
      </c>
      <c r="BO1240" s="3">
        <v>67.849999999999994</v>
      </c>
      <c r="BQ1240" s="3" t="s">
        <v>83</v>
      </c>
      <c r="BR1240" s="3" t="s">
        <v>84</v>
      </c>
      <c r="BS1240" s="4">
        <v>44580</v>
      </c>
      <c r="BT1240" s="5">
        <v>0.43402777777777773</v>
      </c>
      <c r="BU1240" s="3" t="s">
        <v>595</v>
      </c>
      <c r="BV1240" s="3" t="s">
        <v>105</v>
      </c>
      <c r="BY1240" s="3">
        <v>1200</v>
      </c>
      <c r="BZ1240" s="3" t="s">
        <v>165</v>
      </c>
      <c r="CA1240" s="3" t="s">
        <v>596</v>
      </c>
      <c r="CC1240" s="3" t="s">
        <v>91</v>
      </c>
      <c r="CD1240" s="3">
        <v>7530</v>
      </c>
      <c r="CE1240" s="3" t="s">
        <v>93</v>
      </c>
      <c r="CF1240" s="4">
        <v>44581</v>
      </c>
      <c r="CI1240" s="3">
        <v>1</v>
      </c>
      <c r="CJ1240" s="3">
        <v>1</v>
      </c>
      <c r="CK1240" s="3">
        <v>21</v>
      </c>
      <c r="CL1240" s="3" t="s">
        <v>87</v>
      </c>
    </row>
    <row r="1241" spans="1:90" x14ac:dyDescent="0.2">
      <c r="A1241" s="3" t="s">
        <v>72</v>
      </c>
      <c r="B1241" s="3" t="s">
        <v>73</v>
      </c>
      <c r="C1241" s="3" t="s">
        <v>74</v>
      </c>
      <c r="E1241" s="3" t="str">
        <f>"FES1162845577"</f>
        <v>FES1162845577</v>
      </c>
      <c r="F1241" s="4">
        <v>44579</v>
      </c>
      <c r="G1241" s="3">
        <v>202207</v>
      </c>
      <c r="H1241" s="3" t="s">
        <v>75</v>
      </c>
      <c r="I1241" s="3" t="s">
        <v>76</v>
      </c>
      <c r="J1241" s="3" t="s">
        <v>77</v>
      </c>
      <c r="K1241" s="3" t="s">
        <v>78</v>
      </c>
      <c r="L1241" s="3" t="s">
        <v>171</v>
      </c>
      <c r="M1241" s="3" t="s">
        <v>172</v>
      </c>
      <c r="N1241" s="3" t="s">
        <v>235</v>
      </c>
      <c r="O1241" s="3" t="s">
        <v>82</v>
      </c>
      <c r="P1241" s="3" t="str">
        <f>"2170817107                    "</f>
        <v xml:space="preserve">2170817107                    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15.46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0</v>
      </c>
      <c r="AZ1241" s="3">
        <v>0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1</v>
      </c>
      <c r="BI1241" s="3">
        <v>1</v>
      </c>
      <c r="BJ1241" s="3">
        <v>0.2</v>
      </c>
      <c r="BK1241" s="3">
        <v>1</v>
      </c>
      <c r="BL1241" s="3">
        <v>59</v>
      </c>
      <c r="BM1241" s="3">
        <v>8.85</v>
      </c>
      <c r="BN1241" s="3">
        <v>67.849999999999994</v>
      </c>
      <c r="BO1241" s="3">
        <v>67.849999999999994</v>
      </c>
      <c r="BQ1241" s="3" t="s">
        <v>83</v>
      </c>
      <c r="BR1241" s="3" t="s">
        <v>84</v>
      </c>
      <c r="BS1241" s="4">
        <v>44581</v>
      </c>
      <c r="BT1241" s="5">
        <v>0.35347222222222219</v>
      </c>
      <c r="BU1241" s="3" t="s">
        <v>1385</v>
      </c>
      <c r="BV1241" s="3" t="s">
        <v>87</v>
      </c>
      <c r="BW1241" s="3" t="s">
        <v>647</v>
      </c>
      <c r="BX1241" s="3" t="s">
        <v>458</v>
      </c>
      <c r="BY1241" s="3">
        <v>1200</v>
      </c>
      <c r="BZ1241" s="3" t="s">
        <v>165</v>
      </c>
      <c r="CA1241" s="3" t="s">
        <v>1580</v>
      </c>
      <c r="CC1241" s="3" t="s">
        <v>172</v>
      </c>
      <c r="CD1241" s="3">
        <v>6001</v>
      </c>
      <c r="CE1241" s="3" t="s">
        <v>93</v>
      </c>
      <c r="CF1241" s="4">
        <v>44582</v>
      </c>
      <c r="CI1241" s="3">
        <v>1</v>
      </c>
      <c r="CJ1241" s="3">
        <v>2</v>
      </c>
      <c r="CK1241" s="3">
        <v>21</v>
      </c>
      <c r="CL1241" s="3" t="s">
        <v>87</v>
      </c>
    </row>
    <row r="1242" spans="1:90" x14ac:dyDescent="0.2">
      <c r="A1242" s="3" t="s">
        <v>72</v>
      </c>
      <c r="B1242" s="3" t="s">
        <v>73</v>
      </c>
      <c r="C1242" s="3" t="s">
        <v>74</v>
      </c>
      <c r="E1242" s="3" t="str">
        <f>"FES1162845534"</f>
        <v>FES1162845534</v>
      </c>
      <c r="F1242" s="4">
        <v>44579</v>
      </c>
      <c r="G1242" s="3">
        <v>202207</v>
      </c>
      <c r="H1242" s="3" t="s">
        <v>75</v>
      </c>
      <c r="I1242" s="3" t="s">
        <v>76</v>
      </c>
      <c r="J1242" s="3" t="s">
        <v>77</v>
      </c>
      <c r="K1242" s="3" t="s">
        <v>78</v>
      </c>
      <c r="L1242" s="3" t="s">
        <v>75</v>
      </c>
      <c r="M1242" s="3" t="s">
        <v>76</v>
      </c>
      <c r="N1242" s="3" t="s">
        <v>1393</v>
      </c>
      <c r="O1242" s="3" t="s">
        <v>82</v>
      </c>
      <c r="P1242" s="3" t="str">
        <f>"2170815324                    "</f>
        <v xml:space="preserve">2170815324                    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12.07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3">
        <v>0</v>
      </c>
      <c r="BD1242" s="3">
        <v>0</v>
      </c>
      <c r="BE1242" s="3">
        <v>0</v>
      </c>
      <c r="BF1242" s="3">
        <v>0</v>
      </c>
      <c r="BG1242" s="3">
        <v>0</v>
      </c>
      <c r="BH1242" s="3">
        <v>1</v>
      </c>
      <c r="BI1242" s="3">
        <v>1</v>
      </c>
      <c r="BJ1242" s="3">
        <v>0.2</v>
      </c>
      <c r="BK1242" s="3">
        <v>1</v>
      </c>
      <c r="BL1242" s="3">
        <v>46.08</v>
      </c>
      <c r="BM1242" s="3">
        <v>6.91</v>
      </c>
      <c r="BN1242" s="3">
        <v>52.99</v>
      </c>
      <c r="BO1242" s="3">
        <v>52.99</v>
      </c>
      <c r="BQ1242" s="3" t="s">
        <v>83</v>
      </c>
      <c r="BR1242" s="3" t="s">
        <v>84</v>
      </c>
      <c r="BS1242" s="4">
        <v>44580</v>
      </c>
      <c r="BT1242" s="5">
        <v>0.32430555555555557</v>
      </c>
      <c r="BU1242" s="3" t="s">
        <v>1394</v>
      </c>
      <c r="BV1242" s="3" t="s">
        <v>105</v>
      </c>
      <c r="BY1242" s="3">
        <v>1200</v>
      </c>
      <c r="BZ1242" s="3" t="s">
        <v>165</v>
      </c>
      <c r="CA1242" s="3" t="s">
        <v>607</v>
      </c>
      <c r="CC1242" s="3" t="s">
        <v>76</v>
      </c>
      <c r="CD1242" s="3">
        <v>1665</v>
      </c>
      <c r="CE1242" s="3" t="s">
        <v>93</v>
      </c>
      <c r="CF1242" s="4">
        <v>44581</v>
      </c>
      <c r="CI1242" s="3">
        <v>1</v>
      </c>
      <c r="CJ1242" s="3">
        <v>1</v>
      </c>
      <c r="CK1242" s="3">
        <v>22</v>
      </c>
      <c r="CL1242" s="3" t="s">
        <v>87</v>
      </c>
    </row>
    <row r="1243" spans="1:90" x14ac:dyDescent="0.2">
      <c r="A1243" s="3" t="s">
        <v>72</v>
      </c>
      <c r="B1243" s="3" t="s">
        <v>73</v>
      </c>
      <c r="C1243" s="3" t="s">
        <v>74</v>
      </c>
      <c r="E1243" s="3" t="str">
        <f>"FES1162845623"</f>
        <v>FES1162845623</v>
      </c>
      <c r="F1243" s="4">
        <v>44579</v>
      </c>
      <c r="G1243" s="3">
        <v>202207</v>
      </c>
      <c r="H1243" s="3" t="s">
        <v>75</v>
      </c>
      <c r="I1243" s="3" t="s">
        <v>76</v>
      </c>
      <c r="J1243" s="3" t="s">
        <v>77</v>
      </c>
      <c r="K1243" s="3" t="s">
        <v>78</v>
      </c>
      <c r="L1243" s="3" t="s">
        <v>529</v>
      </c>
      <c r="M1243" s="3" t="s">
        <v>530</v>
      </c>
      <c r="N1243" s="3" t="s">
        <v>531</v>
      </c>
      <c r="O1243" s="3" t="s">
        <v>82</v>
      </c>
      <c r="P1243" s="3" t="str">
        <f>"2170815587                    "</f>
        <v xml:space="preserve">2170815587                    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29.95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0</v>
      </c>
      <c r="AZ1243" s="3">
        <v>0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0</v>
      </c>
      <c r="BG1243" s="3">
        <v>0</v>
      </c>
      <c r="BH1243" s="3">
        <v>1</v>
      </c>
      <c r="BI1243" s="3">
        <v>1</v>
      </c>
      <c r="BJ1243" s="3">
        <v>0.2</v>
      </c>
      <c r="BK1243" s="3">
        <v>1</v>
      </c>
      <c r="BL1243" s="3">
        <v>114.31</v>
      </c>
      <c r="BM1243" s="3">
        <v>17.149999999999999</v>
      </c>
      <c r="BN1243" s="3">
        <v>131.46</v>
      </c>
      <c r="BO1243" s="3">
        <v>131.46</v>
      </c>
      <c r="BQ1243" s="3" t="s">
        <v>83</v>
      </c>
      <c r="BR1243" s="3" t="s">
        <v>84</v>
      </c>
      <c r="BS1243" s="4">
        <v>44580</v>
      </c>
      <c r="BT1243" s="5">
        <v>0.6069444444444444</v>
      </c>
      <c r="BU1243" s="3" t="s">
        <v>1581</v>
      </c>
      <c r="BV1243" s="3" t="s">
        <v>105</v>
      </c>
      <c r="BY1243" s="3">
        <v>1200</v>
      </c>
      <c r="BZ1243" s="3" t="s">
        <v>165</v>
      </c>
      <c r="CC1243" s="3" t="s">
        <v>530</v>
      </c>
      <c r="CD1243" s="3">
        <v>6500</v>
      </c>
      <c r="CE1243" s="3" t="s">
        <v>93</v>
      </c>
      <c r="CF1243" s="4">
        <v>44581</v>
      </c>
      <c r="CI1243" s="3">
        <v>1</v>
      </c>
      <c r="CJ1243" s="3">
        <v>1</v>
      </c>
      <c r="CK1243" s="3">
        <v>23</v>
      </c>
      <c r="CL1243" s="3" t="s">
        <v>87</v>
      </c>
    </row>
    <row r="1244" spans="1:90" x14ac:dyDescent="0.2">
      <c r="A1244" s="3" t="s">
        <v>72</v>
      </c>
      <c r="B1244" s="3" t="s">
        <v>73</v>
      </c>
      <c r="C1244" s="3" t="s">
        <v>74</v>
      </c>
      <c r="E1244" s="3" t="str">
        <f>"FES1162845628"</f>
        <v>FES1162845628</v>
      </c>
      <c r="F1244" s="4">
        <v>44579</v>
      </c>
      <c r="G1244" s="3">
        <v>202207</v>
      </c>
      <c r="H1244" s="3" t="s">
        <v>75</v>
      </c>
      <c r="I1244" s="3" t="s">
        <v>76</v>
      </c>
      <c r="J1244" s="3" t="s">
        <v>77</v>
      </c>
      <c r="K1244" s="3" t="s">
        <v>78</v>
      </c>
      <c r="L1244" s="3" t="s">
        <v>101</v>
      </c>
      <c r="M1244" s="3" t="s">
        <v>102</v>
      </c>
      <c r="N1244" s="3" t="s">
        <v>103</v>
      </c>
      <c r="O1244" s="3" t="s">
        <v>82</v>
      </c>
      <c r="P1244" s="3" t="str">
        <f>"2170815671                    "</f>
        <v xml:space="preserve">2170815671                    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34.770000000000003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0</v>
      </c>
      <c r="AZ1244" s="3">
        <v>0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1</v>
      </c>
      <c r="BI1244" s="3">
        <v>4</v>
      </c>
      <c r="BJ1244" s="3">
        <v>4.0999999999999996</v>
      </c>
      <c r="BK1244" s="3">
        <v>4.5</v>
      </c>
      <c r="BL1244" s="3">
        <v>132.71</v>
      </c>
      <c r="BM1244" s="3">
        <v>19.91</v>
      </c>
      <c r="BN1244" s="3">
        <v>152.62</v>
      </c>
      <c r="BO1244" s="3">
        <v>152.62</v>
      </c>
      <c r="BQ1244" s="3" t="s">
        <v>83</v>
      </c>
      <c r="BR1244" s="3" t="s">
        <v>84</v>
      </c>
      <c r="BS1244" s="4">
        <v>44580</v>
      </c>
      <c r="BT1244" s="5">
        <v>0.33333333333333331</v>
      </c>
      <c r="BU1244" s="3" t="s">
        <v>463</v>
      </c>
      <c r="BV1244" s="3" t="s">
        <v>105</v>
      </c>
      <c r="BY1244" s="3">
        <v>20358</v>
      </c>
      <c r="BZ1244" s="3" t="s">
        <v>165</v>
      </c>
      <c r="CA1244" s="3" t="s">
        <v>334</v>
      </c>
      <c r="CC1244" s="3" t="s">
        <v>102</v>
      </c>
      <c r="CD1244" s="3">
        <v>4001</v>
      </c>
      <c r="CE1244" s="3" t="s">
        <v>86</v>
      </c>
      <c r="CF1244" s="4">
        <v>44581</v>
      </c>
      <c r="CI1244" s="3">
        <v>1</v>
      </c>
      <c r="CJ1244" s="3">
        <v>1</v>
      </c>
      <c r="CK1244" s="3">
        <v>21</v>
      </c>
      <c r="CL1244" s="3" t="s">
        <v>87</v>
      </c>
    </row>
    <row r="1245" spans="1:90" x14ac:dyDescent="0.2">
      <c r="A1245" s="3" t="s">
        <v>72</v>
      </c>
      <c r="B1245" s="3" t="s">
        <v>73</v>
      </c>
      <c r="C1245" s="3" t="s">
        <v>74</v>
      </c>
      <c r="E1245" s="3" t="str">
        <f>"FES1162845584"</f>
        <v>FES1162845584</v>
      </c>
      <c r="F1245" s="4">
        <v>44579</v>
      </c>
      <c r="G1245" s="3">
        <v>202207</v>
      </c>
      <c r="H1245" s="3" t="s">
        <v>75</v>
      </c>
      <c r="I1245" s="3" t="s">
        <v>76</v>
      </c>
      <c r="J1245" s="3" t="s">
        <v>77</v>
      </c>
      <c r="K1245" s="3" t="s">
        <v>78</v>
      </c>
      <c r="L1245" s="3" t="s">
        <v>258</v>
      </c>
      <c r="M1245" s="3" t="s">
        <v>259</v>
      </c>
      <c r="N1245" s="3" t="s">
        <v>412</v>
      </c>
      <c r="O1245" s="3" t="s">
        <v>82</v>
      </c>
      <c r="P1245" s="3" t="str">
        <f>"2170817117                    "</f>
        <v xml:space="preserve">2170817117                    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21.74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3">
        <v>1</v>
      </c>
      <c r="BI1245" s="3">
        <v>2</v>
      </c>
      <c r="BJ1245" s="3">
        <v>2</v>
      </c>
      <c r="BK1245" s="3">
        <v>2</v>
      </c>
      <c r="BL1245" s="3">
        <v>82.98</v>
      </c>
      <c r="BM1245" s="3">
        <v>12.45</v>
      </c>
      <c r="BN1245" s="3">
        <v>95.43</v>
      </c>
      <c r="BO1245" s="3">
        <v>95.43</v>
      </c>
      <c r="BQ1245" s="3" t="s">
        <v>83</v>
      </c>
      <c r="BR1245" s="3" t="s">
        <v>84</v>
      </c>
      <c r="BS1245" s="4">
        <v>44580</v>
      </c>
      <c r="BT1245" s="5">
        <v>0.41250000000000003</v>
      </c>
      <c r="BU1245" s="3" t="s">
        <v>1582</v>
      </c>
      <c r="BV1245" s="3" t="s">
        <v>105</v>
      </c>
      <c r="BY1245" s="3">
        <v>9918</v>
      </c>
      <c r="BZ1245" s="3" t="s">
        <v>165</v>
      </c>
      <c r="CA1245" s="3" t="s">
        <v>779</v>
      </c>
      <c r="CC1245" s="3" t="s">
        <v>259</v>
      </c>
      <c r="CD1245" s="3">
        <v>2302</v>
      </c>
      <c r="CE1245" s="3" t="s">
        <v>86</v>
      </c>
      <c r="CF1245" s="4">
        <v>44581</v>
      </c>
      <c r="CI1245" s="3">
        <v>1</v>
      </c>
      <c r="CJ1245" s="3">
        <v>1</v>
      </c>
      <c r="CK1245" s="3">
        <v>24</v>
      </c>
      <c r="CL1245" s="3" t="s">
        <v>87</v>
      </c>
    </row>
    <row r="1246" spans="1:90" x14ac:dyDescent="0.2">
      <c r="A1246" s="3" t="s">
        <v>72</v>
      </c>
      <c r="B1246" s="3" t="s">
        <v>73</v>
      </c>
      <c r="C1246" s="3" t="s">
        <v>74</v>
      </c>
      <c r="E1246" s="3" t="str">
        <f>"FES1162845535"</f>
        <v>FES1162845535</v>
      </c>
      <c r="F1246" s="4">
        <v>44579</v>
      </c>
      <c r="G1246" s="3">
        <v>202207</v>
      </c>
      <c r="H1246" s="3" t="s">
        <v>75</v>
      </c>
      <c r="I1246" s="3" t="s">
        <v>76</v>
      </c>
      <c r="J1246" s="3" t="s">
        <v>77</v>
      </c>
      <c r="K1246" s="3" t="s">
        <v>78</v>
      </c>
      <c r="L1246" s="3" t="s">
        <v>90</v>
      </c>
      <c r="M1246" s="3" t="s">
        <v>91</v>
      </c>
      <c r="N1246" s="3" t="s">
        <v>132</v>
      </c>
      <c r="O1246" s="3" t="s">
        <v>82</v>
      </c>
      <c r="P1246" s="3" t="str">
        <f>"2170815364                    "</f>
        <v xml:space="preserve">2170815364                    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54.08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0</v>
      </c>
      <c r="AZ1246" s="3">
        <v>0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3">
        <v>1</v>
      </c>
      <c r="BI1246" s="3">
        <v>7</v>
      </c>
      <c r="BJ1246" s="3">
        <v>4.0999999999999996</v>
      </c>
      <c r="BK1246" s="3">
        <v>7</v>
      </c>
      <c r="BL1246" s="3">
        <v>206.42</v>
      </c>
      <c r="BM1246" s="3">
        <v>30.96</v>
      </c>
      <c r="BN1246" s="3">
        <v>237.38</v>
      </c>
      <c r="BO1246" s="3">
        <v>237.38</v>
      </c>
      <c r="BQ1246" s="3" t="s">
        <v>83</v>
      </c>
      <c r="BR1246" s="3" t="s">
        <v>84</v>
      </c>
      <c r="BS1246" s="4">
        <v>44580</v>
      </c>
      <c r="BT1246" s="5">
        <v>0.43402777777777773</v>
      </c>
      <c r="BU1246" s="3" t="s">
        <v>595</v>
      </c>
      <c r="BV1246" s="3" t="s">
        <v>105</v>
      </c>
      <c r="BY1246" s="3">
        <v>20358</v>
      </c>
      <c r="BZ1246" s="3" t="s">
        <v>165</v>
      </c>
      <c r="CA1246" s="3" t="s">
        <v>596</v>
      </c>
      <c r="CC1246" s="3" t="s">
        <v>91</v>
      </c>
      <c r="CD1246" s="3">
        <v>7530</v>
      </c>
      <c r="CE1246" s="3" t="s">
        <v>86</v>
      </c>
      <c r="CF1246" s="4">
        <v>44581</v>
      </c>
      <c r="CI1246" s="3">
        <v>1</v>
      </c>
      <c r="CJ1246" s="3">
        <v>1</v>
      </c>
      <c r="CK1246" s="3">
        <v>21</v>
      </c>
      <c r="CL1246" s="3" t="s">
        <v>87</v>
      </c>
    </row>
    <row r="1247" spans="1:90" x14ac:dyDescent="0.2">
      <c r="A1247" s="3" t="s">
        <v>72</v>
      </c>
      <c r="B1247" s="3" t="s">
        <v>73</v>
      </c>
      <c r="C1247" s="3" t="s">
        <v>74</v>
      </c>
      <c r="E1247" s="3" t="str">
        <f>"FES1162845599"</f>
        <v>FES1162845599</v>
      </c>
      <c r="F1247" s="4">
        <v>44579</v>
      </c>
      <c r="G1247" s="3">
        <v>202207</v>
      </c>
      <c r="H1247" s="3" t="s">
        <v>75</v>
      </c>
      <c r="I1247" s="3" t="s">
        <v>76</v>
      </c>
      <c r="J1247" s="3" t="s">
        <v>77</v>
      </c>
      <c r="K1247" s="3" t="s">
        <v>78</v>
      </c>
      <c r="L1247" s="3" t="s">
        <v>75</v>
      </c>
      <c r="M1247" s="3" t="s">
        <v>76</v>
      </c>
      <c r="N1247" s="3" t="s">
        <v>1122</v>
      </c>
      <c r="O1247" s="3" t="s">
        <v>82</v>
      </c>
      <c r="P1247" s="3" t="str">
        <f>"2170811693                    "</f>
        <v xml:space="preserve">2170811693                    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12.07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0</v>
      </c>
      <c r="AZ1247" s="3">
        <v>0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  <c r="BH1247" s="3">
        <v>1</v>
      </c>
      <c r="BI1247" s="3">
        <v>1</v>
      </c>
      <c r="BJ1247" s="3">
        <v>2</v>
      </c>
      <c r="BK1247" s="3">
        <v>2</v>
      </c>
      <c r="BL1247" s="3">
        <v>46.08</v>
      </c>
      <c r="BM1247" s="3">
        <v>6.91</v>
      </c>
      <c r="BN1247" s="3">
        <v>52.99</v>
      </c>
      <c r="BO1247" s="3">
        <v>52.99</v>
      </c>
      <c r="BQ1247" s="3" t="s">
        <v>83</v>
      </c>
      <c r="BR1247" s="3" t="s">
        <v>84</v>
      </c>
      <c r="BS1247" s="4">
        <v>44580</v>
      </c>
      <c r="BT1247" s="5">
        <v>0.36527777777777781</v>
      </c>
      <c r="BU1247" s="3" t="s">
        <v>1123</v>
      </c>
      <c r="BV1247" s="3" t="s">
        <v>105</v>
      </c>
      <c r="BY1247" s="3">
        <v>9918</v>
      </c>
      <c r="BZ1247" s="3" t="s">
        <v>165</v>
      </c>
      <c r="CA1247" s="3" t="s">
        <v>227</v>
      </c>
      <c r="CC1247" s="3" t="s">
        <v>76</v>
      </c>
      <c r="CD1247" s="3">
        <v>1600</v>
      </c>
      <c r="CE1247" s="3" t="s">
        <v>86</v>
      </c>
      <c r="CF1247" s="4">
        <v>44580</v>
      </c>
      <c r="CI1247" s="3">
        <v>1</v>
      </c>
      <c r="CJ1247" s="3">
        <v>1</v>
      </c>
      <c r="CK1247" s="3">
        <v>22</v>
      </c>
      <c r="CL1247" s="3" t="s">
        <v>87</v>
      </c>
    </row>
    <row r="1248" spans="1:90" x14ac:dyDescent="0.2">
      <c r="A1248" s="3" t="s">
        <v>72</v>
      </c>
      <c r="B1248" s="3" t="s">
        <v>73</v>
      </c>
      <c r="C1248" s="3" t="s">
        <v>74</v>
      </c>
      <c r="E1248" s="3" t="str">
        <f>"FES1162845560"</f>
        <v>FES1162845560</v>
      </c>
      <c r="F1248" s="4">
        <v>44579</v>
      </c>
      <c r="G1248" s="3">
        <v>202207</v>
      </c>
      <c r="H1248" s="3" t="s">
        <v>75</v>
      </c>
      <c r="I1248" s="3" t="s">
        <v>76</v>
      </c>
      <c r="J1248" s="3" t="s">
        <v>77</v>
      </c>
      <c r="K1248" s="3" t="s">
        <v>78</v>
      </c>
      <c r="L1248" s="3" t="s">
        <v>79</v>
      </c>
      <c r="M1248" s="3" t="s">
        <v>80</v>
      </c>
      <c r="N1248" s="3" t="s">
        <v>416</v>
      </c>
      <c r="O1248" s="3" t="s">
        <v>82</v>
      </c>
      <c r="P1248" s="3" t="str">
        <f>"2170817082                    "</f>
        <v xml:space="preserve">2170817082                    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54.08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0</v>
      </c>
      <c r="AZ1248" s="3">
        <v>0</v>
      </c>
      <c r="BA1248" s="3">
        <v>0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3">
        <v>1</v>
      </c>
      <c r="BI1248" s="3">
        <v>7</v>
      </c>
      <c r="BJ1248" s="3">
        <v>4.0999999999999996</v>
      </c>
      <c r="BK1248" s="3">
        <v>7</v>
      </c>
      <c r="BL1248" s="3">
        <v>206.42</v>
      </c>
      <c r="BM1248" s="3">
        <v>30.96</v>
      </c>
      <c r="BN1248" s="3">
        <v>237.38</v>
      </c>
      <c r="BO1248" s="3">
        <v>237.38</v>
      </c>
      <c r="BQ1248" s="3" t="s">
        <v>126</v>
      </c>
      <c r="BR1248" s="3" t="s">
        <v>84</v>
      </c>
      <c r="BS1248" s="4">
        <v>44580</v>
      </c>
      <c r="BT1248" s="5">
        <v>0.46180555555555558</v>
      </c>
      <c r="BU1248" s="3" t="s">
        <v>1583</v>
      </c>
      <c r="BV1248" s="3" t="s">
        <v>105</v>
      </c>
      <c r="BY1248" s="3">
        <v>20358</v>
      </c>
      <c r="BZ1248" s="3" t="s">
        <v>165</v>
      </c>
      <c r="CC1248" s="3" t="s">
        <v>80</v>
      </c>
      <c r="CD1248" s="3">
        <v>186</v>
      </c>
      <c r="CE1248" s="3" t="s">
        <v>86</v>
      </c>
      <c r="CF1248" s="4">
        <v>44580</v>
      </c>
      <c r="CI1248" s="3">
        <v>1</v>
      </c>
      <c r="CJ1248" s="3">
        <v>1</v>
      </c>
      <c r="CK1248" s="3">
        <v>21</v>
      </c>
      <c r="CL1248" s="3" t="s">
        <v>87</v>
      </c>
    </row>
    <row r="1249" spans="1:90" x14ac:dyDescent="0.2">
      <c r="A1249" s="3" t="s">
        <v>72</v>
      </c>
      <c r="B1249" s="3" t="s">
        <v>73</v>
      </c>
      <c r="C1249" s="3" t="s">
        <v>74</v>
      </c>
      <c r="E1249" s="3" t="str">
        <f>"FES1162845597"</f>
        <v>FES1162845597</v>
      </c>
      <c r="F1249" s="4">
        <v>44579</v>
      </c>
      <c r="G1249" s="3">
        <v>202207</v>
      </c>
      <c r="H1249" s="3" t="s">
        <v>75</v>
      </c>
      <c r="I1249" s="3" t="s">
        <v>76</v>
      </c>
      <c r="J1249" s="3" t="s">
        <v>77</v>
      </c>
      <c r="K1249" s="3" t="s">
        <v>78</v>
      </c>
      <c r="L1249" s="3" t="s">
        <v>75</v>
      </c>
      <c r="M1249" s="3" t="s">
        <v>76</v>
      </c>
      <c r="N1249" s="3" t="s">
        <v>1122</v>
      </c>
      <c r="O1249" s="3" t="s">
        <v>82</v>
      </c>
      <c r="P1249" s="3" t="str">
        <f>"2170810221                    "</f>
        <v xml:space="preserve">2170810221                    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12.07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0</v>
      </c>
      <c r="AZ1249" s="3">
        <v>0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3">
        <v>1</v>
      </c>
      <c r="BI1249" s="3">
        <v>2</v>
      </c>
      <c r="BJ1249" s="3">
        <v>4.0999999999999996</v>
      </c>
      <c r="BK1249" s="3">
        <v>4.5</v>
      </c>
      <c r="BL1249" s="3">
        <v>46.08</v>
      </c>
      <c r="BM1249" s="3">
        <v>6.91</v>
      </c>
      <c r="BN1249" s="3">
        <v>52.99</v>
      </c>
      <c r="BO1249" s="3">
        <v>52.99</v>
      </c>
      <c r="BQ1249" s="3" t="s">
        <v>83</v>
      </c>
      <c r="BR1249" s="3" t="s">
        <v>84</v>
      </c>
      <c r="BS1249" s="4">
        <v>44580</v>
      </c>
      <c r="BT1249" s="5">
        <v>0.36527777777777781</v>
      </c>
      <c r="BU1249" s="3" t="s">
        <v>1123</v>
      </c>
      <c r="BV1249" s="3" t="s">
        <v>105</v>
      </c>
      <c r="BY1249" s="3">
        <v>20358</v>
      </c>
      <c r="BZ1249" s="3" t="s">
        <v>165</v>
      </c>
      <c r="CA1249" s="3" t="s">
        <v>227</v>
      </c>
      <c r="CC1249" s="3" t="s">
        <v>76</v>
      </c>
      <c r="CD1249" s="3">
        <v>1600</v>
      </c>
      <c r="CE1249" s="3" t="s">
        <v>86</v>
      </c>
      <c r="CF1249" s="4">
        <v>44580</v>
      </c>
      <c r="CI1249" s="3">
        <v>1</v>
      </c>
      <c r="CJ1249" s="3">
        <v>1</v>
      </c>
      <c r="CK1249" s="3">
        <v>22</v>
      </c>
      <c r="CL1249" s="3" t="s">
        <v>87</v>
      </c>
    </row>
    <row r="1250" spans="1:90" x14ac:dyDescent="0.2">
      <c r="A1250" s="3" t="s">
        <v>72</v>
      </c>
      <c r="B1250" s="3" t="s">
        <v>73</v>
      </c>
      <c r="C1250" s="3" t="s">
        <v>74</v>
      </c>
      <c r="E1250" s="3" t="str">
        <f>"FES1162845558"</f>
        <v>FES1162845558</v>
      </c>
      <c r="F1250" s="4">
        <v>44579</v>
      </c>
      <c r="G1250" s="3">
        <v>202207</v>
      </c>
      <c r="H1250" s="3" t="s">
        <v>75</v>
      </c>
      <c r="I1250" s="3" t="s">
        <v>76</v>
      </c>
      <c r="J1250" s="3" t="s">
        <v>77</v>
      </c>
      <c r="K1250" s="3" t="s">
        <v>78</v>
      </c>
      <c r="L1250" s="3" t="s">
        <v>101</v>
      </c>
      <c r="M1250" s="3" t="s">
        <v>102</v>
      </c>
      <c r="N1250" s="3" t="s">
        <v>272</v>
      </c>
      <c r="O1250" s="3" t="s">
        <v>82</v>
      </c>
      <c r="P1250" s="3" t="str">
        <f>"2170817079                    "</f>
        <v xml:space="preserve">2170817079                    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15.46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3">
        <v>1</v>
      </c>
      <c r="BI1250" s="3">
        <v>1</v>
      </c>
      <c r="BJ1250" s="3">
        <v>0.2</v>
      </c>
      <c r="BK1250" s="3">
        <v>1</v>
      </c>
      <c r="BL1250" s="3">
        <v>59</v>
      </c>
      <c r="BM1250" s="3">
        <v>8.85</v>
      </c>
      <c r="BN1250" s="3">
        <v>67.849999999999994</v>
      </c>
      <c r="BO1250" s="3">
        <v>67.849999999999994</v>
      </c>
      <c r="BQ1250" s="3" t="s">
        <v>273</v>
      </c>
      <c r="BR1250" s="3" t="s">
        <v>84</v>
      </c>
      <c r="BS1250" s="4">
        <v>44580</v>
      </c>
      <c r="BT1250" s="5">
        <v>0.39097222222222222</v>
      </c>
      <c r="BU1250" s="3" t="s">
        <v>274</v>
      </c>
      <c r="BV1250" s="3" t="s">
        <v>105</v>
      </c>
      <c r="BY1250" s="3">
        <v>1200</v>
      </c>
      <c r="BZ1250" s="3" t="s">
        <v>165</v>
      </c>
      <c r="CA1250" s="3" t="s">
        <v>275</v>
      </c>
      <c r="CC1250" s="3" t="s">
        <v>102</v>
      </c>
      <c r="CD1250" s="3">
        <v>4000</v>
      </c>
      <c r="CE1250" s="3" t="s">
        <v>93</v>
      </c>
      <c r="CF1250" s="4">
        <v>44581</v>
      </c>
      <c r="CI1250" s="3">
        <v>1</v>
      </c>
      <c r="CJ1250" s="3">
        <v>1</v>
      </c>
      <c r="CK1250" s="3">
        <v>21</v>
      </c>
      <c r="CL1250" s="3" t="s">
        <v>87</v>
      </c>
    </row>
    <row r="1251" spans="1:90" x14ac:dyDescent="0.2">
      <c r="A1251" s="3" t="s">
        <v>72</v>
      </c>
      <c r="B1251" s="3" t="s">
        <v>73</v>
      </c>
      <c r="C1251" s="3" t="s">
        <v>74</v>
      </c>
      <c r="E1251" s="3" t="str">
        <f>"FES1162845572"</f>
        <v>FES1162845572</v>
      </c>
      <c r="F1251" s="4">
        <v>44579</v>
      </c>
      <c r="G1251" s="3">
        <v>202207</v>
      </c>
      <c r="H1251" s="3" t="s">
        <v>75</v>
      </c>
      <c r="I1251" s="3" t="s">
        <v>76</v>
      </c>
      <c r="J1251" s="3" t="s">
        <v>77</v>
      </c>
      <c r="K1251" s="3" t="s">
        <v>78</v>
      </c>
      <c r="L1251" s="3" t="s">
        <v>110</v>
      </c>
      <c r="M1251" s="3" t="s">
        <v>110</v>
      </c>
      <c r="N1251" s="3" t="s">
        <v>146</v>
      </c>
      <c r="O1251" s="3" t="s">
        <v>82</v>
      </c>
      <c r="P1251" s="3" t="str">
        <f>"2170817103                    "</f>
        <v xml:space="preserve">2170817103                    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29.95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1</v>
      </c>
      <c r="BI1251" s="3">
        <v>1</v>
      </c>
      <c r="BJ1251" s="3">
        <v>0.2</v>
      </c>
      <c r="BK1251" s="3">
        <v>1</v>
      </c>
      <c r="BL1251" s="3">
        <v>114.31</v>
      </c>
      <c r="BM1251" s="3">
        <v>17.149999999999999</v>
      </c>
      <c r="BN1251" s="3">
        <v>131.46</v>
      </c>
      <c r="BO1251" s="3">
        <v>131.46</v>
      </c>
      <c r="BQ1251" s="3" t="s">
        <v>89</v>
      </c>
      <c r="BR1251" s="3" t="s">
        <v>84</v>
      </c>
      <c r="BS1251" s="4">
        <v>44580</v>
      </c>
      <c r="BT1251" s="5">
        <v>0.54513888888888895</v>
      </c>
      <c r="BU1251" s="3" t="s">
        <v>562</v>
      </c>
      <c r="BV1251" s="3" t="s">
        <v>87</v>
      </c>
      <c r="BW1251" s="3" t="s">
        <v>457</v>
      </c>
      <c r="BX1251" s="3" t="s">
        <v>354</v>
      </c>
      <c r="BY1251" s="3">
        <v>1200</v>
      </c>
      <c r="BZ1251" s="3" t="s">
        <v>165</v>
      </c>
      <c r="CA1251" s="3" t="s">
        <v>563</v>
      </c>
      <c r="CC1251" s="3" t="s">
        <v>110</v>
      </c>
      <c r="CD1251" s="3">
        <v>7646</v>
      </c>
      <c r="CE1251" s="3" t="s">
        <v>93</v>
      </c>
      <c r="CF1251" s="4">
        <v>44581</v>
      </c>
      <c r="CI1251" s="3">
        <v>1</v>
      </c>
      <c r="CJ1251" s="3">
        <v>1</v>
      </c>
      <c r="CK1251" s="3">
        <v>23</v>
      </c>
      <c r="CL1251" s="3" t="s">
        <v>87</v>
      </c>
    </row>
    <row r="1252" spans="1:90" x14ac:dyDescent="0.2">
      <c r="A1252" s="3" t="s">
        <v>72</v>
      </c>
      <c r="B1252" s="3" t="s">
        <v>73</v>
      </c>
      <c r="C1252" s="3" t="s">
        <v>74</v>
      </c>
      <c r="E1252" s="3" t="str">
        <f>"FES1162845568"</f>
        <v>FES1162845568</v>
      </c>
      <c r="F1252" s="4">
        <v>44579</v>
      </c>
      <c r="G1252" s="3">
        <v>202207</v>
      </c>
      <c r="H1252" s="3" t="s">
        <v>75</v>
      </c>
      <c r="I1252" s="3" t="s">
        <v>76</v>
      </c>
      <c r="J1252" s="3" t="s">
        <v>77</v>
      </c>
      <c r="K1252" s="3" t="s">
        <v>78</v>
      </c>
      <c r="L1252" s="3" t="s">
        <v>948</v>
      </c>
      <c r="M1252" s="3" t="s">
        <v>949</v>
      </c>
      <c r="N1252" s="3" t="s">
        <v>1294</v>
      </c>
      <c r="O1252" s="3" t="s">
        <v>82</v>
      </c>
      <c r="P1252" s="3" t="str">
        <f>"2170817094                    "</f>
        <v xml:space="preserve">2170817094                    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21.74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  <c r="BH1252" s="3">
        <v>1</v>
      </c>
      <c r="BI1252" s="3">
        <v>1</v>
      </c>
      <c r="BJ1252" s="3">
        <v>0.2</v>
      </c>
      <c r="BK1252" s="3">
        <v>1</v>
      </c>
      <c r="BL1252" s="3">
        <v>82.98</v>
      </c>
      <c r="BM1252" s="3">
        <v>12.45</v>
      </c>
      <c r="BN1252" s="3">
        <v>95.43</v>
      </c>
      <c r="BO1252" s="3">
        <v>95.43</v>
      </c>
      <c r="BR1252" s="3" t="s">
        <v>84</v>
      </c>
      <c r="BS1252" s="4">
        <v>44580</v>
      </c>
      <c r="BT1252" s="5">
        <v>0.56736111111111109</v>
      </c>
      <c r="BU1252" s="3" t="s">
        <v>1107</v>
      </c>
      <c r="BV1252" s="3" t="s">
        <v>105</v>
      </c>
      <c r="BY1252" s="3">
        <v>1200</v>
      </c>
      <c r="BZ1252" s="3" t="s">
        <v>165</v>
      </c>
      <c r="CA1252" s="3" t="s">
        <v>952</v>
      </c>
      <c r="CC1252" s="3" t="s">
        <v>949</v>
      </c>
      <c r="CD1252" s="3">
        <v>1759</v>
      </c>
      <c r="CE1252" s="3" t="s">
        <v>93</v>
      </c>
      <c r="CF1252" s="4">
        <v>44581</v>
      </c>
      <c r="CI1252" s="3">
        <v>1</v>
      </c>
      <c r="CJ1252" s="3">
        <v>1</v>
      </c>
      <c r="CK1252" s="3">
        <v>24</v>
      </c>
      <c r="CL1252" s="3" t="s">
        <v>87</v>
      </c>
    </row>
    <row r="1253" spans="1:90" x14ac:dyDescent="0.2">
      <c r="A1253" s="3" t="s">
        <v>72</v>
      </c>
      <c r="B1253" s="3" t="s">
        <v>73</v>
      </c>
      <c r="C1253" s="3" t="s">
        <v>74</v>
      </c>
      <c r="E1253" s="3" t="str">
        <f>"FES1162845677"</f>
        <v>FES1162845677</v>
      </c>
      <c r="F1253" s="4">
        <v>44579</v>
      </c>
      <c r="G1253" s="3">
        <v>202207</v>
      </c>
      <c r="H1253" s="3" t="s">
        <v>75</v>
      </c>
      <c r="I1253" s="3" t="s">
        <v>76</v>
      </c>
      <c r="J1253" s="3" t="s">
        <v>77</v>
      </c>
      <c r="K1253" s="3" t="s">
        <v>78</v>
      </c>
      <c r="L1253" s="3" t="s">
        <v>489</v>
      </c>
      <c r="M1253" s="3" t="s">
        <v>490</v>
      </c>
      <c r="N1253" s="3" t="s">
        <v>1473</v>
      </c>
      <c r="O1253" s="3" t="s">
        <v>82</v>
      </c>
      <c r="P1253" s="3" t="str">
        <f>"2170817184                    "</f>
        <v xml:space="preserve">2170817184                    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29.95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15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0</v>
      </c>
      <c r="AZ1253" s="3">
        <v>0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3">
        <v>1</v>
      </c>
      <c r="BI1253" s="3">
        <v>1</v>
      </c>
      <c r="BJ1253" s="3">
        <v>0.2</v>
      </c>
      <c r="BK1253" s="3">
        <v>1</v>
      </c>
      <c r="BL1253" s="3">
        <v>129.31</v>
      </c>
      <c r="BM1253" s="3">
        <v>19.399999999999999</v>
      </c>
      <c r="BN1253" s="3">
        <v>148.71</v>
      </c>
      <c r="BO1253" s="3">
        <v>148.71</v>
      </c>
      <c r="BQ1253" s="3" t="s">
        <v>1474</v>
      </c>
      <c r="BR1253" s="3" t="s">
        <v>84</v>
      </c>
      <c r="BS1253" s="4">
        <v>44581</v>
      </c>
      <c r="BT1253" s="5">
        <v>0.5083333333333333</v>
      </c>
      <c r="BU1253" s="3" t="s">
        <v>1584</v>
      </c>
      <c r="BV1253" s="3" t="s">
        <v>87</v>
      </c>
      <c r="BW1253" s="3" t="s">
        <v>453</v>
      </c>
      <c r="BX1253" s="3" t="s">
        <v>1269</v>
      </c>
      <c r="BY1253" s="3">
        <v>1200</v>
      </c>
      <c r="BZ1253" s="3" t="s">
        <v>446</v>
      </c>
      <c r="CA1253" s="3" t="s">
        <v>495</v>
      </c>
      <c r="CC1253" s="3" t="s">
        <v>490</v>
      </c>
      <c r="CD1253" s="3">
        <v>250</v>
      </c>
      <c r="CE1253" s="3" t="s">
        <v>93</v>
      </c>
      <c r="CF1253" s="4">
        <v>44581</v>
      </c>
      <c r="CI1253" s="3">
        <v>1</v>
      </c>
      <c r="CJ1253" s="3">
        <v>2</v>
      </c>
      <c r="CK1253" s="3">
        <v>23</v>
      </c>
      <c r="CL1253" s="3" t="s">
        <v>87</v>
      </c>
    </row>
    <row r="1254" spans="1:90" x14ac:dyDescent="0.2">
      <c r="A1254" s="3" t="s">
        <v>72</v>
      </c>
      <c r="B1254" s="3" t="s">
        <v>73</v>
      </c>
      <c r="C1254" s="3" t="s">
        <v>74</v>
      </c>
      <c r="E1254" s="3" t="str">
        <f>"FES1162845673"</f>
        <v>FES1162845673</v>
      </c>
      <c r="F1254" s="4">
        <v>44579</v>
      </c>
      <c r="G1254" s="3">
        <v>202207</v>
      </c>
      <c r="H1254" s="3" t="s">
        <v>75</v>
      </c>
      <c r="I1254" s="3" t="s">
        <v>76</v>
      </c>
      <c r="J1254" s="3" t="s">
        <v>77</v>
      </c>
      <c r="K1254" s="3" t="s">
        <v>78</v>
      </c>
      <c r="L1254" s="3" t="s">
        <v>75</v>
      </c>
      <c r="M1254" s="3" t="s">
        <v>76</v>
      </c>
      <c r="N1254" s="3" t="s">
        <v>225</v>
      </c>
      <c r="O1254" s="3" t="s">
        <v>82</v>
      </c>
      <c r="P1254" s="3" t="str">
        <f>"2170817178                    "</f>
        <v xml:space="preserve">2170817178                    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12.07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  <c r="BH1254" s="3">
        <v>1</v>
      </c>
      <c r="BI1254" s="3">
        <v>1</v>
      </c>
      <c r="BJ1254" s="3">
        <v>0.2</v>
      </c>
      <c r="BK1254" s="3">
        <v>1</v>
      </c>
      <c r="BL1254" s="3">
        <v>46.08</v>
      </c>
      <c r="BM1254" s="3">
        <v>6.91</v>
      </c>
      <c r="BN1254" s="3">
        <v>52.99</v>
      </c>
      <c r="BO1254" s="3">
        <v>52.99</v>
      </c>
      <c r="BR1254" s="3" t="s">
        <v>84</v>
      </c>
      <c r="BS1254" s="4">
        <v>44580</v>
      </c>
      <c r="BT1254" s="5">
        <v>0.40277777777777773</v>
      </c>
      <c r="BU1254" s="3" t="s">
        <v>1585</v>
      </c>
      <c r="BV1254" s="3" t="s">
        <v>105</v>
      </c>
      <c r="BY1254" s="3">
        <v>1200</v>
      </c>
      <c r="BZ1254" s="3" t="s">
        <v>165</v>
      </c>
      <c r="CA1254" s="3" t="s">
        <v>227</v>
      </c>
      <c r="CC1254" s="3" t="s">
        <v>76</v>
      </c>
      <c r="CD1254" s="3">
        <v>1600</v>
      </c>
      <c r="CE1254" s="3" t="s">
        <v>93</v>
      </c>
      <c r="CF1254" s="4">
        <v>44580</v>
      </c>
      <c r="CI1254" s="3">
        <v>1</v>
      </c>
      <c r="CJ1254" s="3">
        <v>1</v>
      </c>
      <c r="CK1254" s="3">
        <v>22</v>
      </c>
      <c r="CL1254" s="3" t="s">
        <v>87</v>
      </c>
    </row>
    <row r="1255" spans="1:90" x14ac:dyDescent="0.2">
      <c r="A1255" s="3" t="s">
        <v>72</v>
      </c>
      <c r="B1255" s="3" t="s">
        <v>73</v>
      </c>
      <c r="C1255" s="3" t="s">
        <v>74</v>
      </c>
      <c r="E1255" s="3" t="str">
        <f>"FES1162845556"</f>
        <v>FES1162845556</v>
      </c>
      <c r="F1255" s="4">
        <v>44579</v>
      </c>
      <c r="G1255" s="3">
        <v>202207</v>
      </c>
      <c r="H1255" s="3" t="s">
        <v>75</v>
      </c>
      <c r="I1255" s="3" t="s">
        <v>76</v>
      </c>
      <c r="J1255" s="3" t="s">
        <v>77</v>
      </c>
      <c r="K1255" s="3" t="s">
        <v>78</v>
      </c>
      <c r="L1255" s="3" t="s">
        <v>138</v>
      </c>
      <c r="M1255" s="3" t="s">
        <v>139</v>
      </c>
      <c r="N1255" s="3" t="s">
        <v>1586</v>
      </c>
      <c r="O1255" s="3" t="s">
        <v>82</v>
      </c>
      <c r="P1255" s="3" t="str">
        <f>"2170817076                    "</f>
        <v xml:space="preserve">2170817076                    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15.46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3">
        <v>1</v>
      </c>
      <c r="BI1255" s="3">
        <v>0.2</v>
      </c>
      <c r="BJ1255" s="3">
        <v>1.7</v>
      </c>
      <c r="BK1255" s="3">
        <v>2</v>
      </c>
      <c r="BL1255" s="3">
        <v>59</v>
      </c>
      <c r="BM1255" s="3">
        <v>8.85</v>
      </c>
      <c r="BN1255" s="3">
        <v>67.849999999999994</v>
      </c>
      <c r="BO1255" s="3">
        <v>67.849999999999994</v>
      </c>
      <c r="BQ1255" s="3" t="s">
        <v>83</v>
      </c>
      <c r="BR1255" s="3" t="s">
        <v>84</v>
      </c>
      <c r="BS1255" s="4">
        <v>44582</v>
      </c>
      <c r="BT1255" s="5">
        <v>0.41944444444444445</v>
      </c>
      <c r="BU1255" s="3" t="s">
        <v>1587</v>
      </c>
      <c r="BV1255" s="3" t="s">
        <v>87</v>
      </c>
      <c r="BW1255" s="3" t="s">
        <v>278</v>
      </c>
      <c r="BX1255" s="3" t="s">
        <v>279</v>
      </c>
      <c r="BY1255" s="3">
        <v>8459.8799999999992</v>
      </c>
      <c r="BZ1255" s="3" t="s">
        <v>165</v>
      </c>
      <c r="CA1255" s="3" t="s">
        <v>303</v>
      </c>
      <c r="CC1255" s="3" t="s">
        <v>139</v>
      </c>
      <c r="CD1255" s="3">
        <v>3610</v>
      </c>
      <c r="CE1255" s="3" t="s">
        <v>93</v>
      </c>
      <c r="CF1255" s="4">
        <v>44585</v>
      </c>
      <c r="CI1255" s="3">
        <v>1</v>
      </c>
      <c r="CJ1255" s="3">
        <v>3</v>
      </c>
      <c r="CK1255" s="3">
        <v>21</v>
      </c>
      <c r="CL1255" s="3" t="s">
        <v>87</v>
      </c>
    </row>
    <row r="1256" spans="1:90" x14ac:dyDescent="0.2">
      <c r="A1256" s="3" t="s">
        <v>72</v>
      </c>
      <c r="B1256" s="3" t="s">
        <v>73</v>
      </c>
      <c r="C1256" s="3" t="s">
        <v>74</v>
      </c>
      <c r="E1256" s="3" t="str">
        <f>"FES1162845530"</f>
        <v>FES1162845530</v>
      </c>
      <c r="F1256" s="4">
        <v>44579</v>
      </c>
      <c r="G1256" s="3">
        <v>202207</v>
      </c>
      <c r="H1256" s="3" t="s">
        <v>75</v>
      </c>
      <c r="I1256" s="3" t="s">
        <v>76</v>
      </c>
      <c r="J1256" s="3" t="s">
        <v>77</v>
      </c>
      <c r="K1256" s="3" t="s">
        <v>78</v>
      </c>
      <c r="L1256" s="3" t="s">
        <v>187</v>
      </c>
      <c r="M1256" s="3" t="s">
        <v>188</v>
      </c>
      <c r="N1256" s="3" t="s">
        <v>189</v>
      </c>
      <c r="O1256" s="3" t="s">
        <v>82</v>
      </c>
      <c r="P1256" s="3" t="str">
        <f>"2170817067                    "</f>
        <v xml:space="preserve">2170817067                    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29.95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0</v>
      </c>
      <c r="AZ1256" s="3">
        <v>0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3">
        <v>1</v>
      </c>
      <c r="BI1256" s="3">
        <v>1</v>
      </c>
      <c r="BJ1256" s="3">
        <v>0.2</v>
      </c>
      <c r="BK1256" s="3">
        <v>1</v>
      </c>
      <c r="BL1256" s="3">
        <v>114.31</v>
      </c>
      <c r="BM1256" s="3">
        <v>17.149999999999999</v>
      </c>
      <c r="BN1256" s="3">
        <v>131.46</v>
      </c>
      <c r="BO1256" s="3">
        <v>131.46</v>
      </c>
      <c r="BQ1256" s="3" t="s">
        <v>83</v>
      </c>
      <c r="BR1256" s="3" t="s">
        <v>84</v>
      </c>
      <c r="BS1256" s="4">
        <v>44580</v>
      </c>
      <c r="BT1256" s="5">
        <v>0.54861111111111105</v>
      </c>
      <c r="BU1256" s="3" t="s">
        <v>955</v>
      </c>
      <c r="BV1256" s="3" t="s">
        <v>87</v>
      </c>
      <c r="BW1256" s="3" t="s">
        <v>457</v>
      </c>
      <c r="BX1256" s="3" t="s">
        <v>602</v>
      </c>
      <c r="BY1256" s="3">
        <v>1200</v>
      </c>
      <c r="BZ1256" s="3" t="s">
        <v>165</v>
      </c>
      <c r="CA1256" s="3" t="s">
        <v>268</v>
      </c>
      <c r="CC1256" s="3" t="s">
        <v>188</v>
      </c>
      <c r="CD1256" s="3">
        <v>7300</v>
      </c>
      <c r="CE1256" s="3" t="s">
        <v>93</v>
      </c>
      <c r="CF1256" s="4">
        <v>44581</v>
      </c>
      <c r="CI1256" s="3">
        <v>1</v>
      </c>
      <c r="CJ1256" s="3">
        <v>1</v>
      </c>
      <c r="CK1256" s="3">
        <v>23</v>
      </c>
      <c r="CL1256" s="3" t="s">
        <v>87</v>
      </c>
    </row>
    <row r="1257" spans="1:90" x14ac:dyDescent="0.2">
      <c r="A1257" s="3" t="s">
        <v>72</v>
      </c>
      <c r="B1257" s="3" t="s">
        <v>73</v>
      </c>
      <c r="C1257" s="3" t="s">
        <v>74</v>
      </c>
      <c r="E1257" s="3" t="str">
        <f>"FES1162845624"</f>
        <v>FES1162845624</v>
      </c>
      <c r="F1257" s="4">
        <v>44579</v>
      </c>
      <c r="G1257" s="3">
        <v>202207</v>
      </c>
      <c r="H1257" s="3" t="s">
        <v>75</v>
      </c>
      <c r="I1257" s="3" t="s">
        <v>76</v>
      </c>
      <c r="J1257" s="3" t="s">
        <v>77</v>
      </c>
      <c r="K1257" s="3" t="s">
        <v>78</v>
      </c>
      <c r="L1257" s="3" t="s">
        <v>1588</v>
      </c>
      <c r="M1257" s="3" t="s">
        <v>1589</v>
      </c>
      <c r="N1257" s="3" t="s">
        <v>1590</v>
      </c>
      <c r="O1257" s="3" t="s">
        <v>82</v>
      </c>
      <c r="P1257" s="3" t="str">
        <f>"2170815608                    "</f>
        <v xml:space="preserve">2170815608                    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29.95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0</v>
      </c>
      <c r="BH1257" s="3">
        <v>1</v>
      </c>
      <c r="BI1257" s="3">
        <v>1</v>
      </c>
      <c r="BJ1257" s="3">
        <v>0.2</v>
      </c>
      <c r="BK1257" s="3">
        <v>1</v>
      </c>
      <c r="BL1257" s="3">
        <v>114.31</v>
      </c>
      <c r="BM1257" s="3">
        <v>17.149999999999999</v>
      </c>
      <c r="BN1257" s="3">
        <v>131.46</v>
      </c>
      <c r="BO1257" s="3">
        <v>131.46</v>
      </c>
      <c r="BQ1257" s="3" t="s">
        <v>1555</v>
      </c>
      <c r="BR1257" s="3" t="s">
        <v>84</v>
      </c>
      <c r="BS1257" s="4">
        <v>44585</v>
      </c>
      <c r="BT1257" s="5">
        <v>0.51111111111111118</v>
      </c>
      <c r="BU1257" s="3" t="s">
        <v>1591</v>
      </c>
      <c r="BV1257" s="3" t="s">
        <v>105</v>
      </c>
      <c r="BY1257" s="3">
        <v>1200</v>
      </c>
      <c r="BZ1257" s="3" t="s">
        <v>165</v>
      </c>
      <c r="CC1257" s="3" t="s">
        <v>1589</v>
      </c>
      <c r="CD1257" s="3">
        <v>6309</v>
      </c>
      <c r="CE1257" s="3" t="s">
        <v>93</v>
      </c>
      <c r="CF1257" s="4">
        <v>44587</v>
      </c>
      <c r="CI1257" s="3">
        <v>5</v>
      </c>
      <c r="CJ1257" s="3">
        <v>4</v>
      </c>
      <c r="CK1257" s="3">
        <v>23</v>
      </c>
      <c r="CL1257" s="3" t="s">
        <v>87</v>
      </c>
    </row>
    <row r="1258" spans="1:90" x14ac:dyDescent="0.2">
      <c r="A1258" s="3" t="s">
        <v>72</v>
      </c>
      <c r="B1258" s="3" t="s">
        <v>73</v>
      </c>
      <c r="C1258" s="3" t="s">
        <v>74</v>
      </c>
      <c r="E1258" s="3" t="str">
        <f>"FES1162845564"</f>
        <v>FES1162845564</v>
      </c>
      <c r="F1258" s="4">
        <v>44579</v>
      </c>
      <c r="G1258" s="3">
        <v>202207</v>
      </c>
      <c r="H1258" s="3" t="s">
        <v>75</v>
      </c>
      <c r="I1258" s="3" t="s">
        <v>76</v>
      </c>
      <c r="J1258" s="3" t="s">
        <v>77</v>
      </c>
      <c r="K1258" s="3" t="s">
        <v>78</v>
      </c>
      <c r="L1258" s="3" t="s">
        <v>920</v>
      </c>
      <c r="M1258" s="3" t="s">
        <v>921</v>
      </c>
      <c r="N1258" s="3" t="s">
        <v>922</v>
      </c>
      <c r="O1258" s="3" t="s">
        <v>82</v>
      </c>
      <c r="P1258" s="3" t="str">
        <f>"2170817088                    "</f>
        <v xml:space="preserve">2170817088                    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29.95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3">
        <v>1</v>
      </c>
      <c r="BI1258" s="3">
        <v>1</v>
      </c>
      <c r="BJ1258" s="3">
        <v>0.2</v>
      </c>
      <c r="BK1258" s="3">
        <v>1</v>
      </c>
      <c r="BL1258" s="3">
        <v>114.31</v>
      </c>
      <c r="BM1258" s="3">
        <v>17.149999999999999</v>
      </c>
      <c r="BN1258" s="3">
        <v>131.46</v>
      </c>
      <c r="BO1258" s="3">
        <v>131.46</v>
      </c>
      <c r="BQ1258" s="3" t="s">
        <v>89</v>
      </c>
      <c r="BR1258" s="3" t="s">
        <v>84</v>
      </c>
      <c r="BS1258" s="4">
        <v>44580</v>
      </c>
      <c r="BT1258" s="5">
        <v>0.38472222222222219</v>
      </c>
      <c r="BU1258" s="3" t="s">
        <v>1592</v>
      </c>
      <c r="BV1258" s="3" t="s">
        <v>105</v>
      </c>
      <c r="BY1258" s="3">
        <v>1200</v>
      </c>
      <c r="BZ1258" s="3" t="s">
        <v>165</v>
      </c>
      <c r="CA1258" s="3" t="s">
        <v>1593</v>
      </c>
      <c r="CC1258" s="3" t="s">
        <v>921</v>
      </c>
      <c r="CD1258" s="3">
        <v>9700</v>
      </c>
      <c r="CE1258" s="3" t="s">
        <v>93</v>
      </c>
      <c r="CF1258" s="4">
        <v>44580</v>
      </c>
      <c r="CI1258" s="3">
        <v>1</v>
      </c>
      <c r="CJ1258" s="3">
        <v>1</v>
      </c>
      <c r="CK1258" s="3">
        <v>23</v>
      </c>
      <c r="CL1258" s="3" t="s">
        <v>87</v>
      </c>
    </row>
    <row r="1259" spans="1:90" x14ac:dyDescent="0.2">
      <c r="A1259" s="3" t="s">
        <v>72</v>
      </c>
      <c r="B1259" s="3" t="s">
        <v>73</v>
      </c>
      <c r="C1259" s="3" t="s">
        <v>74</v>
      </c>
      <c r="E1259" s="3" t="str">
        <f>"FES1162845529"</f>
        <v>FES1162845529</v>
      </c>
      <c r="F1259" s="4">
        <v>44579</v>
      </c>
      <c r="G1259" s="3">
        <v>202207</v>
      </c>
      <c r="H1259" s="3" t="s">
        <v>75</v>
      </c>
      <c r="I1259" s="3" t="s">
        <v>76</v>
      </c>
      <c r="J1259" s="3" t="s">
        <v>77</v>
      </c>
      <c r="K1259" s="3" t="s">
        <v>78</v>
      </c>
      <c r="L1259" s="3" t="s">
        <v>138</v>
      </c>
      <c r="M1259" s="3" t="s">
        <v>139</v>
      </c>
      <c r="N1259" s="3" t="s">
        <v>1221</v>
      </c>
      <c r="O1259" s="3" t="s">
        <v>82</v>
      </c>
      <c r="P1259" s="3" t="str">
        <f>"2170817063                    "</f>
        <v xml:space="preserve">2170817063                    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50.22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3">
        <v>1</v>
      </c>
      <c r="BI1259" s="3">
        <v>4</v>
      </c>
      <c r="BJ1259" s="3">
        <v>6.2</v>
      </c>
      <c r="BK1259" s="3">
        <v>6.5</v>
      </c>
      <c r="BL1259" s="3">
        <v>191.68</v>
      </c>
      <c r="BM1259" s="3">
        <v>28.75</v>
      </c>
      <c r="BN1259" s="3">
        <v>220.43</v>
      </c>
      <c r="BO1259" s="3">
        <v>220.43</v>
      </c>
      <c r="BQ1259" s="3" t="s">
        <v>83</v>
      </c>
      <c r="BR1259" s="3" t="s">
        <v>84</v>
      </c>
      <c r="BS1259" s="4">
        <v>44580</v>
      </c>
      <c r="BT1259" s="5">
        <v>0.39166666666666666</v>
      </c>
      <c r="BU1259" s="3" t="s">
        <v>1594</v>
      </c>
      <c r="BV1259" s="3" t="s">
        <v>105</v>
      </c>
      <c r="BY1259" s="3">
        <v>30856</v>
      </c>
      <c r="BZ1259" s="3" t="s">
        <v>165</v>
      </c>
      <c r="CA1259" s="3" t="s">
        <v>334</v>
      </c>
      <c r="CC1259" s="3" t="s">
        <v>139</v>
      </c>
      <c r="CD1259" s="3">
        <v>3610</v>
      </c>
      <c r="CE1259" s="3" t="s">
        <v>86</v>
      </c>
      <c r="CF1259" s="4">
        <v>44581</v>
      </c>
      <c r="CI1259" s="3">
        <v>1</v>
      </c>
      <c r="CJ1259" s="3">
        <v>1</v>
      </c>
      <c r="CK1259" s="3">
        <v>21</v>
      </c>
      <c r="CL1259" s="3" t="s">
        <v>87</v>
      </c>
    </row>
    <row r="1260" spans="1:90" x14ac:dyDescent="0.2">
      <c r="A1260" s="3" t="s">
        <v>72</v>
      </c>
      <c r="B1260" s="3" t="s">
        <v>73</v>
      </c>
      <c r="C1260" s="3" t="s">
        <v>74</v>
      </c>
      <c r="E1260" s="3" t="str">
        <f>"FES1162845570"</f>
        <v>FES1162845570</v>
      </c>
      <c r="F1260" s="4">
        <v>44579</v>
      </c>
      <c r="G1260" s="3">
        <v>202207</v>
      </c>
      <c r="H1260" s="3" t="s">
        <v>75</v>
      </c>
      <c r="I1260" s="3" t="s">
        <v>76</v>
      </c>
      <c r="J1260" s="3" t="s">
        <v>77</v>
      </c>
      <c r="K1260" s="3" t="s">
        <v>78</v>
      </c>
      <c r="L1260" s="3" t="s">
        <v>948</v>
      </c>
      <c r="M1260" s="3" t="s">
        <v>949</v>
      </c>
      <c r="N1260" s="3" t="s">
        <v>1294</v>
      </c>
      <c r="O1260" s="3" t="s">
        <v>148</v>
      </c>
      <c r="P1260" s="3" t="str">
        <f>"2170817096                    "</f>
        <v xml:space="preserve">2170817096                    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37.31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0</v>
      </c>
      <c r="BG1260" s="3">
        <v>0</v>
      </c>
      <c r="BH1260" s="3">
        <v>1</v>
      </c>
      <c r="BI1260" s="3">
        <v>20</v>
      </c>
      <c r="BJ1260" s="3">
        <v>9.1</v>
      </c>
      <c r="BK1260" s="3">
        <v>20</v>
      </c>
      <c r="BL1260" s="3">
        <v>147.65</v>
      </c>
      <c r="BM1260" s="3">
        <v>22.15</v>
      </c>
      <c r="BN1260" s="3">
        <v>169.8</v>
      </c>
      <c r="BO1260" s="3">
        <v>169.8</v>
      </c>
      <c r="BR1260" s="3" t="s">
        <v>84</v>
      </c>
      <c r="BS1260" s="4">
        <v>44580</v>
      </c>
      <c r="BT1260" s="5">
        <v>0.56666666666666665</v>
      </c>
      <c r="BU1260" s="3" t="s">
        <v>1107</v>
      </c>
      <c r="BV1260" s="3" t="s">
        <v>105</v>
      </c>
      <c r="BY1260" s="3">
        <v>45632</v>
      </c>
      <c r="BZ1260" s="3" t="s">
        <v>327</v>
      </c>
      <c r="CA1260" s="3" t="s">
        <v>952</v>
      </c>
      <c r="CC1260" s="3" t="s">
        <v>949</v>
      </c>
      <c r="CD1260" s="3">
        <v>1759</v>
      </c>
      <c r="CE1260" s="3" t="s">
        <v>86</v>
      </c>
      <c r="CF1260" s="4">
        <v>44581</v>
      </c>
      <c r="CI1260" s="3">
        <v>1</v>
      </c>
      <c r="CJ1260" s="3">
        <v>1</v>
      </c>
      <c r="CK1260" s="3">
        <v>44</v>
      </c>
      <c r="CL1260" s="3" t="s">
        <v>87</v>
      </c>
    </row>
    <row r="1261" spans="1:90" x14ac:dyDescent="0.2">
      <c r="A1261" s="3" t="s">
        <v>72</v>
      </c>
      <c r="B1261" s="3" t="s">
        <v>73</v>
      </c>
      <c r="C1261" s="3" t="s">
        <v>74</v>
      </c>
      <c r="E1261" s="3" t="str">
        <f>"FES1162845528"</f>
        <v>FES1162845528</v>
      </c>
      <c r="F1261" s="4">
        <v>44579</v>
      </c>
      <c r="G1261" s="3">
        <v>202207</v>
      </c>
      <c r="H1261" s="3" t="s">
        <v>75</v>
      </c>
      <c r="I1261" s="3" t="s">
        <v>76</v>
      </c>
      <c r="J1261" s="3" t="s">
        <v>77</v>
      </c>
      <c r="K1261" s="3" t="s">
        <v>78</v>
      </c>
      <c r="L1261" s="3" t="s">
        <v>133</v>
      </c>
      <c r="M1261" s="3" t="s">
        <v>134</v>
      </c>
      <c r="N1261" s="3" t="s">
        <v>1595</v>
      </c>
      <c r="O1261" s="3" t="s">
        <v>82</v>
      </c>
      <c r="P1261" s="3" t="str">
        <f>"2170817062                    "</f>
        <v xml:space="preserve">2170817062                    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101.14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0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3">
        <v>1</v>
      </c>
      <c r="BI1261" s="3">
        <v>5</v>
      </c>
      <c r="BJ1261" s="3">
        <v>9.1</v>
      </c>
      <c r="BK1261" s="3">
        <v>9.5</v>
      </c>
      <c r="BL1261" s="3">
        <v>386.03</v>
      </c>
      <c r="BM1261" s="3">
        <v>57.9</v>
      </c>
      <c r="BN1261" s="3">
        <v>443.93</v>
      </c>
      <c r="BO1261" s="3">
        <v>443.93</v>
      </c>
      <c r="BQ1261" s="3" t="s">
        <v>1592</v>
      </c>
      <c r="BR1261" s="3" t="s">
        <v>84</v>
      </c>
      <c r="BS1261" s="4">
        <v>44580</v>
      </c>
      <c r="BT1261" s="5">
        <v>0.38055555555555554</v>
      </c>
      <c r="BU1261" s="3" t="s">
        <v>1596</v>
      </c>
      <c r="BV1261" s="3" t="s">
        <v>105</v>
      </c>
      <c r="BY1261" s="3">
        <v>45632</v>
      </c>
      <c r="BZ1261" s="3" t="s">
        <v>165</v>
      </c>
      <c r="CA1261" s="3" t="s">
        <v>673</v>
      </c>
      <c r="CC1261" s="3" t="s">
        <v>134</v>
      </c>
      <c r="CD1261" s="3">
        <v>1911</v>
      </c>
      <c r="CE1261" s="3" t="s">
        <v>86</v>
      </c>
      <c r="CF1261" s="4">
        <v>44581</v>
      </c>
      <c r="CI1261" s="3">
        <v>1</v>
      </c>
      <c r="CJ1261" s="3">
        <v>1</v>
      </c>
      <c r="CK1261" s="3">
        <v>24</v>
      </c>
      <c r="CL1261" s="3" t="s">
        <v>87</v>
      </c>
    </row>
    <row r="1262" spans="1:90" x14ac:dyDescent="0.2">
      <c r="A1262" s="3" t="s">
        <v>72</v>
      </c>
      <c r="B1262" s="3" t="s">
        <v>73</v>
      </c>
      <c r="C1262" s="3" t="s">
        <v>74</v>
      </c>
      <c r="E1262" s="3" t="str">
        <f>"FES1162845546"</f>
        <v>FES1162845546</v>
      </c>
      <c r="F1262" s="4">
        <v>44579</v>
      </c>
      <c r="G1262" s="3">
        <v>202207</v>
      </c>
      <c r="H1262" s="3" t="s">
        <v>75</v>
      </c>
      <c r="I1262" s="3" t="s">
        <v>76</v>
      </c>
      <c r="J1262" s="3" t="s">
        <v>77</v>
      </c>
      <c r="K1262" s="3" t="s">
        <v>78</v>
      </c>
      <c r="L1262" s="3" t="s">
        <v>298</v>
      </c>
      <c r="M1262" s="3" t="s">
        <v>299</v>
      </c>
      <c r="N1262" s="3" t="s">
        <v>1567</v>
      </c>
      <c r="O1262" s="3" t="s">
        <v>82</v>
      </c>
      <c r="P1262" s="3" t="str">
        <f>"2170816599                    "</f>
        <v xml:space="preserve">2170816599                    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29.95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0</v>
      </c>
      <c r="AZ1262" s="3">
        <v>0</v>
      </c>
      <c r="BA1262" s="3">
        <v>0</v>
      </c>
      <c r="BB1262" s="3">
        <v>0</v>
      </c>
      <c r="BC1262" s="3">
        <v>0</v>
      </c>
      <c r="BD1262" s="3">
        <v>0</v>
      </c>
      <c r="BE1262" s="3">
        <v>0</v>
      </c>
      <c r="BF1262" s="3">
        <v>0</v>
      </c>
      <c r="BG1262" s="3">
        <v>0</v>
      </c>
      <c r="BH1262" s="3">
        <v>1</v>
      </c>
      <c r="BI1262" s="3">
        <v>1</v>
      </c>
      <c r="BJ1262" s="3">
        <v>0.2</v>
      </c>
      <c r="BK1262" s="3">
        <v>1</v>
      </c>
      <c r="BL1262" s="3">
        <v>114.31</v>
      </c>
      <c r="BM1262" s="3">
        <v>17.149999999999999</v>
      </c>
      <c r="BN1262" s="3">
        <v>131.46</v>
      </c>
      <c r="BO1262" s="3">
        <v>131.46</v>
      </c>
      <c r="BQ1262" s="3" t="s">
        <v>89</v>
      </c>
      <c r="BR1262" s="3" t="s">
        <v>84</v>
      </c>
      <c r="BS1262" s="4">
        <v>44580</v>
      </c>
      <c r="BT1262" s="5">
        <v>0.44027777777777777</v>
      </c>
      <c r="BU1262" s="3" t="s">
        <v>1597</v>
      </c>
      <c r="BV1262" s="3" t="s">
        <v>105</v>
      </c>
      <c r="BY1262" s="3">
        <v>1200</v>
      </c>
      <c r="BZ1262" s="3" t="s">
        <v>165</v>
      </c>
      <c r="CA1262" s="3" t="s">
        <v>268</v>
      </c>
      <c r="CC1262" s="3" t="s">
        <v>299</v>
      </c>
      <c r="CD1262" s="3">
        <v>7349</v>
      </c>
      <c r="CE1262" s="3" t="s">
        <v>93</v>
      </c>
      <c r="CF1262" s="4">
        <v>44581</v>
      </c>
      <c r="CI1262" s="3">
        <v>1</v>
      </c>
      <c r="CJ1262" s="3">
        <v>1</v>
      </c>
      <c r="CK1262" s="3">
        <v>23</v>
      </c>
      <c r="CL1262" s="3" t="s">
        <v>87</v>
      </c>
    </row>
    <row r="1263" spans="1:90" x14ac:dyDescent="0.2">
      <c r="A1263" s="3" t="s">
        <v>72</v>
      </c>
      <c r="B1263" s="3" t="s">
        <v>73</v>
      </c>
      <c r="C1263" s="3" t="s">
        <v>74</v>
      </c>
      <c r="E1263" s="3" t="str">
        <f>"FES1162845029"</f>
        <v>FES1162845029</v>
      </c>
      <c r="F1263" s="4">
        <v>44574</v>
      </c>
      <c r="G1263" s="3">
        <v>202207</v>
      </c>
      <c r="H1263" s="3" t="s">
        <v>75</v>
      </c>
      <c r="I1263" s="3" t="s">
        <v>76</v>
      </c>
      <c r="J1263" s="3" t="s">
        <v>77</v>
      </c>
      <c r="K1263" s="3" t="s">
        <v>78</v>
      </c>
      <c r="L1263" s="3" t="s">
        <v>90</v>
      </c>
      <c r="M1263" s="3" t="s">
        <v>91</v>
      </c>
      <c r="N1263" s="3" t="s">
        <v>1048</v>
      </c>
      <c r="O1263" s="3" t="s">
        <v>148</v>
      </c>
      <c r="P1263" s="3" t="str">
        <f>"2170810911                    "</f>
        <v xml:space="preserve">2170810911                    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38.51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0</v>
      </c>
      <c r="AZ1263" s="3">
        <v>0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3">
        <v>2</v>
      </c>
      <c r="BI1263" s="3">
        <v>22</v>
      </c>
      <c r="BJ1263" s="3">
        <v>9.4</v>
      </c>
      <c r="BK1263" s="3">
        <v>22</v>
      </c>
      <c r="BL1263" s="3">
        <v>152.25</v>
      </c>
      <c r="BM1263" s="3">
        <v>22.84</v>
      </c>
      <c r="BN1263" s="3">
        <v>175.09</v>
      </c>
      <c r="BO1263" s="3">
        <v>175.09</v>
      </c>
      <c r="BQ1263" s="3" t="s">
        <v>89</v>
      </c>
      <c r="BR1263" s="3" t="s">
        <v>84</v>
      </c>
      <c r="BS1263" s="4">
        <v>44578</v>
      </c>
      <c r="BT1263" s="5">
        <v>0.45763888888888887</v>
      </c>
      <c r="BU1263" s="3" t="s">
        <v>1598</v>
      </c>
      <c r="BV1263" s="3" t="s">
        <v>105</v>
      </c>
      <c r="BY1263" s="3">
        <v>23520</v>
      </c>
      <c r="BZ1263" s="3" t="s">
        <v>327</v>
      </c>
      <c r="CA1263" s="3" t="s">
        <v>969</v>
      </c>
      <c r="CC1263" s="3" t="s">
        <v>91</v>
      </c>
      <c r="CD1263" s="3">
        <v>7925</v>
      </c>
      <c r="CE1263" s="3" t="s">
        <v>221</v>
      </c>
      <c r="CF1263" s="4">
        <v>44579</v>
      </c>
      <c r="CI1263" s="3">
        <v>2</v>
      </c>
      <c r="CJ1263" s="3">
        <v>2</v>
      </c>
      <c r="CK1263" s="3">
        <v>41</v>
      </c>
      <c r="CL1263" s="3" t="s">
        <v>87</v>
      </c>
    </row>
    <row r="1264" spans="1:90" x14ac:dyDescent="0.2">
      <c r="A1264" s="3" t="s">
        <v>72</v>
      </c>
      <c r="B1264" s="3" t="s">
        <v>73</v>
      </c>
      <c r="C1264" s="3" t="s">
        <v>74</v>
      </c>
      <c r="E1264" s="3" t="str">
        <f>"FES1162844867"</f>
        <v>FES1162844867</v>
      </c>
      <c r="F1264" s="4">
        <v>44574</v>
      </c>
      <c r="G1264" s="3">
        <v>202207</v>
      </c>
      <c r="H1264" s="3" t="s">
        <v>75</v>
      </c>
      <c r="I1264" s="3" t="s">
        <v>76</v>
      </c>
      <c r="J1264" s="3" t="s">
        <v>77</v>
      </c>
      <c r="K1264" s="3" t="s">
        <v>78</v>
      </c>
      <c r="L1264" s="3" t="s">
        <v>427</v>
      </c>
      <c r="M1264" s="3" t="s">
        <v>428</v>
      </c>
      <c r="N1264" s="3" t="s">
        <v>447</v>
      </c>
      <c r="O1264" s="3" t="s">
        <v>82</v>
      </c>
      <c r="P1264" s="3" t="str">
        <f>"2170816434                    "</f>
        <v xml:space="preserve">2170816434                    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151.68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3">
        <v>2</v>
      </c>
      <c r="BI1264" s="3">
        <v>11</v>
      </c>
      <c r="BJ1264" s="3">
        <v>3.8</v>
      </c>
      <c r="BK1264" s="3">
        <v>11</v>
      </c>
      <c r="BL1264" s="3">
        <v>578.94000000000005</v>
      </c>
      <c r="BM1264" s="3">
        <v>86.84</v>
      </c>
      <c r="BN1264" s="3">
        <v>665.78</v>
      </c>
      <c r="BO1264" s="3">
        <v>665.78</v>
      </c>
      <c r="BQ1264" s="3" t="s">
        <v>89</v>
      </c>
      <c r="BR1264" s="3" t="s">
        <v>84</v>
      </c>
      <c r="BS1264" s="4">
        <v>44575</v>
      </c>
      <c r="BT1264" s="5">
        <v>0.5805555555555556</v>
      </c>
      <c r="BU1264" s="3" t="s">
        <v>874</v>
      </c>
      <c r="BV1264" s="3" t="s">
        <v>87</v>
      </c>
      <c r="BW1264" s="3" t="s">
        <v>353</v>
      </c>
      <c r="BX1264" s="3" t="s">
        <v>602</v>
      </c>
      <c r="BY1264" s="3">
        <v>18940</v>
      </c>
      <c r="BZ1264" s="3" t="s">
        <v>165</v>
      </c>
      <c r="CA1264" s="3" t="s">
        <v>488</v>
      </c>
      <c r="CC1264" s="3" t="s">
        <v>428</v>
      </c>
      <c r="CD1264" s="3">
        <v>7130</v>
      </c>
      <c r="CE1264" s="3" t="s">
        <v>221</v>
      </c>
      <c r="CF1264" s="4">
        <v>44578</v>
      </c>
      <c r="CI1264" s="3">
        <v>1</v>
      </c>
      <c r="CJ1264" s="3">
        <v>1</v>
      </c>
      <c r="CK1264" s="3">
        <v>23</v>
      </c>
      <c r="CL1264" s="3" t="s">
        <v>87</v>
      </c>
    </row>
    <row r="1265" spans="1:90" x14ac:dyDescent="0.2">
      <c r="A1265" s="3" t="s">
        <v>72</v>
      </c>
      <c r="B1265" s="3" t="s">
        <v>73</v>
      </c>
      <c r="C1265" s="3" t="s">
        <v>74</v>
      </c>
      <c r="E1265" s="3" t="str">
        <f>"FES1162844949"</f>
        <v>FES1162844949</v>
      </c>
      <c r="F1265" s="4">
        <v>44574</v>
      </c>
      <c r="G1265" s="3">
        <v>202207</v>
      </c>
      <c r="H1265" s="3" t="s">
        <v>75</v>
      </c>
      <c r="I1265" s="3" t="s">
        <v>76</v>
      </c>
      <c r="J1265" s="3" t="s">
        <v>77</v>
      </c>
      <c r="K1265" s="3" t="s">
        <v>78</v>
      </c>
      <c r="L1265" s="3" t="s">
        <v>97</v>
      </c>
      <c r="M1265" s="3" t="s">
        <v>98</v>
      </c>
      <c r="N1265" s="3" t="s">
        <v>232</v>
      </c>
      <c r="O1265" s="3" t="s">
        <v>82</v>
      </c>
      <c r="P1265" s="3" t="str">
        <f>"2170816513                    "</f>
        <v xml:space="preserve">2170816513                    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12.07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1</v>
      </c>
      <c r="BI1265" s="3">
        <v>1</v>
      </c>
      <c r="BJ1265" s="3">
        <v>2</v>
      </c>
      <c r="BK1265" s="3">
        <v>2</v>
      </c>
      <c r="BL1265" s="3">
        <v>46.08</v>
      </c>
      <c r="BM1265" s="3">
        <v>6.91</v>
      </c>
      <c r="BN1265" s="3">
        <v>52.99</v>
      </c>
      <c r="BO1265" s="3">
        <v>52.99</v>
      </c>
      <c r="BQ1265" s="3" t="s">
        <v>83</v>
      </c>
      <c r="BR1265" s="3" t="s">
        <v>84</v>
      </c>
      <c r="BS1265" s="4">
        <v>44590</v>
      </c>
      <c r="BT1265" s="5">
        <v>0.57777777777777783</v>
      </c>
      <c r="BU1265" s="3" t="s">
        <v>634</v>
      </c>
      <c r="BV1265" s="3" t="s">
        <v>87</v>
      </c>
      <c r="BY1265" s="3">
        <v>9900</v>
      </c>
      <c r="BZ1265" s="3" t="s">
        <v>165</v>
      </c>
      <c r="CA1265" s="3" t="s">
        <v>635</v>
      </c>
      <c r="CC1265" s="3" t="s">
        <v>98</v>
      </c>
      <c r="CD1265" s="3">
        <v>2091</v>
      </c>
      <c r="CE1265" s="3" t="s">
        <v>86</v>
      </c>
      <c r="CF1265" s="4">
        <v>44576</v>
      </c>
      <c r="CI1265" s="3">
        <v>1</v>
      </c>
      <c r="CJ1265" s="3">
        <v>11</v>
      </c>
      <c r="CK1265" s="3">
        <v>22</v>
      </c>
      <c r="CL1265" s="3" t="s">
        <v>87</v>
      </c>
    </row>
    <row r="1266" spans="1:90" x14ac:dyDescent="0.2">
      <c r="A1266" s="3" t="s">
        <v>72</v>
      </c>
      <c r="B1266" s="3" t="s">
        <v>73</v>
      </c>
      <c r="C1266" s="3" t="s">
        <v>74</v>
      </c>
      <c r="E1266" s="3" t="str">
        <f>"FES1162845055"</f>
        <v>FES1162845055</v>
      </c>
      <c r="F1266" s="4">
        <v>44574</v>
      </c>
      <c r="G1266" s="3">
        <v>202207</v>
      </c>
      <c r="H1266" s="3" t="s">
        <v>75</v>
      </c>
      <c r="I1266" s="3" t="s">
        <v>76</v>
      </c>
      <c r="J1266" s="3" t="s">
        <v>77</v>
      </c>
      <c r="K1266" s="3" t="s">
        <v>78</v>
      </c>
      <c r="L1266" s="3" t="s">
        <v>171</v>
      </c>
      <c r="M1266" s="3" t="s">
        <v>172</v>
      </c>
      <c r="N1266" s="3" t="s">
        <v>454</v>
      </c>
      <c r="O1266" s="3" t="s">
        <v>82</v>
      </c>
      <c r="P1266" s="3" t="str">
        <f>"2170816626                    "</f>
        <v xml:space="preserve">2170816626                    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15.46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0</v>
      </c>
      <c r="AZ1266" s="3">
        <v>0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1</v>
      </c>
      <c r="BI1266" s="3">
        <v>1</v>
      </c>
      <c r="BJ1266" s="3">
        <v>0.2</v>
      </c>
      <c r="BK1266" s="3">
        <v>1</v>
      </c>
      <c r="BL1266" s="3">
        <v>59</v>
      </c>
      <c r="BM1266" s="3">
        <v>8.85</v>
      </c>
      <c r="BN1266" s="3">
        <v>67.849999999999994</v>
      </c>
      <c r="BO1266" s="3">
        <v>67.849999999999994</v>
      </c>
      <c r="BQ1266" s="3" t="s">
        <v>89</v>
      </c>
      <c r="BR1266" s="3" t="s">
        <v>84</v>
      </c>
      <c r="BS1266" s="4">
        <v>44575</v>
      </c>
      <c r="BT1266" s="5">
        <v>0.40902777777777777</v>
      </c>
      <c r="BU1266" s="3" t="s">
        <v>1155</v>
      </c>
      <c r="BV1266" s="3" t="s">
        <v>105</v>
      </c>
      <c r="BY1266" s="3">
        <v>1200</v>
      </c>
      <c r="BZ1266" s="3" t="s">
        <v>165</v>
      </c>
      <c r="CA1266" s="3" t="s">
        <v>509</v>
      </c>
      <c r="CC1266" s="3" t="s">
        <v>172</v>
      </c>
      <c r="CD1266" s="3">
        <v>6001</v>
      </c>
      <c r="CE1266" s="3" t="s">
        <v>93</v>
      </c>
      <c r="CF1266" s="4">
        <v>44575</v>
      </c>
      <c r="CI1266" s="3">
        <v>1</v>
      </c>
      <c r="CJ1266" s="3">
        <v>1</v>
      </c>
      <c r="CK1266" s="3">
        <v>21</v>
      </c>
      <c r="CL1266" s="3" t="s">
        <v>87</v>
      </c>
    </row>
    <row r="1267" spans="1:90" x14ac:dyDescent="0.2">
      <c r="A1267" s="3" t="s">
        <v>72</v>
      </c>
      <c r="B1267" s="3" t="s">
        <v>73</v>
      </c>
      <c r="C1267" s="3" t="s">
        <v>74</v>
      </c>
      <c r="E1267" s="3" t="str">
        <f>"FES1162845048"</f>
        <v>FES1162845048</v>
      </c>
      <c r="F1267" s="4">
        <v>44574</v>
      </c>
      <c r="G1267" s="3">
        <v>202207</v>
      </c>
      <c r="H1267" s="3" t="s">
        <v>75</v>
      </c>
      <c r="I1267" s="3" t="s">
        <v>76</v>
      </c>
      <c r="J1267" s="3" t="s">
        <v>77</v>
      </c>
      <c r="K1267" s="3" t="s">
        <v>78</v>
      </c>
      <c r="L1267" s="3" t="s">
        <v>171</v>
      </c>
      <c r="M1267" s="3" t="s">
        <v>172</v>
      </c>
      <c r="N1267" s="3" t="s">
        <v>249</v>
      </c>
      <c r="O1267" s="3" t="s">
        <v>82</v>
      </c>
      <c r="P1267" s="3" t="str">
        <f>"2170816612                    "</f>
        <v xml:space="preserve">2170816612                    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15.46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  <c r="BH1267" s="3">
        <v>1</v>
      </c>
      <c r="BI1267" s="3">
        <v>1</v>
      </c>
      <c r="BJ1267" s="3">
        <v>0.2</v>
      </c>
      <c r="BK1267" s="3">
        <v>1</v>
      </c>
      <c r="BL1267" s="3">
        <v>59</v>
      </c>
      <c r="BM1267" s="3">
        <v>8.85</v>
      </c>
      <c r="BN1267" s="3">
        <v>67.849999999999994</v>
      </c>
      <c r="BO1267" s="3">
        <v>67.849999999999994</v>
      </c>
      <c r="BQ1267" s="3" t="s">
        <v>89</v>
      </c>
      <c r="BR1267" s="3" t="s">
        <v>84</v>
      </c>
      <c r="BS1267" s="4">
        <v>44575</v>
      </c>
      <c r="BT1267" s="5">
        <v>0.41805555555555557</v>
      </c>
      <c r="BU1267" s="3" t="s">
        <v>1106</v>
      </c>
      <c r="BV1267" s="3" t="s">
        <v>105</v>
      </c>
      <c r="BY1267" s="3">
        <v>1200</v>
      </c>
      <c r="BZ1267" s="3" t="s">
        <v>165</v>
      </c>
      <c r="CA1267" s="3" t="s">
        <v>509</v>
      </c>
      <c r="CC1267" s="3" t="s">
        <v>172</v>
      </c>
      <c r="CD1267" s="3">
        <v>6001</v>
      </c>
      <c r="CE1267" s="3" t="s">
        <v>93</v>
      </c>
      <c r="CF1267" s="4">
        <v>44575</v>
      </c>
      <c r="CI1267" s="3">
        <v>1</v>
      </c>
      <c r="CJ1267" s="3">
        <v>1</v>
      </c>
      <c r="CK1267" s="3">
        <v>21</v>
      </c>
      <c r="CL1267" s="3" t="s">
        <v>87</v>
      </c>
    </row>
    <row r="1268" spans="1:90" x14ac:dyDescent="0.2">
      <c r="A1268" s="3" t="s">
        <v>72</v>
      </c>
      <c r="B1268" s="3" t="s">
        <v>73</v>
      </c>
      <c r="C1268" s="3" t="s">
        <v>74</v>
      </c>
      <c r="E1268" s="3" t="str">
        <f>"FES1162845002"</f>
        <v>FES1162845002</v>
      </c>
      <c r="F1268" s="4">
        <v>44574</v>
      </c>
      <c r="G1268" s="3">
        <v>202207</v>
      </c>
      <c r="H1268" s="3" t="s">
        <v>75</v>
      </c>
      <c r="I1268" s="3" t="s">
        <v>76</v>
      </c>
      <c r="J1268" s="3" t="s">
        <v>77</v>
      </c>
      <c r="K1268" s="3" t="s">
        <v>78</v>
      </c>
      <c r="L1268" s="3" t="s">
        <v>184</v>
      </c>
      <c r="M1268" s="3" t="s">
        <v>185</v>
      </c>
      <c r="N1268" s="3" t="s">
        <v>234</v>
      </c>
      <c r="O1268" s="3" t="s">
        <v>82</v>
      </c>
      <c r="P1268" s="3" t="str">
        <f>"2170816556                    "</f>
        <v xml:space="preserve">2170816556                    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0</v>
      </c>
      <c r="AJ1268" s="3">
        <v>0</v>
      </c>
      <c r="AK1268" s="3">
        <v>42.49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0</v>
      </c>
      <c r="AZ1268" s="3">
        <v>0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1</v>
      </c>
      <c r="BI1268" s="3">
        <v>4</v>
      </c>
      <c r="BJ1268" s="3">
        <v>5.4</v>
      </c>
      <c r="BK1268" s="3">
        <v>5.5</v>
      </c>
      <c r="BL1268" s="3">
        <v>162.19</v>
      </c>
      <c r="BM1268" s="3">
        <v>24.33</v>
      </c>
      <c r="BN1268" s="3">
        <v>186.52</v>
      </c>
      <c r="BO1268" s="3">
        <v>186.52</v>
      </c>
      <c r="BQ1268" s="3" t="s">
        <v>89</v>
      </c>
      <c r="BR1268" s="3" t="s">
        <v>84</v>
      </c>
      <c r="BS1268" s="4">
        <v>44575</v>
      </c>
      <c r="BT1268" s="5">
        <v>0.41875000000000001</v>
      </c>
      <c r="BU1268" s="3" t="s">
        <v>998</v>
      </c>
      <c r="BV1268" s="3" t="s">
        <v>105</v>
      </c>
      <c r="BY1268" s="3">
        <v>27225</v>
      </c>
      <c r="BZ1268" s="3" t="s">
        <v>165</v>
      </c>
      <c r="CA1268" s="3" t="s">
        <v>612</v>
      </c>
      <c r="CC1268" s="3" t="s">
        <v>185</v>
      </c>
      <c r="CD1268" s="3">
        <v>5201</v>
      </c>
      <c r="CE1268" s="3" t="s">
        <v>86</v>
      </c>
      <c r="CF1268" s="4">
        <v>44575</v>
      </c>
      <c r="CI1268" s="3">
        <v>1</v>
      </c>
      <c r="CJ1268" s="3">
        <v>1</v>
      </c>
      <c r="CK1268" s="3">
        <v>21</v>
      </c>
      <c r="CL1268" s="3" t="s">
        <v>87</v>
      </c>
    </row>
    <row r="1269" spans="1:90" x14ac:dyDescent="0.2">
      <c r="A1269" s="3" t="s">
        <v>72</v>
      </c>
      <c r="B1269" s="3" t="s">
        <v>73</v>
      </c>
      <c r="C1269" s="3" t="s">
        <v>74</v>
      </c>
      <c r="E1269" s="3" t="str">
        <f>"FES1162844900"</f>
        <v>FES1162844900</v>
      </c>
      <c r="F1269" s="4">
        <v>44574</v>
      </c>
      <c r="G1269" s="3">
        <v>202207</v>
      </c>
      <c r="H1269" s="3" t="s">
        <v>75</v>
      </c>
      <c r="I1269" s="3" t="s">
        <v>76</v>
      </c>
      <c r="J1269" s="3" t="s">
        <v>77</v>
      </c>
      <c r="K1269" s="3" t="s">
        <v>78</v>
      </c>
      <c r="L1269" s="3" t="s">
        <v>218</v>
      </c>
      <c r="M1269" s="3" t="s">
        <v>219</v>
      </c>
      <c r="N1269" s="3" t="s">
        <v>766</v>
      </c>
      <c r="O1269" s="3" t="s">
        <v>82</v>
      </c>
      <c r="P1269" s="3" t="str">
        <f>"2170816070                    "</f>
        <v xml:space="preserve">2170816070                    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15.46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3">
        <v>1</v>
      </c>
      <c r="BI1269" s="3">
        <v>1</v>
      </c>
      <c r="BJ1269" s="3">
        <v>1.5</v>
      </c>
      <c r="BK1269" s="3">
        <v>1.5</v>
      </c>
      <c r="BL1269" s="3">
        <v>59</v>
      </c>
      <c r="BM1269" s="3">
        <v>8.85</v>
      </c>
      <c r="BN1269" s="3">
        <v>67.849999999999994</v>
      </c>
      <c r="BO1269" s="3">
        <v>67.849999999999994</v>
      </c>
      <c r="BR1269" s="3" t="s">
        <v>84</v>
      </c>
      <c r="BS1269" s="4">
        <v>44575</v>
      </c>
      <c r="BT1269" s="5">
        <v>0.37083333333333335</v>
      </c>
      <c r="BU1269" s="3" t="s">
        <v>1007</v>
      </c>
      <c r="BV1269" s="3" t="s">
        <v>105</v>
      </c>
      <c r="BY1269" s="3">
        <v>7540</v>
      </c>
      <c r="BZ1269" s="3" t="s">
        <v>165</v>
      </c>
      <c r="CA1269" s="3" t="s">
        <v>362</v>
      </c>
      <c r="CC1269" s="3" t="s">
        <v>219</v>
      </c>
      <c r="CD1269" s="3">
        <v>157</v>
      </c>
      <c r="CE1269" s="3" t="s">
        <v>86</v>
      </c>
      <c r="CF1269" s="4">
        <v>44575</v>
      </c>
      <c r="CI1269" s="3">
        <v>1</v>
      </c>
      <c r="CJ1269" s="3">
        <v>1</v>
      </c>
      <c r="CK1269" s="3">
        <v>21</v>
      </c>
      <c r="CL1269" s="3" t="s">
        <v>87</v>
      </c>
    </row>
    <row r="1270" spans="1:90" x14ac:dyDescent="0.2">
      <c r="A1270" s="3" t="s">
        <v>72</v>
      </c>
      <c r="B1270" s="3" t="s">
        <v>73</v>
      </c>
      <c r="C1270" s="3" t="s">
        <v>74</v>
      </c>
      <c r="E1270" s="3" t="str">
        <f>"RFES1162843692"</f>
        <v>RFES1162843692</v>
      </c>
      <c r="F1270" s="4">
        <v>44574</v>
      </c>
      <c r="G1270" s="3">
        <v>202207</v>
      </c>
      <c r="H1270" s="3" t="s">
        <v>75</v>
      </c>
      <c r="I1270" s="3" t="s">
        <v>76</v>
      </c>
      <c r="J1270" s="3" t="s">
        <v>1599</v>
      </c>
      <c r="K1270" s="3" t="s">
        <v>78</v>
      </c>
      <c r="L1270" s="3" t="s">
        <v>75</v>
      </c>
      <c r="M1270" s="3" t="s">
        <v>76</v>
      </c>
      <c r="N1270" s="3" t="s">
        <v>77</v>
      </c>
      <c r="O1270" s="3" t="s">
        <v>82</v>
      </c>
      <c r="P1270" s="3" t="str">
        <f>"2170814449                    "</f>
        <v xml:space="preserve">2170814449                    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12.07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1</v>
      </c>
      <c r="BI1270" s="3">
        <v>1</v>
      </c>
      <c r="BJ1270" s="3">
        <v>0.2</v>
      </c>
      <c r="BK1270" s="3">
        <v>1</v>
      </c>
      <c r="BL1270" s="3">
        <v>46.08</v>
      </c>
      <c r="BM1270" s="3">
        <v>6.91</v>
      </c>
      <c r="BN1270" s="3">
        <v>52.99</v>
      </c>
      <c r="BO1270" s="3">
        <v>52.99</v>
      </c>
      <c r="BQ1270" s="3" t="s">
        <v>364</v>
      </c>
      <c r="BR1270" s="3" t="s">
        <v>83</v>
      </c>
      <c r="BS1270" s="4">
        <v>44575</v>
      </c>
      <c r="BT1270" s="5">
        <v>0.43263888888888885</v>
      </c>
      <c r="BU1270" s="3" t="s">
        <v>1600</v>
      </c>
      <c r="BV1270" s="3" t="s">
        <v>105</v>
      </c>
      <c r="BY1270" s="3">
        <v>1200</v>
      </c>
      <c r="CA1270" s="3" t="s">
        <v>378</v>
      </c>
      <c r="CC1270" s="3" t="s">
        <v>76</v>
      </c>
      <c r="CD1270" s="3">
        <v>1601</v>
      </c>
      <c r="CE1270" s="3" t="s">
        <v>93</v>
      </c>
      <c r="CF1270" s="4">
        <v>44576</v>
      </c>
      <c r="CI1270" s="3">
        <v>1</v>
      </c>
      <c r="CJ1270" s="3">
        <v>1</v>
      </c>
      <c r="CK1270" s="3">
        <v>22</v>
      </c>
      <c r="CL1270" s="3" t="s">
        <v>87</v>
      </c>
    </row>
    <row r="1271" spans="1:90" x14ac:dyDescent="0.2">
      <c r="A1271" s="3" t="s">
        <v>72</v>
      </c>
      <c r="B1271" s="3" t="s">
        <v>73</v>
      </c>
      <c r="C1271" s="3" t="s">
        <v>74</v>
      </c>
      <c r="E1271" s="3" t="str">
        <f>"FES1162845046"</f>
        <v>FES1162845046</v>
      </c>
      <c r="F1271" s="4">
        <v>44574</v>
      </c>
      <c r="G1271" s="3">
        <v>202207</v>
      </c>
      <c r="H1271" s="3" t="s">
        <v>75</v>
      </c>
      <c r="I1271" s="3" t="s">
        <v>76</v>
      </c>
      <c r="J1271" s="3" t="s">
        <v>77</v>
      </c>
      <c r="K1271" s="3" t="s">
        <v>78</v>
      </c>
      <c r="L1271" s="3" t="s">
        <v>101</v>
      </c>
      <c r="M1271" s="3" t="s">
        <v>102</v>
      </c>
      <c r="N1271" s="3" t="s">
        <v>340</v>
      </c>
      <c r="O1271" s="3" t="s">
        <v>82</v>
      </c>
      <c r="P1271" s="3" t="str">
        <f>"2170816604                    "</f>
        <v xml:space="preserve">2170816604                    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15.46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1</v>
      </c>
      <c r="BI1271" s="3">
        <v>1</v>
      </c>
      <c r="BJ1271" s="3">
        <v>0.2</v>
      </c>
      <c r="BK1271" s="3">
        <v>1</v>
      </c>
      <c r="BL1271" s="3">
        <v>59</v>
      </c>
      <c r="BM1271" s="3">
        <v>8.85</v>
      </c>
      <c r="BN1271" s="3">
        <v>67.849999999999994</v>
      </c>
      <c r="BO1271" s="3">
        <v>67.849999999999994</v>
      </c>
      <c r="BQ1271" s="3" t="s">
        <v>341</v>
      </c>
      <c r="BR1271" s="3" t="s">
        <v>84</v>
      </c>
      <c r="BS1271" s="4">
        <v>44575</v>
      </c>
      <c r="BT1271" s="5">
        <v>0.38125000000000003</v>
      </c>
      <c r="BU1271" s="3" t="s">
        <v>342</v>
      </c>
      <c r="BV1271" s="3" t="s">
        <v>105</v>
      </c>
      <c r="BY1271" s="3">
        <v>1200</v>
      </c>
      <c r="BZ1271" s="3" t="s">
        <v>165</v>
      </c>
      <c r="CA1271" s="3" t="s">
        <v>343</v>
      </c>
      <c r="CC1271" s="3" t="s">
        <v>102</v>
      </c>
      <c r="CD1271" s="3">
        <v>4001</v>
      </c>
      <c r="CE1271" s="3" t="s">
        <v>93</v>
      </c>
      <c r="CF1271" s="4">
        <v>44578</v>
      </c>
      <c r="CI1271" s="3">
        <v>1</v>
      </c>
      <c r="CJ1271" s="3">
        <v>1</v>
      </c>
      <c r="CK1271" s="3">
        <v>21</v>
      </c>
      <c r="CL1271" s="3" t="s">
        <v>87</v>
      </c>
    </row>
    <row r="1272" spans="1:90" x14ac:dyDescent="0.2">
      <c r="A1272" s="3" t="s">
        <v>72</v>
      </c>
      <c r="B1272" s="3" t="s">
        <v>73</v>
      </c>
      <c r="C1272" s="3" t="s">
        <v>74</v>
      </c>
      <c r="E1272" s="3" t="str">
        <f>"FES1162844951"</f>
        <v>FES1162844951</v>
      </c>
      <c r="F1272" s="4">
        <v>44574</v>
      </c>
      <c r="G1272" s="3">
        <v>202207</v>
      </c>
      <c r="H1272" s="3" t="s">
        <v>75</v>
      </c>
      <c r="I1272" s="3" t="s">
        <v>76</v>
      </c>
      <c r="J1272" s="3" t="s">
        <v>77</v>
      </c>
      <c r="K1272" s="3" t="s">
        <v>78</v>
      </c>
      <c r="L1272" s="3" t="s">
        <v>281</v>
      </c>
      <c r="M1272" s="3" t="s">
        <v>282</v>
      </c>
      <c r="N1272" s="3" t="s">
        <v>927</v>
      </c>
      <c r="O1272" s="3" t="s">
        <v>82</v>
      </c>
      <c r="P1272" s="3" t="str">
        <f>"2170816517                    "</f>
        <v xml:space="preserve">2170816517                    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29.95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0</v>
      </c>
      <c r="AZ1272" s="3">
        <v>0</v>
      </c>
      <c r="BA1272" s="3">
        <v>0</v>
      </c>
      <c r="BB1272" s="3">
        <v>0</v>
      </c>
      <c r="BC1272" s="3">
        <v>0</v>
      </c>
      <c r="BD1272" s="3">
        <v>0</v>
      </c>
      <c r="BE1272" s="3">
        <v>0</v>
      </c>
      <c r="BF1272" s="3">
        <v>0</v>
      </c>
      <c r="BG1272" s="3">
        <v>0</v>
      </c>
      <c r="BH1272" s="3">
        <v>1</v>
      </c>
      <c r="BI1272" s="3">
        <v>1</v>
      </c>
      <c r="BJ1272" s="3">
        <v>1.1000000000000001</v>
      </c>
      <c r="BK1272" s="3">
        <v>1.5</v>
      </c>
      <c r="BL1272" s="3">
        <v>114.31</v>
      </c>
      <c r="BM1272" s="3">
        <v>17.149999999999999</v>
      </c>
      <c r="BN1272" s="3">
        <v>131.46</v>
      </c>
      <c r="BO1272" s="3">
        <v>131.46</v>
      </c>
      <c r="BQ1272" s="3" t="s">
        <v>83</v>
      </c>
      <c r="BR1272" s="3" t="s">
        <v>84</v>
      </c>
      <c r="BS1272" s="4">
        <v>44575</v>
      </c>
      <c r="BT1272" s="5">
        <v>0.47916666666666669</v>
      </c>
      <c r="BU1272" s="3" t="s">
        <v>284</v>
      </c>
      <c r="BV1272" s="3" t="s">
        <v>105</v>
      </c>
      <c r="BY1272" s="3">
        <v>5320</v>
      </c>
      <c r="BZ1272" s="3" t="s">
        <v>165</v>
      </c>
      <c r="CC1272" s="3" t="s">
        <v>282</v>
      </c>
      <c r="CD1272" s="3">
        <v>3236</v>
      </c>
      <c r="CE1272" s="3" t="s">
        <v>86</v>
      </c>
      <c r="CF1272" s="4">
        <v>44581</v>
      </c>
      <c r="CI1272" s="3">
        <v>5</v>
      </c>
      <c r="CJ1272" s="3">
        <v>1</v>
      </c>
      <c r="CK1272" s="3">
        <v>23</v>
      </c>
      <c r="CL1272" s="3" t="s">
        <v>87</v>
      </c>
    </row>
    <row r="1273" spans="1:90" x14ac:dyDescent="0.2">
      <c r="A1273" s="3" t="s">
        <v>72</v>
      </c>
      <c r="B1273" s="3" t="s">
        <v>73</v>
      </c>
      <c r="C1273" s="3" t="s">
        <v>74</v>
      </c>
      <c r="E1273" s="3" t="str">
        <f>"FES1162844955"</f>
        <v>FES1162844955</v>
      </c>
      <c r="F1273" s="4">
        <v>44574</v>
      </c>
      <c r="G1273" s="3">
        <v>202207</v>
      </c>
      <c r="H1273" s="3" t="s">
        <v>75</v>
      </c>
      <c r="I1273" s="3" t="s">
        <v>76</v>
      </c>
      <c r="J1273" s="3" t="s">
        <v>77</v>
      </c>
      <c r="K1273" s="3" t="s">
        <v>78</v>
      </c>
      <c r="L1273" s="3" t="s">
        <v>94</v>
      </c>
      <c r="M1273" s="3" t="s">
        <v>95</v>
      </c>
      <c r="N1273" s="3" t="s">
        <v>96</v>
      </c>
      <c r="O1273" s="3" t="s">
        <v>82</v>
      </c>
      <c r="P1273" s="3" t="str">
        <f>"2170800455                    "</f>
        <v xml:space="preserve">2170800455                    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54.08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0</v>
      </c>
      <c r="AZ1273" s="3">
        <v>0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1</v>
      </c>
      <c r="BI1273" s="3">
        <v>7</v>
      </c>
      <c r="BJ1273" s="3">
        <v>2</v>
      </c>
      <c r="BK1273" s="3">
        <v>7</v>
      </c>
      <c r="BL1273" s="3">
        <v>206.42</v>
      </c>
      <c r="BM1273" s="3">
        <v>30.96</v>
      </c>
      <c r="BN1273" s="3">
        <v>237.38</v>
      </c>
      <c r="BO1273" s="3">
        <v>237.38</v>
      </c>
      <c r="BQ1273" s="3" t="s">
        <v>89</v>
      </c>
      <c r="BR1273" s="3" t="s">
        <v>84</v>
      </c>
      <c r="BS1273" s="4">
        <v>44578</v>
      </c>
      <c r="BT1273" s="5">
        <v>0.53402777777777777</v>
      </c>
      <c r="BU1273" s="3" t="s">
        <v>821</v>
      </c>
      <c r="BV1273" s="3" t="s">
        <v>87</v>
      </c>
      <c r="BW1273" s="3" t="s">
        <v>453</v>
      </c>
      <c r="BX1273" s="3" t="s">
        <v>279</v>
      </c>
      <c r="BY1273" s="3">
        <v>9918</v>
      </c>
      <c r="BZ1273" s="3" t="s">
        <v>165</v>
      </c>
      <c r="CC1273" s="3" t="s">
        <v>95</v>
      </c>
      <c r="CD1273" s="3">
        <v>3201</v>
      </c>
      <c r="CE1273" s="3" t="s">
        <v>86</v>
      </c>
      <c r="CF1273" s="4">
        <v>44581</v>
      </c>
      <c r="CI1273" s="3">
        <v>1</v>
      </c>
      <c r="CJ1273" s="3">
        <v>2</v>
      </c>
      <c r="CK1273" s="3">
        <v>21</v>
      </c>
      <c r="CL1273" s="3" t="s">
        <v>87</v>
      </c>
    </row>
    <row r="1274" spans="1:90" x14ac:dyDescent="0.2">
      <c r="A1274" s="3" t="s">
        <v>72</v>
      </c>
      <c r="B1274" s="3" t="s">
        <v>73</v>
      </c>
      <c r="C1274" s="3" t="s">
        <v>74</v>
      </c>
      <c r="E1274" s="3" t="str">
        <f>"FES1162845051"</f>
        <v>FES1162845051</v>
      </c>
      <c r="F1274" s="4">
        <v>44574</v>
      </c>
      <c r="G1274" s="3">
        <v>202207</v>
      </c>
      <c r="H1274" s="3" t="s">
        <v>75</v>
      </c>
      <c r="I1274" s="3" t="s">
        <v>76</v>
      </c>
      <c r="J1274" s="3" t="s">
        <v>77</v>
      </c>
      <c r="K1274" s="3" t="s">
        <v>78</v>
      </c>
      <c r="L1274" s="3" t="s">
        <v>138</v>
      </c>
      <c r="M1274" s="3" t="s">
        <v>139</v>
      </c>
      <c r="N1274" s="3" t="s">
        <v>238</v>
      </c>
      <c r="O1274" s="3" t="s">
        <v>82</v>
      </c>
      <c r="P1274" s="3" t="str">
        <f>"2170816619                    "</f>
        <v xml:space="preserve">2170816619                    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15.46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0</v>
      </c>
      <c r="AZ1274" s="3">
        <v>0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3">
        <v>1</v>
      </c>
      <c r="BI1274" s="3">
        <v>1</v>
      </c>
      <c r="BJ1274" s="3">
        <v>0.2</v>
      </c>
      <c r="BK1274" s="3">
        <v>1</v>
      </c>
      <c r="BL1274" s="3">
        <v>59</v>
      </c>
      <c r="BM1274" s="3">
        <v>8.85</v>
      </c>
      <c r="BN1274" s="3">
        <v>67.849999999999994</v>
      </c>
      <c r="BO1274" s="3">
        <v>67.849999999999994</v>
      </c>
      <c r="BQ1274" s="3" t="s">
        <v>89</v>
      </c>
      <c r="BR1274" s="3" t="s">
        <v>84</v>
      </c>
      <c r="BS1274" s="4">
        <v>44575</v>
      </c>
      <c r="BT1274" s="5">
        <v>0.34375</v>
      </c>
      <c r="BU1274" s="3" t="s">
        <v>1601</v>
      </c>
      <c r="BV1274" s="3" t="s">
        <v>105</v>
      </c>
      <c r="BY1274" s="3">
        <v>1200</v>
      </c>
      <c r="BZ1274" s="3" t="s">
        <v>165</v>
      </c>
      <c r="CA1274" s="3" t="s">
        <v>303</v>
      </c>
      <c r="CC1274" s="3" t="s">
        <v>139</v>
      </c>
      <c r="CD1274" s="3">
        <v>3610</v>
      </c>
      <c r="CE1274" s="3" t="s">
        <v>93</v>
      </c>
      <c r="CF1274" s="4">
        <v>44578</v>
      </c>
      <c r="CI1274" s="3">
        <v>1</v>
      </c>
      <c r="CJ1274" s="3">
        <v>1</v>
      </c>
      <c r="CK1274" s="3">
        <v>21</v>
      </c>
      <c r="CL1274" s="3" t="s">
        <v>87</v>
      </c>
    </row>
    <row r="1275" spans="1:90" x14ac:dyDescent="0.2">
      <c r="A1275" s="3" t="s">
        <v>72</v>
      </c>
      <c r="B1275" s="3" t="s">
        <v>73</v>
      </c>
      <c r="C1275" s="3" t="s">
        <v>74</v>
      </c>
      <c r="E1275" s="3" t="str">
        <f>"FES1162845053"</f>
        <v>FES1162845053</v>
      </c>
      <c r="F1275" s="4">
        <v>44574</v>
      </c>
      <c r="G1275" s="3">
        <v>202207</v>
      </c>
      <c r="H1275" s="3" t="s">
        <v>75</v>
      </c>
      <c r="I1275" s="3" t="s">
        <v>76</v>
      </c>
      <c r="J1275" s="3" t="s">
        <v>77</v>
      </c>
      <c r="K1275" s="3" t="s">
        <v>78</v>
      </c>
      <c r="L1275" s="3" t="s">
        <v>138</v>
      </c>
      <c r="M1275" s="3" t="s">
        <v>139</v>
      </c>
      <c r="N1275" s="3" t="s">
        <v>1602</v>
      </c>
      <c r="O1275" s="3" t="s">
        <v>82</v>
      </c>
      <c r="P1275" s="3" t="str">
        <f>"2170816622                    "</f>
        <v xml:space="preserve">2170816622                    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61.81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0</v>
      </c>
      <c r="AZ1275" s="3">
        <v>0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3">
        <v>1</v>
      </c>
      <c r="BI1275" s="3">
        <v>8</v>
      </c>
      <c r="BJ1275" s="3">
        <v>4.0999999999999996</v>
      </c>
      <c r="BK1275" s="3">
        <v>8</v>
      </c>
      <c r="BL1275" s="3">
        <v>235.91</v>
      </c>
      <c r="BM1275" s="3">
        <v>35.39</v>
      </c>
      <c r="BN1275" s="3">
        <v>271.3</v>
      </c>
      <c r="BO1275" s="3">
        <v>271.3</v>
      </c>
      <c r="BQ1275" s="3" t="s">
        <v>126</v>
      </c>
      <c r="BR1275" s="3" t="s">
        <v>84</v>
      </c>
      <c r="BS1275" s="4">
        <v>44575</v>
      </c>
      <c r="BT1275" s="5">
        <v>0.35486111111111113</v>
      </c>
      <c r="BU1275" s="3" t="s">
        <v>1603</v>
      </c>
      <c r="BV1275" s="3" t="s">
        <v>105</v>
      </c>
      <c r="BY1275" s="3">
        <v>20358</v>
      </c>
      <c r="BZ1275" s="3" t="s">
        <v>165</v>
      </c>
      <c r="CA1275" s="3" t="s">
        <v>303</v>
      </c>
      <c r="CC1275" s="3" t="s">
        <v>139</v>
      </c>
      <c r="CD1275" s="3">
        <v>3610</v>
      </c>
      <c r="CE1275" s="3" t="s">
        <v>86</v>
      </c>
      <c r="CF1275" s="4">
        <v>44578</v>
      </c>
      <c r="CI1275" s="3">
        <v>1</v>
      </c>
      <c r="CJ1275" s="3">
        <v>1</v>
      </c>
      <c r="CK1275" s="3">
        <v>21</v>
      </c>
      <c r="CL1275" s="3" t="s">
        <v>87</v>
      </c>
    </row>
    <row r="1276" spans="1:90" x14ac:dyDescent="0.2">
      <c r="A1276" s="3" t="s">
        <v>72</v>
      </c>
      <c r="B1276" s="3" t="s">
        <v>73</v>
      </c>
      <c r="C1276" s="3" t="s">
        <v>74</v>
      </c>
      <c r="E1276" s="3" t="str">
        <f>"FES1162844816"</f>
        <v>FES1162844816</v>
      </c>
      <c r="F1276" s="4">
        <v>44574</v>
      </c>
      <c r="G1276" s="3">
        <v>202207</v>
      </c>
      <c r="H1276" s="3" t="s">
        <v>75</v>
      </c>
      <c r="I1276" s="3" t="s">
        <v>76</v>
      </c>
      <c r="J1276" s="3" t="s">
        <v>77</v>
      </c>
      <c r="K1276" s="3" t="s">
        <v>78</v>
      </c>
      <c r="L1276" s="3" t="s">
        <v>1179</v>
      </c>
      <c r="M1276" s="3" t="s">
        <v>1180</v>
      </c>
      <c r="N1276" s="3" t="s">
        <v>1181</v>
      </c>
      <c r="O1276" s="3" t="s">
        <v>82</v>
      </c>
      <c r="P1276" s="3" t="str">
        <f>"2170816374                    "</f>
        <v xml:space="preserve">2170816374                    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29.95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15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0</v>
      </c>
      <c r="AZ1276" s="3">
        <v>0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0</v>
      </c>
      <c r="BG1276" s="3">
        <v>0</v>
      </c>
      <c r="BH1276" s="3">
        <v>1</v>
      </c>
      <c r="BI1276" s="3">
        <v>2</v>
      </c>
      <c r="BJ1276" s="3">
        <v>1.5</v>
      </c>
      <c r="BK1276" s="3">
        <v>2</v>
      </c>
      <c r="BL1276" s="3">
        <v>129.31</v>
      </c>
      <c r="BM1276" s="3">
        <v>19.399999999999999</v>
      </c>
      <c r="BN1276" s="3">
        <v>148.71</v>
      </c>
      <c r="BO1276" s="3">
        <v>148.71</v>
      </c>
      <c r="BQ1276" s="3" t="s">
        <v>83</v>
      </c>
      <c r="BR1276" s="3" t="s">
        <v>84</v>
      </c>
      <c r="BS1276" s="4">
        <v>44575</v>
      </c>
      <c r="BT1276" s="5">
        <v>0.58680555555555558</v>
      </c>
      <c r="BU1276" s="3" t="s">
        <v>1604</v>
      </c>
      <c r="BV1276" s="3" t="s">
        <v>105</v>
      </c>
      <c r="BY1276" s="3">
        <v>7540</v>
      </c>
      <c r="BZ1276" s="3" t="s">
        <v>446</v>
      </c>
      <c r="CA1276" s="3" t="s">
        <v>1605</v>
      </c>
      <c r="CC1276" s="3" t="s">
        <v>1180</v>
      </c>
      <c r="CD1276" s="3">
        <v>208</v>
      </c>
      <c r="CE1276" s="3" t="s">
        <v>86</v>
      </c>
      <c r="CF1276" s="4">
        <v>44578</v>
      </c>
      <c r="CI1276" s="3">
        <v>1</v>
      </c>
      <c r="CJ1276" s="3">
        <v>1</v>
      </c>
      <c r="CK1276" s="3">
        <v>23</v>
      </c>
      <c r="CL1276" s="3" t="s">
        <v>87</v>
      </c>
    </row>
    <row r="1277" spans="1:90" x14ac:dyDescent="0.2">
      <c r="A1277" s="3" t="s">
        <v>72</v>
      </c>
      <c r="B1277" s="3" t="s">
        <v>73</v>
      </c>
      <c r="C1277" s="3" t="s">
        <v>74</v>
      </c>
      <c r="E1277" s="3" t="str">
        <f>"FES1162844965"</f>
        <v>FES1162844965</v>
      </c>
      <c r="F1277" s="4">
        <v>44574</v>
      </c>
      <c r="G1277" s="3">
        <v>202207</v>
      </c>
      <c r="H1277" s="3" t="s">
        <v>75</v>
      </c>
      <c r="I1277" s="3" t="s">
        <v>76</v>
      </c>
      <c r="J1277" s="3" t="s">
        <v>77</v>
      </c>
      <c r="K1277" s="3" t="s">
        <v>78</v>
      </c>
      <c r="L1277" s="3" t="s">
        <v>180</v>
      </c>
      <c r="M1277" s="3" t="s">
        <v>181</v>
      </c>
      <c r="N1277" s="3" t="s">
        <v>1606</v>
      </c>
      <c r="O1277" s="3" t="s">
        <v>82</v>
      </c>
      <c r="P1277" s="3" t="str">
        <f>"2170816344                    "</f>
        <v xml:space="preserve">2170816344                    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21.74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0</v>
      </c>
      <c r="AZ1277" s="3">
        <v>0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  <c r="BH1277" s="3">
        <v>1</v>
      </c>
      <c r="BI1277" s="3">
        <v>1</v>
      </c>
      <c r="BJ1277" s="3">
        <v>0.2</v>
      </c>
      <c r="BK1277" s="3">
        <v>1</v>
      </c>
      <c r="BL1277" s="3">
        <v>82.98</v>
      </c>
      <c r="BM1277" s="3">
        <v>12.45</v>
      </c>
      <c r="BN1277" s="3">
        <v>95.43</v>
      </c>
      <c r="BO1277" s="3">
        <v>95.43</v>
      </c>
      <c r="BR1277" s="3" t="s">
        <v>84</v>
      </c>
      <c r="BS1277" s="4">
        <v>44575</v>
      </c>
      <c r="BT1277" s="5">
        <v>0.34236111111111112</v>
      </c>
      <c r="BU1277" s="3" t="s">
        <v>1607</v>
      </c>
      <c r="BV1277" s="3" t="s">
        <v>105</v>
      </c>
      <c r="BY1277" s="3">
        <v>1200</v>
      </c>
      <c r="BZ1277" s="3" t="s">
        <v>165</v>
      </c>
      <c r="CA1277" s="3" t="s">
        <v>1608</v>
      </c>
      <c r="CC1277" s="3" t="s">
        <v>181</v>
      </c>
      <c r="CD1277" s="3">
        <v>1930</v>
      </c>
      <c r="CE1277" s="3" t="s">
        <v>93</v>
      </c>
      <c r="CF1277" s="4">
        <v>44576</v>
      </c>
      <c r="CI1277" s="3">
        <v>1</v>
      </c>
      <c r="CJ1277" s="3">
        <v>1</v>
      </c>
      <c r="CK1277" s="3">
        <v>24</v>
      </c>
      <c r="CL1277" s="3" t="s">
        <v>87</v>
      </c>
    </row>
    <row r="1278" spans="1:90" x14ac:dyDescent="0.2">
      <c r="A1278" s="3" t="s">
        <v>72</v>
      </c>
      <c r="B1278" s="3" t="s">
        <v>73</v>
      </c>
      <c r="C1278" s="3" t="s">
        <v>74</v>
      </c>
      <c r="E1278" s="3" t="str">
        <f>"FES1162844947"</f>
        <v>FES1162844947</v>
      </c>
      <c r="F1278" s="4">
        <v>44574</v>
      </c>
      <c r="G1278" s="3">
        <v>202207</v>
      </c>
      <c r="H1278" s="3" t="s">
        <v>75</v>
      </c>
      <c r="I1278" s="3" t="s">
        <v>76</v>
      </c>
      <c r="J1278" s="3" t="s">
        <v>77</v>
      </c>
      <c r="K1278" s="3" t="s">
        <v>78</v>
      </c>
      <c r="L1278" s="3" t="s">
        <v>107</v>
      </c>
      <c r="M1278" s="3" t="s">
        <v>108</v>
      </c>
      <c r="N1278" s="3" t="s">
        <v>582</v>
      </c>
      <c r="O1278" s="3" t="s">
        <v>82</v>
      </c>
      <c r="P1278" s="3" t="str">
        <f>"2170815940                    "</f>
        <v xml:space="preserve">2170815940                    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29.95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0</v>
      </c>
      <c r="AZ1278" s="3">
        <v>0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3">
        <v>1</v>
      </c>
      <c r="BI1278" s="3">
        <v>1</v>
      </c>
      <c r="BJ1278" s="3">
        <v>0.9</v>
      </c>
      <c r="BK1278" s="3">
        <v>1</v>
      </c>
      <c r="BL1278" s="3">
        <v>114.31</v>
      </c>
      <c r="BM1278" s="3">
        <v>17.149999999999999</v>
      </c>
      <c r="BN1278" s="3">
        <v>131.46</v>
      </c>
      <c r="BO1278" s="3">
        <v>131.46</v>
      </c>
      <c r="BQ1278" s="3" t="s">
        <v>126</v>
      </c>
      <c r="BR1278" s="3" t="s">
        <v>84</v>
      </c>
      <c r="BS1278" s="4">
        <v>44575</v>
      </c>
      <c r="BT1278" s="5">
        <v>0.59166666666666667</v>
      </c>
      <c r="BU1278" s="3" t="s">
        <v>583</v>
      </c>
      <c r="BV1278" s="3" t="s">
        <v>105</v>
      </c>
      <c r="BY1278" s="3">
        <v>4560</v>
      </c>
      <c r="BZ1278" s="3" t="s">
        <v>165</v>
      </c>
      <c r="CA1278" s="3" t="s">
        <v>394</v>
      </c>
      <c r="CC1278" s="3" t="s">
        <v>108</v>
      </c>
      <c r="CD1278" s="3">
        <v>6850</v>
      </c>
      <c r="CE1278" s="3" t="s">
        <v>86</v>
      </c>
      <c r="CF1278" s="4">
        <v>44578</v>
      </c>
      <c r="CI1278" s="3">
        <v>2</v>
      </c>
      <c r="CJ1278" s="3">
        <v>1</v>
      </c>
      <c r="CK1278" s="3">
        <v>23</v>
      </c>
      <c r="CL1278" s="3" t="s">
        <v>87</v>
      </c>
    </row>
    <row r="1279" spans="1:90" x14ac:dyDescent="0.2">
      <c r="A1279" s="3" t="s">
        <v>72</v>
      </c>
      <c r="B1279" s="3" t="s">
        <v>73</v>
      </c>
      <c r="C1279" s="3" t="s">
        <v>74</v>
      </c>
      <c r="E1279" s="3" t="str">
        <f>"FES1162845049"</f>
        <v>FES1162845049</v>
      </c>
      <c r="F1279" s="4">
        <v>44574</v>
      </c>
      <c r="G1279" s="3">
        <v>202207</v>
      </c>
      <c r="H1279" s="3" t="s">
        <v>75</v>
      </c>
      <c r="I1279" s="3" t="s">
        <v>76</v>
      </c>
      <c r="J1279" s="3" t="s">
        <v>77</v>
      </c>
      <c r="K1279" s="3" t="s">
        <v>78</v>
      </c>
      <c r="L1279" s="3" t="s">
        <v>180</v>
      </c>
      <c r="M1279" s="3" t="s">
        <v>181</v>
      </c>
      <c r="N1279" s="3" t="s">
        <v>1606</v>
      </c>
      <c r="O1279" s="3" t="s">
        <v>82</v>
      </c>
      <c r="P1279" s="3" t="str">
        <f>"2170816615                    "</f>
        <v xml:space="preserve">2170816615                    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21.74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0</v>
      </c>
      <c r="AZ1279" s="3">
        <v>0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3">
        <v>1</v>
      </c>
      <c r="BI1279" s="3">
        <v>1</v>
      </c>
      <c r="BJ1279" s="3">
        <v>0.2</v>
      </c>
      <c r="BK1279" s="3">
        <v>1</v>
      </c>
      <c r="BL1279" s="3">
        <v>82.98</v>
      </c>
      <c r="BM1279" s="3">
        <v>12.45</v>
      </c>
      <c r="BN1279" s="3">
        <v>95.43</v>
      </c>
      <c r="BO1279" s="3">
        <v>95.43</v>
      </c>
      <c r="BR1279" s="3" t="s">
        <v>84</v>
      </c>
      <c r="BS1279" s="4">
        <v>44575</v>
      </c>
      <c r="BT1279" s="5">
        <v>0.34236111111111112</v>
      </c>
      <c r="BU1279" s="3" t="s">
        <v>1607</v>
      </c>
      <c r="BV1279" s="3" t="s">
        <v>105</v>
      </c>
      <c r="BY1279" s="3">
        <v>1200</v>
      </c>
      <c r="BZ1279" s="3" t="s">
        <v>165</v>
      </c>
      <c r="CA1279" s="3" t="s">
        <v>1608</v>
      </c>
      <c r="CC1279" s="3" t="s">
        <v>181</v>
      </c>
      <c r="CD1279" s="3">
        <v>1930</v>
      </c>
      <c r="CE1279" s="3" t="s">
        <v>93</v>
      </c>
      <c r="CF1279" s="4">
        <v>44576</v>
      </c>
      <c r="CI1279" s="3">
        <v>1</v>
      </c>
      <c r="CJ1279" s="3">
        <v>1</v>
      </c>
      <c r="CK1279" s="3">
        <v>24</v>
      </c>
      <c r="CL1279" s="3" t="s">
        <v>87</v>
      </c>
    </row>
    <row r="1280" spans="1:90" x14ac:dyDescent="0.2">
      <c r="A1280" s="3" t="s">
        <v>72</v>
      </c>
      <c r="B1280" s="3" t="s">
        <v>73</v>
      </c>
      <c r="C1280" s="3" t="s">
        <v>74</v>
      </c>
      <c r="E1280" s="3" t="str">
        <f>"FES1162844919"</f>
        <v>FES1162844919</v>
      </c>
      <c r="F1280" s="4">
        <v>44574</v>
      </c>
      <c r="G1280" s="3">
        <v>202207</v>
      </c>
      <c r="H1280" s="3" t="s">
        <v>75</v>
      </c>
      <c r="I1280" s="3" t="s">
        <v>76</v>
      </c>
      <c r="J1280" s="3" t="s">
        <v>77</v>
      </c>
      <c r="K1280" s="3" t="s">
        <v>78</v>
      </c>
      <c r="L1280" s="3" t="s">
        <v>75</v>
      </c>
      <c r="M1280" s="3" t="s">
        <v>76</v>
      </c>
      <c r="N1280" s="3" t="s">
        <v>224</v>
      </c>
      <c r="O1280" s="3" t="s">
        <v>82</v>
      </c>
      <c r="P1280" s="3" t="str">
        <f>"2170816482                    "</f>
        <v xml:space="preserve">2170816482                    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12.07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0</v>
      </c>
      <c r="AZ1280" s="3">
        <v>0</v>
      </c>
      <c r="BA1280" s="3">
        <v>0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3">
        <v>1</v>
      </c>
      <c r="BI1280" s="3">
        <v>1</v>
      </c>
      <c r="BJ1280" s="3">
        <v>1.1000000000000001</v>
      </c>
      <c r="BK1280" s="3">
        <v>1.5</v>
      </c>
      <c r="BL1280" s="3">
        <v>46.08</v>
      </c>
      <c r="BM1280" s="3">
        <v>6.91</v>
      </c>
      <c r="BN1280" s="3">
        <v>52.99</v>
      </c>
      <c r="BO1280" s="3">
        <v>52.99</v>
      </c>
      <c r="BQ1280" s="3" t="s">
        <v>83</v>
      </c>
      <c r="BR1280" s="3" t="s">
        <v>84</v>
      </c>
      <c r="BS1280" s="4">
        <v>44575</v>
      </c>
      <c r="BT1280" s="5">
        <v>0.36249999999999999</v>
      </c>
      <c r="BU1280" s="3" t="s">
        <v>1027</v>
      </c>
      <c r="BV1280" s="3" t="s">
        <v>105</v>
      </c>
      <c r="BY1280" s="3">
        <v>5320</v>
      </c>
      <c r="BZ1280" s="3" t="s">
        <v>165</v>
      </c>
      <c r="CA1280" s="3" t="s">
        <v>227</v>
      </c>
      <c r="CC1280" s="3" t="s">
        <v>76</v>
      </c>
      <c r="CD1280" s="3">
        <v>1600</v>
      </c>
      <c r="CE1280" s="3" t="s">
        <v>86</v>
      </c>
      <c r="CF1280" s="4">
        <v>44575</v>
      </c>
      <c r="CI1280" s="3">
        <v>1</v>
      </c>
      <c r="CJ1280" s="3">
        <v>1</v>
      </c>
      <c r="CK1280" s="3">
        <v>22</v>
      </c>
      <c r="CL1280" s="3" t="s">
        <v>87</v>
      </c>
    </row>
    <row r="1281" spans="1:90" x14ac:dyDescent="0.2">
      <c r="A1281" s="3" t="s">
        <v>72</v>
      </c>
      <c r="B1281" s="3" t="s">
        <v>73</v>
      </c>
      <c r="C1281" s="3" t="s">
        <v>74</v>
      </c>
      <c r="E1281" s="3" t="str">
        <f>"FES1162844944"</f>
        <v>FES1162844944</v>
      </c>
      <c r="F1281" s="4">
        <v>44574</v>
      </c>
      <c r="G1281" s="3">
        <v>202207</v>
      </c>
      <c r="H1281" s="3" t="s">
        <v>75</v>
      </c>
      <c r="I1281" s="3" t="s">
        <v>76</v>
      </c>
      <c r="J1281" s="3" t="s">
        <v>77</v>
      </c>
      <c r="K1281" s="3" t="s">
        <v>78</v>
      </c>
      <c r="L1281" s="3" t="s">
        <v>138</v>
      </c>
      <c r="M1281" s="3" t="s">
        <v>139</v>
      </c>
      <c r="N1281" s="3" t="s">
        <v>1602</v>
      </c>
      <c r="O1281" s="3" t="s">
        <v>82</v>
      </c>
      <c r="P1281" s="3" t="str">
        <f>"2170816494                    "</f>
        <v xml:space="preserve">2170816494                    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15.46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3">
        <v>1</v>
      </c>
      <c r="BI1281" s="3">
        <v>1</v>
      </c>
      <c r="BJ1281" s="3">
        <v>0.2</v>
      </c>
      <c r="BK1281" s="3">
        <v>1</v>
      </c>
      <c r="BL1281" s="3">
        <v>59</v>
      </c>
      <c r="BM1281" s="3">
        <v>8.85</v>
      </c>
      <c r="BN1281" s="3">
        <v>67.849999999999994</v>
      </c>
      <c r="BO1281" s="3">
        <v>67.849999999999994</v>
      </c>
      <c r="BQ1281" s="3" t="s">
        <v>126</v>
      </c>
      <c r="BR1281" s="3" t="s">
        <v>84</v>
      </c>
      <c r="BS1281" s="4">
        <v>44575</v>
      </c>
      <c r="BT1281" s="5">
        <v>0.36249999999999999</v>
      </c>
      <c r="BU1281" s="3" t="s">
        <v>1603</v>
      </c>
      <c r="BV1281" s="3" t="s">
        <v>105</v>
      </c>
      <c r="BY1281" s="3">
        <v>1200</v>
      </c>
      <c r="BZ1281" s="3" t="s">
        <v>165</v>
      </c>
      <c r="CA1281" s="3" t="s">
        <v>303</v>
      </c>
      <c r="CC1281" s="3" t="s">
        <v>139</v>
      </c>
      <c r="CD1281" s="3">
        <v>3610</v>
      </c>
      <c r="CE1281" s="3" t="s">
        <v>93</v>
      </c>
      <c r="CF1281" s="4">
        <v>44578</v>
      </c>
      <c r="CI1281" s="3">
        <v>1</v>
      </c>
      <c r="CJ1281" s="3">
        <v>1</v>
      </c>
      <c r="CK1281" s="3">
        <v>21</v>
      </c>
      <c r="CL1281" s="3" t="s">
        <v>87</v>
      </c>
    </row>
    <row r="1282" spans="1:90" x14ac:dyDescent="0.2">
      <c r="A1282" s="3" t="s">
        <v>72</v>
      </c>
      <c r="B1282" s="3" t="s">
        <v>73</v>
      </c>
      <c r="C1282" s="3" t="s">
        <v>74</v>
      </c>
      <c r="E1282" s="3" t="str">
        <f>"FES1162845069"</f>
        <v>FES1162845069</v>
      </c>
      <c r="F1282" s="4">
        <v>44574</v>
      </c>
      <c r="G1282" s="3">
        <v>202207</v>
      </c>
      <c r="H1282" s="3" t="s">
        <v>75</v>
      </c>
      <c r="I1282" s="3" t="s">
        <v>76</v>
      </c>
      <c r="J1282" s="3" t="s">
        <v>77</v>
      </c>
      <c r="K1282" s="3" t="s">
        <v>78</v>
      </c>
      <c r="L1282" s="3" t="s">
        <v>1307</v>
      </c>
      <c r="M1282" s="3" t="s">
        <v>1307</v>
      </c>
      <c r="N1282" s="3" t="s">
        <v>1609</v>
      </c>
      <c r="O1282" s="3" t="s">
        <v>82</v>
      </c>
      <c r="P1282" s="3" t="str">
        <f>"2170816643                    "</f>
        <v xml:space="preserve">2170816643                    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21.74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0</v>
      </c>
      <c r="BC1282" s="3">
        <v>0</v>
      </c>
      <c r="BD1282" s="3">
        <v>0</v>
      </c>
      <c r="BE1282" s="3">
        <v>0</v>
      </c>
      <c r="BF1282" s="3">
        <v>0</v>
      </c>
      <c r="BG1282" s="3">
        <v>0</v>
      </c>
      <c r="BH1282" s="3">
        <v>1</v>
      </c>
      <c r="BI1282" s="3">
        <v>1</v>
      </c>
      <c r="BJ1282" s="3">
        <v>0.2</v>
      </c>
      <c r="BK1282" s="3">
        <v>1</v>
      </c>
      <c r="BL1282" s="3">
        <v>82.98</v>
      </c>
      <c r="BM1282" s="3">
        <v>12.45</v>
      </c>
      <c r="BN1282" s="3">
        <v>95.43</v>
      </c>
      <c r="BO1282" s="3">
        <v>95.43</v>
      </c>
      <c r="BQ1282" s="3" t="s">
        <v>273</v>
      </c>
      <c r="BR1282" s="3" t="s">
        <v>84</v>
      </c>
      <c r="BS1282" s="4">
        <v>44575</v>
      </c>
      <c r="BT1282" s="5">
        <v>0.36736111111111108</v>
      </c>
      <c r="BU1282" s="3" t="s">
        <v>1610</v>
      </c>
      <c r="BV1282" s="3" t="s">
        <v>105</v>
      </c>
      <c r="BY1282" s="3">
        <v>1200</v>
      </c>
      <c r="BZ1282" s="3" t="s">
        <v>165</v>
      </c>
      <c r="CA1282" s="3" t="s">
        <v>1611</v>
      </c>
      <c r="CC1282" s="3" t="s">
        <v>1307</v>
      </c>
      <c r="CD1282" s="3">
        <v>1490</v>
      </c>
      <c r="CE1282" s="3" t="s">
        <v>93</v>
      </c>
      <c r="CF1282" s="4">
        <v>44578</v>
      </c>
      <c r="CI1282" s="3">
        <v>1</v>
      </c>
      <c r="CJ1282" s="3">
        <v>1</v>
      </c>
      <c r="CK1282" s="3">
        <v>24</v>
      </c>
      <c r="CL1282" s="3" t="s">
        <v>87</v>
      </c>
    </row>
    <row r="1283" spans="1:90" x14ac:dyDescent="0.2">
      <c r="A1283" s="3" t="s">
        <v>72</v>
      </c>
      <c r="B1283" s="3" t="s">
        <v>73</v>
      </c>
      <c r="C1283" s="3" t="s">
        <v>74</v>
      </c>
      <c r="E1283" s="3" t="str">
        <f>"FES1162845028"</f>
        <v>FES1162845028</v>
      </c>
      <c r="F1283" s="4">
        <v>44574</v>
      </c>
      <c r="G1283" s="3">
        <v>202207</v>
      </c>
      <c r="H1283" s="3" t="s">
        <v>75</v>
      </c>
      <c r="I1283" s="3" t="s">
        <v>76</v>
      </c>
      <c r="J1283" s="3" t="s">
        <v>77</v>
      </c>
      <c r="K1283" s="3" t="s">
        <v>78</v>
      </c>
      <c r="L1283" s="3" t="s">
        <v>171</v>
      </c>
      <c r="M1283" s="3" t="s">
        <v>172</v>
      </c>
      <c r="N1283" s="3" t="s">
        <v>235</v>
      </c>
      <c r="O1283" s="3" t="s">
        <v>82</v>
      </c>
      <c r="P1283" s="3" t="str">
        <f>"2170808170                    "</f>
        <v xml:space="preserve">2170808170                    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46.36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1</v>
      </c>
      <c r="BI1283" s="3">
        <v>6</v>
      </c>
      <c r="BJ1283" s="3">
        <v>4.0999999999999996</v>
      </c>
      <c r="BK1283" s="3">
        <v>6</v>
      </c>
      <c r="BL1283" s="3">
        <v>176.94</v>
      </c>
      <c r="BM1283" s="3">
        <v>26.54</v>
      </c>
      <c r="BN1283" s="3">
        <v>203.48</v>
      </c>
      <c r="BO1283" s="3">
        <v>203.48</v>
      </c>
      <c r="BQ1283" s="3" t="s">
        <v>89</v>
      </c>
      <c r="BR1283" s="3" t="s">
        <v>84</v>
      </c>
      <c r="BS1283" s="4">
        <v>44575</v>
      </c>
      <c r="BT1283" s="5">
        <v>0.40625</v>
      </c>
      <c r="BU1283" s="3" t="s">
        <v>1044</v>
      </c>
      <c r="BV1283" s="3" t="s">
        <v>105</v>
      </c>
      <c r="BY1283" s="3">
        <v>20358</v>
      </c>
      <c r="BZ1283" s="3" t="s">
        <v>165</v>
      </c>
      <c r="CA1283" s="3" t="s">
        <v>263</v>
      </c>
      <c r="CC1283" s="3" t="s">
        <v>172</v>
      </c>
      <c r="CD1283" s="3">
        <v>6001</v>
      </c>
      <c r="CE1283" s="3" t="s">
        <v>86</v>
      </c>
      <c r="CF1283" s="4">
        <v>44575</v>
      </c>
      <c r="CI1283" s="3">
        <v>1</v>
      </c>
      <c r="CJ1283" s="3">
        <v>1</v>
      </c>
      <c r="CK1283" s="3">
        <v>21</v>
      </c>
      <c r="CL1283" s="3" t="s">
        <v>87</v>
      </c>
    </row>
    <row r="1284" spans="1:90" x14ac:dyDescent="0.2">
      <c r="A1284" s="3" t="s">
        <v>72</v>
      </c>
      <c r="B1284" s="3" t="s">
        <v>73</v>
      </c>
      <c r="C1284" s="3" t="s">
        <v>74</v>
      </c>
      <c r="E1284" s="3" t="str">
        <f>"FES1162844869"</f>
        <v>FES1162844869</v>
      </c>
      <c r="F1284" s="4">
        <v>44574</v>
      </c>
      <c r="G1284" s="3">
        <v>202207</v>
      </c>
      <c r="H1284" s="3" t="s">
        <v>75</v>
      </c>
      <c r="I1284" s="3" t="s">
        <v>76</v>
      </c>
      <c r="J1284" s="3" t="s">
        <v>77</v>
      </c>
      <c r="K1284" s="3" t="s">
        <v>78</v>
      </c>
      <c r="L1284" s="3" t="s">
        <v>167</v>
      </c>
      <c r="M1284" s="3" t="s">
        <v>168</v>
      </c>
      <c r="N1284" s="3" t="s">
        <v>194</v>
      </c>
      <c r="O1284" s="3" t="s">
        <v>82</v>
      </c>
      <c r="P1284" s="3" t="str">
        <f>"2170816436                    "</f>
        <v xml:space="preserve">2170816436                    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15.46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1</v>
      </c>
      <c r="BI1284" s="3">
        <v>1</v>
      </c>
      <c r="BJ1284" s="3">
        <v>0.2</v>
      </c>
      <c r="BK1284" s="3">
        <v>1</v>
      </c>
      <c r="BL1284" s="3">
        <v>59</v>
      </c>
      <c r="BM1284" s="3">
        <v>8.85</v>
      </c>
      <c r="BN1284" s="3">
        <v>67.849999999999994</v>
      </c>
      <c r="BO1284" s="3">
        <v>67.849999999999994</v>
      </c>
      <c r="BQ1284" s="3" t="s">
        <v>89</v>
      </c>
      <c r="BR1284" s="3" t="s">
        <v>84</v>
      </c>
      <c r="BS1284" s="4">
        <v>44575</v>
      </c>
      <c r="BT1284" s="5">
        <v>0.3347222222222222</v>
      </c>
      <c r="BU1284" s="3" t="s">
        <v>1028</v>
      </c>
      <c r="BV1284" s="3" t="s">
        <v>105</v>
      </c>
      <c r="BY1284" s="3">
        <v>1200</v>
      </c>
      <c r="BZ1284" s="3" t="s">
        <v>165</v>
      </c>
      <c r="CA1284" s="3" t="s">
        <v>553</v>
      </c>
      <c r="CC1284" s="3" t="s">
        <v>168</v>
      </c>
      <c r="CD1284" s="3">
        <v>6229</v>
      </c>
      <c r="CE1284" s="3" t="s">
        <v>93</v>
      </c>
      <c r="CF1284" s="4">
        <v>44575</v>
      </c>
      <c r="CI1284" s="3">
        <v>1</v>
      </c>
      <c r="CJ1284" s="3">
        <v>1</v>
      </c>
      <c r="CK1284" s="3">
        <v>21</v>
      </c>
      <c r="CL1284" s="3" t="s">
        <v>87</v>
      </c>
    </row>
    <row r="1285" spans="1:90" x14ac:dyDescent="0.2">
      <c r="A1285" s="3" t="s">
        <v>72</v>
      </c>
      <c r="B1285" s="3" t="s">
        <v>73</v>
      </c>
      <c r="C1285" s="3" t="s">
        <v>74</v>
      </c>
      <c r="E1285" s="3" t="str">
        <f>"FES1162844885"</f>
        <v>FES1162844885</v>
      </c>
      <c r="F1285" s="4">
        <v>44574</v>
      </c>
      <c r="G1285" s="3">
        <v>202207</v>
      </c>
      <c r="H1285" s="3" t="s">
        <v>75</v>
      </c>
      <c r="I1285" s="3" t="s">
        <v>76</v>
      </c>
      <c r="J1285" s="3" t="s">
        <v>77</v>
      </c>
      <c r="K1285" s="3" t="s">
        <v>78</v>
      </c>
      <c r="L1285" s="3" t="s">
        <v>180</v>
      </c>
      <c r="M1285" s="3" t="s">
        <v>181</v>
      </c>
      <c r="N1285" s="3" t="s">
        <v>1612</v>
      </c>
      <c r="O1285" s="3" t="s">
        <v>82</v>
      </c>
      <c r="P1285" s="3" t="str">
        <f>"2170816448                    "</f>
        <v xml:space="preserve">2170816448                    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42.91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1</v>
      </c>
      <c r="BI1285" s="3">
        <v>4</v>
      </c>
      <c r="BJ1285" s="3">
        <v>1.4</v>
      </c>
      <c r="BK1285" s="3">
        <v>4</v>
      </c>
      <c r="BL1285" s="3">
        <v>163.79</v>
      </c>
      <c r="BM1285" s="3">
        <v>24.57</v>
      </c>
      <c r="BN1285" s="3">
        <v>188.36</v>
      </c>
      <c r="BO1285" s="3">
        <v>188.36</v>
      </c>
      <c r="BQ1285" s="3" t="s">
        <v>83</v>
      </c>
      <c r="BR1285" s="3" t="s">
        <v>84</v>
      </c>
      <c r="BS1285" s="4">
        <v>44575</v>
      </c>
      <c r="BT1285" s="5">
        <v>0.4381944444444445</v>
      </c>
      <c r="BU1285" s="3" t="s">
        <v>1613</v>
      </c>
      <c r="BV1285" s="3" t="s">
        <v>87</v>
      </c>
      <c r="BW1285" s="3" t="s">
        <v>353</v>
      </c>
      <c r="BX1285" s="3" t="s">
        <v>723</v>
      </c>
      <c r="BY1285" s="3">
        <v>6975</v>
      </c>
      <c r="BZ1285" s="3" t="s">
        <v>165</v>
      </c>
      <c r="CA1285" s="3" t="s">
        <v>1608</v>
      </c>
      <c r="CC1285" s="3" t="s">
        <v>181</v>
      </c>
      <c r="CD1285" s="3">
        <v>1939</v>
      </c>
      <c r="CE1285" s="3" t="s">
        <v>86</v>
      </c>
      <c r="CF1285" s="4">
        <v>44576</v>
      </c>
      <c r="CI1285" s="3">
        <v>1</v>
      </c>
      <c r="CJ1285" s="3">
        <v>1</v>
      </c>
      <c r="CK1285" s="3">
        <v>24</v>
      </c>
      <c r="CL1285" s="3" t="s">
        <v>87</v>
      </c>
    </row>
    <row r="1286" spans="1:90" x14ac:dyDescent="0.2">
      <c r="A1286" s="3" t="s">
        <v>72</v>
      </c>
      <c r="B1286" s="3" t="s">
        <v>73</v>
      </c>
      <c r="C1286" s="3" t="s">
        <v>74</v>
      </c>
      <c r="E1286" s="3" t="str">
        <f>"FES1162844909"</f>
        <v>FES1162844909</v>
      </c>
      <c r="F1286" s="4">
        <v>44574</v>
      </c>
      <c r="G1286" s="3">
        <v>202207</v>
      </c>
      <c r="H1286" s="3" t="s">
        <v>75</v>
      </c>
      <c r="I1286" s="3" t="s">
        <v>76</v>
      </c>
      <c r="J1286" s="3" t="s">
        <v>77</v>
      </c>
      <c r="K1286" s="3" t="s">
        <v>78</v>
      </c>
      <c r="L1286" s="3" t="s">
        <v>94</v>
      </c>
      <c r="M1286" s="3" t="s">
        <v>95</v>
      </c>
      <c r="N1286" s="3" t="s">
        <v>96</v>
      </c>
      <c r="O1286" s="3" t="s">
        <v>82</v>
      </c>
      <c r="P1286" s="3" t="str">
        <f>"2170816460                    "</f>
        <v xml:space="preserve">2170816460                    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77.260000000000005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3">
        <v>1</v>
      </c>
      <c r="BI1286" s="3">
        <v>10</v>
      </c>
      <c r="BJ1286" s="3">
        <v>1.5</v>
      </c>
      <c r="BK1286" s="3">
        <v>10</v>
      </c>
      <c r="BL1286" s="3">
        <v>294.88</v>
      </c>
      <c r="BM1286" s="3">
        <v>44.23</v>
      </c>
      <c r="BN1286" s="3">
        <v>339.11</v>
      </c>
      <c r="BO1286" s="3">
        <v>339.11</v>
      </c>
      <c r="BQ1286" s="3" t="s">
        <v>89</v>
      </c>
      <c r="BR1286" s="3" t="s">
        <v>84</v>
      </c>
      <c r="BS1286" s="4">
        <v>44578</v>
      </c>
      <c r="BT1286" s="5">
        <v>0.50624999999999998</v>
      </c>
      <c r="BU1286" s="3" t="s">
        <v>821</v>
      </c>
      <c r="BV1286" s="3" t="s">
        <v>87</v>
      </c>
      <c r="BW1286" s="3" t="s">
        <v>453</v>
      </c>
      <c r="BX1286" s="3" t="s">
        <v>279</v>
      </c>
      <c r="BY1286" s="3">
        <v>7680</v>
      </c>
      <c r="BZ1286" s="3" t="s">
        <v>165</v>
      </c>
      <c r="CC1286" s="3" t="s">
        <v>95</v>
      </c>
      <c r="CD1286" s="3">
        <v>3201</v>
      </c>
      <c r="CE1286" s="3" t="s">
        <v>86</v>
      </c>
      <c r="CF1286" s="4">
        <v>44581</v>
      </c>
      <c r="CI1286" s="3">
        <v>1</v>
      </c>
      <c r="CJ1286" s="3">
        <v>2</v>
      </c>
      <c r="CK1286" s="3">
        <v>21</v>
      </c>
      <c r="CL1286" s="3" t="s">
        <v>87</v>
      </c>
    </row>
    <row r="1287" spans="1:90" x14ac:dyDescent="0.2">
      <c r="A1287" s="3" t="s">
        <v>72</v>
      </c>
      <c r="B1287" s="3" t="s">
        <v>73</v>
      </c>
      <c r="C1287" s="3" t="s">
        <v>74</v>
      </c>
      <c r="E1287" s="3" t="str">
        <f>"FES1162845066"</f>
        <v>FES1162845066</v>
      </c>
      <c r="F1287" s="4">
        <v>44574</v>
      </c>
      <c r="G1287" s="3">
        <v>202207</v>
      </c>
      <c r="H1287" s="3" t="s">
        <v>75</v>
      </c>
      <c r="I1287" s="3" t="s">
        <v>76</v>
      </c>
      <c r="J1287" s="3" t="s">
        <v>77</v>
      </c>
      <c r="K1287" s="3" t="s">
        <v>78</v>
      </c>
      <c r="L1287" s="3" t="s">
        <v>79</v>
      </c>
      <c r="M1287" s="3" t="s">
        <v>80</v>
      </c>
      <c r="N1287" s="3" t="s">
        <v>81</v>
      </c>
      <c r="O1287" s="3" t="s">
        <v>82</v>
      </c>
      <c r="P1287" s="3" t="str">
        <f>"2170816638                    "</f>
        <v xml:space="preserve">2170816638                    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42.49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1</v>
      </c>
      <c r="BI1287" s="3">
        <v>4</v>
      </c>
      <c r="BJ1287" s="3">
        <v>5.5</v>
      </c>
      <c r="BK1287" s="3">
        <v>5.5</v>
      </c>
      <c r="BL1287" s="3">
        <v>162.19</v>
      </c>
      <c r="BM1287" s="3">
        <v>24.33</v>
      </c>
      <c r="BN1287" s="3">
        <v>186.52</v>
      </c>
      <c r="BO1287" s="3">
        <v>186.52</v>
      </c>
      <c r="BQ1287" s="3" t="s">
        <v>83</v>
      </c>
      <c r="BR1287" s="3" t="s">
        <v>84</v>
      </c>
      <c r="BS1287" s="4">
        <v>44575</v>
      </c>
      <c r="BT1287" s="5">
        <v>0.42569444444444443</v>
      </c>
      <c r="BU1287" s="3" t="s">
        <v>893</v>
      </c>
      <c r="BV1287" s="3" t="s">
        <v>105</v>
      </c>
      <c r="BY1287" s="3">
        <v>27648</v>
      </c>
      <c r="BZ1287" s="3" t="s">
        <v>165</v>
      </c>
      <c r="CA1287" s="3" t="s">
        <v>366</v>
      </c>
      <c r="CC1287" s="3" t="s">
        <v>80</v>
      </c>
      <c r="CD1287" s="3">
        <v>200</v>
      </c>
      <c r="CE1287" s="3" t="s">
        <v>86</v>
      </c>
      <c r="CF1287" s="4">
        <v>44575</v>
      </c>
      <c r="CI1287" s="3">
        <v>1</v>
      </c>
      <c r="CJ1287" s="3">
        <v>1</v>
      </c>
      <c r="CK1287" s="3">
        <v>21</v>
      </c>
      <c r="CL1287" s="3" t="s">
        <v>87</v>
      </c>
    </row>
    <row r="1288" spans="1:90" x14ac:dyDescent="0.2">
      <c r="A1288" s="3" t="s">
        <v>72</v>
      </c>
      <c r="B1288" s="3" t="s">
        <v>73</v>
      </c>
      <c r="C1288" s="3" t="s">
        <v>74</v>
      </c>
      <c r="E1288" s="3" t="str">
        <f>"FES1162845794"</f>
        <v>FES1162845794</v>
      </c>
      <c r="F1288" s="4">
        <v>44580</v>
      </c>
      <c r="G1288" s="3">
        <v>202207</v>
      </c>
      <c r="H1288" s="3" t="s">
        <v>75</v>
      </c>
      <c r="I1288" s="3" t="s">
        <v>76</v>
      </c>
      <c r="J1288" s="3" t="s">
        <v>77</v>
      </c>
      <c r="K1288" s="3" t="s">
        <v>78</v>
      </c>
      <c r="L1288" s="3" t="s">
        <v>171</v>
      </c>
      <c r="M1288" s="3" t="s">
        <v>172</v>
      </c>
      <c r="N1288" s="3" t="s">
        <v>174</v>
      </c>
      <c r="O1288" s="3" t="s">
        <v>82</v>
      </c>
      <c r="P1288" s="3" t="str">
        <f>"2170809897                    "</f>
        <v xml:space="preserve">2170809897                    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15.46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3">
        <v>1</v>
      </c>
      <c r="BI1288" s="3">
        <v>1</v>
      </c>
      <c r="BJ1288" s="3">
        <v>0.9</v>
      </c>
      <c r="BK1288" s="3">
        <v>1</v>
      </c>
      <c r="BL1288" s="3">
        <v>59</v>
      </c>
      <c r="BM1288" s="3">
        <v>8.85</v>
      </c>
      <c r="BN1288" s="3">
        <v>67.849999999999994</v>
      </c>
      <c r="BO1288" s="3">
        <v>67.849999999999994</v>
      </c>
      <c r="BQ1288" s="3" t="s">
        <v>83</v>
      </c>
      <c r="BR1288" s="3" t="s">
        <v>84</v>
      </c>
      <c r="BS1288" s="4">
        <v>44581</v>
      </c>
      <c r="BT1288" s="5">
        <v>0.40277777777777773</v>
      </c>
      <c r="BU1288" s="3" t="s">
        <v>820</v>
      </c>
      <c r="BV1288" s="3" t="s">
        <v>105</v>
      </c>
      <c r="BY1288" s="3">
        <v>4275</v>
      </c>
      <c r="CA1288" s="3" t="s">
        <v>1580</v>
      </c>
      <c r="CC1288" s="3" t="s">
        <v>172</v>
      </c>
      <c r="CD1288" s="3">
        <v>6001</v>
      </c>
      <c r="CE1288" s="3" t="s">
        <v>86</v>
      </c>
      <c r="CF1288" s="4">
        <v>44582</v>
      </c>
      <c r="CI1288" s="3">
        <v>1</v>
      </c>
      <c r="CJ1288" s="3">
        <v>1</v>
      </c>
      <c r="CK1288" s="3">
        <v>21</v>
      </c>
      <c r="CL1288" s="3" t="s">
        <v>87</v>
      </c>
    </row>
    <row r="1289" spans="1:90" x14ac:dyDescent="0.2">
      <c r="A1289" s="3" t="s">
        <v>72</v>
      </c>
      <c r="B1289" s="3" t="s">
        <v>73</v>
      </c>
      <c r="C1289" s="3" t="s">
        <v>74</v>
      </c>
      <c r="E1289" s="3" t="str">
        <f>"FES1162845888"</f>
        <v>FES1162845888</v>
      </c>
      <c r="F1289" s="4">
        <v>44580</v>
      </c>
      <c r="G1289" s="3">
        <v>202207</v>
      </c>
      <c r="H1289" s="3" t="s">
        <v>75</v>
      </c>
      <c r="I1289" s="3" t="s">
        <v>76</v>
      </c>
      <c r="J1289" s="3" t="s">
        <v>77</v>
      </c>
      <c r="K1289" s="3" t="s">
        <v>78</v>
      </c>
      <c r="L1289" s="3" t="s">
        <v>75</v>
      </c>
      <c r="M1289" s="3" t="s">
        <v>76</v>
      </c>
      <c r="N1289" s="3" t="s">
        <v>688</v>
      </c>
      <c r="O1289" s="3" t="s">
        <v>82</v>
      </c>
      <c r="P1289" s="3" t="str">
        <f>"2170817329                    "</f>
        <v xml:space="preserve">2170817329                    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12.07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0</v>
      </c>
      <c r="AZ1289" s="3">
        <v>0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1</v>
      </c>
      <c r="BI1289" s="3">
        <v>2</v>
      </c>
      <c r="BJ1289" s="3">
        <v>2</v>
      </c>
      <c r="BK1289" s="3">
        <v>2</v>
      </c>
      <c r="BL1289" s="3">
        <v>46.08</v>
      </c>
      <c r="BM1289" s="3">
        <v>6.91</v>
      </c>
      <c r="BN1289" s="3">
        <v>52.99</v>
      </c>
      <c r="BO1289" s="3">
        <v>52.99</v>
      </c>
      <c r="BQ1289" s="3" t="s">
        <v>83</v>
      </c>
      <c r="BR1289" s="3" t="s">
        <v>84</v>
      </c>
      <c r="BS1289" s="4">
        <v>44581</v>
      </c>
      <c r="BT1289" s="5">
        <v>0.30763888888888891</v>
      </c>
      <c r="BU1289" s="3" t="s">
        <v>1016</v>
      </c>
      <c r="BV1289" s="3" t="s">
        <v>105</v>
      </c>
      <c r="BY1289" s="3">
        <v>9918</v>
      </c>
      <c r="CA1289" s="3" t="s">
        <v>227</v>
      </c>
      <c r="CC1289" s="3" t="s">
        <v>76</v>
      </c>
      <c r="CD1289" s="3">
        <v>1620</v>
      </c>
      <c r="CE1289" s="3" t="s">
        <v>86</v>
      </c>
      <c r="CF1289" s="4">
        <v>44581</v>
      </c>
      <c r="CI1289" s="3">
        <v>1</v>
      </c>
      <c r="CJ1289" s="3">
        <v>1</v>
      </c>
      <c r="CK1289" s="3">
        <v>22</v>
      </c>
      <c r="CL1289" s="3" t="s">
        <v>87</v>
      </c>
    </row>
    <row r="1290" spans="1:90" x14ac:dyDescent="0.2">
      <c r="A1290" s="3" t="s">
        <v>72</v>
      </c>
      <c r="B1290" s="3" t="s">
        <v>73</v>
      </c>
      <c r="C1290" s="3" t="s">
        <v>74</v>
      </c>
      <c r="E1290" s="3" t="str">
        <f>"FES1162845810"</f>
        <v>FES1162845810</v>
      </c>
      <c r="F1290" s="4">
        <v>44580</v>
      </c>
      <c r="G1290" s="3">
        <v>202207</v>
      </c>
      <c r="H1290" s="3" t="s">
        <v>75</v>
      </c>
      <c r="I1290" s="3" t="s">
        <v>76</v>
      </c>
      <c r="J1290" s="3" t="s">
        <v>77</v>
      </c>
      <c r="K1290" s="3" t="s">
        <v>78</v>
      </c>
      <c r="L1290" s="3" t="s">
        <v>90</v>
      </c>
      <c r="M1290" s="3" t="s">
        <v>91</v>
      </c>
      <c r="N1290" s="3" t="s">
        <v>735</v>
      </c>
      <c r="O1290" s="3" t="s">
        <v>82</v>
      </c>
      <c r="P1290" s="3" t="str">
        <f>"2170816821                    "</f>
        <v xml:space="preserve">2170816821                    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15.46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0</v>
      </c>
      <c r="AZ1290" s="3">
        <v>0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1</v>
      </c>
      <c r="BI1290" s="3">
        <v>2</v>
      </c>
      <c r="BJ1290" s="3">
        <v>2</v>
      </c>
      <c r="BK1290" s="3">
        <v>2</v>
      </c>
      <c r="BL1290" s="3">
        <v>59</v>
      </c>
      <c r="BM1290" s="3">
        <v>8.85</v>
      </c>
      <c r="BN1290" s="3">
        <v>67.849999999999994</v>
      </c>
      <c r="BO1290" s="3">
        <v>67.849999999999994</v>
      </c>
      <c r="BQ1290" s="3" t="s">
        <v>273</v>
      </c>
      <c r="BR1290" s="3" t="s">
        <v>84</v>
      </c>
      <c r="BS1290" s="4">
        <v>44581</v>
      </c>
      <c r="BT1290" s="5">
        <v>0.3444444444444445</v>
      </c>
      <c r="BU1290" s="3" t="s">
        <v>1614</v>
      </c>
      <c r="BV1290" s="3" t="s">
        <v>105</v>
      </c>
      <c r="BY1290" s="3">
        <v>9918</v>
      </c>
      <c r="CA1290" s="3" t="s">
        <v>713</v>
      </c>
      <c r="CC1290" s="3" t="s">
        <v>91</v>
      </c>
      <c r="CD1290" s="3">
        <v>7460</v>
      </c>
      <c r="CE1290" s="3" t="s">
        <v>86</v>
      </c>
      <c r="CF1290" s="4">
        <v>44582</v>
      </c>
      <c r="CI1290" s="3">
        <v>1</v>
      </c>
      <c r="CJ1290" s="3">
        <v>1</v>
      </c>
      <c r="CK1290" s="3">
        <v>21</v>
      </c>
      <c r="CL1290" s="3" t="s">
        <v>87</v>
      </c>
    </row>
    <row r="1291" spans="1:90" x14ac:dyDescent="0.2">
      <c r="A1291" s="3" t="s">
        <v>72</v>
      </c>
      <c r="B1291" s="3" t="s">
        <v>73</v>
      </c>
      <c r="C1291" s="3" t="s">
        <v>74</v>
      </c>
      <c r="E1291" s="3" t="str">
        <f>"FES1162845864"</f>
        <v>FES1162845864</v>
      </c>
      <c r="F1291" s="4">
        <v>44580</v>
      </c>
      <c r="G1291" s="3">
        <v>202207</v>
      </c>
      <c r="H1291" s="3" t="s">
        <v>75</v>
      </c>
      <c r="I1291" s="3" t="s">
        <v>76</v>
      </c>
      <c r="J1291" s="3" t="s">
        <v>77</v>
      </c>
      <c r="K1291" s="3" t="s">
        <v>78</v>
      </c>
      <c r="L1291" s="3" t="s">
        <v>90</v>
      </c>
      <c r="M1291" s="3" t="s">
        <v>91</v>
      </c>
      <c r="N1291" s="3" t="s">
        <v>157</v>
      </c>
      <c r="O1291" s="3" t="s">
        <v>82</v>
      </c>
      <c r="P1291" s="3" t="str">
        <f>"2170816859                    "</f>
        <v xml:space="preserve">2170816859                    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19.32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0</v>
      </c>
      <c r="AZ1291" s="3">
        <v>0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3">
        <v>1</v>
      </c>
      <c r="BI1291" s="3">
        <v>2</v>
      </c>
      <c r="BJ1291" s="3">
        <v>2.5</v>
      </c>
      <c r="BK1291" s="3">
        <v>2.5</v>
      </c>
      <c r="BL1291" s="3">
        <v>73.739999999999995</v>
      </c>
      <c r="BM1291" s="3">
        <v>11.06</v>
      </c>
      <c r="BN1291" s="3">
        <v>84.8</v>
      </c>
      <c r="BO1291" s="3">
        <v>84.8</v>
      </c>
      <c r="BQ1291" s="3" t="s">
        <v>89</v>
      </c>
      <c r="BR1291" s="3" t="s">
        <v>84</v>
      </c>
      <c r="BS1291" s="4">
        <v>44581</v>
      </c>
      <c r="BT1291" s="5">
        <v>0.37013888888888885</v>
      </c>
      <c r="BU1291" s="3" t="s">
        <v>1615</v>
      </c>
      <c r="BV1291" s="3" t="s">
        <v>105</v>
      </c>
      <c r="BY1291" s="3">
        <v>12348</v>
      </c>
      <c r="CA1291" s="3" t="s">
        <v>289</v>
      </c>
      <c r="CC1291" s="3" t="s">
        <v>91</v>
      </c>
      <c r="CD1291" s="3">
        <v>7441</v>
      </c>
      <c r="CE1291" s="3" t="s">
        <v>86</v>
      </c>
      <c r="CF1291" s="4">
        <v>44582</v>
      </c>
      <c r="CI1291" s="3">
        <v>1</v>
      </c>
      <c r="CJ1291" s="3">
        <v>1</v>
      </c>
      <c r="CK1291" s="3">
        <v>21</v>
      </c>
      <c r="CL1291" s="3" t="s">
        <v>87</v>
      </c>
    </row>
    <row r="1292" spans="1:90" x14ac:dyDescent="0.2">
      <c r="A1292" s="3" t="s">
        <v>72</v>
      </c>
      <c r="B1292" s="3" t="s">
        <v>73</v>
      </c>
      <c r="C1292" s="3" t="s">
        <v>74</v>
      </c>
      <c r="E1292" s="3" t="str">
        <f>"FES1162845782"</f>
        <v>FES1162845782</v>
      </c>
      <c r="F1292" s="4">
        <v>44580</v>
      </c>
      <c r="G1292" s="3">
        <v>202207</v>
      </c>
      <c r="H1292" s="3" t="s">
        <v>75</v>
      </c>
      <c r="I1292" s="3" t="s">
        <v>76</v>
      </c>
      <c r="J1292" s="3" t="s">
        <v>77</v>
      </c>
      <c r="K1292" s="3" t="s">
        <v>78</v>
      </c>
      <c r="L1292" s="3" t="s">
        <v>138</v>
      </c>
      <c r="M1292" s="3" t="s">
        <v>139</v>
      </c>
      <c r="N1292" s="3" t="s">
        <v>1616</v>
      </c>
      <c r="O1292" s="3" t="s">
        <v>148</v>
      </c>
      <c r="P1292" s="3" t="str">
        <f>"2170817272                    "</f>
        <v xml:space="preserve">2170817272                    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36.049999999999997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0</v>
      </c>
      <c r="AZ1292" s="3">
        <v>0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  <c r="BH1292" s="3">
        <v>1</v>
      </c>
      <c r="BI1292" s="3">
        <v>20</v>
      </c>
      <c r="BJ1292" s="3">
        <v>18.3</v>
      </c>
      <c r="BK1292" s="3">
        <v>20</v>
      </c>
      <c r="BL1292" s="3">
        <v>142.85</v>
      </c>
      <c r="BM1292" s="3">
        <v>21.43</v>
      </c>
      <c r="BN1292" s="3">
        <v>164.28</v>
      </c>
      <c r="BO1292" s="3">
        <v>164.28</v>
      </c>
      <c r="BQ1292" s="3" t="s">
        <v>89</v>
      </c>
      <c r="BR1292" s="3" t="s">
        <v>84</v>
      </c>
      <c r="BS1292" s="4">
        <v>44582</v>
      </c>
      <c r="BT1292" s="5">
        <v>0.50416666666666665</v>
      </c>
      <c r="BU1292" s="3" t="s">
        <v>1617</v>
      </c>
      <c r="BV1292" s="3" t="s">
        <v>87</v>
      </c>
      <c r="BW1292" s="3" t="s">
        <v>278</v>
      </c>
      <c r="BX1292" s="3" t="s">
        <v>279</v>
      </c>
      <c r="BY1292" s="3">
        <v>91264</v>
      </c>
      <c r="CA1292" s="3" t="s">
        <v>334</v>
      </c>
      <c r="CC1292" s="3" t="s">
        <v>139</v>
      </c>
      <c r="CD1292" s="3">
        <v>3610</v>
      </c>
      <c r="CE1292" s="3" t="s">
        <v>86</v>
      </c>
      <c r="CF1292" s="4">
        <v>44585</v>
      </c>
      <c r="CI1292" s="3">
        <v>1</v>
      </c>
      <c r="CJ1292" s="3">
        <v>2</v>
      </c>
      <c r="CK1292" s="3">
        <v>41</v>
      </c>
      <c r="CL1292" s="3" t="s">
        <v>87</v>
      </c>
    </row>
    <row r="1293" spans="1:90" x14ac:dyDescent="0.2">
      <c r="A1293" s="3" t="s">
        <v>72</v>
      </c>
      <c r="B1293" s="3" t="s">
        <v>73</v>
      </c>
      <c r="C1293" s="3" t="s">
        <v>74</v>
      </c>
      <c r="E1293" s="3" t="str">
        <f>"FES1162845754"</f>
        <v>FES1162845754</v>
      </c>
      <c r="F1293" s="4">
        <v>44580</v>
      </c>
      <c r="G1293" s="3">
        <v>202207</v>
      </c>
      <c r="H1293" s="3" t="s">
        <v>75</v>
      </c>
      <c r="I1293" s="3" t="s">
        <v>76</v>
      </c>
      <c r="J1293" s="3" t="s">
        <v>77</v>
      </c>
      <c r="K1293" s="3" t="s">
        <v>78</v>
      </c>
      <c r="L1293" s="3" t="s">
        <v>218</v>
      </c>
      <c r="M1293" s="3" t="s">
        <v>219</v>
      </c>
      <c r="N1293" s="3" t="s">
        <v>1453</v>
      </c>
      <c r="O1293" s="3" t="s">
        <v>82</v>
      </c>
      <c r="P1293" s="3" t="str">
        <f>"2170817252                    "</f>
        <v xml:space="preserve">2170817252                    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92.7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0</v>
      </c>
      <c r="AZ1293" s="3">
        <v>0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1</v>
      </c>
      <c r="BI1293" s="3">
        <v>5</v>
      </c>
      <c r="BJ1293" s="3">
        <v>12</v>
      </c>
      <c r="BK1293" s="3">
        <v>12</v>
      </c>
      <c r="BL1293" s="3">
        <v>353.84</v>
      </c>
      <c r="BM1293" s="3">
        <v>53.08</v>
      </c>
      <c r="BN1293" s="3">
        <v>406.92</v>
      </c>
      <c r="BO1293" s="3">
        <v>406.92</v>
      </c>
      <c r="BQ1293" s="3" t="s">
        <v>1454</v>
      </c>
      <c r="BR1293" s="3" t="s">
        <v>84</v>
      </c>
      <c r="BS1293" s="4">
        <v>44581</v>
      </c>
      <c r="BT1293" s="5">
        <v>0.39999999999999997</v>
      </c>
      <c r="BU1293" s="3" t="s">
        <v>1455</v>
      </c>
      <c r="BV1293" s="3" t="s">
        <v>105</v>
      </c>
      <c r="BY1293" s="3">
        <v>60025</v>
      </c>
      <c r="CA1293" s="3" t="s">
        <v>1346</v>
      </c>
      <c r="CC1293" s="3" t="s">
        <v>219</v>
      </c>
      <c r="CD1293" s="3">
        <v>157</v>
      </c>
      <c r="CE1293" s="3" t="s">
        <v>86</v>
      </c>
      <c r="CF1293" s="4">
        <v>44581</v>
      </c>
      <c r="CI1293" s="3">
        <v>1</v>
      </c>
      <c r="CJ1293" s="3">
        <v>1</v>
      </c>
      <c r="CK1293" s="3">
        <v>21</v>
      </c>
      <c r="CL1293" s="3" t="s">
        <v>87</v>
      </c>
    </row>
    <row r="1294" spans="1:90" x14ac:dyDescent="0.2">
      <c r="A1294" s="3" t="s">
        <v>72</v>
      </c>
      <c r="B1294" s="3" t="s">
        <v>73</v>
      </c>
      <c r="C1294" s="3" t="s">
        <v>74</v>
      </c>
      <c r="E1294" s="3" t="str">
        <f>"FES1162845835"</f>
        <v>FES1162845835</v>
      </c>
      <c r="F1294" s="4">
        <v>44580</v>
      </c>
      <c r="G1294" s="3">
        <v>202207</v>
      </c>
      <c r="H1294" s="3" t="s">
        <v>75</v>
      </c>
      <c r="I1294" s="3" t="s">
        <v>76</v>
      </c>
      <c r="J1294" s="3" t="s">
        <v>77</v>
      </c>
      <c r="K1294" s="3" t="s">
        <v>78</v>
      </c>
      <c r="L1294" s="3" t="s">
        <v>786</v>
      </c>
      <c r="M1294" s="3" t="s">
        <v>787</v>
      </c>
      <c r="N1294" s="3" t="s">
        <v>788</v>
      </c>
      <c r="O1294" s="3" t="s">
        <v>82</v>
      </c>
      <c r="P1294" s="3" t="str">
        <f>"2170815647                    "</f>
        <v xml:space="preserve">2170815647                    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21.74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0</v>
      </c>
      <c r="AZ1294" s="3">
        <v>0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1</v>
      </c>
      <c r="BI1294" s="3">
        <v>1</v>
      </c>
      <c r="BJ1294" s="3">
        <v>2</v>
      </c>
      <c r="BK1294" s="3">
        <v>2</v>
      </c>
      <c r="BL1294" s="3">
        <v>82.98</v>
      </c>
      <c r="BM1294" s="3">
        <v>12.45</v>
      </c>
      <c r="BN1294" s="3">
        <v>95.43</v>
      </c>
      <c r="BO1294" s="3">
        <v>95.43</v>
      </c>
      <c r="BQ1294" s="3" t="s">
        <v>83</v>
      </c>
      <c r="BR1294" s="3" t="s">
        <v>84</v>
      </c>
      <c r="BS1294" s="4">
        <v>44581</v>
      </c>
      <c r="BT1294" s="5">
        <v>0.46319444444444446</v>
      </c>
      <c r="BU1294" s="3" t="s">
        <v>1618</v>
      </c>
      <c r="BV1294" s="3" t="s">
        <v>105</v>
      </c>
      <c r="BY1294" s="3">
        <v>9900</v>
      </c>
      <c r="CA1294" s="3" t="s">
        <v>790</v>
      </c>
      <c r="CC1294" s="3" t="s">
        <v>787</v>
      </c>
      <c r="CD1294" s="3">
        <v>2410</v>
      </c>
      <c r="CE1294" s="3" t="s">
        <v>86</v>
      </c>
      <c r="CF1294" s="4">
        <v>44581</v>
      </c>
      <c r="CI1294" s="3">
        <v>1</v>
      </c>
      <c r="CJ1294" s="3">
        <v>1</v>
      </c>
      <c r="CK1294" s="3">
        <v>24</v>
      </c>
      <c r="CL1294" s="3" t="s">
        <v>87</v>
      </c>
    </row>
    <row r="1295" spans="1:90" x14ac:dyDescent="0.2">
      <c r="A1295" s="3" t="s">
        <v>72</v>
      </c>
      <c r="B1295" s="3" t="s">
        <v>73</v>
      </c>
      <c r="C1295" s="3" t="s">
        <v>74</v>
      </c>
      <c r="E1295" s="3" t="str">
        <f>"FES1162845837"</f>
        <v>FES1162845837</v>
      </c>
      <c r="F1295" s="4">
        <v>44580</v>
      </c>
      <c r="G1295" s="3">
        <v>202207</v>
      </c>
      <c r="H1295" s="3" t="s">
        <v>75</v>
      </c>
      <c r="I1295" s="3" t="s">
        <v>76</v>
      </c>
      <c r="J1295" s="3" t="s">
        <v>77</v>
      </c>
      <c r="K1295" s="3" t="s">
        <v>78</v>
      </c>
      <c r="L1295" s="3" t="s">
        <v>79</v>
      </c>
      <c r="M1295" s="3" t="s">
        <v>80</v>
      </c>
      <c r="N1295" s="3" t="s">
        <v>1619</v>
      </c>
      <c r="O1295" s="3" t="s">
        <v>82</v>
      </c>
      <c r="P1295" s="3" t="str">
        <f>"2170815866                    "</f>
        <v xml:space="preserve">2170815866                    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15.46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1</v>
      </c>
      <c r="BI1295" s="3">
        <v>1</v>
      </c>
      <c r="BJ1295" s="3">
        <v>2</v>
      </c>
      <c r="BK1295" s="3">
        <v>2</v>
      </c>
      <c r="BL1295" s="3">
        <v>59</v>
      </c>
      <c r="BM1295" s="3">
        <v>8.85</v>
      </c>
      <c r="BN1295" s="3">
        <v>67.849999999999994</v>
      </c>
      <c r="BO1295" s="3">
        <v>67.849999999999994</v>
      </c>
      <c r="BQ1295" s="3" t="s">
        <v>1620</v>
      </c>
      <c r="BR1295" s="3" t="s">
        <v>84</v>
      </c>
      <c r="BS1295" s="4">
        <v>44581</v>
      </c>
      <c r="BT1295" s="5">
        <v>0.36874999999999997</v>
      </c>
      <c r="BU1295" s="3" t="s">
        <v>1621</v>
      </c>
      <c r="BV1295" s="3" t="s">
        <v>105</v>
      </c>
      <c r="BY1295" s="3">
        <v>9900</v>
      </c>
      <c r="CA1295" s="3" t="s">
        <v>1622</v>
      </c>
      <c r="CC1295" s="3" t="s">
        <v>80</v>
      </c>
      <c r="CD1295" s="3">
        <v>182</v>
      </c>
      <c r="CE1295" s="3" t="s">
        <v>86</v>
      </c>
      <c r="CF1295" s="4">
        <v>44581</v>
      </c>
      <c r="CI1295" s="3">
        <v>1</v>
      </c>
      <c r="CJ1295" s="3">
        <v>1</v>
      </c>
      <c r="CK1295" s="3">
        <v>21</v>
      </c>
      <c r="CL1295" s="3" t="s">
        <v>87</v>
      </c>
    </row>
    <row r="1296" spans="1:90" x14ac:dyDescent="0.2">
      <c r="A1296" s="3" t="s">
        <v>72</v>
      </c>
      <c r="B1296" s="3" t="s">
        <v>73</v>
      </c>
      <c r="C1296" s="3" t="s">
        <v>74</v>
      </c>
      <c r="E1296" s="3" t="str">
        <f>"FES1162845806"</f>
        <v>FES1162845806</v>
      </c>
      <c r="F1296" s="4">
        <v>44580</v>
      </c>
      <c r="G1296" s="3">
        <v>202207</v>
      </c>
      <c r="H1296" s="3" t="s">
        <v>75</v>
      </c>
      <c r="I1296" s="3" t="s">
        <v>76</v>
      </c>
      <c r="J1296" s="3" t="s">
        <v>77</v>
      </c>
      <c r="K1296" s="3" t="s">
        <v>78</v>
      </c>
      <c r="L1296" s="3" t="s">
        <v>101</v>
      </c>
      <c r="M1296" s="3" t="s">
        <v>102</v>
      </c>
      <c r="N1296" s="3" t="s">
        <v>103</v>
      </c>
      <c r="O1296" s="3" t="s">
        <v>82</v>
      </c>
      <c r="P1296" s="3" t="str">
        <f>"2170816294                    "</f>
        <v xml:space="preserve">2170816294                    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34.770000000000003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0</v>
      </c>
      <c r="AZ1296" s="3">
        <v>0</v>
      </c>
      <c r="BA1296" s="3">
        <v>0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1</v>
      </c>
      <c r="BI1296" s="3">
        <v>2</v>
      </c>
      <c r="BJ1296" s="3">
        <v>4.0999999999999996</v>
      </c>
      <c r="BK1296" s="3">
        <v>4.5</v>
      </c>
      <c r="BL1296" s="3">
        <v>132.71</v>
      </c>
      <c r="BM1296" s="3">
        <v>19.91</v>
      </c>
      <c r="BN1296" s="3">
        <v>152.62</v>
      </c>
      <c r="BO1296" s="3">
        <v>152.62</v>
      </c>
      <c r="BQ1296" s="3" t="s">
        <v>83</v>
      </c>
      <c r="BR1296" s="3" t="s">
        <v>84</v>
      </c>
      <c r="BS1296" s="4">
        <v>44581</v>
      </c>
      <c r="BT1296" s="5">
        <v>0.38125000000000003</v>
      </c>
      <c r="BU1296" s="3" t="s">
        <v>463</v>
      </c>
      <c r="BV1296" s="3" t="s">
        <v>105</v>
      </c>
      <c r="BY1296" s="3">
        <v>20358</v>
      </c>
      <c r="CA1296" s="3" t="s">
        <v>334</v>
      </c>
      <c r="CC1296" s="3" t="s">
        <v>102</v>
      </c>
      <c r="CD1296" s="3">
        <v>4001</v>
      </c>
      <c r="CE1296" s="3" t="s">
        <v>86</v>
      </c>
      <c r="CF1296" s="4">
        <v>44582</v>
      </c>
      <c r="CI1296" s="3">
        <v>1</v>
      </c>
      <c r="CJ1296" s="3">
        <v>1</v>
      </c>
      <c r="CK1296" s="3">
        <v>21</v>
      </c>
      <c r="CL1296" s="3" t="s">
        <v>87</v>
      </c>
    </row>
    <row r="1297" spans="1:90" x14ac:dyDescent="0.2">
      <c r="A1297" s="3" t="s">
        <v>72</v>
      </c>
      <c r="B1297" s="3" t="s">
        <v>73</v>
      </c>
      <c r="C1297" s="3" t="s">
        <v>74</v>
      </c>
      <c r="E1297" s="3" t="str">
        <f>"FES1162845902"</f>
        <v>FES1162845902</v>
      </c>
      <c r="F1297" s="4">
        <v>44580</v>
      </c>
      <c r="G1297" s="3">
        <v>202207</v>
      </c>
      <c r="H1297" s="3" t="s">
        <v>75</v>
      </c>
      <c r="I1297" s="3" t="s">
        <v>76</v>
      </c>
      <c r="J1297" s="3" t="s">
        <v>77</v>
      </c>
      <c r="K1297" s="3" t="s">
        <v>78</v>
      </c>
      <c r="L1297" s="3" t="s">
        <v>142</v>
      </c>
      <c r="M1297" s="3" t="s">
        <v>143</v>
      </c>
      <c r="N1297" s="3" t="s">
        <v>144</v>
      </c>
      <c r="O1297" s="3" t="s">
        <v>82</v>
      </c>
      <c r="P1297" s="3" t="str">
        <f>"2170811705                    "</f>
        <v xml:space="preserve">2170811705                    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12.07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1</v>
      </c>
      <c r="BI1297" s="3">
        <v>2</v>
      </c>
      <c r="BJ1297" s="3">
        <v>1.1000000000000001</v>
      </c>
      <c r="BK1297" s="3">
        <v>2</v>
      </c>
      <c r="BL1297" s="3">
        <v>46.08</v>
      </c>
      <c r="BM1297" s="3">
        <v>6.91</v>
      </c>
      <c r="BN1297" s="3">
        <v>52.99</v>
      </c>
      <c r="BO1297" s="3">
        <v>52.99</v>
      </c>
      <c r="BQ1297" s="3" t="s">
        <v>145</v>
      </c>
      <c r="BR1297" s="3" t="s">
        <v>84</v>
      </c>
      <c r="BS1297" s="4">
        <v>44581</v>
      </c>
      <c r="BT1297" s="5">
        <v>0.40902777777777777</v>
      </c>
      <c r="BU1297" s="3" t="s">
        <v>1623</v>
      </c>
      <c r="BV1297" s="3" t="s">
        <v>105</v>
      </c>
      <c r="BY1297" s="3">
        <v>5320</v>
      </c>
      <c r="CA1297" s="3" t="s">
        <v>1624</v>
      </c>
      <c r="CC1297" s="3" t="s">
        <v>143</v>
      </c>
      <c r="CD1297" s="3">
        <v>1451</v>
      </c>
      <c r="CE1297" s="3" t="s">
        <v>86</v>
      </c>
      <c r="CF1297" s="4">
        <v>44582</v>
      </c>
      <c r="CI1297" s="3">
        <v>1</v>
      </c>
      <c r="CJ1297" s="3">
        <v>1</v>
      </c>
      <c r="CK1297" s="3">
        <v>22</v>
      </c>
      <c r="CL1297" s="3" t="s">
        <v>87</v>
      </c>
    </row>
    <row r="1298" spans="1:90" x14ac:dyDescent="0.2">
      <c r="A1298" s="3" t="s">
        <v>72</v>
      </c>
      <c r="B1298" s="3" t="s">
        <v>73</v>
      </c>
      <c r="C1298" s="3" t="s">
        <v>74</v>
      </c>
      <c r="E1298" s="3" t="str">
        <f>"FES1162845771"</f>
        <v>FES1162845771</v>
      </c>
      <c r="F1298" s="4">
        <v>44580</v>
      </c>
      <c r="G1298" s="3">
        <v>202207</v>
      </c>
      <c r="H1298" s="3" t="s">
        <v>75</v>
      </c>
      <c r="I1298" s="3" t="s">
        <v>76</v>
      </c>
      <c r="J1298" s="3" t="s">
        <v>77</v>
      </c>
      <c r="K1298" s="3" t="s">
        <v>78</v>
      </c>
      <c r="L1298" s="3" t="s">
        <v>101</v>
      </c>
      <c r="M1298" s="3" t="s">
        <v>102</v>
      </c>
      <c r="N1298" s="3" t="s">
        <v>103</v>
      </c>
      <c r="O1298" s="3" t="s">
        <v>82</v>
      </c>
      <c r="P1298" s="3" t="str">
        <f>"2170817264                    "</f>
        <v xml:space="preserve">2170817264                    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34.770000000000003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1</v>
      </c>
      <c r="BI1298" s="3">
        <v>1</v>
      </c>
      <c r="BJ1298" s="3">
        <v>4.0999999999999996</v>
      </c>
      <c r="BK1298" s="3">
        <v>4.5</v>
      </c>
      <c r="BL1298" s="3">
        <v>132.71</v>
      </c>
      <c r="BM1298" s="3">
        <v>19.91</v>
      </c>
      <c r="BN1298" s="3">
        <v>152.62</v>
      </c>
      <c r="BO1298" s="3">
        <v>152.62</v>
      </c>
      <c r="BQ1298" s="3" t="s">
        <v>83</v>
      </c>
      <c r="BR1298" s="3" t="s">
        <v>84</v>
      </c>
      <c r="BS1298" s="4">
        <v>44581</v>
      </c>
      <c r="BT1298" s="5">
        <v>0.38125000000000003</v>
      </c>
      <c r="BU1298" s="3" t="s">
        <v>463</v>
      </c>
      <c r="BV1298" s="3" t="s">
        <v>105</v>
      </c>
      <c r="BY1298" s="3">
        <v>20358</v>
      </c>
      <c r="CA1298" s="3" t="s">
        <v>334</v>
      </c>
      <c r="CC1298" s="3" t="s">
        <v>102</v>
      </c>
      <c r="CD1298" s="3">
        <v>4001</v>
      </c>
      <c r="CE1298" s="3" t="s">
        <v>86</v>
      </c>
      <c r="CF1298" s="4">
        <v>44582</v>
      </c>
      <c r="CI1298" s="3">
        <v>1</v>
      </c>
      <c r="CJ1298" s="3">
        <v>1</v>
      </c>
      <c r="CK1298" s="3">
        <v>21</v>
      </c>
      <c r="CL1298" s="3" t="s">
        <v>87</v>
      </c>
    </row>
    <row r="1299" spans="1:90" x14ac:dyDescent="0.2">
      <c r="A1299" s="3" t="s">
        <v>72</v>
      </c>
      <c r="B1299" s="3" t="s">
        <v>73</v>
      </c>
      <c r="C1299" s="3" t="s">
        <v>74</v>
      </c>
      <c r="E1299" s="3" t="str">
        <f>"FES1162845841"</f>
        <v>FES1162845841</v>
      </c>
      <c r="F1299" s="4">
        <v>44580</v>
      </c>
      <c r="G1299" s="3">
        <v>202207</v>
      </c>
      <c r="H1299" s="3" t="s">
        <v>75</v>
      </c>
      <c r="I1299" s="3" t="s">
        <v>76</v>
      </c>
      <c r="J1299" s="3" t="s">
        <v>77</v>
      </c>
      <c r="K1299" s="3" t="s">
        <v>78</v>
      </c>
      <c r="L1299" s="3" t="s">
        <v>129</v>
      </c>
      <c r="M1299" s="3" t="s">
        <v>130</v>
      </c>
      <c r="N1299" s="3" t="s">
        <v>404</v>
      </c>
      <c r="O1299" s="3" t="s">
        <v>82</v>
      </c>
      <c r="P1299" s="3" t="str">
        <f>"2170815991                    "</f>
        <v xml:space="preserve">2170815991                    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29.95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3">
        <v>1</v>
      </c>
      <c r="BI1299" s="3">
        <v>1</v>
      </c>
      <c r="BJ1299" s="3">
        <v>2</v>
      </c>
      <c r="BK1299" s="3">
        <v>2</v>
      </c>
      <c r="BL1299" s="3">
        <v>114.31</v>
      </c>
      <c r="BM1299" s="3">
        <v>17.149999999999999</v>
      </c>
      <c r="BN1299" s="3">
        <v>131.46</v>
      </c>
      <c r="BO1299" s="3">
        <v>131.46</v>
      </c>
      <c r="BQ1299" s="3" t="s">
        <v>83</v>
      </c>
      <c r="BR1299" s="3" t="s">
        <v>84</v>
      </c>
      <c r="BS1299" s="4">
        <v>44581</v>
      </c>
      <c r="BT1299" s="5">
        <v>0.48680555555555555</v>
      </c>
      <c r="BU1299" s="3" t="s">
        <v>1209</v>
      </c>
      <c r="BV1299" s="3" t="s">
        <v>105</v>
      </c>
      <c r="BY1299" s="3">
        <v>9900</v>
      </c>
      <c r="CA1299" s="3" t="s">
        <v>1210</v>
      </c>
      <c r="CC1299" s="3" t="s">
        <v>130</v>
      </c>
      <c r="CD1299" s="3">
        <v>3370</v>
      </c>
      <c r="CE1299" s="3" t="s">
        <v>86</v>
      </c>
      <c r="CF1299" s="4">
        <v>44585</v>
      </c>
      <c r="CI1299" s="3">
        <v>2</v>
      </c>
      <c r="CJ1299" s="3">
        <v>1</v>
      </c>
      <c r="CK1299" s="3">
        <v>23</v>
      </c>
      <c r="CL1299" s="3" t="s">
        <v>87</v>
      </c>
    </row>
    <row r="1300" spans="1:90" x14ac:dyDescent="0.2">
      <c r="A1300" s="3" t="s">
        <v>72</v>
      </c>
      <c r="B1300" s="3" t="s">
        <v>73</v>
      </c>
      <c r="C1300" s="3" t="s">
        <v>74</v>
      </c>
      <c r="E1300" s="3" t="str">
        <f>"FES1162845801"</f>
        <v>FES1162845801</v>
      </c>
      <c r="F1300" s="4">
        <v>44580</v>
      </c>
      <c r="G1300" s="3">
        <v>202207</v>
      </c>
      <c r="H1300" s="3" t="s">
        <v>75</v>
      </c>
      <c r="I1300" s="3" t="s">
        <v>76</v>
      </c>
      <c r="J1300" s="3" t="s">
        <v>77</v>
      </c>
      <c r="K1300" s="3" t="s">
        <v>78</v>
      </c>
      <c r="L1300" s="3" t="s">
        <v>75</v>
      </c>
      <c r="M1300" s="3" t="s">
        <v>76</v>
      </c>
      <c r="N1300" s="3" t="s">
        <v>379</v>
      </c>
      <c r="O1300" s="3" t="s">
        <v>82</v>
      </c>
      <c r="P1300" s="3" t="str">
        <f>"2170816008                    "</f>
        <v xml:space="preserve">2170816008                    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12.07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3">
        <v>1</v>
      </c>
      <c r="BI1300" s="3">
        <v>1</v>
      </c>
      <c r="BJ1300" s="3">
        <v>2</v>
      </c>
      <c r="BK1300" s="3">
        <v>2</v>
      </c>
      <c r="BL1300" s="3">
        <v>46.08</v>
      </c>
      <c r="BM1300" s="3">
        <v>6.91</v>
      </c>
      <c r="BN1300" s="3">
        <v>52.99</v>
      </c>
      <c r="BO1300" s="3">
        <v>52.99</v>
      </c>
      <c r="BQ1300" s="3" t="s">
        <v>380</v>
      </c>
      <c r="BR1300" s="3" t="s">
        <v>84</v>
      </c>
      <c r="BS1300" s="4">
        <v>44581</v>
      </c>
      <c r="BT1300" s="5">
        <v>0.4145833333333333</v>
      </c>
      <c r="BU1300" s="3" t="s">
        <v>381</v>
      </c>
      <c r="BV1300" s="3" t="s">
        <v>105</v>
      </c>
      <c r="BY1300" s="3">
        <v>9918</v>
      </c>
      <c r="CA1300" s="3" t="s">
        <v>382</v>
      </c>
      <c r="CC1300" s="3" t="s">
        <v>76</v>
      </c>
      <c r="CD1300" s="3">
        <v>1609</v>
      </c>
      <c r="CE1300" s="3" t="s">
        <v>86</v>
      </c>
      <c r="CF1300" s="4">
        <v>44582</v>
      </c>
      <c r="CI1300" s="3">
        <v>1</v>
      </c>
      <c r="CJ1300" s="3">
        <v>1</v>
      </c>
      <c r="CK1300" s="3">
        <v>22</v>
      </c>
      <c r="CL1300" s="3" t="s">
        <v>87</v>
      </c>
    </row>
    <row r="1301" spans="1:90" x14ac:dyDescent="0.2">
      <c r="A1301" s="3" t="s">
        <v>72</v>
      </c>
      <c r="B1301" s="3" t="s">
        <v>73</v>
      </c>
      <c r="C1301" s="3" t="s">
        <v>74</v>
      </c>
      <c r="E1301" s="3" t="str">
        <f>"FES1162845790"</f>
        <v>FES1162845790</v>
      </c>
      <c r="F1301" s="4">
        <v>44580</v>
      </c>
      <c r="G1301" s="3">
        <v>202207</v>
      </c>
      <c r="H1301" s="3" t="s">
        <v>75</v>
      </c>
      <c r="I1301" s="3" t="s">
        <v>76</v>
      </c>
      <c r="J1301" s="3" t="s">
        <v>77</v>
      </c>
      <c r="K1301" s="3" t="s">
        <v>78</v>
      </c>
      <c r="L1301" s="3" t="s">
        <v>79</v>
      </c>
      <c r="M1301" s="3" t="s">
        <v>80</v>
      </c>
      <c r="N1301" s="3" t="s">
        <v>248</v>
      </c>
      <c r="O1301" s="3" t="s">
        <v>82</v>
      </c>
      <c r="P1301" s="3" t="str">
        <f>"2170817285                    "</f>
        <v xml:space="preserve">2170817285                    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15.46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0</v>
      </c>
      <c r="AZ1301" s="3">
        <v>0</v>
      </c>
      <c r="BA1301" s="3">
        <v>0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1</v>
      </c>
      <c r="BI1301" s="3">
        <v>1</v>
      </c>
      <c r="BJ1301" s="3">
        <v>0.2</v>
      </c>
      <c r="BK1301" s="3">
        <v>1</v>
      </c>
      <c r="BL1301" s="3">
        <v>59</v>
      </c>
      <c r="BM1301" s="3">
        <v>8.85</v>
      </c>
      <c r="BN1301" s="3">
        <v>67.849999999999994</v>
      </c>
      <c r="BO1301" s="3">
        <v>67.849999999999994</v>
      </c>
      <c r="BQ1301" s="3" t="s">
        <v>83</v>
      </c>
      <c r="BR1301" s="3" t="s">
        <v>84</v>
      </c>
      <c r="BS1301" s="4">
        <v>44581</v>
      </c>
      <c r="BT1301" s="5">
        <v>0.36736111111111108</v>
      </c>
      <c r="BU1301" s="3" t="s">
        <v>361</v>
      </c>
      <c r="BV1301" s="3" t="s">
        <v>105</v>
      </c>
      <c r="BY1301" s="3">
        <v>1200</v>
      </c>
      <c r="CA1301" s="3" t="s">
        <v>362</v>
      </c>
      <c r="CC1301" s="3" t="s">
        <v>80</v>
      </c>
      <c r="CD1301" s="3">
        <v>1</v>
      </c>
      <c r="CE1301" s="3" t="s">
        <v>93</v>
      </c>
      <c r="CF1301" s="4">
        <v>44581</v>
      </c>
      <c r="CI1301" s="3">
        <v>1</v>
      </c>
      <c r="CJ1301" s="3">
        <v>1</v>
      </c>
      <c r="CK1301" s="3">
        <v>21</v>
      </c>
      <c r="CL1301" s="3" t="s">
        <v>87</v>
      </c>
    </row>
    <row r="1302" spans="1:90" x14ac:dyDescent="0.2">
      <c r="A1302" s="3" t="s">
        <v>72</v>
      </c>
      <c r="B1302" s="3" t="s">
        <v>73</v>
      </c>
      <c r="C1302" s="3" t="s">
        <v>74</v>
      </c>
      <c r="E1302" s="3" t="str">
        <f>"FES1162844063"</f>
        <v>FES1162844063</v>
      </c>
      <c r="F1302" s="4">
        <v>44580</v>
      </c>
      <c r="G1302" s="3">
        <v>202207</v>
      </c>
      <c r="H1302" s="3" t="s">
        <v>75</v>
      </c>
      <c r="I1302" s="3" t="s">
        <v>76</v>
      </c>
      <c r="J1302" s="3" t="s">
        <v>77</v>
      </c>
      <c r="K1302" s="3" t="s">
        <v>78</v>
      </c>
      <c r="L1302" s="3" t="s">
        <v>510</v>
      </c>
      <c r="M1302" s="3" t="s">
        <v>511</v>
      </c>
      <c r="N1302" s="3" t="s">
        <v>1625</v>
      </c>
      <c r="O1302" s="3" t="s">
        <v>148</v>
      </c>
      <c r="P1302" s="3" t="str">
        <f>"2170802153                    "</f>
        <v xml:space="preserve">2170802153                    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29.81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1</v>
      </c>
      <c r="BI1302" s="3">
        <v>25</v>
      </c>
      <c r="BJ1302" s="3">
        <v>19.2</v>
      </c>
      <c r="BK1302" s="3">
        <v>25</v>
      </c>
      <c r="BL1302" s="3">
        <v>119.03</v>
      </c>
      <c r="BM1302" s="3">
        <v>17.850000000000001</v>
      </c>
      <c r="BN1302" s="3">
        <v>136.88</v>
      </c>
      <c r="BO1302" s="3">
        <v>136.88</v>
      </c>
      <c r="BQ1302" s="3" t="s">
        <v>1626</v>
      </c>
      <c r="BR1302" s="3" t="s">
        <v>84</v>
      </c>
      <c r="BS1302" s="4">
        <v>44581</v>
      </c>
      <c r="BT1302" s="5">
        <v>0.46319444444444446</v>
      </c>
      <c r="BU1302" s="3" t="s">
        <v>1627</v>
      </c>
      <c r="BV1302" s="3" t="s">
        <v>105</v>
      </c>
      <c r="BY1302" s="3">
        <v>96000</v>
      </c>
      <c r="CA1302" s="3" t="s">
        <v>514</v>
      </c>
      <c r="CC1302" s="3" t="s">
        <v>511</v>
      </c>
      <c r="CD1302" s="3">
        <v>1554</v>
      </c>
      <c r="CE1302" s="3" t="s">
        <v>86</v>
      </c>
      <c r="CF1302" s="4">
        <v>44581</v>
      </c>
      <c r="CI1302" s="3">
        <v>1</v>
      </c>
      <c r="CJ1302" s="3">
        <v>1</v>
      </c>
      <c r="CK1302" s="3">
        <v>42</v>
      </c>
      <c r="CL1302" s="3" t="s">
        <v>87</v>
      </c>
    </row>
    <row r="1303" spans="1:90" x14ac:dyDescent="0.2">
      <c r="A1303" s="3" t="s">
        <v>72</v>
      </c>
      <c r="B1303" s="3" t="s">
        <v>73</v>
      </c>
      <c r="C1303" s="3" t="s">
        <v>74</v>
      </c>
      <c r="E1303" s="3" t="str">
        <f>"FES1162845768"</f>
        <v>FES1162845768</v>
      </c>
      <c r="F1303" s="4">
        <v>44580</v>
      </c>
      <c r="G1303" s="3">
        <v>202207</v>
      </c>
      <c r="H1303" s="3" t="s">
        <v>75</v>
      </c>
      <c r="I1303" s="3" t="s">
        <v>76</v>
      </c>
      <c r="J1303" s="3" t="s">
        <v>77</v>
      </c>
      <c r="K1303" s="3" t="s">
        <v>78</v>
      </c>
      <c r="L1303" s="3" t="s">
        <v>90</v>
      </c>
      <c r="M1303" s="3" t="s">
        <v>91</v>
      </c>
      <c r="N1303" s="3" t="s">
        <v>776</v>
      </c>
      <c r="O1303" s="3" t="s">
        <v>148</v>
      </c>
      <c r="P1303" s="3" t="str">
        <f>"2170817260                    "</f>
        <v xml:space="preserve">2170817260                    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31.12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3">
        <v>2</v>
      </c>
      <c r="BI1303" s="3">
        <v>10</v>
      </c>
      <c r="BJ1303" s="3">
        <v>15.9</v>
      </c>
      <c r="BK1303" s="3">
        <v>16</v>
      </c>
      <c r="BL1303" s="3">
        <v>124.04</v>
      </c>
      <c r="BM1303" s="3">
        <v>18.61</v>
      </c>
      <c r="BN1303" s="3">
        <v>142.65</v>
      </c>
      <c r="BO1303" s="3">
        <v>142.65</v>
      </c>
      <c r="BQ1303" s="3" t="s">
        <v>83</v>
      </c>
      <c r="BR1303" s="3" t="s">
        <v>84</v>
      </c>
      <c r="BS1303" s="4">
        <v>44581</v>
      </c>
      <c r="BT1303" s="5">
        <v>0.50416666666666665</v>
      </c>
      <c r="BU1303" s="3" t="s">
        <v>1628</v>
      </c>
      <c r="BV1303" s="3" t="s">
        <v>105</v>
      </c>
      <c r="BY1303" s="3">
        <v>79540</v>
      </c>
      <c r="CA1303" s="3" t="s">
        <v>603</v>
      </c>
      <c r="CC1303" s="3" t="s">
        <v>91</v>
      </c>
      <c r="CD1303" s="3">
        <v>7975</v>
      </c>
      <c r="CE1303" s="3" t="s">
        <v>221</v>
      </c>
      <c r="CF1303" s="4">
        <v>44582</v>
      </c>
      <c r="CI1303" s="3">
        <v>2</v>
      </c>
      <c r="CJ1303" s="3">
        <v>1</v>
      </c>
      <c r="CK1303" s="3">
        <v>41</v>
      </c>
      <c r="CL1303" s="3" t="s">
        <v>87</v>
      </c>
    </row>
    <row r="1304" spans="1:90" x14ac:dyDescent="0.2">
      <c r="A1304" s="3" t="s">
        <v>72</v>
      </c>
      <c r="B1304" s="3" t="s">
        <v>73</v>
      </c>
      <c r="C1304" s="3" t="s">
        <v>74</v>
      </c>
      <c r="E1304" s="3" t="str">
        <f>"FES1162845927"</f>
        <v>FES1162845927</v>
      </c>
      <c r="F1304" s="4">
        <v>44580</v>
      </c>
      <c r="G1304" s="3">
        <v>202207</v>
      </c>
      <c r="H1304" s="3" t="s">
        <v>75</v>
      </c>
      <c r="I1304" s="3" t="s">
        <v>76</v>
      </c>
      <c r="J1304" s="3" t="s">
        <v>77</v>
      </c>
      <c r="K1304" s="3" t="s">
        <v>78</v>
      </c>
      <c r="L1304" s="3" t="s">
        <v>101</v>
      </c>
      <c r="M1304" s="3" t="s">
        <v>102</v>
      </c>
      <c r="N1304" s="3" t="s">
        <v>103</v>
      </c>
      <c r="O1304" s="3" t="s">
        <v>148</v>
      </c>
      <c r="P1304" s="3" t="str">
        <f>"2170809923                    "</f>
        <v xml:space="preserve">2170809923                    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29.89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3">
        <v>1</v>
      </c>
      <c r="BI1304" s="3">
        <v>9</v>
      </c>
      <c r="BJ1304" s="3">
        <v>5.6</v>
      </c>
      <c r="BK1304" s="3">
        <v>9</v>
      </c>
      <c r="BL1304" s="3">
        <v>119.34</v>
      </c>
      <c r="BM1304" s="3">
        <v>17.899999999999999</v>
      </c>
      <c r="BN1304" s="3">
        <v>137.24</v>
      </c>
      <c r="BO1304" s="3">
        <v>137.24</v>
      </c>
      <c r="BQ1304" s="3" t="s">
        <v>83</v>
      </c>
      <c r="BR1304" s="3" t="s">
        <v>84</v>
      </c>
      <c r="BS1304" s="4">
        <v>44582</v>
      </c>
      <c r="BT1304" s="5">
        <v>0.33680555555555558</v>
      </c>
      <c r="BU1304" s="3" t="s">
        <v>1629</v>
      </c>
      <c r="BV1304" s="3" t="s">
        <v>87</v>
      </c>
      <c r="BW1304" s="3" t="s">
        <v>278</v>
      </c>
      <c r="BX1304" s="3" t="s">
        <v>279</v>
      </c>
      <c r="BY1304" s="3">
        <v>28000</v>
      </c>
      <c r="CA1304" s="3" t="s">
        <v>334</v>
      </c>
      <c r="CC1304" s="3" t="s">
        <v>102</v>
      </c>
      <c r="CD1304" s="3">
        <v>4001</v>
      </c>
      <c r="CE1304" s="3" t="s">
        <v>86</v>
      </c>
      <c r="CF1304" s="4">
        <v>44585</v>
      </c>
      <c r="CI1304" s="3">
        <v>1</v>
      </c>
      <c r="CJ1304" s="3">
        <v>2</v>
      </c>
      <c r="CK1304" s="3">
        <v>41</v>
      </c>
      <c r="CL1304" s="3" t="s">
        <v>87</v>
      </c>
    </row>
    <row r="1305" spans="1:90" x14ac:dyDescent="0.2">
      <c r="A1305" s="3" t="s">
        <v>72</v>
      </c>
      <c r="B1305" s="3" t="s">
        <v>73</v>
      </c>
      <c r="C1305" s="3" t="s">
        <v>74</v>
      </c>
      <c r="E1305" s="3" t="str">
        <f>"FES1162845811"</f>
        <v>FES1162845811</v>
      </c>
      <c r="F1305" s="4">
        <v>44580</v>
      </c>
      <c r="G1305" s="3">
        <v>202207</v>
      </c>
      <c r="H1305" s="3" t="s">
        <v>75</v>
      </c>
      <c r="I1305" s="3" t="s">
        <v>76</v>
      </c>
      <c r="J1305" s="3" t="s">
        <v>77</v>
      </c>
      <c r="K1305" s="3" t="s">
        <v>78</v>
      </c>
      <c r="L1305" s="3" t="s">
        <v>90</v>
      </c>
      <c r="M1305" s="3" t="s">
        <v>91</v>
      </c>
      <c r="N1305" s="3" t="s">
        <v>1630</v>
      </c>
      <c r="O1305" s="3" t="s">
        <v>82</v>
      </c>
      <c r="P1305" s="3" t="str">
        <f>"2170817120                    "</f>
        <v xml:space="preserve">2170817120                    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15.46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3">
        <v>1</v>
      </c>
      <c r="BI1305" s="3">
        <v>1</v>
      </c>
      <c r="BJ1305" s="3">
        <v>0.2</v>
      </c>
      <c r="BK1305" s="3">
        <v>1</v>
      </c>
      <c r="BL1305" s="3">
        <v>59</v>
      </c>
      <c r="BM1305" s="3">
        <v>8.85</v>
      </c>
      <c r="BN1305" s="3">
        <v>67.849999999999994</v>
      </c>
      <c r="BO1305" s="3">
        <v>67.849999999999994</v>
      </c>
      <c r="BR1305" s="3" t="s">
        <v>84</v>
      </c>
      <c r="BS1305" s="4">
        <v>44581</v>
      </c>
      <c r="BT1305" s="5">
        <v>0.3576388888888889</v>
      </c>
      <c r="BU1305" s="3" t="s">
        <v>1631</v>
      </c>
      <c r="BV1305" s="3" t="s">
        <v>105</v>
      </c>
      <c r="BY1305" s="3">
        <v>1200</v>
      </c>
      <c r="CA1305" s="3" t="s">
        <v>1632</v>
      </c>
      <c r="CC1305" s="3" t="s">
        <v>91</v>
      </c>
      <c r="CD1305" s="3">
        <v>7701</v>
      </c>
      <c r="CE1305" s="3" t="s">
        <v>93</v>
      </c>
      <c r="CF1305" s="4">
        <v>44582</v>
      </c>
      <c r="CI1305" s="3">
        <v>1</v>
      </c>
      <c r="CJ1305" s="3">
        <v>1</v>
      </c>
      <c r="CK1305" s="3">
        <v>21</v>
      </c>
      <c r="CL1305" s="3" t="s">
        <v>87</v>
      </c>
    </row>
    <row r="1306" spans="1:90" x14ac:dyDescent="0.2">
      <c r="A1306" s="3" t="s">
        <v>72</v>
      </c>
      <c r="B1306" s="3" t="s">
        <v>73</v>
      </c>
      <c r="C1306" s="3" t="s">
        <v>74</v>
      </c>
      <c r="E1306" s="3" t="str">
        <f>"FES1162845783"</f>
        <v>FES1162845783</v>
      </c>
      <c r="F1306" s="4">
        <v>44580</v>
      </c>
      <c r="G1306" s="3">
        <v>202207</v>
      </c>
      <c r="H1306" s="3" t="s">
        <v>75</v>
      </c>
      <c r="I1306" s="3" t="s">
        <v>76</v>
      </c>
      <c r="J1306" s="3" t="s">
        <v>77</v>
      </c>
      <c r="K1306" s="3" t="s">
        <v>78</v>
      </c>
      <c r="L1306" s="3" t="s">
        <v>90</v>
      </c>
      <c r="M1306" s="3" t="s">
        <v>91</v>
      </c>
      <c r="N1306" s="3" t="s">
        <v>92</v>
      </c>
      <c r="O1306" s="3" t="s">
        <v>82</v>
      </c>
      <c r="P1306" s="3" t="str">
        <f>"2170817273                    "</f>
        <v xml:space="preserve">2170817273                    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15.46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0</v>
      </c>
      <c r="AZ1306" s="3">
        <v>0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1</v>
      </c>
      <c r="BI1306" s="3">
        <v>1</v>
      </c>
      <c r="BJ1306" s="3">
        <v>0.2</v>
      </c>
      <c r="BK1306" s="3">
        <v>1</v>
      </c>
      <c r="BL1306" s="3">
        <v>59</v>
      </c>
      <c r="BM1306" s="3">
        <v>8.85</v>
      </c>
      <c r="BN1306" s="3">
        <v>67.849999999999994</v>
      </c>
      <c r="BO1306" s="3">
        <v>67.849999999999994</v>
      </c>
      <c r="BQ1306" s="3" t="s">
        <v>83</v>
      </c>
      <c r="BR1306" s="3" t="s">
        <v>84</v>
      </c>
      <c r="BS1306" s="4">
        <v>44581</v>
      </c>
      <c r="BT1306" s="5">
        <v>0.39583333333333331</v>
      </c>
      <c r="BU1306" s="3" t="s">
        <v>1319</v>
      </c>
      <c r="BV1306" s="3" t="s">
        <v>105</v>
      </c>
      <c r="BY1306" s="3">
        <v>1200</v>
      </c>
      <c r="CA1306" s="3" t="s">
        <v>1633</v>
      </c>
      <c r="CC1306" s="3" t="s">
        <v>91</v>
      </c>
      <c r="CD1306" s="3">
        <v>7530</v>
      </c>
      <c r="CE1306" s="3" t="s">
        <v>93</v>
      </c>
      <c r="CF1306" s="4">
        <v>44582</v>
      </c>
      <c r="CI1306" s="3">
        <v>1</v>
      </c>
      <c r="CJ1306" s="3">
        <v>1</v>
      </c>
      <c r="CK1306" s="3">
        <v>21</v>
      </c>
      <c r="CL1306" s="3" t="s">
        <v>87</v>
      </c>
    </row>
    <row r="1307" spans="1:90" x14ac:dyDescent="0.2">
      <c r="A1307" s="3" t="s">
        <v>72</v>
      </c>
      <c r="B1307" s="3" t="s">
        <v>73</v>
      </c>
      <c r="C1307" s="3" t="s">
        <v>74</v>
      </c>
      <c r="E1307" s="3" t="str">
        <f>"FES1162845787"</f>
        <v>FES1162845787</v>
      </c>
      <c r="F1307" s="4">
        <v>44580</v>
      </c>
      <c r="G1307" s="3">
        <v>202207</v>
      </c>
      <c r="H1307" s="3" t="s">
        <v>75</v>
      </c>
      <c r="I1307" s="3" t="s">
        <v>76</v>
      </c>
      <c r="J1307" s="3" t="s">
        <v>77</v>
      </c>
      <c r="K1307" s="3" t="s">
        <v>78</v>
      </c>
      <c r="L1307" s="3" t="s">
        <v>731</v>
      </c>
      <c r="M1307" s="3" t="s">
        <v>732</v>
      </c>
      <c r="N1307" s="3" t="s">
        <v>883</v>
      </c>
      <c r="O1307" s="3" t="s">
        <v>82</v>
      </c>
      <c r="P1307" s="3" t="str">
        <f>"2170817278                    "</f>
        <v xml:space="preserve">2170817278                    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29.95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0</v>
      </c>
      <c r="BA1307" s="3">
        <v>0</v>
      </c>
      <c r="BB1307" s="3">
        <v>0</v>
      </c>
      <c r="BC1307" s="3">
        <v>0</v>
      </c>
      <c r="BD1307" s="3">
        <v>0</v>
      </c>
      <c r="BE1307" s="3">
        <v>0</v>
      </c>
      <c r="BF1307" s="3">
        <v>0</v>
      </c>
      <c r="BG1307" s="3">
        <v>0</v>
      </c>
      <c r="BH1307" s="3">
        <v>1</v>
      </c>
      <c r="BI1307" s="3">
        <v>1</v>
      </c>
      <c r="BJ1307" s="3">
        <v>0.2</v>
      </c>
      <c r="BK1307" s="3">
        <v>1</v>
      </c>
      <c r="BL1307" s="3">
        <v>114.31</v>
      </c>
      <c r="BM1307" s="3">
        <v>17.149999999999999</v>
      </c>
      <c r="BN1307" s="3">
        <v>131.46</v>
      </c>
      <c r="BO1307" s="3">
        <v>131.46</v>
      </c>
      <c r="BQ1307" s="3" t="s">
        <v>273</v>
      </c>
      <c r="BR1307" s="3" t="s">
        <v>84</v>
      </c>
      <c r="BS1307" s="4">
        <v>44581</v>
      </c>
      <c r="BT1307" s="5">
        <v>0.625</v>
      </c>
      <c r="BU1307" s="3" t="s">
        <v>1634</v>
      </c>
      <c r="BV1307" s="3" t="s">
        <v>105</v>
      </c>
      <c r="BY1307" s="3">
        <v>1200</v>
      </c>
      <c r="CC1307" s="3" t="s">
        <v>732</v>
      </c>
      <c r="CD1307" s="3">
        <v>3280</v>
      </c>
      <c r="CE1307" s="3" t="s">
        <v>93</v>
      </c>
      <c r="CF1307" s="4">
        <v>44587</v>
      </c>
      <c r="CI1307" s="3">
        <v>1</v>
      </c>
      <c r="CJ1307" s="3">
        <v>1</v>
      </c>
      <c r="CK1307" s="3">
        <v>23</v>
      </c>
      <c r="CL1307" s="3" t="s">
        <v>87</v>
      </c>
    </row>
    <row r="1308" spans="1:90" x14ac:dyDescent="0.2">
      <c r="A1308" s="3" t="s">
        <v>72</v>
      </c>
      <c r="B1308" s="3" t="s">
        <v>73</v>
      </c>
      <c r="C1308" s="3" t="s">
        <v>74</v>
      </c>
      <c r="E1308" s="3" t="str">
        <f>"FES1162845854"</f>
        <v>FES1162845854</v>
      </c>
      <c r="F1308" s="4">
        <v>44580</v>
      </c>
      <c r="G1308" s="3">
        <v>202207</v>
      </c>
      <c r="H1308" s="3" t="s">
        <v>75</v>
      </c>
      <c r="I1308" s="3" t="s">
        <v>76</v>
      </c>
      <c r="J1308" s="3" t="s">
        <v>77</v>
      </c>
      <c r="K1308" s="3" t="s">
        <v>78</v>
      </c>
      <c r="L1308" s="3" t="s">
        <v>79</v>
      </c>
      <c r="M1308" s="3" t="s">
        <v>80</v>
      </c>
      <c r="N1308" s="3" t="s">
        <v>415</v>
      </c>
      <c r="O1308" s="3" t="s">
        <v>82</v>
      </c>
      <c r="P1308" s="3" t="str">
        <f>"2170817227                    "</f>
        <v xml:space="preserve">2170817227                    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15.46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1</v>
      </c>
      <c r="BI1308" s="3">
        <v>1</v>
      </c>
      <c r="BJ1308" s="3">
        <v>0.2</v>
      </c>
      <c r="BK1308" s="3">
        <v>1</v>
      </c>
      <c r="BL1308" s="3">
        <v>59</v>
      </c>
      <c r="BM1308" s="3">
        <v>8.85</v>
      </c>
      <c r="BN1308" s="3">
        <v>67.849999999999994</v>
      </c>
      <c r="BO1308" s="3">
        <v>67.849999999999994</v>
      </c>
      <c r="BQ1308" s="3" t="s">
        <v>83</v>
      </c>
      <c r="BR1308" s="3" t="s">
        <v>84</v>
      </c>
      <c r="BS1308" s="4">
        <v>44581</v>
      </c>
      <c r="BT1308" s="5">
        <v>0.41041666666666665</v>
      </c>
      <c r="BU1308" s="3" t="s">
        <v>1066</v>
      </c>
      <c r="BV1308" s="3" t="s">
        <v>105</v>
      </c>
      <c r="BY1308" s="3">
        <v>1200</v>
      </c>
      <c r="CA1308" s="3" t="s">
        <v>1358</v>
      </c>
      <c r="CC1308" s="3" t="s">
        <v>80</v>
      </c>
      <c r="CD1308" s="3">
        <v>183</v>
      </c>
      <c r="CE1308" s="3" t="s">
        <v>93</v>
      </c>
      <c r="CF1308" s="4">
        <v>44581</v>
      </c>
      <c r="CI1308" s="3">
        <v>1</v>
      </c>
      <c r="CJ1308" s="3">
        <v>1</v>
      </c>
      <c r="CK1308" s="3">
        <v>21</v>
      </c>
      <c r="CL1308" s="3" t="s">
        <v>87</v>
      </c>
    </row>
    <row r="1309" spans="1:90" x14ac:dyDescent="0.2">
      <c r="A1309" s="3" t="s">
        <v>72</v>
      </c>
      <c r="B1309" s="3" t="s">
        <v>73</v>
      </c>
      <c r="C1309" s="3" t="s">
        <v>74</v>
      </c>
      <c r="E1309" s="3" t="str">
        <f>"FES1162845824"</f>
        <v>FES1162845824</v>
      </c>
      <c r="F1309" s="4">
        <v>44580</v>
      </c>
      <c r="G1309" s="3">
        <v>202207</v>
      </c>
      <c r="H1309" s="3" t="s">
        <v>75</v>
      </c>
      <c r="I1309" s="3" t="s">
        <v>76</v>
      </c>
      <c r="J1309" s="3" t="s">
        <v>77</v>
      </c>
      <c r="K1309" s="3" t="s">
        <v>78</v>
      </c>
      <c r="L1309" s="3" t="s">
        <v>171</v>
      </c>
      <c r="M1309" s="3" t="s">
        <v>172</v>
      </c>
      <c r="N1309" s="3" t="s">
        <v>235</v>
      </c>
      <c r="O1309" s="3" t="s">
        <v>82</v>
      </c>
      <c r="P1309" s="3" t="str">
        <f>"2170817307                    "</f>
        <v xml:space="preserve">2170817307                    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15.46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3">
        <v>1</v>
      </c>
      <c r="BI1309" s="3">
        <v>1</v>
      </c>
      <c r="BJ1309" s="3">
        <v>0.2</v>
      </c>
      <c r="BK1309" s="3">
        <v>1</v>
      </c>
      <c r="BL1309" s="3">
        <v>59</v>
      </c>
      <c r="BM1309" s="3">
        <v>8.85</v>
      </c>
      <c r="BN1309" s="3">
        <v>67.849999999999994</v>
      </c>
      <c r="BO1309" s="3">
        <v>67.849999999999994</v>
      </c>
      <c r="BQ1309" s="3" t="s">
        <v>89</v>
      </c>
      <c r="BR1309" s="3" t="s">
        <v>84</v>
      </c>
      <c r="BS1309" s="4">
        <v>44581</v>
      </c>
      <c r="BT1309" s="5">
        <v>0.3527777777777778</v>
      </c>
      <c r="BU1309" s="3" t="s">
        <v>1385</v>
      </c>
      <c r="BV1309" s="3" t="s">
        <v>105</v>
      </c>
      <c r="BY1309" s="3">
        <v>1200</v>
      </c>
      <c r="CA1309" s="3" t="s">
        <v>1580</v>
      </c>
      <c r="CC1309" s="3" t="s">
        <v>172</v>
      </c>
      <c r="CD1309" s="3">
        <v>6001</v>
      </c>
      <c r="CE1309" s="3" t="s">
        <v>93</v>
      </c>
      <c r="CF1309" s="4">
        <v>44582</v>
      </c>
      <c r="CI1309" s="3">
        <v>1</v>
      </c>
      <c r="CJ1309" s="3">
        <v>1</v>
      </c>
      <c r="CK1309" s="3">
        <v>21</v>
      </c>
      <c r="CL1309" s="3" t="s">
        <v>87</v>
      </c>
    </row>
    <row r="1310" spans="1:90" x14ac:dyDescent="0.2">
      <c r="A1310" s="3" t="s">
        <v>72</v>
      </c>
      <c r="B1310" s="3" t="s">
        <v>73</v>
      </c>
      <c r="C1310" s="3" t="s">
        <v>74</v>
      </c>
      <c r="E1310" s="3" t="str">
        <f>"FES1162845815"</f>
        <v>FES1162845815</v>
      </c>
      <c r="F1310" s="4">
        <v>44580</v>
      </c>
      <c r="G1310" s="3">
        <v>202207</v>
      </c>
      <c r="H1310" s="3" t="s">
        <v>75</v>
      </c>
      <c r="I1310" s="3" t="s">
        <v>76</v>
      </c>
      <c r="J1310" s="3" t="s">
        <v>77</v>
      </c>
      <c r="K1310" s="3" t="s">
        <v>78</v>
      </c>
      <c r="L1310" s="3" t="s">
        <v>1147</v>
      </c>
      <c r="M1310" s="3" t="s">
        <v>1148</v>
      </c>
      <c r="N1310" s="3" t="s">
        <v>1149</v>
      </c>
      <c r="O1310" s="3" t="s">
        <v>82</v>
      </c>
      <c r="P1310" s="3" t="str">
        <f>"2170817292                    "</f>
        <v xml:space="preserve">2170817292                    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12.07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0</v>
      </c>
      <c r="AZ1310" s="3">
        <v>0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1</v>
      </c>
      <c r="BI1310" s="3">
        <v>1</v>
      </c>
      <c r="BJ1310" s="3">
        <v>0.2</v>
      </c>
      <c r="BK1310" s="3">
        <v>1</v>
      </c>
      <c r="BL1310" s="3">
        <v>46.08</v>
      </c>
      <c r="BM1310" s="3">
        <v>6.91</v>
      </c>
      <c r="BN1310" s="3">
        <v>52.99</v>
      </c>
      <c r="BO1310" s="3">
        <v>52.99</v>
      </c>
      <c r="BR1310" s="3" t="s">
        <v>84</v>
      </c>
      <c r="BS1310" s="4">
        <v>44581</v>
      </c>
      <c r="BT1310" s="5">
        <v>0.39861111111111108</v>
      </c>
      <c r="BU1310" s="3" t="s">
        <v>1635</v>
      </c>
      <c r="BV1310" s="3" t="s">
        <v>105</v>
      </c>
      <c r="BY1310" s="3">
        <v>1200</v>
      </c>
      <c r="CC1310" s="3" t="s">
        <v>1148</v>
      </c>
      <c r="CD1310" s="3">
        <v>2146</v>
      </c>
      <c r="CE1310" s="3" t="s">
        <v>93</v>
      </c>
      <c r="CF1310" s="4">
        <v>44581</v>
      </c>
      <c r="CI1310" s="3">
        <v>1</v>
      </c>
      <c r="CJ1310" s="3">
        <v>1</v>
      </c>
      <c r="CK1310" s="3">
        <v>22</v>
      </c>
      <c r="CL1310" s="3" t="s">
        <v>87</v>
      </c>
    </row>
    <row r="1311" spans="1:90" x14ac:dyDescent="0.2">
      <c r="A1311" s="3" t="s">
        <v>72</v>
      </c>
      <c r="B1311" s="3" t="s">
        <v>73</v>
      </c>
      <c r="C1311" s="3" t="s">
        <v>74</v>
      </c>
      <c r="E1311" s="3" t="str">
        <f>"FES1162845812"</f>
        <v>FES1162845812</v>
      </c>
      <c r="F1311" s="4">
        <v>44580</v>
      </c>
      <c r="G1311" s="3">
        <v>202207</v>
      </c>
      <c r="H1311" s="3" t="s">
        <v>75</v>
      </c>
      <c r="I1311" s="3" t="s">
        <v>76</v>
      </c>
      <c r="J1311" s="3" t="s">
        <v>77</v>
      </c>
      <c r="K1311" s="3" t="s">
        <v>78</v>
      </c>
      <c r="L1311" s="3" t="s">
        <v>101</v>
      </c>
      <c r="M1311" s="3" t="s">
        <v>102</v>
      </c>
      <c r="N1311" s="3" t="s">
        <v>1387</v>
      </c>
      <c r="O1311" s="3" t="s">
        <v>82</v>
      </c>
      <c r="P1311" s="3" t="str">
        <f>"2170817207                    "</f>
        <v xml:space="preserve">2170817207                    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15.46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3">
        <v>1</v>
      </c>
      <c r="BI1311" s="3">
        <v>1</v>
      </c>
      <c r="BJ1311" s="3">
        <v>0.2</v>
      </c>
      <c r="BK1311" s="3">
        <v>1</v>
      </c>
      <c r="BL1311" s="3">
        <v>59</v>
      </c>
      <c r="BM1311" s="3">
        <v>8.85</v>
      </c>
      <c r="BN1311" s="3">
        <v>67.849999999999994</v>
      </c>
      <c r="BO1311" s="3">
        <v>67.849999999999994</v>
      </c>
      <c r="BQ1311" s="3" t="s">
        <v>83</v>
      </c>
      <c r="BR1311" s="3" t="s">
        <v>84</v>
      </c>
      <c r="BS1311" s="4">
        <v>44581</v>
      </c>
      <c r="BT1311" s="5">
        <v>0.39583333333333331</v>
      </c>
      <c r="BU1311" s="3" t="s">
        <v>1636</v>
      </c>
      <c r="BV1311" s="3" t="s">
        <v>105</v>
      </c>
      <c r="BY1311" s="3">
        <v>1200</v>
      </c>
      <c r="CA1311" s="3" t="s">
        <v>615</v>
      </c>
      <c r="CC1311" s="3" t="s">
        <v>102</v>
      </c>
      <c r="CD1311" s="3">
        <v>4052</v>
      </c>
      <c r="CE1311" s="3" t="s">
        <v>93</v>
      </c>
      <c r="CF1311" s="4">
        <v>44582</v>
      </c>
      <c r="CI1311" s="3">
        <v>1</v>
      </c>
      <c r="CJ1311" s="3">
        <v>1</v>
      </c>
      <c r="CK1311" s="3">
        <v>21</v>
      </c>
      <c r="CL1311" s="3" t="s">
        <v>87</v>
      </c>
    </row>
    <row r="1312" spans="1:90" x14ac:dyDescent="0.2">
      <c r="A1312" s="3" t="s">
        <v>72</v>
      </c>
      <c r="B1312" s="3" t="s">
        <v>73</v>
      </c>
      <c r="C1312" s="3" t="s">
        <v>74</v>
      </c>
      <c r="E1312" s="3" t="str">
        <f>"FES1162845819"</f>
        <v>FES1162845819</v>
      </c>
      <c r="F1312" s="4">
        <v>44580</v>
      </c>
      <c r="G1312" s="3">
        <v>202207</v>
      </c>
      <c r="H1312" s="3" t="s">
        <v>75</v>
      </c>
      <c r="I1312" s="3" t="s">
        <v>76</v>
      </c>
      <c r="J1312" s="3" t="s">
        <v>77</v>
      </c>
      <c r="K1312" s="3" t="s">
        <v>78</v>
      </c>
      <c r="L1312" s="3" t="s">
        <v>158</v>
      </c>
      <c r="M1312" s="3" t="s">
        <v>159</v>
      </c>
      <c r="N1312" s="3" t="s">
        <v>1140</v>
      </c>
      <c r="O1312" s="3" t="s">
        <v>82</v>
      </c>
      <c r="P1312" s="3" t="str">
        <f>"2170817299                    "</f>
        <v xml:space="preserve">2170817299                    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12.07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0</v>
      </c>
      <c r="AZ1312" s="3">
        <v>0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  <c r="BH1312" s="3">
        <v>1</v>
      </c>
      <c r="BI1312" s="3">
        <v>1</v>
      </c>
      <c r="BJ1312" s="3">
        <v>0.2</v>
      </c>
      <c r="BK1312" s="3">
        <v>1</v>
      </c>
      <c r="BL1312" s="3">
        <v>46.08</v>
      </c>
      <c r="BM1312" s="3">
        <v>6.91</v>
      </c>
      <c r="BN1312" s="3">
        <v>52.99</v>
      </c>
      <c r="BO1312" s="3">
        <v>52.99</v>
      </c>
      <c r="BQ1312" s="3" t="s">
        <v>89</v>
      </c>
      <c r="BR1312" s="3" t="s">
        <v>84</v>
      </c>
      <c r="BS1312" s="4">
        <v>44581</v>
      </c>
      <c r="BT1312" s="5">
        <v>0.41597222222222219</v>
      </c>
      <c r="BU1312" s="3" t="s">
        <v>1637</v>
      </c>
      <c r="BV1312" s="3" t="s">
        <v>105</v>
      </c>
      <c r="BY1312" s="3">
        <v>1200</v>
      </c>
      <c r="CA1312" s="3" t="s">
        <v>653</v>
      </c>
      <c r="CC1312" s="3" t="s">
        <v>159</v>
      </c>
      <c r="CD1312" s="3">
        <v>1459</v>
      </c>
      <c r="CE1312" s="3" t="s">
        <v>93</v>
      </c>
      <c r="CF1312" s="4">
        <v>44581</v>
      </c>
      <c r="CI1312" s="3">
        <v>1</v>
      </c>
      <c r="CJ1312" s="3">
        <v>1</v>
      </c>
      <c r="CK1312" s="3">
        <v>22</v>
      </c>
      <c r="CL1312" s="3" t="s">
        <v>87</v>
      </c>
    </row>
    <row r="1313" spans="1:90" x14ac:dyDescent="0.2">
      <c r="A1313" s="3" t="s">
        <v>72</v>
      </c>
      <c r="B1313" s="3" t="s">
        <v>73</v>
      </c>
      <c r="C1313" s="3" t="s">
        <v>74</v>
      </c>
      <c r="E1313" s="3" t="str">
        <f>"FES1162845852"</f>
        <v>FES1162845852</v>
      </c>
      <c r="F1313" s="4">
        <v>44580</v>
      </c>
      <c r="G1313" s="3">
        <v>202207</v>
      </c>
      <c r="H1313" s="3" t="s">
        <v>75</v>
      </c>
      <c r="I1313" s="3" t="s">
        <v>76</v>
      </c>
      <c r="J1313" s="3" t="s">
        <v>77</v>
      </c>
      <c r="K1313" s="3" t="s">
        <v>78</v>
      </c>
      <c r="L1313" s="3" t="s">
        <v>133</v>
      </c>
      <c r="M1313" s="3" t="s">
        <v>134</v>
      </c>
      <c r="N1313" s="3" t="s">
        <v>1595</v>
      </c>
      <c r="O1313" s="3" t="s">
        <v>82</v>
      </c>
      <c r="P1313" s="3" t="str">
        <f>"2170817062                    "</f>
        <v xml:space="preserve">2170817062                    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21.74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0</v>
      </c>
      <c r="AZ1313" s="3">
        <v>0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3">
        <v>1</v>
      </c>
      <c r="BI1313" s="3">
        <v>1</v>
      </c>
      <c r="BJ1313" s="3">
        <v>1.5</v>
      </c>
      <c r="BK1313" s="3">
        <v>1.5</v>
      </c>
      <c r="BL1313" s="3">
        <v>82.98</v>
      </c>
      <c r="BM1313" s="3">
        <v>12.45</v>
      </c>
      <c r="BN1313" s="3">
        <v>95.43</v>
      </c>
      <c r="BO1313" s="3">
        <v>95.43</v>
      </c>
      <c r="BQ1313" s="3" t="s">
        <v>1592</v>
      </c>
      <c r="BR1313" s="3" t="s">
        <v>84</v>
      </c>
      <c r="BS1313" s="4">
        <v>44581</v>
      </c>
      <c r="BT1313" s="5">
        <v>0.3888888888888889</v>
      </c>
      <c r="BU1313" s="3" t="s">
        <v>1596</v>
      </c>
      <c r="BV1313" s="3" t="s">
        <v>105</v>
      </c>
      <c r="BY1313" s="3">
        <v>7540</v>
      </c>
      <c r="CA1313" s="3" t="s">
        <v>673</v>
      </c>
      <c r="CC1313" s="3" t="s">
        <v>134</v>
      </c>
      <c r="CD1313" s="3">
        <v>1911</v>
      </c>
      <c r="CE1313" s="3" t="s">
        <v>86</v>
      </c>
      <c r="CF1313" s="4">
        <v>44582</v>
      </c>
      <c r="CI1313" s="3">
        <v>1</v>
      </c>
      <c r="CJ1313" s="3">
        <v>1</v>
      </c>
      <c r="CK1313" s="3">
        <v>24</v>
      </c>
      <c r="CL1313" s="3" t="s">
        <v>87</v>
      </c>
    </row>
    <row r="1314" spans="1:90" x14ac:dyDescent="0.2">
      <c r="A1314" s="3" t="s">
        <v>72</v>
      </c>
      <c r="B1314" s="3" t="s">
        <v>73</v>
      </c>
      <c r="C1314" s="3" t="s">
        <v>74</v>
      </c>
      <c r="E1314" s="3" t="str">
        <f>"FES1162845844"</f>
        <v>FES1162845844</v>
      </c>
      <c r="F1314" s="4">
        <v>44580</v>
      </c>
      <c r="G1314" s="3">
        <v>202207</v>
      </c>
      <c r="H1314" s="3" t="s">
        <v>75</v>
      </c>
      <c r="I1314" s="3" t="s">
        <v>76</v>
      </c>
      <c r="J1314" s="3" t="s">
        <v>77</v>
      </c>
      <c r="K1314" s="3" t="s">
        <v>78</v>
      </c>
      <c r="L1314" s="3" t="s">
        <v>79</v>
      </c>
      <c r="M1314" s="3" t="s">
        <v>80</v>
      </c>
      <c r="N1314" s="3" t="s">
        <v>1619</v>
      </c>
      <c r="O1314" s="3" t="s">
        <v>82</v>
      </c>
      <c r="P1314" s="3" t="str">
        <f>"2170816365                    "</f>
        <v xml:space="preserve">2170816365                    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30.91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3">
        <v>2</v>
      </c>
      <c r="BI1314" s="3">
        <v>4</v>
      </c>
      <c r="BJ1314" s="3">
        <v>3</v>
      </c>
      <c r="BK1314" s="3">
        <v>4</v>
      </c>
      <c r="BL1314" s="3">
        <v>117.97</v>
      </c>
      <c r="BM1314" s="3">
        <v>17.7</v>
      </c>
      <c r="BN1314" s="3">
        <v>135.66999999999999</v>
      </c>
      <c r="BO1314" s="3">
        <v>135.66999999999999</v>
      </c>
      <c r="BQ1314" s="3" t="s">
        <v>1620</v>
      </c>
      <c r="BR1314" s="3" t="s">
        <v>84</v>
      </c>
      <c r="BS1314" s="4">
        <v>44581</v>
      </c>
      <c r="BT1314" s="5">
        <v>0.36944444444444446</v>
      </c>
      <c r="BU1314" s="3" t="s">
        <v>1621</v>
      </c>
      <c r="BV1314" s="3" t="s">
        <v>105</v>
      </c>
      <c r="BY1314" s="3">
        <v>7540</v>
      </c>
      <c r="CA1314" s="3" t="s">
        <v>1622</v>
      </c>
      <c r="CC1314" s="3" t="s">
        <v>80</v>
      </c>
      <c r="CD1314" s="3">
        <v>182</v>
      </c>
      <c r="CE1314" s="3" t="s">
        <v>221</v>
      </c>
      <c r="CF1314" s="4">
        <v>44581</v>
      </c>
      <c r="CI1314" s="3">
        <v>1</v>
      </c>
      <c r="CJ1314" s="3">
        <v>1</v>
      </c>
      <c r="CK1314" s="3">
        <v>21</v>
      </c>
      <c r="CL1314" s="3" t="s">
        <v>87</v>
      </c>
    </row>
    <row r="1315" spans="1:90" x14ac:dyDescent="0.2">
      <c r="A1315" s="3" t="s">
        <v>72</v>
      </c>
      <c r="B1315" s="3" t="s">
        <v>73</v>
      </c>
      <c r="C1315" s="3" t="s">
        <v>74</v>
      </c>
      <c r="E1315" s="3" t="str">
        <f>"FES1162845901"</f>
        <v>FES1162845901</v>
      </c>
      <c r="F1315" s="4">
        <v>44580</v>
      </c>
      <c r="G1315" s="3">
        <v>202207</v>
      </c>
      <c r="H1315" s="3" t="s">
        <v>75</v>
      </c>
      <c r="I1315" s="3" t="s">
        <v>76</v>
      </c>
      <c r="J1315" s="3" t="s">
        <v>77</v>
      </c>
      <c r="K1315" s="3" t="s">
        <v>78</v>
      </c>
      <c r="L1315" s="3" t="s">
        <v>171</v>
      </c>
      <c r="M1315" s="3" t="s">
        <v>172</v>
      </c>
      <c r="N1315" s="3" t="s">
        <v>1638</v>
      </c>
      <c r="O1315" s="3" t="s">
        <v>82</v>
      </c>
      <c r="P1315" s="3" t="str">
        <f>"2170814896                    "</f>
        <v xml:space="preserve">2170814896                    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50.22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3">
        <v>1</v>
      </c>
      <c r="BI1315" s="3">
        <v>4</v>
      </c>
      <c r="BJ1315" s="3">
        <v>6.4</v>
      </c>
      <c r="BK1315" s="3">
        <v>6.5</v>
      </c>
      <c r="BL1315" s="3">
        <v>191.68</v>
      </c>
      <c r="BM1315" s="3">
        <v>28.75</v>
      </c>
      <c r="BN1315" s="3">
        <v>220.43</v>
      </c>
      <c r="BO1315" s="3">
        <v>220.43</v>
      </c>
      <c r="BQ1315" s="3" t="s">
        <v>89</v>
      </c>
      <c r="BR1315" s="3" t="s">
        <v>84</v>
      </c>
      <c r="BS1315" s="4">
        <v>44581</v>
      </c>
      <c r="BT1315" s="5">
        <v>0.41666666666666669</v>
      </c>
      <c r="BU1315" s="3" t="s">
        <v>1639</v>
      </c>
      <c r="BV1315" s="3" t="s">
        <v>105</v>
      </c>
      <c r="BY1315" s="3">
        <v>32000</v>
      </c>
      <c r="CC1315" s="3" t="s">
        <v>172</v>
      </c>
      <c r="CD1315" s="3">
        <v>6001</v>
      </c>
      <c r="CE1315" s="3" t="s">
        <v>86</v>
      </c>
      <c r="CF1315" s="4">
        <v>44582</v>
      </c>
      <c r="CI1315" s="3">
        <v>1</v>
      </c>
      <c r="CJ1315" s="3">
        <v>1</v>
      </c>
      <c r="CK1315" s="3">
        <v>21</v>
      </c>
      <c r="CL1315" s="3" t="s">
        <v>87</v>
      </c>
    </row>
    <row r="1316" spans="1:90" x14ac:dyDescent="0.2">
      <c r="A1316" s="3" t="s">
        <v>72</v>
      </c>
      <c r="B1316" s="3" t="s">
        <v>73</v>
      </c>
      <c r="C1316" s="3" t="s">
        <v>74</v>
      </c>
      <c r="E1316" s="3" t="str">
        <f>"FES1162845843"</f>
        <v>FES1162845843</v>
      </c>
      <c r="F1316" s="4">
        <v>44580</v>
      </c>
      <c r="G1316" s="3">
        <v>202207</v>
      </c>
      <c r="H1316" s="3" t="s">
        <v>75</v>
      </c>
      <c r="I1316" s="3" t="s">
        <v>76</v>
      </c>
      <c r="J1316" s="3" t="s">
        <v>77</v>
      </c>
      <c r="K1316" s="3" t="s">
        <v>78</v>
      </c>
      <c r="L1316" s="3" t="s">
        <v>142</v>
      </c>
      <c r="M1316" s="3" t="s">
        <v>143</v>
      </c>
      <c r="N1316" s="3" t="s">
        <v>1640</v>
      </c>
      <c r="O1316" s="3" t="s">
        <v>82</v>
      </c>
      <c r="P1316" s="3" t="str">
        <f>"2170816301                    "</f>
        <v xml:space="preserve">2170816301                    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12.07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0</v>
      </c>
      <c r="AZ1316" s="3">
        <v>0</v>
      </c>
      <c r="BA1316" s="3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3">
        <v>1</v>
      </c>
      <c r="BI1316" s="3">
        <v>1</v>
      </c>
      <c r="BJ1316" s="3">
        <v>2</v>
      </c>
      <c r="BK1316" s="3">
        <v>2</v>
      </c>
      <c r="BL1316" s="3">
        <v>46.08</v>
      </c>
      <c r="BM1316" s="3">
        <v>6.91</v>
      </c>
      <c r="BN1316" s="3">
        <v>52.99</v>
      </c>
      <c r="BO1316" s="3">
        <v>52.99</v>
      </c>
      <c r="BQ1316" s="3" t="s">
        <v>83</v>
      </c>
      <c r="BR1316" s="3" t="s">
        <v>84</v>
      </c>
      <c r="BS1316" s="4">
        <v>44581</v>
      </c>
      <c r="BT1316" s="5">
        <v>0.37152777777777773</v>
      </c>
      <c r="BU1316" s="3" t="s">
        <v>1641</v>
      </c>
      <c r="BV1316" s="3" t="s">
        <v>105</v>
      </c>
      <c r="BY1316" s="3">
        <v>9900</v>
      </c>
      <c r="CA1316" s="3" t="s">
        <v>1624</v>
      </c>
      <c r="CC1316" s="3" t="s">
        <v>143</v>
      </c>
      <c r="CD1316" s="3">
        <v>1451</v>
      </c>
      <c r="CE1316" s="3" t="s">
        <v>86</v>
      </c>
      <c r="CF1316" s="4">
        <v>44582</v>
      </c>
      <c r="CI1316" s="3">
        <v>1</v>
      </c>
      <c r="CJ1316" s="3">
        <v>1</v>
      </c>
      <c r="CK1316" s="3">
        <v>22</v>
      </c>
      <c r="CL1316" s="3" t="s">
        <v>87</v>
      </c>
    </row>
    <row r="1317" spans="1:90" x14ac:dyDescent="0.2">
      <c r="A1317" s="3" t="s">
        <v>72</v>
      </c>
      <c r="B1317" s="3" t="s">
        <v>73</v>
      </c>
      <c r="C1317" s="3" t="s">
        <v>74</v>
      </c>
      <c r="E1317" s="3" t="str">
        <f>"FES1162845766"</f>
        <v>FES1162845766</v>
      </c>
      <c r="F1317" s="4">
        <v>44580</v>
      </c>
      <c r="G1317" s="3">
        <v>202207</v>
      </c>
      <c r="H1317" s="3" t="s">
        <v>75</v>
      </c>
      <c r="I1317" s="3" t="s">
        <v>76</v>
      </c>
      <c r="J1317" s="3" t="s">
        <v>77</v>
      </c>
      <c r="K1317" s="3" t="s">
        <v>78</v>
      </c>
      <c r="L1317" s="3" t="s">
        <v>94</v>
      </c>
      <c r="M1317" s="3" t="s">
        <v>95</v>
      </c>
      <c r="N1317" s="3" t="s">
        <v>1642</v>
      </c>
      <c r="O1317" s="3" t="s">
        <v>82</v>
      </c>
      <c r="P1317" s="3" t="str">
        <f>"2170817257                    "</f>
        <v xml:space="preserve">2170817257                    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15.46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0</v>
      </c>
      <c r="AZ1317" s="3">
        <v>0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3">
        <v>1</v>
      </c>
      <c r="BI1317" s="3">
        <v>1</v>
      </c>
      <c r="BJ1317" s="3">
        <v>0.2</v>
      </c>
      <c r="BK1317" s="3">
        <v>1</v>
      </c>
      <c r="BL1317" s="3">
        <v>59</v>
      </c>
      <c r="BM1317" s="3">
        <v>8.85</v>
      </c>
      <c r="BN1317" s="3">
        <v>67.849999999999994</v>
      </c>
      <c r="BO1317" s="3">
        <v>67.849999999999994</v>
      </c>
      <c r="BQ1317" s="3" t="s">
        <v>89</v>
      </c>
      <c r="BR1317" s="3" t="s">
        <v>84</v>
      </c>
      <c r="BS1317" s="4">
        <v>44582</v>
      </c>
      <c r="BT1317" s="5">
        <v>0.41875000000000001</v>
      </c>
      <c r="BU1317" s="3" t="s">
        <v>1643</v>
      </c>
      <c r="BV1317" s="3" t="s">
        <v>87</v>
      </c>
      <c r="BW1317" s="3" t="s">
        <v>453</v>
      </c>
      <c r="BX1317" s="3" t="s">
        <v>279</v>
      </c>
      <c r="BY1317" s="3">
        <v>1200</v>
      </c>
      <c r="CC1317" s="3" t="s">
        <v>95</v>
      </c>
      <c r="CD1317" s="3">
        <v>3201</v>
      </c>
      <c r="CE1317" s="3" t="s">
        <v>93</v>
      </c>
      <c r="CF1317" s="4">
        <v>44589</v>
      </c>
      <c r="CI1317" s="3">
        <v>1</v>
      </c>
      <c r="CJ1317" s="3">
        <v>2</v>
      </c>
      <c r="CK1317" s="3">
        <v>21</v>
      </c>
      <c r="CL1317" s="3" t="s">
        <v>87</v>
      </c>
    </row>
    <row r="1318" spans="1:90" x14ac:dyDescent="0.2">
      <c r="A1318" s="3" t="s">
        <v>72</v>
      </c>
      <c r="B1318" s="3" t="s">
        <v>73</v>
      </c>
      <c r="C1318" s="3" t="s">
        <v>74</v>
      </c>
      <c r="E1318" s="3" t="str">
        <f>"FES1162845842"</f>
        <v>FES1162845842</v>
      </c>
      <c r="F1318" s="4">
        <v>44580</v>
      </c>
      <c r="G1318" s="3">
        <v>202207</v>
      </c>
      <c r="H1318" s="3" t="s">
        <v>75</v>
      </c>
      <c r="I1318" s="3" t="s">
        <v>76</v>
      </c>
      <c r="J1318" s="3" t="s">
        <v>77</v>
      </c>
      <c r="K1318" s="3" t="s">
        <v>78</v>
      </c>
      <c r="L1318" s="3" t="s">
        <v>110</v>
      </c>
      <c r="M1318" s="3" t="s">
        <v>110</v>
      </c>
      <c r="N1318" s="3" t="s">
        <v>146</v>
      </c>
      <c r="O1318" s="3" t="s">
        <v>82</v>
      </c>
      <c r="P1318" s="3" t="str">
        <f>"2170816187                    "</f>
        <v xml:space="preserve">2170816187                    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253.12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0</v>
      </c>
      <c r="AZ1318" s="3">
        <v>0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  <c r="BH1318" s="3">
        <v>1</v>
      </c>
      <c r="BI1318" s="3">
        <v>4</v>
      </c>
      <c r="BJ1318" s="3">
        <v>18.3</v>
      </c>
      <c r="BK1318" s="3">
        <v>18.5</v>
      </c>
      <c r="BL1318" s="3">
        <v>966.13</v>
      </c>
      <c r="BM1318" s="3">
        <v>144.91999999999999</v>
      </c>
      <c r="BN1318" s="3">
        <v>1111.05</v>
      </c>
      <c r="BO1318" s="3">
        <v>1111.05</v>
      </c>
      <c r="BQ1318" s="3" t="s">
        <v>89</v>
      </c>
      <c r="BR1318" s="3" t="s">
        <v>84</v>
      </c>
      <c r="BS1318" s="4">
        <v>44581</v>
      </c>
      <c r="BT1318" s="5">
        <v>0.5444444444444444</v>
      </c>
      <c r="BU1318" s="3" t="s">
        <v>1644</v>
      </c>
      <c r="BV1318" s="3" t="s">
        <v>87</v>
      </c>
      <c r="BW1318" s="3" t="s">
        <v>457</v>
      </c>
      <c r="BX1318" s="3" t="s">
        <v>354</v>
      </c>
      <c r="BY1318" s="3">
        <v>91264</v>
      </c>
      <c r="CA1318" s="3" t="s">
        <v>1011</v>
      </c>
      <c r="CC1318" s="3" t="s">
        <v>110</v>
      </c>
      <c r="CD1318" s="3">
        <v>7646</v>
      </c>
      <c r="CE1318" s="3" t="s">
        <v>86</v>
      </c>
      <c r="CF1318" s="4">
        <v>44582</v>
      </c>
      <c r="CI1318" s="3">
        <v>1</v>
      </c>
      <c r="CJ1318" s="3">
        <v>1</v>
      </c>
      <c r="CK1318" s="3">
        <v>23</v>
      </c>
      <c r="CL1318" s="3" t="s">
        <v>87</v>
      </c>
    </row>
    <row r="1319" spans="1:90" x14ac:dyDescent="0.2">
      <c r="A1319" s="3" t="s">
        <v>72</v>
      </c>
      <c r="B1319" s="3" t="s">
        <v>73</v>
      </c>
      <c r="C1319" s="3" t="s">
        <v>74</v>
      </c>
      <c r="E1319" s="3" t="str">
        <f>"FES1162845814"</f>
        <v>FES1162845814</v>
      </c>
      <c r="F1319" s="4">
        <v>44580</v>
      </c>
      <c r="G1319" s="3">
        <v>202207</v>
      </c>
      <c r="H1319" s="3" t="s">
        <v>75</v>
      </c>
      <c r="I1319" s="3" t="s">
        <v>76</v>
      </c>
      <c r="J1319" s="3" t="s">
        <v>77</v>
      </c>
      <c r="K1319" s="3" t="s">
        <v>78</v>
      </c>
      <c r="L1319" s="3" t="s">
        <v>138</v>
      </c>
      <c r="M1319" s="3" t="s">
        <v>139</v>
      </c>
      <c r="N1319" s="3" t="s">
        <v>729</v>
      </c>
      <c r="O1319" s="3" t="s">
        <v>82</v>
      </c>
      <c r="P1319" s="3" t="str">
        <f>"2170817290                    "</f>
        <v xml:space="preserve">2170817290                    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15.46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0</v>
      </c>
      <c r="AZ1319" s="3">
        <v>0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3">
        <v>1</v>
      </c>
      <c r="BI1319" s="3">
        <v>1</v>
      </c>
      <c r="BJ1319" s="3">
        <v>1</v>
      </c>
      <c r="BK1319" s="3">
        <v>1</v>
      </c>
      <c r="BL1319" s="3">
        <v>59</v>
      </c>
      <c r="BM1319" s="3">
        <v>8.85</v>
      </c>
      <c r="BN1319" s="3">
        <v>67.849999999999994</v>
      </c>
      <c r="BO1319" s="3">
        <v>67.849999999999994</v>
      </c>
      <c r="BQ1319" s="3" t="s">
        <v>89</v>
      </c>
      <c r="BR1319" s="3" t="s">
        <v>84</v>
      </c>
      <c r="BS1319" s="4">
        <v>44581</v>
      </c>
      <c r="BT1319" s="5">
        <v>0.40972222222222227</v>
      </c>
      <c r="BU1319" s="3" t="s">
        <v>882</v>
      </c>
      <c r="BV1319" s="3" t="s">
        <v>105</v>
      </c>
      <c r="BY1319" s="3">
        <v>4901</v>
      </c>
      <c r="CA1319" s="3" t="s">
        <v>334</v>
      </c>
      <c r="CC1319" s="3" t="s">
        <v>139</v>
      </c>
      <c r="CD1319" s="3">
        <v>3610</v>
      </c>
      <c r="CE1319" s="3" t="s">
        <v>86</v>
      </c>
      <c r="CF1319" s="4">
        <v>44582</v>
      </c>
      <c r="CI1319" s="3">
        <v>1</v>
      </c>
      <c r="CJ1319" s="3">
        <v>1</v>
      </c>
      <c r="CK1319" s="3">
        <v>21</v>
      </c>
      <c r="CL1319" s="3" t="s">
        <v>87</v>
      </c>
    </row>
    <row r="1320" spans="1:90" x14ac:dyDescent="0.2">
      <c r="A1320" s="3" t="s">
        <v>72</v>
      </c>
      <c r="B1320" s="3" t="s">
        <v>73</v>
      </c>
      <c r="C1320" s="3" t="s">
        <v>74</v>
      </c>
      <c r="E1320" s="3" t="str">
        <f>"FES1162845809"</f>
        <v>FES1162845809</v>
      </c>
      <c r="F1320" s="4">
        <v>44580</v>
      </c>
      <c r="G1320" s="3">
        <v>202207</v>
      </c>
      <c r="H1320" s="3" t="s">
        <v>75</v>
      </c>
      <c r="I1320" s="3" t="s">
        <v>76</v>
      </c>
      <c r="J1320" s="3" t="s">
        <v>77</v>
      </c>
      <c r="K1320" s="3" t="s">
        <v>78</v>
      </c>
      <c r="L1320" s="3" t="s">
        <v>162</v>
      </c>
      <c r="M1320" s="3" t="s">
        <v>163</v>
      </c>
      <c r="N1320" s="3" t="s">
        <v>1393</v>
      </c>
      <c r="O1320" s="3" t="s">
        <v>148</v>
      </c>
      <c r="P1320" s="3" t="str">
        <f>"2170816800                    "</f>
        <v xml:space="preserve">2170816800                    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25.76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0</v>
      </c>
      <c r="AZ1320" s="3">
        <v>0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3">
        <v>1</v>
      </c>
      <c r="BI1320" s="3">
        <v>17</v>
      </c>
      <c r="BJ1320" s="3">
        <v>18.3</v>
      </c>
      <c r="BK1320" s="3">
        <v>19</v>
      </c>
      <c r="BL1320" s="3">
        <v>103.58</v>
      </c>
      <c r="BM1320" s="3">
        <v>15.54</v>
      </c>
      <c r="BN1320" s="3">
        <v>119.12</v>
      </c>
      <c r="BO1320" s="3">
        <v>119.12</v>
      </c>
      <c r="BQ1320" s="3" t="s">
        <v>1645</v>
      </c>
      <c r="BR1320" s="3" t="s">
        <v>84</v>
      </c>
      <c r="BS1320" s="4">
        <v>44581</v>
      </c>
      <c r="BT1320" s="5">
        <v>0.3527777777777778</v>
      </c>
      <c r="BU1320" s="3" t="s">
        <v>939</v>
      </c>
      <c r="BV1320" s="3" t="s">
        <v>105</v>
      </c>
      <c r="BY1320" s="3">
        <v>91264</v>
      </c>
      <c r="CA1320" s="3" t="s">
        <v>591</v>
      </c>
      <c r="CC1320" s="3" t="s">
        <v>163</v>
      </c>
      <c r="CD1320" s="3">
        <v>1422</v>
      </c>
      <c r="CE1320" s="3" t="s">
        <v>86</v>
      </c>
      <c r="CF1320" s="4">
        <v>44582</v>
      </c>
      <c r="CI1320" s="3">
        <v>1</v>
      </c>
      <c r="CJ1320" s="3">
        <v>1</v>
      </c>
      <c r="CK1320" s="3">
        <v>42</v>
      </c>
      <c r="CL1320" s="3" t="s">
        <v>87</v>
      </c>
    </row>
    <row r="1321" spans="1:90" x14ac:dyDescent="0.2">
      <c r="A1321" s="3" t="s">
        <v>72</v>
      </c>
      <c r="B1321" s="3" t="s">
        <v>73</v>
      </c>
      <c r="C1321" s="3" t="s">
        <v>74</v>
      </c>
      <c r="E1321" s="3" t="str">
        <f>"FES1162845802"</f>
        <v>FES1162845802</v>
      </c>
      <c r="F1321" s="4">
        <v>44580</v>
      </c>
      <c r="G1321" s="3">
        <v>202207</v>
      </c>
      <c r="H1321" s="3" t="s">
        <v>75</v>
      </c>
      <c r="I1321" s="3" t="s">
        <v>76</v>
      </c>
      <c r="J1321" s="3" t="s">
        <v>77</v>
      </c>
      <c r="K1321" s="3" t="s">
        <v>78</v>
      </c>
      <c r="L1321" s="3" t="s">
        <v>90</v>
      </c>
      <c r="M1321" s="3" t="s">
        <v>91</v>
      </c>
      <c r="N1321" s="3" t="s">
        <v>735</v>
      </c>
      <c r="O1321" s="3" t="s">
        <v>82</v>
      </c>
      <c r="P1321" s="3" t="str">
        <f>"2170816095                    "</f>
        <v xml:space="preserve">2170816095                    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15.46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0</v>
      </c>
      <c r="AZ1321" s="3">
        <v>0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3">
        <v>1</v>
      </c>
      <c r="BI1321" s="3">
        <v>1</v>
      </c>
      <c r="BJ1321" s="3">
        <v>0.2</v>
      </c>
      <c r="BK1321" s="3">
        <v>1</v>
      </c>
      <c r="BL1321" s="3">
        <v>59</v>
      </c>
      <c r="BM1321" s="3">
        <v>8.85</v>
      </c>
      <c r="BN1321" s="3">
        <v>67.849999999999994</v>
      </c>
      <c r="BO1321" s="3">
        <v>67.849999999999994</v>
      </c>
      <c r="BQ1321" s="3" t="s">
        <v>273</v>
      </c>
      <c r="BR1321" s="3" t="s">
        <v>84</v>
      </c>
      <c r="BS1321" s="4">
        <v>44581</v>
      </c>
      <c r="BT1321" s="5">
        <v>0.3444444444444445</v>
      </c>
      <c r="BU1321" s="3" t="s">
        <v>1614</v>
      </c>
      <c r="BV1321" s="3" t="s">
        <v>105</v>
      </c>
      <c r="BY1321" s="3">
        <v>1200</v>
      </c>
      <c r="CA1321" s="3" t="s">
        <v>713</v>
      </c>
      <c r="CC1321" s="3" t="s">
        <v>91</v>
      </c>
      <c r="CD1321" s="3">
        <v>7460</v>
      </c>
      <c r="CE1321" s="3" t="s">
        <v>93</v>
      </c>
      <c r="CF1321" s="4">
        <v>44582</v>
      </c>
      <c r="CI1321" s="3">
        <v>1</v>
      </c>
      <c r="CJ1321" s="3">
        <v>1</v>
      </c>
      <c r="CK1321" s="3">
        <v>21</v>
      </c>
      <c r="CL1321" s="3" t="s">
        <v>87</v>
      </c>
    </row>
    <row r="1322" spans="1:90" x14ac:dyDescent="0.2">
      <c r="A1322" s="3" t="s">
        <v>72</v>
      </c>
      <c r="B1322" s="3" t="s">
        <v>73</v>
      </c>
      <c r="C1322" s="3" t="s">
        <v>74</v>
      </c>
      <c r="E1322" s="3" t="str">
        <f>"FES1162845912"</f>
        <v>FES1162845912</v>
      </c>
      <c r="F1322" s="4">
        <v>44580</v>
      </c>
      <c r="G1322" s="3">
        <v>202207</v>
      </c>
      <c r="H1322" s="3" t="s">
        <v>75</v>
      </c>
      <c r="I1322" s="3" t="s">
        <v>76</v>
      </c>
      <c r="J1322" s="3" t="s">
        <v>77</v>
      </c>
      <c r="K1322" s="3" t="s">
        <v>78</v>
      </c>
      <c r="L1322" s="3" t="s">
        <v>115</v>
      </c>
      <c r="M1322" s="3" t="s">
        <v>116</v>
      </c>
      <c r="N1322" s="3" t="s">
        <v>117</v>
      </c>
      <c r="O1322" s="3" t="s">
        <v>82</v>
      </c>
      <c r="P1322" s="3" t="str">
        <f>"2170817355                    "</f>
        <v xml:space="preserve">2170817355                    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12.07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  <c r="BH1322" s="3">
        <v>1</v>
      </c>
      <c r="BI1322" s="3">
        <v>1</v>
      </c>
      <c r="BJ1322" s="3">
        <v>6.5</v>
      </c>
      <c r="BK1322" s="3">
        <v>6.5</v>
      </c>
      <c r="BL1322" s="3">
        <v>46.08</v>
      </c>
      <c r="BM1322" s="3">
        <v>6.91</v>
      </c>
      <c r="BN1322" s="3">
        <v>52.99</v>
      </c>
      <c r="BO1322" s="3">
        <v>52.99</v>
      </c>
      <c r="BQ1322" s="3" t="s">
        <v>89</v>
      </c>
      <c r="BR1322" s="3" t="s">
        <v>84</v>
      </c>
      <c r="BS1322" s="4">
        <v>44581</v>
      </c>
      <c r="BT1322" s="5">
        <v>0.31041666666666667</v>
      </c>
      <c r="BU1322" s="3" t="s">
        <v>1646</v>
      </c>
      <c r="BV1322" s="3" t="s">
        <v>105</v>
      </c>
      <c r="BY1322" s="3">
        <v>32256</v>
      </c>
      <c r="CA1322" s="3" t="s">
        <v>119</v>
      </c>
      <c r="CC1322" s="3" t="s">
        <v>116</v>
      </c>
      <c r="CD1322" s="3">
        <v>1559</v>
      </c>
      <c r="CE1322" s="3" t="s">
        <v>86</v>
      </c>
      <c r="CF1322" s="4">
        <v>44581</v>
      </c>
      <c r="CI1322" s="3">
        <v>1</v>
      </c>
      <c r="CJ1322" s="3">
        <v>1</v>
      </c>
      <c r="CK1322" s="3">
        <v>22</v>
      </c>
      <c r="CL1322" s="3" t="s">
        <v>87</v>
      </c>
    </row>
    <row r="1323" spans="1:90" x14ac:dyDescent="0.2">
      <c r="A1323" s="3" t="s">
        <v>72</v>
      </c>
      <c r="B1323" s="3" t="s">
        <v>73</v>
      </c>
      <c r="C1323" s="3" t="s">
        <v>74</v>
      </c>
      <c r="E1323" s="3" t="str">
        <f>"FES1162845767"</f>
        <v>FES1162845767</v>
      </c>
      <c r="F1323" s="4">
        <v>44580</v>
      </c>
      <c r="G1323" s="3">
        <v>202207</v>
      </c>
      <c r="H1323" s="3" t="s">
        <v>75</v>
      </c>
      <c r="I1323" s="3" t="s">
        <v>76</v>
      </c>
      <c r="J1323" s="3" t="s">
        <v>77</v>
      </c>
      <c r="K1323" s="3" t="s">
        <v>78</v>
      </c>
      <c r="L1323" s="3" t="s">
        <v>94</v>
      </c>
      <c r="M1323" s="3" t="s">
        <v>95</v>
      </c>
      <c r="N1323" s="3" t="s">
        <v>179</v>
      </c>
      <c r="O1323" s="3" t="s">
        <v>82</v>
      </c>
      <c r="P1323" s="3" t="str">
        <f>"2170817259                    "</f>
        <v xml:space="preserve">2170817259                    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54.08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0</v>
      </c>
      <c r="AZ1323" s="3">
        <v>0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3">
        <v>1</v>
      </c>
      <c r="BI1323" s="3">
        <v>7</v>
      </c>
      <c r="BJ1323" s="3">
        <v>4.0999999999999996</v>
      </c>
      <c r="BK1323" s="3">
        <v>7</v>
      </c>
      <c r="BL1323" s="3">
        <v>206.42</v>
      </c>
      <c r="BM1323" s="3">
        <v>30.96</v>
      </c>
      <c r="BN1323" s="3">
        <v>237.38</v>
      </c>
      <c r="BO1323" s="3">
        <v>237.38</v>
      </c>
      <c r="BQ1323" s="3" t="s">
        <v>83</v>
      </c>
      <c r="BR1323" s="3" t="s">
        <v>84</v>
      </c>
      <c r="BS1323" s="4">
        <v>44582</v>
      </c>
      <c r="BT1323" s="5">
        <v>0.44444444444444442</v>
      </c>
      <c r="BU1323" s="3" t="s">
        <v>1647</v>
      </c>
      <c r="BV1323" s="3" t="s">
        <v>87</v>
      </c>
      <c r="BW1323" s="3" t="s">
        <v>453</v>
      </c>
      <c r="BX1323" s="3" t="s">
        <v>279</v>
      </c>
      <c r="BY1323" s="3">
        <v>20358</v>
      </c>
      <c r="CC1323" s="3" t="s">
        <v>95</v>
      </c>
      <c r="CD1323" s="3">
        <v>3201</v>
      </c>
      <c r="CE1323" s="3" t="s">
        <v>86</v>
      </c>
      <c r="CF1323" s="4">
        <v>44587</v>
      </c>
      <c r="CI1323" s="3">
        <v>1</v>
      </c>
      <c r="CJ1323" s="3">
        <v>2</v>
      </c>
      <c r="CK1323" s="3">
        <v>21</v>
      </c>
      <c r="CL1323" s="3" t="s">
        <v>87</v>
      </c>
    </row>
    <row r="1324" spans="1:90" x14ac:dyDescent="0.2">
      <c r="A1324" s="3" t="s">
        <v>72</v>
      </c>
      <c r="B1324" s="3" t="s">
        <v>73</v>
      </c>
      <c r="C1324" s="3" t="s">
        <v>74</v>
      </c>
      <c r="E1324" s="3" t="str">
        <f>"FES1162845803"</f>
        <v>FES1162845803</v>
      </c>
      <c r="F1324" s="4">
        <v>44580</v>
      </c>
      <c r="G1324" s="3">
        <v>202207</v>
      </c>
      <c r="H1324" s="3" t="s">
        <v>75</v>
      </c>
      <c r="I1324" s="3" t="s">
        <v>76</v>
      </c>
      <c r="J1324" s="3" t="s">
        <v>77</v>
      </c>
      <c r="K1324" s="3" t="s">
        <v>78</v>
      </c>
      <c r="L1324" s="3" t="s">
        <v>162</v>
      </c>
      <c r="M1324" s="3" t="s">
        <v>163</v>
      </c>
      <c r="N1324" s="3" t="s">
        <v>1185</v>
      </c>
      <c r="O1324" s="3" t="s">
        <v>82</v>
      </c>
      <c r="P1324" s="3" t="str">
        <f>"2170816146                    "</f>
        <v xml:space="preserve">2170816146                    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12.07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0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3">
        <v>1</v>
      </c>
      <c r="BI1324" s="3">
        <v>2</v>
      </c>
      <c r="BJ1324" s="3">
        <v>1.5</v>
      </c>
      <c r="BK1324" s="3">
        <v>2</v>
      </c>
      <c r="BL1324" s="3">
        <v>46.08</v>
      </c>
      <c r="BM1324" s="3">
        <v>6.91</v>
      </c>
      <c r="BN1324" s="3">
        <v>52.99</v>
      </c>
      <c r="BO1324" s="3">
        <v>52.99</v>
      </c>
      <c r="BQ1324" s="3" t="s">
        <v>126</v>
      </c>
      <c r="BR1324" s="3" t="s">
        <v>84</v>
      </c>
      <c r="BS1324" s="4">
        <v>44581</v>
      </c>
      <c r="BT1324" s="5">
        <v>0.4236111111111111</v>
      </c>
      <c r="BU1324" s="3" t="s">
        <v>1186</v>
      </c>
      <c r="BV1324" s="3" t="s">
        <v>105</v>
      </c>
      <c r="BY1324" s="3">
        <v>7540</v>
      </c>
      <c r="CA1324" s="3" t="s">
        <v>1080</v>
      </c>
      <c r="CC1324" s="3" t="s">
        <v>163</v>
      </c>
      <c r="CD1324" s="3">
        <v>1401</v>
      </c>
      <c r="CE1324" s="3" t="s">
        <v>86</v>
      </c>
      <c r="CF1324" s="4">
        <v>44581</v>
      </c>
      <c r="CI1324" s="3">
        <v>1</v>
      </c>
      <c r="CJ1324" s="3">
        <v>1</v>
      </c>
      <c r="CK1324" s="3">
        <v>22</v>
      </c>
      <c r="CL1324" s="3" t="s">
        <v>87</v>
      </c>
    </row>
    <row r="1325" spans="1:90" x14ac:dyDescent="0.2">
      <c r="A1325" s="3" t="s">
        <v>72</v>
      </c>
      <c r="B1325" s="3" t="s">
        <v>73</v>
      </c>
      <c r="C1325" s="3" t="s">
        <v>74</v>
      </c>
      <c r="E1325" s="3" t="str">
        <f>"FES1162845780"</f>
        <v>FES1162845780</v>
      </c>
      <c r="F1325" s="4">
        <v>44580</v>
      </c>
      <c r="G1325" s="3">
        <v>202207</v>
      </c>
      <c r="H1325" s="3" t="s">
        <v>75</v>
      </c>
      <c r="I1325" s="3" t="s">
        <v>76</v>
      </c>
      <c r="J1325" s="3" t="s">
        <v>77</v>
      </c>
      <c r="K1325" s="3" t="s">
        <v>78</v>
      </c>
      <c r="L1325" s="3" t="s">
        <v>94</v>
      </c>
      <c r="M1325" s="3" t="s">
        <v>95</v>
      </c>
      <c r="N1325" s="3" t="s">
        <v>179</v>
      </c>
      <c r="O1325" s="3" t="s">
        <v>82</v>
      </c>
      <c r="P1325" s="3" t="str">
        <f>"2170817270                    "</f>
        <v xml:space="preserve">2170817270                    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15.46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0</v>
      </c>
      <c r="AZ1325" s="3">
        <v>0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3">
        <v>1</v>
      </c>
      <c r="BI1325" s="3">
        <v>1</v>
      </c>
      <c r="BJ1325" s="3">
        <v>0.2</v>
      </c>
      <c r="BK1325" s="3">
        <v>1</v>
      </c>
      <c r="BL1325" s="3">
        <v>59</v>
      </c>
      <c r="BM1325" s="3">
        <v>8.85</v>
      </c>
      <c r="BN1325" s="3">
        <v>67.849999999999994</v>
      </c>
      <c r="BO1325" s="3">
        <v>67.849999999999994</v>
      </c>
      <c r="BQ1325" s="3" t="s">
        <v>83</v>
      </c>
      <c r="BR1325" s="3" t="s">
        <v>84</v>
      </c>
      <c r="BS1325" s="4">
        <v>44582</v>
      </c>
      <c r="BT1325" s="5">
        <v>0.44444444444444442</v>
      </c>
      <c r="BU1325" s="3" t="s">
        <v>1647</v>
      </c>
      <c r="BV1325" s="3" t="s">
        <v>87</v>
      </c>
      <c r="BW1325" s="3" t="s">
        <v>453</v>
      </c>
      <c r="BX1325" s="3" t="s">
        <v>279</v>
      </c>
      <c r="BY1325" s="3">
        <v>1200</v>
      </c>
      <c r="CC1325" s="3" t="s">
        <v>95</v>
      </c>
      <c r="CD1325" s="3">
        <v>3201</v>
      </c>
      <c r="CE1325" s="3" t="s">
        <v>93</v>
      </c>
      <c r="CF1325" s="4">
        <v>44587</v>
      </c>
      <c r="CI1325" s="3">
        <v>1</v>
      </c>
      <c r="CJ1325" s="3">
        <v>2</v>
      </c>
      <c r="CK1325" s="3">
        <v>21</v>
      </c>
      <c r="CL1325" s="3" t="s">
        <v>87</v>
      </c>
    </row>
    <row r="1326" spans="1:90" x14ac:dyDescent="0.2">
      <c r="A1326" s="3" t="s">
        <v>72</v>
      </c>
      <c r="B1326" s="3" t="s">
        <v>73</v>
      </c>
      <c r="C1326" s="3" t="s">
        <v>74</v>
      </c>
      <c r="E1326" s="3" t="str">
        <f>"FES1800289302"</f>
        <v>FES1800289302</v>
      </c>
      <c r="F1326" s="4">
        <v>44580</v>
      </c>
      <c r="G1326" s="3">
        <v>202207</v>
      </c>
      <c r="H1326" s="3" t="s">
        <v>75</v>
      </c>
      <c r="I1326" s="3" t="s">
        <v>76</v>
      </c>
      <c r="J1326" s="3" t="s">
        <v>77</v>
      </c>
      <c r="K1326" s="3" t="s">
        <v>78</v>
      </c>
      <c r="L1326" s="3" t="s">
        <v>1179</v>
      </c>
      <c r="M1326" s="3" t="s">
        <v>1180</v>
      </c>
      <c r="N1326" s="3" t="s">
        <v>1497</v>
      </c>
      <c r="O1326" s="3" t="s">
        <v>82</v>
      </c>
      <c r="P1326" s="3" t="str">
        <f>"2170809678                    "</f>
        <v xml:space="preserve">2170809678                    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29.95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15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  <c r="BH1326" s="3">
        <v>1</v>
      </c>
      <c r="BI1326" s="3">
        <v>2</v>
      </c>
      <c r="BJ1326" s="3">
        <v>1.1000000000000001</v>
      </c>
      <c r="BK1326" s="3">
        <v>2</v>
      </c>
      <c r="BL1326" s="3">
        <v>129.31</v>
      </c>
      <c r="BM1326" s="3">
        <v>19.399999999999999</v>
      </c>
      <c r="BN1326" s="3">
        <v>148.71</v>
      </c>
      <c r="BO1326" s="3">
        <v>148.71</v>
      </c>
      <c r="BQ1326" s="3" t="s">
        <v>89</v>
      </c>
      <c r="BR1326" s="3" t="s">
        <v>84</v>
      </c>
      <c r="BS1326" s="4">
        <v>44582</v>
      </c>
      <c r="BT1326" s="5">
        <v>0.58680555555555558</v>
      </c>
      <c r="BU1326" s="3" t="s">
        <v>1648</v>
      </c>
      <c r="BV1326" s="3" t="s">
        <v>87</v>
      </c>
      <c r="BW1326" s="3" t="s">
        <v>353</v>
      </c>
      <c r="BX1326" s="3" t="s">
        <v>758</v>
      </c>
      <c r="BY1326" s="3">
        <v>5320</v>
      </c>
      <c r="BZ1326" s="3" t="s">
        <v>30</v>
      </c>
      <c r="CA1326" s="3" t="s">
        <v>1499</v>
      </c>
      <c r="CC1326" s="3" t="s">
        <v>1180</v>
      </c>
      <c r="CD1326" s="3">
        <v>407</v>
      </c>
      <c r="CE1326" s="3" t="s">
        <v>86</v>
      </c>
      <c r="CF1326" s="4">
        <v>44586</v>
      </c>
      <c r="CI1326" s="3">
        <v>1</v>
      </c>
      <c r="CJ1326" s="3">
        <v>2</v>
      </c>
      <c r="CK1326" s="3">
        <v>23</v>
      </c>
      <c r="CL1326" s="3" t="s">
        <v>87</v>
      </c>
    </row>
    <row r="1327" spans="1:90" x14ac:dyDescent="0.2">
      <c r="A1327" s="3" t="s">
        <v>72</v>
      </c>
      <c r="B1327" s="3" t="s">
        <v>73</v>
      </c>
      <c r="C1327" s="3" t="s">
        <v>74</v>
      </c>
      <c r="E1327" s="3" t="str">
        <f>"FES1162845769"</f>
        <v>FES1162845769</v>
      </c>
      <c r="F1327" s="4">
        <v>44580</v>
      </c>
      <c r="G1327" s="3">
        <v>202207</v>
      </c>
      <c r="H1327" s="3" t="s">
        <v>75</v>
      </c>
      <c r="I1327" s="3" t="s">
        <v>76</v>
      </c>
      <c r="J1327" s="3" t="s">
        <v>77</v>
      </c>
      <c r="K1327" s="3" t="s">
        <v>78</v>
      </c>
      <c r="L1327" s="3" t="s">
        <v>97</v>
      </c>
      <c r="M1327" s="3" t="s">
        <v>98</v>
      </c>
      <c r="N1327" s="3" t="s">
        <v>1649</v>
      </c>
      <c r="O1327" s="3" t="s">
        <v>82</v>
      </c>
      <c r="P1327" s="3" t="str">
        <f>"2170817261                    "</f>
        <v xml:space="preserve">2170817261                    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12.07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0</v>
      </c>
      <c r="AZ1327" s="3">
        <v>0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3">
        <v>1</v>
      </c>
      <c r="BI1327" s="3">
        <v>1</v>
      </c>
      <c r="BJ1327" s="3">
        <v>0.2</v>
      </c>
      <c r="BK1327" s="3">
        <v>1</v>
      </c>
      <c r="BL1327" s="3">
        <v>46.08</v>
      </c>
      <c r="BM1327" s="3">
        <v>6.91</v>
      </c>
      <c r="BN1327" s="3">
        <v>52.99</v>
      </c>
      <c r="BO1327" s="3">
        <v>52.99</v>
      </c>
      <c r="BR1327" s="3" t="s">
        <v>84</v>
      </c>
      <c r="BS1327" s="4">
        <v>44581</v>
      </c>
      <c r="BT1327" s="5">
        <v>0.38819444444444445</v>
      </c>
      <c r="BU1327" s="3" t="s">
        <v>1650</v>
      </c>
      <c r="BV1327" s="3" t="s">
        <v>105</v>
      </c>
      <c r="BY1327" s="3">
        <v>1200</v>
      </c>
      <c r="CA1327" s="3" t="s">
        <v>1651</v>
      </c>
      <c r="CC1327" s="3" t="s">
        <v>98</v>
      </c>
      <c r="CD1327" s="3">
        <v>2094</v>
      </c>
      <c r="CE1327" s="3" t="s">
        <v>93</v>
      </c>
      <c r="CF1327" s="4">
        <v>44582</v>
      </c>
      <c r="CI1327" s="3">
        <v>1</v>
      </c>
      <c r="CJ1327" s="3">
        <v>1</v>
      </c>
      <c r="CK1327" s="3">
        <v>22</v>
      </c>
      <c r="CL1327" s="3" t="s">
        <v>87</v>
      </c>
    </row>
    <row r="1328" spans="1:90" x14ac:dyDescent="0.2">
      <c r="A1328" s="3" t="s">
        <v>72</v>
      </c>
      <c r="B1328" s="3" t="s">
        <v>73</v>
      </c>
      <c r="C1328" s="3" t="s">
        <v>74</v>
      </c>
      <c r="E1328" s="3" t="str">
        <f>"009942045024"</f>
        <v>009942045024</v>
      </c>
      <c r="F1328" s="4">
        <v>44580</v>
      </c>
      <c r="G1328" s="3">
        <v>202207</v>
      </c>
      <c r="H1328" s="3" t="s">
        <v>75</v>
      </c>
      <c r="I1328" s="3" t="s">
        <v>76</v>
      </c>
      <c r="J1328" s="3" t="s">
        <v>77</v>
      </c>
      <c r="K1328" s="3" t="s">
        <v>78</v>
      </c>
      <c r="L1328" s="3" t="s">
        <v>75</v>
      </c>
      <c r="M1328" s="3" t="s">
        <v>76</v>
      </c>
      <c r="N1328" s="3" t="s">
        <v>147</v>
      </c>
      <c r="O1328" s="3" t="s">
        <v>82</v>
      </c>
      <c r="P1328" s="3" t="str">
        <f>"1162841882                    "</f>
        <v xml:space="preserve">1162841882                    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12.07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0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3">
        <v>1</v>
      </c>
      <c r="BI1328" s="3">
        <v>1</v>
      </c>
      <c r="BJ1328" s="3">
        <v>0.2</v>
      </c>
      <c r="BK1328" s="3">
        <v>1</v>
      </c>
      <c r="BL1328" s="3">
        <v>46.08</v>
      </c>
      <c r="BM1328" s="3">
        <v>6.91</v>
      </c>
      <c r="BN1328" s="3">
        <v>52.99</v>
      </c>
      <c r="BO1328" s="3">
        <v>52.99</v>
      </c>
      <c r="BQ1328" s="3" t="s">
        <v>89</v>
      </c>
      <c r="BR1328" s="3" t="s">
        <v>84</v>
      </c>
      <c r="BS1328" s="4">
        <v>44586</v>
      </c>
      <c r="BT1328" s="5">
        <v>0.85</v>
      </c>
      <c r="BU1328" s="3" t="s">
        <v>634</v>
      </c>
      <c r="BV1328" s="3" t="s">
        <v>87</v>
      </c>
      <c r="BY1328" s="3">
        <v>1200</v>
      </c>
      <c r="CA1328" s="3" t="s">
        <v>816</v>
      </c>
      <c r="CC1328" s="3" t="s">
        <v>76</v>
      </c>
      <c r="CD1328" s="3">
        <v>1645</v>
      </c>
      <c r="CE1328" s="3" t="s">
        <v>93</v>
      </c>
      <c r="CF1328" s="4">
        <v>44588</v>
      </c>
      <c r="CI1328" s="3">
        <v>1</v>
      </c>
      <c r="CJ1328" s="3">
        <v>4</v>
      </c>
      <c r="CK1328" s="3">
        <v>22</v>
      </c>
      <c r="CL1328" s="3" t="s">
        <v>87</v>
      </c>
    </row>
    <row r="1329" spans="1:90" x14ac:dyDescent="0.2">
      <c r="A1329" s="3" t="s">
        <v>72</v>
      </c>
      <c r="B1329" s="3" t="s">
        <v>73</v>
      </c>
      <c r="C1329" s="3" t="s">
        <v>74</v>
      </c>
      <c r="E1329" s="3" t="str">
        <f>"FES1162845775"</f>
        <v>FES1162845775</v>
      </c>
      <c r="F1329" s="4">
        <v>44580</v>
      </c>
      <c r="G1329" s="3">
        <v>202207</v>
      </c>
      <c r="H1329" s="3" t="s">
        <v>75</v>
      </c>
      <c r="I1329" s="3" t="s">
        <v>76</v>
      </c>
      <c r="J1329" s="3" t="s">
        <v>77</v>
      </c>
      <c r="K1329" s="3" t="s">
        <v>78</v>
      </c>
      <c r="L1329" s="3" t="s">
        <v>158</v>
      </c>
      <c r="M1329" s="3" t="s">
        <v>159</v>
      </c>
      <c r="N1329" s="3" t="s">
        <v>1315</v>
      </c>
      <c r="O1329" s="3" t="s">
        <v>82</v>
      </c>
      <c r="P1329" s="3" t="str">
        <f>"2170814799                    "</f>
        <v xml:space="preserve">2170814799                    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12.07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3">
        <v>1</v>
      </c>
      <c r="BI1329" s="3">
        <v>1</v>
      </c>
      <c r="BJ1329" s="3">
        <v>1.4</v>
      </c>
      <c r="BK1329" s="3">
        <v>1.5</v>
      </c>
      <c r="BL1329" s="3">
        <v>46.08</v>
      </c>
      <c r="BM1329" s="3">
        <v>6.91</v>
      </c>
      <c r="BN1329" s="3">
        <v>52.99</v>
      </c>
      <c r="BO1329" s="3">
        <v>52.99</v>
      </c>
      <c r="BQ1329" s="3" t="s">
        <v>89</v>
      </c>
      <c r="BR1329" s="3" t="s">
        <v>84</v>
      </c>
      <c r="BS1329" s="4">
        <v>44581</v>
      </c>
      <c r="BT1329" s="5">
        <v>0.31041666666666667</v>
      </c>
      <c r="BU1329" s="3" t="s">
        <v>1316</v>
      </c>
      <c r="BV1329" s="3" t="s">
        <v>105</v>
      </c>
      <c r="BY1329" s="3">
        <v>6750</v>
      </c>
      <c r="CA1329" s="3" t="s">
        <v>763</v>
      </c>
      <c r="CC1329" s="3" t="s">
        <v>159</v>
      </c>
      <c r="CD1329" s="3">
        <v>1459</v>
      </c>
      <c r="CE1329" s="3" t="s">
        <v>86</v>
      </c>
      <c r="CF1329" s="4">
        <v>44581</v>
      </c>
      <c r="CI1329" s="3">
        <v>1</v>
      </c>
      <c r="CJ1329" s="3">
        <v>1</v>
      </c>
      <c r="CK1329" s="3">
        <v>22</v>
      </c>
      <c r="CL1329" s="3" t="s">
        <v>87</v>
      </c>
    </row>
    <row r="1330" spans="1:90" x14ac:dyDescent="0.2">
      <c r="A1330" s="3" t="s">
        <v>72</v>
      </c>
      <c r="B1330" s="3" t="s">
        <v>73</v>
      </c>
      <c r="C1330" s="3" t="s">
        <v>74</v>
      </c>
      <c r="E1330" s="3" t="str">
        <f>"FES1162845919"</f>
        <v>FES1162845919</v>
      </c>
      <c r="F1330" s="4">
        <v>44580</v>
      </c>
      <c r="G1330" s="3">
        <v>202207</v>
      </c>
      <c r="H1330" s="3" t="s">
        <v>75</v>
      </c>
      <c r="I1330" s="3" t="s">
        <v>76</v>
      </c>
      <c r="J1330" s="3" t="s">
        <v>77</v>
      </c>
      <c r="K1330" s="3" t="s">
        <v>78</v>
      </c>
      <c r="L1330" s="3" t="s">
        <v>94</v>
      </c>
      <c r="M1330" s="3" t="s">
        <v>95</v>
      </c>
      <c r="N1330" s="3" t="s">
        <v>1052</v>
      </c>
      <c r="O1330" s="3" t="s">
        <v>82</v>
      </c>
      <c r="P1330" s="3" t="str">
        <f>"2170817363                    "</f>
        <v xml:space="preserve">2170817363                    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15.46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3">
        <v>1</v>
      </c>
      <c r="BI1330" s="3">
        <v>1</v>
      </c>
      <c r="BJ1330" s="3">
        <v>0.2</v>
      </c>
      <c r="BK1330" s="3">
        <v>1</v>
      </c>
      <c r="BL1330" s="3">
        <v>59</v>
      </c>
      <c r="BM1330" s="3">
        <v>8.85</v>
      </c>
      <c r="BN1330" s="3">
        <v>67.849999999999994</v>
      </c>
      <c r="BO1330" s="3">
        <v>67.849999999999994</v>
      </c>
      <c r="BQ1330" s="3" t="s">
        <v>83</v>
      </c>
      <c r="BR1330" s="3" t="s">
        <v>84</v>
      </c>
      <c r="BS1330" s="4">
        <v>44581</v>
      </c>
      <c r="BT1330" s="5">
        <v>0.47916666666666669</v>
      </c>
      <c r="BU1330" s="3" t="s">
        <v>1430</v>
      </c>
      <c r="BV1330" s="3" t="s">
        <v>87</v>
      </c>
      <c r="BW1330" s="3" t="s">
        <v>453</v>
      </c>
      <c r="BX1330" s="3" t="s">
        <v>279</v>
      </c>
      <c r="BY1330" s="3">
        <v>1200</v>
      </c>
      <c r="CC1330" s="3" t="s">
        <v>95</v>
      </c>
      <c r="CD1330" s="3">
        <v>3201</v>
      </c>
      <c r="CE1330" s="3" t="s">
        <v>93</v>
      </c>
      <c r="CF1330" s="4">
        <v>44587</v>
      </c>
      <c r="CI1330" s="3">
        <v>1</v>
      </c>
      <c r="CJ1330" s="3">
        <v>1</v>
      </c>
      <c r="CK1330" s="3">
        <v>21</v>
      </c>
      <c r="CL1330" s="3" t="s">
        <v>87</v>
      </c>
    </row>
    <row r="1331" spans="1:90" x14ac:dyDescent="0.2">
      <c r="A1331" s="3" t="s">
        <v>72</v>
      </c>
      <c r="B1331" s="3" t="s">
        <v>73</v>
      </c>
      <c r="C1331" s="3" t="s">
        <v>74</v>
      </c>
      <c r="E1331" s="3" t="str">
        <f>"FES1162845751"</f>
        <v>FES1162845751</v>
      </c>
      <c r="F1331" s="4">
        <v>44580</v>
      </c>
      <c r="G1331" s="3">
        <v>202207</v>
      </c>
      <c r="H1331" s="3" t="s">
        <v>75</v>
      </c>
      <c r="I1331" s="3" t="s">
        <v>76</v>
      </c>
      <c r="J1331" s="3" t="s">
        <v>77</v>
      </c>
      <c r="K1331" s="3" t="s">
        <v>78</v>
      </c>
      <c r="L1331" s="3" t="s">
        <v>79</v>
      </c>
      <c r="M1331" s="3" t="s">
        <v>80</v>
      </c>
      <c r="N1331" s="3" t="s">
        <v>415</v>
      </c>
      <c r="O1331" s="3" t="s">
        <v>82</v>
      </c>
      <c r="P1331" s="3" t="str">
        <f>"2170817227                    "</f>
        <v xml:space="preserve">2170817227                    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0</v>
      </c>
      <c r="AJ1331" s="3">
        <v>0</v>
      </c>
      <c r="AK1331" s="3">
        <v>15.46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0</v>
      </c>
      <c r="AZ1331" s="3">
        <v>0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3">
        <v>1</v>
      </c>
      <c r="BI1331" s="3">
        <v>1</v>
      </c>
      <c r="BJ1331" s="3">
        <v>0.2</v>
      </c>
      <c r="BK1331" s="3">
        <v>1</v>
      </c>
      <c r="BL1331" s="3">
        <v>59</v>
      </c>
      <c r="BM1331" s="3">
        <v>8.85</v>
      </c>
      <c r="BN1331" s="3">
        <v>67.849999999999994</v>
      </c>
      <c r="BO1331" s="3">
        <v>67.849999999999994</v>
      </c>
      <c r="BQ1331" s="3" t="s">
        <v>83</v>
      </c>
      <c r="BR1331" s="3" t="s">
        <v>84</v>
      </c>
      <c r="BS1331" s="4">
        <v>44581</v>
      </c>
      <c r="BT1331" s="5">
        <v>0.41041666666666665</v>
      </c>
      <c r="BU1331" s="3" t="s">
        <v>1066</v>
      </c>
      <c r="BV1331" s="3" t="s">
        <v>105</v>
      </c>
      <c r="BY1331" s="3">
        <v>1200</v>
      </c>
      <c r="CA1331" s="3" t="s">
        <v>1358</v>
      </c>
      <c r="CC1331" s="3" t="s">
        <v>80</v>
      </c>
      <c r="CD1331" s="3">
        <v>183</v>
      </c>
      <c r="CE1331" s="3" t="s">
        <v>93</v>
      </c>
      <c r="CF1331" s="4">
        <v>44581</v>
      </c>
      <c r="CI1331" s="3">
        <v>1</v>
      </c>
      <c r="CJ1331" s="3">
        <v>1</v>
      </c>
      <c r="CK1331" s="3">
        <v>21</v>
      </c>
      <c r="CL1331" s="3" t="s">
        <v>87</v>
      </c>
    </row>
    <row r="1332" spans="1:90" x14ac:dyDescent="0.2">
      <c r="A1332" s="3" t="s">
        <v>72</v>
      </c>
      <c r="B1332" s="3" t="s">
        <v>73</v>
      </c>
      <c r="C1332" s="3" t="s">
        <v>74</v>
      </c>
      <c r="E1332" s="3" t="str">
        <f>"FES1162845846"</f>
        <v>FES1162845846</v>
      </c>
      <c r="F1332" s="4">
        <v>44580</v>
      </c>
      <c r="G1332" s="3">
        <v>202207</v>
      </c>
      <c r="H1332" s="3" t="s">
        <v>75</v>
      </c>
      <c r="I1332" s="3" t="s">
        <v>76</v>
      </c>
      <c r="J1332" s="3" t="s">
        <v>77</v>
      </c>
      <c r="K1332" s="3" t="s">
        <v>78</v>
      </c>
      <c r="L1332" s="3" t="s">
        <v>138</v>
      </c>
      <c r="M1332" s="3" t="s">
        <v>139</v>
      </c>
      <c r="N1332" s="3" t="s">
        <v>1616</v>
      </c>
      <c r="O1332" s="3" t="s">
        <v>82</v>
      </c>
      <c r="P1332" s="3" t="str">
        <f>"2170816572                    "</f>
        <v xml:space="preserve">2170816572                    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15.46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0</v>
      </c>
      <c r="AZ1332" s="3">
        <v>0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3">
        <v>1</v>
      </c>
      <c r="BI1332" s="3">
        <v>1</v>
      </c>
      <c r="BJ1332" s="3">
        <v>0.2</v>
      </c>
      <c r="BK1332" s="3">
        <v>1</v>
      </c>
      <c r="BL1332" s="3">
        <v>59</v>
      </c>
      <c r="BM1332" s="3">
        <v>8.85</v>
      </c>
      <c r="BN1332" s="3">
        <v>67.849999999999994</v>
      </c>
      <c r="BO1332" s="3">
        <v>67.849999999999994</v>
      </c>
      <c r="BQ1332" s="3" t="s">
        <v>89</v>
      </c>
      <c r="BR1332" s="3" t="s">
        <v>84</v>
      </c>
      <c r="BS1332" s="4">
        <v>44581</v>
      </c>
      <c r="BT1332" s="5">
        <v>0.39861111111111108</v>
      </c>
      <c r="BU1332" s="3" t="s">
        <v>1652</v>
      </c>
      <c r="BV1332" s="3" t="s">
        <v>105</v>
      </c>
      <c r="BY1332" s="3">
        <v>1200</v>
      </c>
      <c r="CA1332" s="3" t="s">
        <v>334</v>
      </c>
      <c r="CC1332" s="3" t="s">
        <v>139</v>
      </c>
      <c r="CD1332" s="3">
        <v>3610</v>
      </c>
      <c r="CE1332" s="3" t="s">
        <v>93</v>
      </c>
      <c r="CF1332" s="4">
        <v>44582</v>
      </c>
      <c r="CI1332" s="3">
        <v>1</v>
      </c>
      <c r="CJ1332" s="3">
        <v>1</v>
      </c>
      <c r="CK1332" s="3">
        <v>21</v>
      </c>
      <c r="CL1332" s="3" t="s">
        <v>87</v>
      </c>
    </row>
    <row r="1333" spans="1:90" x14ac:dyDescent="0.2">
      <c r="A1333" s="3" t="s">
        <v>72</v>
      </c>
      <c r="B1333" s="3" t="s">
        <v>73</v>
      </c>
      <c r="C1333" s="3" t="s">
        <v>74</v>
      </c>
      <c r="E1333" s="3" t="str">
        <f>"FES1162845765"</f>
        <v>FES1162845765</v>
      </c>
      <c r="F1333" s="4">
        <v>44580</v>
      </c>
      <c r="G1333" s="3">
        <v>202207</v>
      </c>
      <c r="H1333" s="3" t="s">
        <v>75</v>
      </c>
      <c r="I1333" s="3" t="s">
        <v>76</v>
      </c>
      <c r="J1333" s="3" t="s">
        <v>77</v>
      </c>
      <c r="K1333" s="3" t="s">
        <v>78</v>
      </c>
      <c r="L1333" s="3" t="s">
        <v>101</v>
      </c>
      <c r="M1333" s="3" t="s">
        <v>102</v>
      </c>
      <c r="N1333" s="3" t="s">
        <v>103</v>
      </c>
      <c r="O1333" s="3" t="s">
        <v>82</v>
      </c>
      <c r="P1333" s="3" t="str">
        <f>"2170816966                    "</f>
        <v xml:space="preserve">2170816966                    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15.46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3">
        <v>1</v>
      </c>
      <c r="BI1333" s="3">
        <v>1</v>
      </c>
      <c r="BJ1333" s="3">
        <v>0.2</v>
      </c>
      <c r="BK1333" s="3">
        <v>1</v>
      </c>
      <c r="BL1333" s="3">
        <v>59</v>
      </c>
      <c r="BM1333" s="3">
        <v>8.85</v>
      </c>
      <c r="BN1333" s="3">
        <v>67.849999999999994</v>
      </c>
      <c r="BO1333" s="3">
        <v>67.849999999999994</v>
      </c>
      <c r="BQ1333" s="3" t="s">
        <v>83</v>
      </c>
      <c r="BR1333" s="3" t="s">
        <v>84</v>
      </c>
      <c r="BS1333" s="4">
        <v>44581</v>
      </c>
      <c r="BT1333" s="5">
        <v>0.38194444444444442</v>
      </c>
      <c r="BU1333" s="3" t="s">
        <v>463</v>
      </c>
      <c r="BV1333" s="3" t="s">
        <v>105</v>
      </c>
      <c r="BY1333" s="3">
        <v>1200</v>
      </c>
      <c r="CA1333" s="3" t="s">
        <v>334</v>
      </c>
      <c r="CC1333" s="3" t="s">
        <v>102</v>
      </c>
      <c r="CD1333" s="3">
        <v>4001</v>
      </c>
      <c r="CE1333" s="3" t="s">
        <v>93</v>
      </c>
      <c r="CF1333" s="4">
        <v>44582</v>
      </c>
      <c r="CI1333" s="3">
        <v>1</v>
      </c>
      <c r="CJ1333" s="3">
        <v>1</v>
      </c>
      <c r="CK1333" s="3">
        <v>21</v>
      </c>
      <c r="CL1333" s="3" t="s">
        <v>87</v>
      </c>
    </row>
    <row r="1334" spans="1:90" x14ac:dyDescent="0.2">
      <c r="A1334" s="3" t="s">
        <v>72</v>
      </c>
      <c r="B1334" s="3" t="s">
        <v>73</v>
      </c>
      <c r="C1334" s="3" t="s">
        <v>74</v>
      </c>
      <c r="E1334" s="3" t="str">
        <f>"FES1162845845"</f>
        <v>FES1162845845</v>
      </c>
      <c r="F1334" s="4">
        <v>44580</v>
      </c>
      <c r="G1334" s="3">
        <v>202207</v>
      </c>
      <c r="H1334" s="3" t="s">
        <v>75</v>
      </c>
      <c r="I1334" s="3" t="s">
        <v>76</v>
      </c>
      <c r="J1334" s="3" t="s">
        <v>77</v>
      </c>
      <c r="K1334" s="3" t="s">
        <v>78</v>
      </c>
      <c r="L1334" s="3" t="s">
        <v>184</v>
      </c>
      <c r="M1334" s="3" t="s">
        <v>185</v>
      </c>
      <c r="N1334" s="3" t="s">
        <v>621</v>
      </c>
      <c r="O1334" s="3" t="s">
        <v>82</v>
      </c>
      <c r="P1334" s="3" t="str">
        <f>"2170816396                    "</f>
        <v xml:space="preserve">2170816396                    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15.46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3">
        <v>1</v>
      </c>
      <c r="BI1334" s="3">
        <v>1</v>
      </c>
      <c r="BJ1334" s="3">
        <v>0.2</v>
      </c>
      <c r="BK1334" s="3">
        <v>1</v>
      </c>
      <c r="BL1334" s="3">
        <v>59</v>
      </c>
      <c r="BM1334" s="3">
        <v>8.85</v>
      </c>
      <c r="BN1334" s="3">
        <v>67.849999999999994</v>
      </c>
      <c r="BO1334" s="3">
        <v>67.849999999999994</v>
      </c>
      <c r="BQ1334" s="3" t="s">
        <v>83</v>
      </c>
      <c r="BR1334" s="3" t="s">
        <v>84</v>
      </c>
      <c r="BS1334" s="4">
        <v>44582</v>
      </c>
      <c r="BT1334" s="5">
        <v>0.37847222222222227</v>
      </c>
      <c r="BU1334" s="3" t="s">
        <v>1653</v>
      </c>
      <c r="BV1334" s="3" t="s">
        <v>87</v>
      </c>
      <c r="BW1334" s="3" t="s">
        <v>457</v>
      </c>
      <c r="BX1334" s="3" t="s">
        <v>605</v>
      </c>
      <c r="BY1334" s="3">
        <v>1200</v>
      </c>
      <c r="CA1334" s="3" t="s">
        <v>1654</v>
      </c>
      <c r="CC1334" s="3" t="s">
        <v>185</v>
      </c>
      <c r="CD1334" s="3">
        <v>5201</v>
      </c>
      <c r="CE1334" s="3" t="s">
        <v>93</v>
      </c>
      <c r="CF1334" s="4">
        <v>44582</v>
      </c>
      <c r="CI1334" s="3">
        <v>1</v>
      </c>
      <c r="CJ1334" s="3">
        <v>2</v>
      </c>
      <c r="CK1334" s="3">
        <v>21</v>
      </c>
      <c r="CL1334" s="3" t="s">
        <v>87</v>
      </c>
    </row>
    <row r="1335" spans="1:90" x14ac:dyDescent="0.2">
      <c r="A1335" s="3" t="s">
        <v>72</v>
      </c>
      <c r="B1335" s="3" t="s">
        <v>73</v>
      </c>
      <c r="C1335" s="3" t="s">
        <v>74</v>
      </c>
      <c r="E1335" s="3" t="str">
        <f>"FES1162845804"</f>
        <v>FES1162845804</v>
      </c>
      <c r="F1335" s="4">
        <v>44580</v>
      </c>
      <c r="G1335" s="3">
        <v>202207</v>
      </c>
      <c r="H1335" s="3" t="s">
        <v>75</v>
      </c>
      <c r="I1335" s="3" t="s">
        <v>76</v>
      </c>
      <c r="J1335" s="3" t="s">
        <v>77</v>
      </c>
      <c r="K1335" s="3" t="s">
        <v>78</v>
      </c>
      <c r="L1335" s="3" t="s">
        <v>90</v>
      </c>
      <c r="M1335" s="3" t="s">
        <v>91</v>
      </c>
      <c r="N1335" s="3" t="s">
        <v>564</v>
      </c>
      <c r="O1335" s="3" t="s">
        <v>82</v>
      </c>
      <c r="P1335" s="3" t="str">
        <f>"2170816161                    "</f>
        <v xml:space="preserve">2170816161                    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15.46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0</v>
      </c>
      <c r="AZ1335" s="3">
        <v>0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3">
        <v>1</v>
      </c>
      <c r="BI1335" s="3">
        <v>1</v>
      </c>
      <c r="BJ1335" s="3">
        <v>0.2</v>
      </c>
      <c r="BK1335" s="3">
        <v>1</v>
      </c>
      <c r="BL1335" s="3">
        <v>59</v>
      </c>
      <c r="BM1335" s="3">
        <v>8.85</v>
      </c>
      <c r="BN1335" s="3">
        <v>67.849999999999994</v>
      </c>
      <c r="BO1335" s="3">
        <v>67.849999999999994</v>
      </c>
      <c r="BQ1335" s="3" t="s">
        <v>83</v>
      </c>
      <c r="BR1335" s="3" t="s">
        <v>84</v>
      </c>
      <c r="BS1335" s="4">
        <v>44581</v>
      </c>
      <c r="BT1335" s="5">
        <v>0.43055555555555558</v>
      </c>
      <c r="BU1335" s="3" t="s">
        <v>1655</v>
      </c>
      <c r="BV1335" s="3" t="s">
        <v>105</v>
      </c>
      <c r="BY1335" s="3">
        <v>1200</v>
      </c>
      <c r="CA1335" s="3" t="s">
        <v>713</v>
      </c>
      <c r="CC1335" s="3" t="s">
        <v>91</v>
      </c>
      <c r="CD1335" s="3">
        <v>7460</v>
      </c>
      <c r="CE1335" s="3" t="s">
        <v>93</v>
      </c>
      <c r="CF1335" s="4">
        <v>44582</v>
      </c>
      <c r="CI1335" s="3">
        <v>1</v>
      </c>
      <c r="CJ1335" s="3">
        <v>1</v>
      </c>
      <c r="CK1335" s="3">
        <v>21</v>
      </c>
      <c r="CL1335" s="3" t="s">
        <v>87</v>
      </c>
    </row>
    <row r="1336" spans="1:90" x14ac:dyDescent="0.2">
      <c r="A1336" s="3" t="s">
        <v>72</v>
      </c>
      <c r="B1336" s="3" t="s">
        <v>73</v>
      </c>
      <c r="C1336" s="3" t="s">
        <v>74</v>
      </c>
      <c r="E1336" s="3" t="str">
        <f>"FES1162845821"</f>
        <v>FES1162845821</v>
      </c>
      <c r="F1336" s="4">
        <v>44580</v>
      </c>
      <c r="G1336" s="3">
        <v>202207</v>
      </c>
      <c r="H1336" s="3" t="s">
        <v>75</v>
      </c>
      <c r="I1336" s="3" t="s">
        <v>76</v>
      </c>
      <c r="J1336" s="3" t="s">
        <v>77</v>
      </c>
      <c r="K1336" s="3" t="s">
        <v>78</v>
      </c>
      <c r="L1336" s="3" t="s">
        <v>90</v>
      </c>
      <c r="M1336" s="3" t="s">
        <v>91</v>
      </c>
      <c r="N1336" s="3" t="s">
        <v>584</v>
      </c>
      <c r="O1336" s="3" t="s">
        <v>82</v>
      </c>
      <c r="P1336" s="3" t="str">
        <f>"2170817303                    "</f>
        <v xml:space="preserve">2170817303                    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15.46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3">
        <v>1</v>
      </c>
      <c r="BI1336" s="3">
        <v>1</v>
      </c>
      <c r="BJ1336" s="3">
        <v>1</v>
      </c>
      <c r="BK1336" s="3">
        <v>1</v>
      </c>
      <c r="BL1336" s="3">
        <v>59</v>
      </c>
      <c r="BM1336" s="3">
        <v>8.85</v>
      </c>
      <c r="BN1336" s="3">
        <v>67.849999999999994</v>
      </c>
      <c r="BO1336" s="3">
        <v>67.849999999999994</v>
      </c>
      <c r="BQ1336" s="3" t="s">
        <v>83</v>
      </c>
      <c r="BR1336" s="3" t="s">
        <v>84</v>
      </c>
      <c r="BS1336" s="4">
        <v>44581</v>
      </c>
      <c r="BT1336" s="5">
        <v>0.33194444444444443</v>
      </c>
      <c r="BU1336" s="3" t="s">
        <v>1656</v>
      </c>
      <c r="BV1336" s="3" t="s">
        <v>105</v>
      </c>
      <c r="BY1336" s="3">
        <v>4901</v>
      </c>
      <c r="CA1336" s="3" t="s">
        <v>543</v>
      </c>
      <c r="CC1336" s="3" t="s">
        <v>91</v>
      </c>
      <c r="CD1336" s="3">
        <v>7530</v>
      </c>
      <c r="CE1336" s="3" t="s">
        <v>86</v>
      </c>
      <c r="CF1336" s="4">
        <v>44582</v>
      </c>
      <c r="CI1336" s="3">
        <v>1</v>
      </c>
      <c r="CJ1336" s="3">
        <v>1</v>
      </c>
      <c r="CK1336" s="3">
        <v>21</v>
      </c>
      <c r="CL1336" s="3" t="s">
        <v>87</v>
      </c>
    </row>
    <row r="1337" spans="1:90" x14ac:dyDescent="0.2">
      <c r="A1337" s="3" t="s">
        <v>72</v>
      </c>
      <c r="B1337" s="3" t="s">
        <v>73</v>
      </c>
      <c r="C1337" s="3" t="s">
        <v>74</v>
      </c>
      <c r="E1337" s="3" t="str">
        <f>"FES1162845813"</f>
        <v>FES1162845813</v>
      </c>
      <c r="F1337" s="4">
        <v>44580</v>
      </c>
      <c r="G1337" s="3">
        <v>202207</v>
      </c>
      <c r="H1337" s="3" t="s">
        <v>75</v>
      </c>
      <c r="I1337" s="3" t="s">
        <v>76</v>
      </c>
      <c r="J1337" s="3" t="s">
        <v>77</v>
      </c>
      <c r="K1337" s="3" t="s">
        <v>78</v>
      </c>
      <c r="L1337" s="3" t="s">
        <v>138</v>
      </c>
      <c r="M1337" s="3" t="s">
        <v>139</v>
      </c>
      <c r="N1337" s="3" t="s">
        <v>1602</v>
      </c>
      <c r="O1337" s="3" t="s">
        <v>82</v>
      </c>
      <c r="P1337" s="3" t="str">
        <f>"2170817219                    "</f>
        <v xml:space="preserve">2170817219                    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15.46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0</v>
      </c>
      <c r="AZ1337" s="3">
        <v>0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  <c r="BH1337" s="3">
        <v>1</v>
      </c>
      <c r="BI1337" s="3">
        <v>1</v>
      </c>
      <c r="BJ1337" s="3">
        <v>0.2</v>
      </c>
      <c r="BK1337" s="3">
        <v>1</v>
      </c>
      <c r="BL1337" s="3">
        <v>59</v>
      </c>
      <c r="BM1337" s="3">
        <v>8.85</v>
      </c>
      <c r="BN1337" s="3">
        <v>67.849999999999994</v>
      </c>
      <c r="BO1337" s="3">
        <v>67.849999999999994</v>
      </c>
      <c r="BQ1337" s="3" t="s">
        <v>126</v>
      </c>
      <c r="BR1337" s="3" t="s">
        <v>84</v>
      </c>
      <c r="BS1337" s="4">
        <v>44581</v>
      </c>
      <c r="BT1337" s="5">
        <v>0.3888888888888889</v>
      </c>
      <c r="BU1337" s="3" t="s">
        <v>1260</v>
      </c>
      <c r="BV1337" s="3" t="s">
        <v>105</v>
      </c>
      <c r="BY1337" s="3">
        <v>1200</v>
      </c>
      <c r="CA1337" s="3" t="s">
        <v>303</v>
      </c>
      <c r="CC1337" s="3" t="s">
        <v>139</v>
      </c>
      <c r="CD1337" s="3">
        <v>3610</v>
      </c>
      <c r="CE1337" s="3" t="s">
        <v>93</v>
      </c>
      <c r="CF1337" s="4">
        <v>44582</v>
      </c>
      <c r="CI1337" s="3">
        <v>1</v>
      </c>
      <c r="CJ1337" s="3">
        <v>1</v>
      </c>
      <c r="CK1337" s="3">
        <v>21</v>
      </c>
      <c r="CL1337" s="3" t="s">
        <v>87</v>
      </c>
    </row>
    <row r="1338" spans="1:90" x14ac:dyDescent="0.2">
      <c r="A1338" s="3" t="s">
        <v>72</v>
      </c>
      <c r="B1338" s="3" t="s">
        <v>73</v>
      </c>
      <c r="C1338" s="3" t="s">
        <v>74</v>
      </c>
      <c r="E1338" s="3" t="str">
        <f>"FES1162845826"</f>
        <v>FES1162845826</v>
      </c>
      <c r="F1338" s="4">
        <v>44580</v>
      </c>
      <c r="G1338" s="3">
        <v>202207</v>
      </c>
      <c r="H1338" s="3" t="s">
        <v>75</v>
      </c>
      <c r="I1338" s="3" t="s">
        <v>76</v>
      </c>
      <c r="J1338" s="3" t="s">
        <v>77</v>
      </c>
      <c r="K1338" s="3" t="s">
        <v>78</v>
      </c>
      <c r="L1338" s="3" t="s">
        <v>90</v>
      </c>
      <c r="M1338" s="3" t="s">
        <v>91</v>
      </c>
      <c r="N1338" s="3" t="s">
        <v>157</v>
      </c>
      <c r="O1338" s="3" t="s">
        <v>82</v>
      </c>
      <c r="P1338" s="3" t="str">
        <f>"2170817308                    "</f>
        <v xml:space="preserve">2170817308                    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15.46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  <c r="BH1338" s="3">
        <v>1</v>
      </c>
      <c r="BI1338" s="3">
        <v>1</v>
      </c>
      <c r="BJ1338" s="3">
        <v>1.5</v>
      </c>
      <c r="BK1338" s="3">
        <v>1.5</v>
      </c>
      <c r="BL1338" s="3">
        <v>59</v>
      </c>
      <c r="BM1338" s="3">
        <v>8.85</v>
      </c>
      <c r="BN1338" s="3">
        <v>67.849999999999994</v>
      </c>
      <c r="BO1338" s="3">
        <v>67.849999999999994</v>
      </c>
      <c r="BQ1338" s="3" t="s">
        <v>89</v>
      </c>
      <c r="BR1338" s="3" t="s">
        <v>84</v>
      </c>
      <c r="BS1338" s="4">
        <v>44581</v>
      </c>
      <c r="BT1338" s="5">
        <v>0.37013888888888885</v>
      </c>
      <c r="BU1338" s="3" t="s">
        <v>1615</v>
      </c>
      <c r="BV1338" s="3" t="s">
        <v>105</v>
      </c>
      <c r="BY1338" s="3">
        <v>7540</v>
      </c>
      <c r="CA1338" s="3" t="s">
        <v>289</v>
      </c>
      <c r="CC1338" s="3" t="s">
        <v>91</v>
      </c>
      <c r="CD1338" s="3">
        <v>7441</v>
      </c>
      <c r="CE1338" s="3" t="s">
        <v>86</v>
      </c>
      <c r="CF1338" s="4">
        <v>44582</v>
      </c>
      <c r="CI1338" s="3">
        <v>1</v>
      </c>
      <c r="CJ1338" s="3">
        <v>1</v>
      </c>
      <c r="CK1338" s="3">
        <v>21</v>
      </c>
      <c r="CL1338" s="3" t="s">
        <v>87</v>
      </c>
    </row>
    <row r="1339" spans="1:90" x14ac:dyDescent="0.2">
      <c r="A1339" s="3" t="s">
        <v>72</v>
      </c>
      <c r="B1339" s="3" t="s">
        <v>73</v>
      </c>
      <c r="C1339" s="3" t="s">
        <v>74</v>
      </c>
      <c r="E1339" s="3" t="str">
        <f>"FES1162845791"</f>
        <v>FES1162845791</v>
      </c>
      <c r="F1339" s="4">
        <v>44580</v>
      </c>
      <c r="G1339" s="3">
        <v>202207</v>
      </c>
      <c r="H1339" s="3" t="s">
        <v>75</v>
      </c>
      <c r="I1339" s="3" t="s">
        <v>76</v>
      </c>
      <c r="J1339" s="3" t="s">
        <v>77</v>
      </c>
      <c r="K1339" s="3" t="s">
        <v>78</v>
      </c>
      <c r="L1339" s="3" t="s">
        <v>187</v>
      </c>
      <c r="M1339" s="3" t="s">
        <v>188</v>
      </c>
      <c r="N1339" s="3" t="s">
        <v>189</v>
      </c>
      <c r="O1339" s="3" t="s">
        <v>82</v>
      </c>
      <c r="P1339" s="3" t="str">
        <f>"2170817288                    "</f>
        <v xml:space="preserve">2170817288                    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29.95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0</v>
      </c>
      <c r="AZ1339" s="3">
        <v>0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3">
        <v>1</v>
      </c>
      <c r="BI1339" s="3">
        <v>1</v>
      </c>
      <c r="BJ1339" s="3">
        <v>0.2</v>
      </c>
      <c r="BK1339" s="3">
        <v>1</v>
      </c>
      <c r="BL1339" s="3">
        <v>114.31</v>
      </c>
      <c r="BM1339" s="3">
        <v>17.149999999999999</v>
      </c>
      <c r="BN1339" s="3">
        <v>131.46</v>
      </c>
      <c r="BO1339" s="3">
        <v>131.46</v>
      </c>
      <c r="BQ1339" s="3" t="s">
        <v>83</v>
      </c>
      <c r="BR1339" s="3" t="s">
        <v>84</v>
      </c>
      <c r="BS1339" s="4">
        <v>44581</v>
      </c>
      <c r="BT1339" s="5">
        <v>0.52847222222222223</v>
      </c>
      <c r="BU1339" s="3" t="s">
        <v>854</v>
      </c>
      <c r="BV1339" s="3" t="s">
        <v>105</v>
      </c>
      <c r="BY1339" s="3">
        <v>1200</v>
      </c>
      <c r="CA1339" s="3" t="s">
        <v>268</v>
      </c>
      <c r="CC1339" s="3" t="s">
        <v>188</v>
      </c>
      <c r="CD1339" s="3">
        <v>7300</v>
      </c>
      <c r="CE1339" s="3" t="s">
        <v>93</v>
      </c>
      <c r="CF1339" s="4">
        <v>44582</v>
      </c>
      <c r="CI1339" s="3">
        <v>1</v>
      </c>
      <c r="CJ1339" s="3">
        <v>1</v>
      </c>
      <c r="CK1339" s="3">
        <v>23</v>
      </c>
      <c r="CL1339" s="3" t="s">
        <v>87</v>
      </c>
    </row>
    <row r="1340" spans="1:90" x14ac:dyDescent="0.2">
      <c r="A1340" s="3" t="s">
        <v>72</v>
      </c>
      <c r="B1340" s="3" t="s">
        <v>73</v>
      </c>
      <c r="C1340" s="3" t="s">
        <v>74</v>
      </c>
      <c r="E1340" s="3" t="str">
        <f>"FES1162845820"</f>
        <v>FES1162845820</v>
      </c>
      <c r="F1340" s="4">
        <v>44580</v>
      </c>
      <c r="G1340" s="3">
        <v>202207</v>
      </c>
      <c r="H1340" s="3" t="s">
        <v>75</v>
      </c>
      <c r="I1340" s="3" t="s">
        <v>76</v>
      </c>
      <c r="J1340" s="3" t="s">
        <v>77</v>
      </c>
      <c r="K1340" s="3" t="s">
        <v>78</v>
      </c>
      <c r="L1340" s="3" t="s">
        <v>75</v>
      </c>
      <c r="M1340" s="3" t="s">
        <v>76</v>
      </c>
      <c r="N1340" s="3" t="s">
        <v>1657</v>
      </c>
      <c r="O1340" s="3" t="s">
        <v>82</v>
      </c>
      <c r="P1340" s="3" t="str">
        <f>"2170817301                    "</f>
        <v xml:space="preserve">2170817301                    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12.07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0</v>
      </c>
      <c r="AZ1340" s="3">
        <v>0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3">
        <v>1</v>
      </c>
      <c r="BI1340" s="3">
        <v>1</v>
      </c>
      <c r="BJ1340" s="3">
        <v>0.2</v>
      </c>
      <c r="BK1340" s="3">
        <v>1</v>
      </c>
      <c r="BL1340" s="3">
        <v>46.08</v>
      </c>
      <c r="BM1340" s="3">
        <v>6.91</v>
      </c>
      <c r="BN1340" s="3">
        <v>52.99</v>
      </c>
      <c r="BO1340" s="3">
        <v>52.99</v>
      </c>
      <c r="BQ1340" s="3" t="s">
        <v>89</v>
      </c>
      <c r="BR1340" s="3" t="s">
        <v>84</v>
      </c>
      <c r="BS1340" s="4">
        <v>44581</v>
      </c>
      <c r="BT1340" s="5">
        <v>0.40347222222222223</v>
      </c>
      <c r="BU1340" s="3" t="s">
        <v>652</v>
      </c>
      <c r="BV1340" s="3" t="s">
        <v>105</v>
      </c>
      <c r="BY1340" s="3">
        <v>1200</v>
      </c>
      <c r="CA1340" s="3" t="s">
        <v>227</v>
      </c>
      <c r="CC1340" s="3" t="s">
        <v>76</v>
      </c>
      <c r="CD1340" s="3">
        <v>1600</v>
      </c>
      <c r="CE1340" s="3" t="s">
        <v>93</v>
      </c>
      <c r="CF1340" s="4">
        <v>44581</v>
      </c>
      <c r="CI1340" s="3">
        <v>1</v>
      </c>
      <c r="CJ1340" s="3">
        <v>1</v>
      </c>
      <c r="CK1340" s="3">
        <v>22</v>
      </c>
      <c r="CL1340" s="3" t="s">
        <v>87</v>
      </c>
    </row>
    <row r="1341" spans="1:90" x14ac:dyDescent="0.2">
      <c r="A1341" s="3" t="s">
        <v>72</v>
      </c>
      <c r="B1341" s="3" t="s">
        <v>73</v>
      </c>
      <c r="C1341" s="3" t="s">
        <v>74</v>
      </c>
      <c r="E1341" s="3" t="str">
        <f>"FES1162845856"</f>
        <v>FES1162845856</v>
      </c>
      <c r="F1341" s="4">
        <v>44580</v>
      </c>
      <c r="G1341" s="3">
        <v>202207</v>
      </c>
      <c r="H1341" s="3" t="s">
        <v>75</v>
      </c>
      <c r="I1341" s="3" t="s">
        <v>76</v>
      </c>
      <c r="J1341" s="3" t="s">
        <v>77</v>
      </c>
      <c r="K1341" s="3" t="s">
        <v>78</v>
      </c>
      <c r="L1341" s="3" t="s">
        <v>206</v>
      </c>
      <c r="M1341" s="3" t="s">
        <v>207</v>
      </c>
      <c r="N1341" s="3" t="s">
        <v>548</v>
      </c>
      <c r="O1341" s="3" t="s">
        <v>82</v>
      </c>
      <c r="P1341" s="3" t="str">
        <f>"2170817316                    "</f>
        <v xml:space="preserve">2170817316                    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21.74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0</v>
      </c>
      <c r="AZ1341" s="3">
        <v>0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3">
        <v>1</v>
      </c>
      <c r="BI1341" s="3">
        <v>1</v>
      </c>
      <c r="BJ1341" s="3">
        <v>0.2</v>
      </c>
      <c r="BK1341" s="3">
        <v>1</v>
      </c>
      <c r="BL1341" s="3">
        <v>82.98</v>
      </c>
      <c r="BM1341" s="3">
        <v>12.45</v>
      </c>
      <c r="BN1341" s="3">
        <v>95.43</v>
      </c>
      <c r="BO1341" s="3">
        <v>95.43</v>
      </c>
      <c r="BQ1341" s="3" t="s">
        <v>83</v>
      </c>
      <c r="BR1341" s="3" t="s">
        <v>84</v>
      </c>
      <c r="BS1341" s="4">
        <v>44581</v>
      </c>
      <c r="BT1341" s="5">
        <v>0.52013888888888882</v>
      </c>
      <c r="BU1341" s="3" t="s">
        <v>1658</v>
      </c>
      <c r="BV1341" s="3" t="s">
        <v>105</v>
      </c>
      <c r="BY1341" s="3">
        <v>1200</v>
      </c>
      <c r="CA1341" s="3" t="s">
        <v>619</v>
      </c>
      <c r="CC1341" s="3" t="s">
        <v>207</v>
      </c>
      <c r="CD1341" s="3">
        <v>1739</v>
      </c>
      <c r="CE1341" s="3" t="s">
        <v>93</v>
      </c>
      <c r="CF1341" s="4">
        <v>44582</v>
      </c>
      <c r="CI1341" s="3">
        <v>1</v>
      </c>
      <c r="CJ1341" s="3">
        <v>1</v>
      </c>
      <c r="CK1341" s="3">
        <v>24</v>
      </c>
      <c r="CL1341" s="3" t="s">
        <v>87</v>
      </c>
    </row>
    <row r="1342" spans="1:90" x14ac:dyDescent="0.2">
      <c r="A1342" s="3" t="s">
        <v>72</v>
      </c>
      <c r="B1342" s="3" t="s">
        <v>73</v>
      </c>
      <c r="C1342" s="3" t="s">
        <v>74</v>
      </c>
      <c r="E1342" s="3" t="str">
        <f>"FES1162845785"</f>
        <v>FES1162845785</v>
      </c>
      <c r="F1342" s="4">
        <v>44580</v>
      </c>
      <c r="G1342" s="3">
        <v>202207</v>
      </c>
      <c r="H1342" s="3" t="s">
        <v>75</v>
      </c>
      <c r="I1342" s="3" t="s">
        <v>76</v>
      </c>
      <c r="J1342" s="3" t="s">
        <v>77</v>
      </c>
      <c r="K1342" s="3" t="s">
        <v>78</v>
      </c>
      <c r="L1342" s="3" t="s">
        <v>75</v>
      </c>
      <c r="M1342" s="3" t="s">
        <v>76</v>
      </c>
      <c r="N1342" s="3" t="s">
        <v>1659</v>
      </c>
      <c r="O1342" s="3" t="s">
        <v>82</v>
      </c>
      <c r="P1342" s="3" t="str">
        <f>"2170817276                    "</f>
        <v xml:space="preserve">2170817276                    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12.07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  <c r="BH1342" s="3">
        <v>1</v>
      </c>
      <c r="BI1342" s="3">
        <v>1</v>
      </c>
      <c r="BJ1342" s="3">
        <v>0.2</v>
      </c>
      <c r="BK1342" s="3">
        <v>1</v>
      </c>
      <c r="BL1342" s="3">
        <v>46.08</v>
      </c>
      <c r="BM1342" s="3">
        <v>6.91</v>
      </c>
      <c r="BN1342" s="3">
        <v>52.99</v>
      </c>
      <c r="BO1342" s="3">
        <v>52.99</v>
      </c>
      <c r="BQ1342" s="3" t="s">
        <v>1660</v>
      </c>
      <c r="BR1342" s="3" t="s">
        <v>84</v>
      </c>
      <c r="BS1342" s="4">
        <v>44581</v>
      </c>
      <c r="BT1342" s="5">
        <v>0.4055555555555555</v>
      </c>
      <c r="BU1342" s="3" t="s">
        <v>1661</v>
      </c>
      <c r="BV1342" s="3" t="s">
        <v>105</v>
      </c>
      <c r="BY1342" s="3">
        <v>1200</v>
      </c>
      <c r="CA1342" s="3" t="s">
        <v>311</v>
      </c>
      <c r="CC1342" s="3" t="s">
        <v>76</v>
      </c>
      <c r="CD1342" s="3">
        <v>1600</v>
      </c>
      <c r="CE1342" s="3" t="s">
        <v>93</v>
      </c>
      <c r="CF1342" s="4">
        <v>44581</v>
      </c>
      <c r="CI1342" s="3">
        <v>1</v>
      </c>
      <c r="CJ1342" s="3">
        <v>1</v>
      </c>
      <c r="CK1342" s="3">
        <v>22</v>
      </c>
      <c r="CL1342" s="3" t="s">
        <v>87</v>
      </c>
    </row>
    <row r="1343" spans="1:90" x14ac:dyDescent="0.2">
      <c r="A1343" s="3" t="s">
        <v>72</v>
      </c>
      <c r="B1343" s="3" t="s">
        <v>73</v>
      </c>
      <c r="C1343" s="3" t="s">
        <v>74</v>
      </c>
      <c r="E1343" s="3" t="str">
        <f>"FES1162845805"</f>
        <v>FES1162845805</v>
      </c>
      <c r="F1343" s="4">
        <v>44580</v>
      </c>
      <c r="G1343" s="3">
        <v>202207</v>
      </c>
      <c r="H1343" s="3" t="s">
        <v>75</v>
      </c>
      <c r="I1343" s="3" t="s">
        <v>76</v>
      </c>
      <c r="J1343" s="3" t="s">
        <v>77</v>
      </c>
      <c r="K1343" s="3" t="s">
        <v>78</v>
      </c>
      <c r="L1343" s="3" t="s">
        <v>1219</v>
      </c>
      <c r="M1343" s="3" t="s">
        <v>1220</v>
      </c>
      <c r="N1343" s="3" t="s">
        <v>1662</v>
      </c>
      <c r="O1343" s="3" t="s">
        <v>82</v>
      </c>
      <c r="P1343" s="3" t="str">
        <f>"2170816172                    "</f>
        <v xml:space="preserve">2170816172                    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36.71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0</v>
      </c>
      <c r="AZ1343" s="3">
        <v>0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0</v>
      </c>
      <c r="BG1343" s="3">
        <v>0</v>
      </c>
      <c r="BH1343" s="3">
        <v>1</v>
      </c>
      <c r="BI1343" s="3">
        <v>1</v>
      </c>
      <c r="BJ1343" s="3">
        <v>2.2999999999999998</v>
      </c>
      <c r="BK1343" s="3">
        <v>2.5</v>
      </c>
      <c r="BL1343" s="3">
        <v>140.12</v>
      </c>
      <c r="BM1343" s="3">
        <v>21.02</v>
      </c>
      <c r="BN1343" s="3">
        <v>161.13999999999999</v>
      </c>
      <c r="BO1343" s="3">
        <v>161.13999999999999</v>
      </c>
      <c r="BR1343" s="3" t="s">
        <v>84</v>
      </c>
      <c r="BS1343" s="4">
        <v>44582</v>
      </c>
      <c r="BT1343" s="5">
        <v>0.44861111111111113</v>
      </c>
      <c r="BU1343" s="3" t="s">
        <v>1663</v>
      </c>
      <c r="BV1343" s="3" t="s">
        <v>87</v>
      </c>
      <c r="BW1343" s="3" t="s">
        <v>453</v>
      </c>
      <c r="BX1343" s="3" t="s">
        <v>841</v>
      </c>
      <c r="BY1343" s="3">
        <v>11520</v>
      </c>
      <c r="CA1343" s="3" t="s">
        <v>328</v>
      </c>
      <c r="CC1343" s="3" t="s">
        <v>1220</v>
      </c>
      <c r="CD1343" s="3">
        <v>4490</v>
      </c>
      <c r="CE1343" s="3" t="s">
        <v>93</v>
      </c>
      <c r="CF1343" s="4">
        <v>44585</v>
      </c>
      <c r="CI1343" s="3">
        <v>1</v>
      </c>
      <c r="CJ1343" s="3">
        <v>2</v>
      </c>
      <c r="CK1343" s="3">
        <v>23</v>
      </c>
      <c r="CL1343" s="3" t="s">
        <v>87</v>
      </c>
    </row>
    <row r="1344" spans="1:90" x14ac:dyDescent="0.2">
      <c r="A1344" s="3" t="s">
        <v>72</v>
      </c>
      <c r="B1344" s="3" t="s">
        <v>73</v>
      </c>
      <c r="C1344" s="3" t="s">
        <v>74</v>
      </c>
      <c r="E1344" s="3" t="str">
        <f>"FES1162845858"</f>
        <v>FES1162845858</v>
      </c>
      <c r="F1344" s="4">
        <v>44580</v>
      </c>
      <c r="G1344" s="3">
        <v>202207</v>
      </c>
      <c r="H1344" s="3" t="s">
        <v>75</v>
      </c>
      <c r="I1344" s="3" t="s">
        <v>76</v>
      </c>
      <c r="J1344" s="3" t="s">
        <v>77</v>
      </c>
      <c r="K1344" s="3" t="s">
        <v>78</v>
      </c>
      <c r="L1344" s="3" t="s">
        <v>171</v>
      </c>
      <c r="M1344" s="3" t="s">
        <v>172</v>
      </c>
      <c r="N1344" s="3" t="s">
        <v>1362</v>
      </c>
      <c r="O1344" s="3" t="s">
        <v>82</v>
      </c>
      <c r="P1344" s="3" t="str">
        <f>"2170817040                    "</f>
        <v xml:space="preserve">2170817040                    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15.46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  <c r="BH1344" s="3">
        <v>1</v>
      </c>
      <c r="BI1344" s="3">
        <v>1</v>
      </c>
      <c r="BJ1344" s="3">
        <v>0.2</v>
      </c>
      <c r="BK1344" s="3">
        <v>1</v>
      </c>
      <c r="BL1344" s="3">
        <v>59</v>
      </c>
      <c r="BM1344" s="3">
        <v>8.85</v>
      </c>
      <c r="BN1344" s="3">
        <v>67.849999999999994</v>
      </c>
      <c r="BO1344" s="3">
        <v>67.849999999999994</v>
      </c>
      <c r="BR1344" s="3" t="s">
        <v>84</v>
      </c>
      <c r="BS1344" s="4">
        <v>44581</v>
      </c>
      <c r="BT1344" s="5">
        <v>0.39930555555555558</v>
      </c>
      <c r="BU1344" s="3" t="s">
        <v>1664</v>
      </c>
      <c r="BV1344" s="3" t="s">
        <v>105</v>
      </c>
      <c r="BY1344" s="3">
        <v>1200</v>
      </c>
      <c r="CA1344" s="3" t="s">
        <v>509</v>
      </c>
      <c r="CC1344" s="3" t="s">
        <v>172</v>
      </c>
      <c r="CD1344" s="3">
        <v>6001</v>
      </c>
      <c r="CE1344" s="3" t="s">
        <v>93</v>
      </c>
      <c r="CF1344" s="4">
        <v>44582</v>
      </c>
      <c r="CI1344" s="3">
        <v>1</v>
      </c>
      <c r="CJ1344" s="3">
        <v>1</v>
      </c>
      <c r="CK1344" s="3">
        <v>21</v>
      </c>
      <c r="CL1344" s="3" t="s">
        <v>87</v>
      </c>
    </row>
    <row r="1345" spans="1:90" x14ac:dyDescent="0.2">
      <c r="A1345" s="3" t="s">
        <v>72</v>
      </c>
      <c r="B1345" s="3" t="s">
        <v>73</v>
      </c>
      <c r="C1345" s="3" t="s">
        <v>74</v>
      </c>
      <c r="E1345" s="3" t="str">
        <f>"FES1162845808"</f>
        <v>FES1162845808</v>
      </c>
      <c r="F1345" s="4">
        <v>44580</v>
      </c>
      <c r="G1345" s="3">
        <v>202207</v>
      </c>
      <c r="H1345" s="3" t="s">
        <v>75</v>
      </c>
      <c r="I1345" s="3" t="s">
        <v>76</v>
      </c>
      <c r="J1345" s="3" t="s">
        <v>77</v>
      </c>
      <c r="K1345" s="3" t="s">
        <v>78</v>
      </c>
      <c r="L1345" s="3" t="s">
        <v>90</v>
      </c>
      <c r="M1345" s="3" t="s">
        <v>91</v>
      </c>
      <c r="N1345" s="3" t="s">
        <v>735</v>
      </c>
      <c r="O1345" s="3" t="s">
        <v>82</v>
      </c>
      <c r="P1345" s="3" t="str">
        <f>"2170816640                    "</f>
        <v xml:space="preserve">2170816640                    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15.46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0</v>
      </c>
      <c r="AZ1345" s="3">
        <v>0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  <c r="BH1345" s="3">
        <v>1</v>
      </c>
      <c r="BI1345" s="3">
        <v>1</v>
      </c>
      <c r="BJ1345" s="3">
        <v>0.2</v>
      </c>
      <c r="BK1345" s="3">
        <v>1</v>
      </c>
      <c r="BL1345" s="3">
        <v>59</v>
      </c>
      <c r="BM1345" s="3">
        <v>8.85</v>
      </c>
      <c r="BN1345" s="3">
        <v>67.849999999999994</v>
      </c>
      <c r="BO1345" s="3">
        <v>67.849999999999994</v>
      </c>
      <c r="BQ1345" s="3" t="s">
        <v>273</v>
      </c>
      <c r="BR1345" s="3" t="s">
        <v>84</v>
      </c>
      <c r="BS1345" s="4">
        <v>44581</v>
      </c>
      <c r="BT1345" s="5">
        <v>0.3444444444444445</v>
      </c>
      <c r="BU1345" s="3" t="s">
        <v>1614</v>
      </c>
      <c r="BV1345" s="3" t="s">
        <v>105</v>
      </c>
      <c r="BY1345" s="3">
        <v>1200</v>
      </c>
      <c r="CA1345" s="3" t="s">
        <v>713</v>
      </c>
      <c r="CC1345" s="3" t="s">
        <v>91</v>
      </c>
      <c r="CD1345" s="3">
        <v>7460</v>
      </c>
      <c r="CE1345" s="3" t="s">
        <v>93</v>
      </c>
      <c r="CF1345" s="4">
        <v>44582</v>
      </c>
      <c r="CI1345" s="3">
        <v>1</v>
      </c>
      <c r="CJ1345" s="3">
        <v>1</v>
      </c>
      <c r="CK1345" s="3">
        <v>21</v>
      </c>
      <c r="CL1345" s="3" t="s">
        <v>87</v>
      </c>
    </row>
    <row r="1346" spans="1:90" x14ac:dyDescent="0.2">
      <c r="A1346" s="3" t="s">
        <v>72</v>
      </c>
      <c r="B1346" s="3" t="s">
        <v>73</v>
      </c>
      <c r="C1346" s="3" t="s">
        <v>74</v>
      </c>
      <c r="E1346" s="3" t="str">
        <f>"FES1162845840"</f>
        <v>FES1162845840</v>
      </c>
      <c r="F1346" s="4">
        <v>44580</v>
      </c>
      <c r="G1346" s="3">
        <v>202207</v>
      </c>
      <c r="H1346" s="3" t="s">
        <v>75</v>
      </c>
      <c r="I1346" s="3" t="s">
        <v>76</v>
      </c>
      <c r="J1346" s="3" t="s">
        <v>77</v>
      </c>
      <c r="K1346" s="3" t="s">
        <v>78</v>
      </c>
      <c r="L1346" s="3" t="s">
        <v>244</v>
      </c>
      <c r="M1346" s="3" t="s">
        <v>245</v>
      </c>
      <c r="N1346" s="3" t="s">
        <v>208</v>
      </c>
      <c r="O1346" s="3" t="s">
        <v>82</v>
      </c>
      <c r="P1346" s="3" t="str">
        <f>"2170815986                    "</f>
        <v xml:space="preserve">2170815986                    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29.95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0</v>
      </c>
      <c r="AZ1346" s="3">
        <v>0</v>
      </c>
      <c r="BA1346" s="3">
        <v>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1</v>
      </c>
      <c r="BI1346" s="3">
        <v>1</v>
      </c>
      <c r="BJ1346" s="3">
        <v>0.2</v>
      </c>
      <c r="BK1346" s="3">
        <v>1</v>
      </c>
      <c r="BL1346" s="3">
        <v>114.31</v>
      </c>
      <c r="BM1346" s="3">
        <v>17.149999999999999</v>
      </c>
      <c r="BN1346" s="3">
        <v>131.46</v>
      </c>
      <c r="BO1346" s="3">
        <v>131.46</v>
      </c>
      <c r="BQ1346" s="3" t="s">
        <v>83</v>
      </c>
      <c r="BR1346" s="3" t="s">
        <v>84</v>
      </c>
      <c r="BS1346" s="4">
        <v>44581</v>
      </c>
      <c r="BT1346" s="5">
        <v>0.41666666666666669</v>
      </c>
      <c r="BU1346" s="3" t="s">
        <v>1665</v>
      </c>
      <c r="BV1346" s="3" t="s">
        <v>105</v>
      </c>
      <c r="BY1346" s="3">
        <v>1200</v>
      </c>
      <c r="CC1346" s="3" t="s">
        <v>245</v>
      </c>
      <c r="CD1346" s="3">
        <v>1947</v>
      </c>
      <c r="CE1346" s="3" t="s">
        <v>93</v>
      </c>
      <c r="CF1346" s="4">
        <v>44582</v>
      </c>
      <c r="CI1346" s="3">
        <v>1</v>
      </c>
      <c r="CJ1346" s="3">
        <v>1</v>
      </c>
      <c r="CK1346" s="3">
        <v>23</v>
      </c>
      <c r="CL1346" s="3" t="s">
        <v>87</v>
      </c>
    </row>
    <row r="1347" spans="1:90" x14ac:dyDescent="0.2">
      <c r="A1347" s="3" t="s">
        <v>72</v>
      </c>
      <c r="B1347" s="3" t="s">
        <v>73</v>
      </c>
      <c r="C1347" s="3" t="s">
        <v>74</v>
      </c>
      <c r="E1347" s="3" t="str">
        <f>"FES1162845850"</f>
        <v>FES1162845850</v>
      </c>
      <c r="F1347" s="4">
        <v>44580</v>
      </c>
      <c r="G1347" s="3">
        <v>202207</v>
      </c>
      <c r="H1347" s="3" t="s">
        <v>75</v>
      </c>
      <c r="I1347" s="3" t="s">
        <v>76</v>
      </c>
      <c r="J1347" s="3" t="s">
        <v>77</v>
      </c>
      <c r="K1347" s="3" t="s">
        <v>78</v>
      </c>
      <c r="L1347" s="3" t="s">
        <v>94</v>
      </c>
      <c r="M1347" s="3" t="s">
        <v>95</v>
      </c>
      <c r="N1347" s="3" t="s">
        <v>1666</v>
      </c>
      <c r="O1347" s="3" t="s">
        <v>148</v>
      </c>
      <c r="P1347" s="3" t="str">
        <f>"2170816984                    "</f>
        <v xml:space="preserve">2170816984                    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34.82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0</v>
      </c>
      <c r="AZ1347" s="3">
        <v>0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  <c r="BH1347" s="3">
        <v>1</v>
      </c>
      <c r="BI1347" s="3">
        <v>14</v>
      </c>
      <c r="BJ1347" s="3">
        <v>18.3</v>
      </c>
      <c r="BK1347" s="3">
        <v>19</v>
      </c>
      <c r="BL1347" s="3">
        <v>138.15</v>
      </c>
      <c r="BM1347" s="3">
        <v>20.72</v>
      </c>
      <c r="BN1347" s="3">
        <v>158.87</v>
      </c>
      <c r="BO1347" s="3">
        <v>158.87</v>
      </c>
      <c r="BQ1347" s="3" t="s">
        <v>83</v>
      </c>
      <c r="BR1347" s="3" t="s">
        <v>84</v>
      </c>
      <c r="BS1347" s="4">
        <v>44582</v>
      </c>
      <c r="BT1347" s="5">
        <v>0.60972222222222217</v>
      </c>
      <c r="BU1347" s="3" t="s">
        <v>1667</v>
      </c>
      <c r="BV1347" s="3" t="s">
        <v>87</v>
      </c>
      <c r="BW1347" s="3" t="s">
        <v>453</v>
      </c>
      <c r="BX1347" s="3" t="s">
        <v>279</v>
      </c>
      <c r="BY1347" s="3">
        <v>91264</v>
      </c>
      <c r="CC1347" s="3" t="s">
        <v>95</v>
      </c>
      <c r="CD1347" s="3">
        <v>3201</v>
      </c>
      <c r="CE1347" s="3" t="s">
        <v>86</v>
      </c>
      <c r="CF1347" s="4">
        <v>44589</v>
      </c>
      <c r="CI1347" s="3">
        <v>1</v>
      </c>
      <c r="CJ1347" s="3">
        <v>2</v>
      </c>
      <c r="CK1347" s="3">
        <v>41</v>
      </c>
      <c r="CL1347" s="3" t="s">
        <v>87</v>
      </c>
    </row>
    <row r="1348" spans="1:90" x14ac:dyDescent="0.2">
      <c r="A1348" s="3" t="s">
        <v>72</v>
      </c>
      <c r="B1348" s="3" t="s">
        <v>73</v>
      </c>
      <c r="C1348" s="3" t="s">
        <v>74</v>
      </c>
      <c r="E1348" s="3" t="str">
        <f>"FES1162845830"</f>
        <v>FES1162845830</v>
      </c>
      <c r="F1348" s="4">
        <v>44580</v>
      </c>
      <c r="G1348" s="3">
        <v>202207</v>
      </c>
      <c r="H1348" s="3" t="s">
        <v>75</v>
      </c>
      <c r="I1348" s="3" t="s">
        <v>76</v>
      </c>
      <c r="J1348" s="3" t="s">
        <v>77</v>
      </c>
      <c r="K1348" s="3" t="s">
        <v>78</v>
      </c>
      <c r="L1348" s="3" t="s">
        <v>97</v>
      </c>
      <c r="M1348" s="3" t="s">
        <v>98</v>
      </c>
      <c r="N1348" s="3" t="s">
        <v>505</v>
      </c>
      <c r="O1348" s="3" t="s">
        <v>82</v>
      </c>
      <c r="P1348" s="3" t="str">
        <f>"2170817312                    "</f>
        <v xml:space="preserve">2170817312                    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12.07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0</v>
      </c>
      <c r="AZ1348" s="3">
        <v>0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  <c r="BH1348" s="3">
        <v>1</v>
      </c>
      <c r="BI1348" s="3">
        <v>1</v>
      </c>
      <c r="BJ1348" s="3">
        <v>0.2</v>
      </c>
      <c r="BK1348" s="3">
        <v>1</v>
      </c>
      <c r="BL1348" s="3">
        <v>46.08</v>
      </c>
      <c r="BM1348" s="3">
        <v>6.91</v>
      </c>
      <c r="BN1348" s="3">
        <v>52.99</v>
      </c>
      <c r="BO1348" s="3">
        <v>52.99</v>
      </c>
      <c r="BR1348" s="3" t="s">
        <v>84</v>
      </c>
      <c r="BS1348" s="4">
        <v>44581</v>
      </c>
      <c r="BT1348" s="5">
        <v>0.3743055555555555</v>
      </c>
      <c r="BU1348" s="3" t="s">
        <v>1668</v>
      </c>
      <c r="BV1348" s="3" t="s">
        <v>105</v>
      </c>
      <c r="BY1348" s="3">
        <v>1200</v>
      </c>
      <c r="CA1348" s="3" t="s">
        <v>1651</v>
      </c>
      <c r="CC1348" s="3" t="s">
        <v>98</v>
      </c>
      <c r="CD1348" s="3">
        <v>2094</v>
      </c>
      <c r="CE1348" s="3" t="s">
        <v>93</v>
      </c>
      <c r="CF1348" s="4">
        <v>44582</v>
      </c>
      <c r="CI1348" s="3">
        <v>1</v>
      </c>
      <c r="CJ1348" s="3">
        <v>1</v>
      </c>
      <c r="CK1348" s="3">
        <v>22</v>
      </c>
      <c r="CL1348" s="3" t="s">
        <v>87</v>
      </c>
    </row>
    <row r="1349" spans="1:90" x14ac:dyDescent="0.2">
      <c r="A1349" s="3" t="s">
        <v>72</v>
      </c>
      <c r="B1349" s="3" t="s">
        <v>73</v>
      </c>
      <c r="C1349" s="3" t="s">
        <v>74</v>
      </c>
      <c r="E1349" s="3" t="str">
        <f>"FES1162845855"</f>
        <v>FES1162845855</v>
      </c>
      <c r="F1349" s="4">
        <v>44580</v>
      </c>
      <c r="G1349" s="3">
        <v>202207</v>
      </c>
      <c r="H1349" s="3" t="s">
        <v>75</v>
      </c>
      <c r="I1349" s="3" t="s">
        <v>76</v>
      </c>
      <c r="J1349" s="3" t="s">
        <v>77</v>
      </c>
      <c r="K1349" s="3" t="s">
        <v>78</v>
      </c>
      <c r="L1349" s="3" t="s">
        <v>101</v>
      </c>
      <c r="M1349" s="3" t="s">
        <v>102</v>
      </c>
      <c r="N1349" s="3" t="s">
        <v>103</v>
      </c>
      <c r="O1349" s="3" t="s">
        <v>82</v>
      </c>
      <c r="P1349" s="3" t="str">
        <f>"2170817315                    "</f>
        <v xml:space="preserve">2170817315                    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15.46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0</v>
      </c>
      <c r="AZ1349" s="3">
        <v>0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1</v>
      </c>
      <c r="BI1349" s="3">
        <v>1</v>
      </c>
      <c r="BJ1349" s="3">
        <v>0.2</v>
      </c>
      <c r="BK1349" s="3">
        <v>1</v>
      </c>
      <c r="BL1349" s="3">
        <v>59</v>
      </c>
      <c r="BM1349" s="3">
        <v>8.85</v>
      </c>
      <c r="BN1349" s="3">
        <v>67.849999999999994</v>
      </c>
      <c r="BO1349" s="3">
        <v>67.849999999999994</v>
      </c>
      <c r="BQ1349" s="3" t="s">
        <v>83</v>
      </c>
      <c r="BR1349" s="3" t="s">
        <v>84</v>
      </c>
      <c r="BS1349" s="4">
        <v>44581</v>
      </c>
      <c r="BT1349" s="5">
        <v>0.38194444444444442</v>
      </c>
      <c r="BU1349" s="3" t="s">
        <v>463</v>
      </c>
      <c r="BV1349" s="3" t="s">
        <v>105</v>
      </c>
      <c r="BY1349" s="3">
        <v>1200</v>
      </c>
      <c r="CA1349" s="3" t="s">
        <v>334</v>
      </c>
      <c r="CC1349" s="3" t="s">
        <v>102</v>
      </c>
      <c r="CD1349" s="3">
        <v>4001</v>
      </c>
      <c r="CE1349" s="3" t="s">
        <v>93</v>
      </c>
      <c r="CF1349" s="4">
        <v>44582</v>
      </c>
      <c r="CI1349" s="3">
        <v>1</v>
      </c>
      <c r="CJ1349" s="3">
        <v>1</v>
      </c>
      <c r="CK1349" s="3">
        <v>21</v>
      </c>
      <c r="CL1349" s="3" t="s">
        <v>87</v>
      </c>
    </row>
    <row r="1350" spans="1:90" x14ac:dyDescent="0.2">
      <c r="A1350" s="3" t="s">
        <v>72</v>
      </c>
      <c r="B1350" s="3" t="s">
        <v>73</v>
      </c>
      <c r="C1350" s="3" t="s">
        <v>74</v>
      </c>
      <c r="E1350" s="3" t="str">
        <f>"FES1162845847"</f>
        <v>FES1162845847</v>
      </c>
      <c r="F1350" s="4">
        <v>44580</v>
      </c>
      <c r="G1350" s="3">
        <v>202207</v>
      </c>
      <c r="H1350" s="3" t="s">
        <v>75</v>
      </c>
      <c r="I1350" s="3" t="s">
        <v>76</v>
      </c>
      <c r="J1350" s="3" t="s">
        <v>77</v>
      </c>
      <c r="K1350" s="3" t="s">
        <v>78</v>
      </c>
      <c r="L1350" s="3" t="s">
        <v>75</v>
      </c>
      <c r="M1350" s="3" t="s">
        <v>76</v>
      </c>
      <c r="N1350" s="3" t="s">
        <v>1556</v>
      </c>
      <c r="O1350" s="3" t="s">
        <v>82</v>
      </c>
      <c r="P1350" s="3" t="str">
        <f>"2170816711                    "</f>
        <v xml:space="preserve">2170816711                    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12.07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0</v>
      </c>
      <c r="AZ1350" s="3">
        <v>0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3">
        <v>1</v>
      </c>
      <c r="BI1350" s="3">
        <v>1</v>
      </c>
      <c r="BJ1350" s="3">
        <v>0.2</v>
      </c>
      <c r="BK1350" s="3">
        <v>1</v>
      </c>
      <c r="BL1350" s="3">
        <v>46.08</v>
      </c>
      <c r="BM1350" s="3">
        <v>6.91</v>
      </c>
      <c r="BN1350" s="3">
        <v>52.99</v>
      </c>
      <c r="BO1350" s="3">
        <v>52.99</v>
      </c>
      <c r="BR1350" s="3" t="s">
        <v>84</v>
      </c>
      <c r="BS1350" s="4">
        <v>44581</v>
      </c>
      <c r="BT1350" s="5">
        <v>0.35555555555555557</v>
      </c>
      <c r="BU1350" s="3" t="s">
        <v>1669</v>
      </c>
      <c r="BV1350" s="3" t="s">
        <v>105</v>
      </c>
      <c r="BY1350" s="3">
        <v>1200</v>
      </c>
      <c r="CA1350" s="3" t="s">
        <v>227</v>
      </c>
      <c r="CC1350" s="3" t="s">
        <v>76</v>
      </c>
      <c r="CD1350" s="3">
        <v>1600</v>
      </c>
      <c r="CE1350" s="3" t="s">
        <v>93</v>
      </c>
      <c r="CF1350" s="4">
        <v>44581</v>
      </c>
      <c r="CI1350" s="3">
        <v>1</v>
      </c>
      <c r="CJ1350" s="3">
        <v>1</v>
      </c>
      <c r="CK1350" s="3">
        <v>22</v>
      </c>
      <c r="CL1350" s="3" t="s">
        <v>87</v>
      </c>
    </row>
    <row r="1351" spans="1:90" x14ac:dyDescent="0.2">
      <c r="A1351" s="3" t="s">
        <v>72</v>
      </c>
      <c r="B1351" s="3" t="s">
        <v>73</v>
      </c>
      <c r="C1351" s="3" t="s">
        <v>74</v>
      </c>
      <c r="E1351" s="3" t="str">
        <f>"009942045023"</f>
        <v>009942045023</v>
      </c>
      <c r="F1351" s="4">
        <v>44580</v>
      </c>
      <c r="G1351" s="3">
        <v>202207</v>
      </c>
      <c r="H1351" s="3" t="s">
        <v>75</v>
      </c>
      <c r="I1351" s="3" t="s">
        <v>76</v>
      </c>
      <c r="J1351" s="3" t="s">
        <v>77</v>
      </c>
      <c r="K1351" s="3" t="s">
        <v>78</v>
      </c>
      <c r="L1351" s="3" t="s">
        <v>79</v>
      </c>
      <c r="M1351" s="3" t="s">
        <v>80</v>
      </c>
      <c r="N1351" s="3" t="s">
        <v>415</v>
      </c>
      <c r="O1351" s="3" t="s">
        <v>82</v>
      </c>
      <c r="P1351" s="3" t="str">
        <f>"1162845751                    "</f>
        <v xml:space="preserve">1162845751                    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15.46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0</v>
      </c>
      <c r="AZ1351" s="3">
        <v>0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0</v>
      </c>
      <c r="BG1351" s="3">
        <v>0</v>
      </c>
      <c r="BH1351" s="3">
        <v>1</v>
      </c>
      <c r="BI1351" s="3">
        <v>1</v>
      </c>
      <c r="BJ1351" s="3">
        <v>0.2</v>
      </c>
      <c r="BK1351" s="3">
        <v>1</v>
      </c>
      <c r="BL1351" s="3">
        <v>59</v>
      </c>
      <c r="BM1351" s="3">
        <v>8.85</v>
      </c>
      <c r="BN1351" s="3">
        <v>67.849999999999994</v>
      </c>
      <c r="BO1351" s="3">
        <v>67.849999999999994</v>
      </c>
      <c r="BQ1351" s="3" t="s">
        <v>83</v>
      </c>
      <c r="BR1351" s="3" t="s">
        <v>84</v>
      </c>
      <c r="BS1351" s="4">
        <v>44589</v>
      </c>
      <c r="BT1351" s="5">
        <v>0.3923611111111111</v>
      </c>
      <c r="BU1351" s="3" t="s">
        <v>1670</v>
      </c>
      <c r="BV1351" s="3" t="s">
        <v>87</v>
      </c>
      <c r="BW1351" s="3" t="s">
        <v>639</v>
      </c>
      <c r="BX1351" s="3" t="s">
        <v>758</v>
      </c>
      <c r="BY1351" s="3">
        <v>1200</v>
      </c>
      <c r="CC1351" s="3" t="s">
        <v>80</v>
      </c>
      <c r="CD1351" s="3">
        <v>183</v>
      </c>
      <c r="CE1351" s="3" t="s">
        <v>93</v>
      </c>
      <c r="CF1351" s="4">
        <v>44589</v>
      </c>
      <c r="CI1351" s="3">
        <v>1</v>
      </c>
      <c r="CJ1351" s="3">
        <v>7</v>
      </c>
      <c r="CK1351" s="3">
        <v>21</v>
      </c>
      <c r="CL1351" s="3" t="s">
        <v>87</v>
      </c>
    </row>
    <row r="1352" spans="1:90" x14ac:dyDescent="0.2">
      <c r="A1352" s="3" t="s">
        <v>72</v>
      </c>
      <c r="B1352" s="3" t="s">
        <v>73</v>
      </c>
      <c r="C1352" s="3" t="s">
        <v>74</v>
      </c>
      <c r="E1352" s="3" t="str">
        <f>"FES1162845740"</f>
        <v>FES1162845740</v>
      </c>
      <c r="F1352" s="4">
        <v>44580</v>
      </c>
      <c r="G1352" s="3">
        <v>202207</v>
      </c>
      <c r="H1352" s="3" t="s">
        <v>75</v>
      </c>
      <c r="I1352" s="3" t="s">
        <v>76</v>
      </c>
      <c r="J1352" s="3" t="s">
        <v>77</v>
      </c>
      <c r="K1352" s="3" t="s">
        <v>78</v>
      </c>
      <c r="L1352" s="3" t="s">
        <v>167</v>
      </c>
      <c r="M1352" s="3" t="s">
        <v>168</v>
      </c>
      <c r="N1352" s="3" t="s">
        <v>169</v>
      </c>
      <c r="O1352" s="3" t="s">
        <v>82</v>
      </c>
      <c r="P1352" s="3" t="str">
        <f>"2170817236                    "</f>
        <v xml:space="preserve">2170817236                    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15.46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0</v>
      </c>
      <c r="AZ1352" s="3">
        <v>0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  <c r="BH1352" s="3">
        <v>1</v>
      </c>
      <c r="BI1352" s="3">
        <v>1</v>
      </c>
      <c r="BJ1352" s="3">
        <v>0.2</v>
      </c>
      <c r="BK1352" s="3">
        <v>1</v>
      </c>
      <c r="BL1352" s="3">
        <v>59</v>
      </c>
      <c r="BM1352" s="3">
        <v>8.85</v>
      </c>
      <c r="BN1352" s="3">
        <v>67.849999999999994</v>
      </c>
      <c r="BO1352" s="3">
        <v>67.849999999999994</v>
      </c>
      <c r="BQ1352" s="3" t="s">
        <v>83</v>
      </c>
      <c r="BR1352" s="3" t="s">
        <v>84</v>
      </c>
      <c r="BS1352" s="4">
        <v>44581</v>
      </c>
      <c r="BT1352" s="5">
        <v>0.40138888888888885</v>
      </c>
      <c r="BU1352" s="3" t="s">
        <v>262</v>
      </c>
      <c r="BV1352" s="3" t="s">
        <v>105</v>
      </c>
      <c r="BY1352" s="3">
        <v>1200</v>
      </c>
      <c r="CA1352" s="3" t="s">
        <v>1580</v>
      </c>
      <c r="CC1352" s="3" t="s">
        <v>168</v>
      </c>
      <c r="CD1352" s="3">
        <v>6220</v>
      </c>
      <c r="CE1352" s="3" t="s">
        <v>93</v>
      </c>
      <c r="CF1352" s="4">
        <v>44582</v>
      </c>
      <c r="CI1352" s="3">
        <v>1</v>
      </c>
      <c r="CJ1352" s="3">
        <v>1</v>
      </c>
      <c r="CK1352" s="3">
        <v>21</v>
      </c>
      <c r="CL1352" s="3" t="s">
        <v>87</v>
      </c>
    </row>
    <row r="1353" spans="1:90" x14ac:dyDescent="0.2">
      <c r="A1353" s="3" t="s">
        <v>72</v>
      </c>
      <c r="B1353" s="3" t="s">
        <v>73</v>
      </c>
      <c r="C1353" s="3" t="s">
        <v>74</v>
      </c>
      <c r="E1353" s="3" t="str">
        <f>"FES1162845807"</f>
        <v>FES1162845807</v>
      </c>
      <c r="F1353" s="4">
        <v>44580</v>
      </c>
      <c r="G1353" s="3">
        <v>202207</v>
      </c>
      <c r="H1353" s="3" t="s">
        <v>75</v>
      </c>
      <c r="I1353" s="3" t="s">
        <v>76</v>
      </c>
      <c r="J1353" s="3" t="s">
        <v>77</v>
      </c>
      <c r="K1353" s="3" t="s">
        <v>78</v>
      </c>
      <c r="L1353" s="3" t="s">
        <v>123</v>
      </c>
      <c r="M1353" s="3" t="s">
        <v>124</v>
      </c>
      <c r="N1353" s="3" t="s">
        <v>264</v>
      </c>
      <c r="O1353" s="3" t="s">
        <v>82</v>
      </c>
      <c r="P1353" s="3" t="str">
        <f>"2170816328                    "</f>
        <v xml:space="preserve">2170816328                    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12.07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0</v>
      </c>
      <c r="AZ1353" s="3">
        <v>0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3">
        <v>1</v>
      </c>
      <c r="BI1353" s="3">
        <v>1</v>
      </c>
      <c r="BJ1353" s="3">
        <v>0.2</v>
      </c>
      <c r="BK1353" s="3">
        <v>1</v>
      </c>
      <c r="BL1353" s="3">
        <v>46.08</v>
      </c>
      <c r="BM1353" s="3">
        <v>6.91</v>
      </c>
      <c r="BN1353" s="3">
        <v>52.99</v>
      </c>
      <c r="BO1353" s="3">
        <v>52.99</v>
      </c>
      <c r="BQ1353" s="3" t="s">
        <v>89</v>
      </c>
      <c r="BR1353" s="3" t="s">
        <v>84</v>
      </c>
      <c r="BS1353" s="4">
        <v>44581</v>
      </c>
      <c r="BT1353" s="5">
        <v>0.64444444444444449</v>
      </c>
      <c r="BU1353" s="3" t="s">
        <v>1671</v>
      </c>
      <c r="BV1353" s="3" t="s">
        <v>87</v>
      </c>
      <c r="BW1353" s="3" t="s">
        <v>353</v>
      </c>
      <c r="BX1353" s="3" t="s">
        <v>377</v>
      </c>
      <c r="BY1353" s="3">
        <v>1200</v>
      </c>
      <c r="CA1353" s="3" t="s">
        <v>1672</v>
      </c>
      <c r="CC1353" s="3" t="s">
        <v>124</v>
      </c>
      <c r="CD1353" s="3">
        <v>1724</v>
      </c>
      <c r="CE1353" s="3" t="s">
        <v>93</v>
      </c>
      <c r="CF1353" s="4">
        <v>44581</v>
      </c>
      <c r="CI1353" s="3">
        <v>1</v>
      </c>
      <c r="CJ1353" s="3">
        <v>1</v>
      </c>
      <c r="CK1353" s="3">
        <v>22</v>
      </c>
      <c r="CL1353" s="3" t="s">
        <v>87</v>
      </c>
    </row>
    <row r="1354" spans="1:90" x14ac:dyDescent="0.2">
      <c r="A1354" s="3" t="s">
        <v>72</v>
      </c>
      <c r="B1354" s="3" t="s">
        <v>73</v>
      </c>
      <c r="C1354" s="3" t="s">
        <v>74</v>
      </c>
      <c r="E1354" s="3" t="str">
        <f>"FES1162845851"</f>
        <v>FES1162845851</v>
      </c>
      <c r="F1354" s="4">
        <v>44580</v>
      </c>
      <c r="G1354" s="3">
        <v>202207</v>
      </c>
      <c r="H1354" s="3" t="s">
        <v>75</v>
      </c>
      <c r="I1354" s="3" t="s">
        <v>76</v>
      </c>
      <c r="J1354" s="3" t="s">
        <v>77</v>
      </c>
      <c r="K1354" s="3" t="s">
        <v>78</v>
      </c>
      <c r="L1354" s="3" t="s">
        <v>101</v>
      </c>
      <c r="M1354" s="3" t="s">
        <v>102</v>
      </c>
      <c r="N1354" s="3" t="s">
        <v>1673</v>
      </c>
      <c r="O1354" s="3" t="s">
        <v>82</v>
      </c>
      <c r="P1354" s="3" t="str">
        <f>"2170817032                    "</f>
        <v xml:space="preserve">2170817032                    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15.46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0</v>
      </c>
      <c r="AZ1354" s="3">
        <v>0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3">
        <v>1</v>
      </c>
      <c r="BI1354" s="3">
        <v>1</v>
      </c>
      <c r="BJ1354" s="3">
        <v>1.5</v>
      </c>
      <c r="BK1354" s="3">
        <v>1.5</v>
      </c>
      <c r="BL1354" s="3">
        <v>59</v>
      </c>
      <c r="BM1354" s="3">
        <v>8.85</v>
      </c>
      <c r="BN1354" s="3">
        <v>67.849999999999994</v>
      </c>
      <c r="BO1354" s="3">
        <v>67.849999999999994</v>
      </c>
      <c r="BQ1354" s="3" t="s">
        <v>83</v>
      </c>
      <c r="BR1354" s="3" t="s">
        <v>84</v>
      </c>
      <c r="BS1354" s="4">
        <v>44585</v>
      </c>
      <c r="BT1354" s="5">
        <v>0.42986111111111108</v>
      </c>
      <c r="BU1354" s="3" t="s">
        <v>1674</v>
      </c>
      <c r="BV1354" s="3" t="s">
        <v>87</v>
      </c>
      <c r="BW1354" s="3" t="s">
        <v>278</v>
      </c>
      <c r="BX1354" s="3" t="s">
        <v>758</v>
      </c>
      <c r="BY1354" s="3">
        <v>7540</v>
      </c>
      <c r="CA1354" s="3" t="s">
        <v>303</v>
      </c>
      <c r="CC1354" s="3" t="s">
        <v>102</v>
      </c>
      <c r="CD1354" s="3">
        <v>4094</v>
      </c>
      <c r="CE1354" s="3" t="s">
        <v>86</v>
      </c>
      <c r="CF1354" s="4">
        <v>44586</v>
      </c>
      <c r="CI1354" s="3">
        <v>1</v>
      </c>
      <c r="CJ1354" s="3">
        <v>3</v>
      </c>
      <c r="CK1354" s="3">
        <v>21</v>
      </c>
      <c r="CL1354" s="3" t="s">
        <v>87</v>
      </c>
    </row>
    <row r="1355" spans="1:90" x14ac:dyDescent="0.2">
      <c r="A1355" s="3" t="s">
        <v>72</v>
      </c>
      <c r="B1355" s="3" t="s">
        <v>73</v>
      </c>
      <c r="C1355" s="3" t="s">
        <v>74</v>
      </c>
      <c r="E1355" s="3" t="str">
        <f>"FES1162845748"</f>
        <v>FES1162845748</v>
      </c>
      <c r="F1355" s="4">
        <v>44580</v>
      </c>
      <c r="G1355" s="3">
        <v>202207</v>
      </c>
      <c r="H1355" s="3" t="s">
        <v>75</v>
      </c>
      <c r="I1355" s="3" t="s">
        <v>76</v>
      </c>
      <c r="J1355" s="3" t="s">
        <v>77</v>
      </c>
      <c r="K1355" s="3" t="s">
        <v>78</v>
      </c>
      <c r="L1355" s="3" t="s">
        <v>110</v>
      </c>
      <c r="M1355" s="3" t="s">
        <v>110</v>
      </c>
      <c r="N1355" s="3" t="s">
        <v>111</v>
      </c>
      <c r="O1355" s="3" t="s">
        <v>82</v>
      </c>
      <c r="P1355" s="3" t="str">
        <f>"2170817247                    "</f>
        <v xml:space="preserve">2170817247                    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29.95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  <c r="BH1355" s="3">
        <v>1</v>
      </c>
      <c r="BI1355" s="3">
        <v>1</v>
      </c>
      <c r="BJ1355" s="3">
        <v>0.2</v>
      </c>
      <c r="BK1355" s="3">
        <v>1</v>
      </c>
      <c r="BL1355" s="3">
        <v>114.31</v>
      </c>
      <c r="BM1355" s="3">
        <v>17.149999999999999</v>
      </c>
      <c r="BN1355" s="3">
        <v>131.46</v>
      </c>
      <c r="BO1355" s="3">
        <v>131.46</v>
      </c>
      <c r="BQ1355" s="3" t="s">
        <v>89</v>
      </c>
      <c r="BR1355" s="3" t="s">
        <v>84</v>
      </c>
      <c r="BS1355" s="4">
        <v>44581</v>
      </c>
      <c r="BT1355" s="5">
        <v>0.53819444444444442</v>
      </c>
      <c r="BU1355" s="3" t="s">
        <v>1675</v>
      </c>
      <c r="BV1355" s="3" t="s">
        <v>105</v>
      </c>
      <c r="BY1355" s="3">
        <v>1200</v>
      </c>
      <c r="CA1355" s="3" t="s">
        <v>563</v>
      </c>
      <c r="CC1355" s="3" t="s">
        <v>110</v>
      </c>
      <c r="CD1355" s="3">
        <v>7646</v>
      </c>
      <c r="CE1355" s="3" t="s">
        <v>93</v>
      </c>
      <c r="CF1355" s="4">
        <v>44582</v>
      </c>
      <c r="CI1355" s="3">
        <v>1</v>
      </c>
      <c r="CJ1355" s="3">
        <v>1</v>
      </c>
      <c r="CK1355" s="3">
        <v>23</v>
      </c>
      <c r="CL1355" s="3" t="s">
        <v>87</v>
      </c>
    </row>
    <row r="1356" spans="1:90" x14ac:dyDescent="0.2">
      <c r="A1356" s="3" t="s">
        <v>72</v>
      </c>
      <c r="B1356" s="3" t="s">
        <v>73</v>
      </c>
      <c r="C1356" s="3" t="s">
        <v>74</v>
      </c>
      <c r="E1356" s="3" t="str">
        <f>"FES1162845793"</f>
        <v>FES1162845793</v>
      </c>
      <c r="F1356" s="4">
        <v>44580</v>
      </c>
      <c r="G1356" s="3">
        <v>202207</v>
      </c>
      <c r="H1356" s="3" t="s">
        <v>75</v>
      </c>
      <c r="I1356" s="3" t="s">
        <v>76</v>
      </c>
      <c r="J1356" s="3" t="s">
        <v>77</v>
      </c>
      <c r="K1356" s="3" t="s">
        <v>78</v>
      </c>
      <c r="L1356" s="3" t="s">
        <v>94</v>
      </c>
      <c r="M1356" s="3" t="s">
        <v>95</v>
      </c>
      <c r="N1356" s="3" t="s">
        <v>96</v>
      </c>
      <c r="O1356" s="3" t="s">
        <v>82</v>
      </c>
      <c r="P1356" s="3" t="str">
        <f>"2170797596                    "</f>
        <v xml:space="preserve">2170797596                    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15.46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0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  <c r="BH1356" s="3">
        <v>1</v>
      </c>
      <c r="BI1356" s="3">
        <v>1</v>
      </c>
      <c r="BJ1356" s="3">
        <v>0.2</v>
      </c>
      <c r="BK1356" s="3">
        <v>1</v>
      </c>
      <c r="BL1356" s="3">
        <v>59</v>
      </c>
      <c r="BM1356" s="3">
        <v>8.85</v>
      </c>
      <c r="BN1356" s="3">
        <v>67.849999999999994</v>
      </c>
      <c r="BO1356" s="3">
        <v>67.849999999999994</v>
      </c>
      <c r="BQ1356" s="3" t="s">
        <v>89</v>
      </c>
      <c r="BR1356" s="3" t="s">
        <v>84</v>
      </c>
      <c r="BS1356" s="4">
        <v>44582</v>
      </c>
      <c r="BT1356" s="5">
        <v>0.51388888888888895</v>
      </c>
      <c r="BU1356" s="3" t="s">
        <v>897</v>
      </c>
      <c r="BV1356" s="3" t="s">
        <v>87</v>
      </c>
      <c r="BW1356" s="3" t="s">
        <v>453</v>
      </c>
      <c r="BX1356" s="3" t="s">
        <v>279</v>
      </c>
      <c r="BY1356" s="3">
        <v>1200</v>
      </c>
      <c r="CC1356" s="3" t="s">
        <v>95</v>
      </c>
      <c r="CD1356" s="3">
        <v>3201</v>
      </c>
      <c r="CE1356" s="3" t="s">
        <v>93</v>
      </c>
      <c r="CF1356" s="4">
        <v>44587</v>
      </c>
      <c r="CI1356" s="3">
        <v>1</v>
      </c>
      <c r="CJ1356" s="3">
        <v>2</v>
      </c>
      <c r="CK1356" s="3">
        <v>21</v>
      </c>
      <c r="CL1356" s="3" t="s">
        <v>87</v>
      </c>
    </row>
    <row r="1357" spans="1:90" x14ac:dyDescent="0.2">
      <c r="A1357" s="3" t="s">
        <v>72</v>
      </c>
      <c r="B1357" s="3" t="s">
        <v>73</v>
      </c>
      <c r="C1357" s="3" t="s">
        <v>74</v>
      </c>
      <c r="E1357" s="3" t="str">
        <f>"FES1162845818"</f>
        <v>FES1162845818</v>
      </c>
      <c r="F1357" s="4">
        <v>44580</v>
      </c>
      <c r="G1357" s="3">
        <v>202207</v>
      </c>
      <c r="H1357" s="3" t="s">
        <v>75</v>
      </c>
      <c r="I1357" s="3" t="s">
        <v>76</v>
      </c>
      <c r="J1357" s="3" t="s">
        <v>77</v>
      </c>
      <c r="K1357" s="3" t="s">
        <v>78</v>
      </c>
      <c r="L1357" s="3" t="s">
        <v>101</v>
      </c>
      <c r="M1357" s="3" t="s">
        <v>102</v>
      </c>
      <c r="N1357" s="3" t="s">
        <v>1676</v>
      </c>
      <c r="O1357" s="3" t="s">
        <v>82</v>
      </c>
      <c r="P1357" s="3" t="str">
        <f>"2170817296                    "</f>
        <v xml:space="preserve">2170817296                    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15.46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0</v>
      </c>
      <c r="AZ1357" s="3">
        <v>0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1</v>
      </c>
      <c r="BI1357" s="3">
        <v>1</v>
      </c>
      <c r="BJ1357" s="3">
        <v>0.2</v>
      </c>
      <c r="BK1357" s="3">
        <v>1</v>
      </c>
      <c r="BL1357" s="3">
        <v>59</v>
      </c>
      <c r="BM1357" s="3">
        <v>8.85</v>
      </c>
      <c r="BN1357" s="3">
        <v>67.849999999999994</v>
      </c>
      <c r="BO1357" s="3">
        <v>67.849999999999994</v>
      </c>
      <c r="BQ1357" s="3" t="s">
        <v>83</v>
      </c>
      <c r="BR1357" s="3" t="s">
        <v>84</v>
      </c>
      <c r="BS1357" s="4">
        <v>44581</v>
      </c>
      <c r="BT1357" s="5">
        <v>0.43888888888888888</v>
      </c>
      <c r="BU1357" s="3" t="s">
        <v>1677</v>
      </c>
      <c r="BV1357" s="3" t="s">
        <v>87</v>
      </c>
      <c r="BW1357" s="3" t="s">
        <v>457</v>
      </c>
      <c r="BX1357" s="3" t="s">
        <v>279</v>
      </c>
      <c r="BY1357" s="3">
        <v>1200</v>
      </c>
      <c r="CA1357" s="3" t="s">
        <v>1678</v>
      </c>
      <c r="CC1357" s="3" t="s">
        <v>102</v>
      </c>
      <c r="CD1357" s="3">
        <v>4001</v>
      </c>
      <c r="CE1357" s="3" t="s">
        <v>93</v>
      </c>
      <c r="CF1357" s="4">
        <v>44582</v>
      </c>
      <c r="CI1357" s="3">
        <v>1</v>
      </c>
      <c r="CJ1357" s="3">
        <v>1</v>
      </c>
      <c r="CK1357" s="3">
        <v>21</v>
      </c>
      <c r="CL1357" s="3" t="s">
        <v>87</v>
      </c>
    </row>
    <row r="1358" spans="1:90" x14ac:dyDescent="0.2">
      <c r="A1358" s="3" t="s">
        <v>72</v>
      </c>
      <c r="B1358" s="3" t="s">
        <v>73</v>
      </c>
      <c r="C1358" s="3" t="s">
        <v>74</v>
      </c>
      <c r="E1358" s="3" t="str">
        <f>"FES1162845750"</f>
        <v>FES1162845750</v>
      </c>
      <c r="F1358" s="4">
        <v>44580</v>
      </c>
      <c r="G1358" s="3">
        <v>202207</v>
      </c>
      <c r="H1358" s="3" t="s">
        <v>75</v>
      </c>
      <c r="I1358" s="3" t="s">
        <v>76</v>
      </c>
      <c r="J1358" s="3" t="s">
        <v>77</v>
      </c>
      <c r="K1358" s="3" t="s">
        <v>78</v>
      </c>
      <c r="L1358" s="3" t="s">
        <v>79</v>
      </c>
      <c r="M1358" s="3" t="s">
        <v>80</v>
      </c>
      <c r="N1358" s="3" t="s">
        <v>415</v>
      </c>
      <c r="O1358" s="3" t="s">
        <v>82</v>
      </c>
      <c r="P1358" s="3" t="str">
        <f>"2170817225                    "</f>
        <v xml:space="preserve">2170817225                    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15.46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0</v>
      </c>
      <c r="AZ1358" s="3">
        <v>0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  <c r="BH1358" s="3">
        <v>1</v>
      </c>
      <c r="BI1358" s="3">
        <v>1</v>
      </c>
      <c r="BJ1358" s="3">
        <v>0.2</v>
      </c>
      <c r="BK1358" s="3">
        <v>1</v>
      </c>
      <c r="BL1358" s="3">
        <v>59</v>
      </c>
      <c r="BM1358" s="3">
        <v>8.85</v>
      </c>
      <c r="BN1358" s="3">
        <v>67.849999999999994</v>
      </c>
      <c r="BO1358" s="3">
        <v>67.849999999999994</v>
      </c>
      <c r="BQ1358" s="3" t="s">
        <v>83</v>
      </c>
      <c r="BR1358" s="3" t="s">
        <v>84</v>
      </c>
      <c r="BS1358" s="4">
        <v>44581</v>
      </c>
      <c r="BT1358" s="5">
        <v>0.41041666666666665</v>
      </c>
      <c r="BU1358" s="3" t="s">
        <v>1066</v>
      </c>
      <c r="BV1358" s="3" t="s">
        <v>105</v>
      </c>
      <c r="BY1358" s="3">
        <v>1200</v>
      </c>
      <c r="CA1358" s="3" t="s">
        <v>1358</v>
      </c>
      <c r="CC1358" s="3" t="s">
        <v>80</v>
      </c>
      <c r="CD1358" s="3">
        <v>183</v>
      </c>
      <c r="CE1358" s="3" t="s">
        <v>93</v>
      </c>
      <c r="CF1358" s="4">
        <v>44581</v>
      </c>
      <c r="CI1358" s="3">
        <v>1</v>
      </c>
      <c r="CJ1358" s="3">
        <v>1</v>
      </c>
      <c r="CK1358" s="3">
        <v>21</v>
      </c>
      <c r="CL1358" s="3" t="s">
        <v>87</v>
      </c>
    </row>
    <row r="1359" spans="1:90" x14ac:dyDescent="0.2">
      <c r="A1359" s="3" t="s">
        <v>72</v>
      </c>
      <c r="B1359" s="3" t="s">
        <v>73</v>
      </c>
      <c r="C1359" s="3" t="s">
        <v>74</v>
      </c>
      <c r="E1359" s="3" t="str">
        <f>"FES1162845733"</f>
        <v>FES1162845733</v>
      </c>
      <c r="F1359" s="4">
        <v>44580</v>
      </c>
      <c r="G1359" s="3">
        <v>202207</v>
      </c>
      <c r="H1359" s="3" t="s">
        <v>75</v>
      </c>
      <c r="I1359" s="3" t="s">
        <v>76</v>
      </c>
      <c r="J1359" s="3" t="s">
        <v>77</v>
      </c>
      <c r="K1359" s="3" t="s">
        <v>78</v>
      </c>
      <c r="L1359" s="3" t="s">
        <v>241</v>
      </c>
      <c r="M1359" s="3" t="s">
        <v>242</v>
      </c>
      <c r="N1359" s="3" t="s">
        <v>243</v>
      </c>
      <c r="O1359" s="3" t="s">
        <v>82</v>
      </c>
      <c r="P1359" s="3" t="str">
        <f>"2170817215                    "</f>
        <v xml:space="preserve">2170817215                    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15.46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0</v>
      </c>
      <c r="AZ1359" s="3">
        <v>0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1</v>
      </c>
      <c r="BI1359" s="3">
        <v>1</v>
      </c>
      <c r="BJ1359" s="3">
        <v>0.2</v>
      </c>
      <c r="BK1359" s="3">
        <v>1</v>
      </c>
      <c r="BL1359" s="3">
        <v>59</v>
      </c>
      <c r="BM1359" s="3">
        <v>8.85</v>
      </c>
      <c r="BN1359" s="3">
        <v>67.849999999999994</v>
      </c>
      <c r="BO1359" s="3">
        <v>67.849999999999994</v>
      </c>
      <c r="BQ1359" s="3" t="s">
        <v>83</v>
      </c>
      <c r="BR1359" s="3" t="s">
        <v>84</v>
      </c>
      <c r="BS1359" s="4">
        <v>44581</v>
      </c>
      <c r="BT1359" s="5">
        <v>0.45902777777777781</v>
      </c>
      <c r="BU1359" s="3" t="s">
        <v>1679</v>
      </c>
      <c r="BV1359" s="3" t="s">
        <v>105</v>
      </c>
      <c r="BY1359" s="3">
        <v>1200</v>
      </c>
      <c r="CA1359" s="3" t="s">
        <v>389</v>
      </c>
      <c r="CC1359" s="3" t="s">
        <v>242</v>
      </c>
      <c r="CD1359" s="3">
        <v>7600</v>
      </c>
      <c r="CE1359" s="3" t="s">
        <v>93</v>
      </c>
      <c r="CF1359" s="4">
        <v>44582</v>
      </c>
      <c r="CI1359" s="3">
        <v>1</v>
      </c>
      <c r="CJ1359" s="3">
        <v>1</v>
      </c>
      <c r="CK1359" s="3">
        <v>21</v>
      </c>
      <c r="CL1359" s="3" t="s">
        <v>87</v>
      </c>
    </row>
    <row r="1360" spans="1:90" x14ac:dyDescent="0.2">
      <c r="A1360" s="3" t="s">
        <v>72</v>
      </c>
      <c r="B1360" s="3" t="s">
        <v>73</v>
      </c>
      <c r="C1360" s="3" t="s">
        <v>74</v>
      </c>
      <c r="E1360" s="3" t="str">
        <f>"FES1162845745"</f>
        <v>FES1162845745</v>
      </c>
      <c r="F1360" s="4">
        <v>44580</v>
      </c>
      <c r="G1360" s="3">
        <v>202207</v>
      </c>
      <c r="H1360" s="3" t="s">
        <v>75</v>
      </c>
      <c r="I1360" s="3" t="s">
        <v>76</v>
      </c>
      <c r="J1360" s="3" t="s">
        <v>77</v>
      </c>
      <c r="K1360" s="3" t="s">
        <v>78</v>
      </c>
      <c r="L1360" s="3" t="s">
        <v>184</v>
      </c>
      <c r="M1360" s="3" t="s">
        <v>185</v>
      </c>
      <c r="N1360" s="3" t="s">
        <v>186</v>
      </c>
      <c r="O1360" s="3" t="s">
        <v>82</v>
      </c>
      <c r="P1360" s="3" t="str">
        <f>"2170817242                    "</f>
        <v xml:space="preserve">2170817242                    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15.46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1</v>
      </c>
      <c r="BI1360" s="3">
        <v>1</v>
      </c>
      <c r="BJ1360" s="3">
        <v>0.2</v>
      </c>
      <c r="BK1360" s="3">
        <v>1</v>
      </c>
      <c r="BL1360" s="3">
        <v>59</v>
      </c>
      <c r="BM1360" s="3">
        <v>8.85</v>
      </c>
      <c r="BN1360" s="3">
        <v>67.849999999999994</v>
      </c>
      <c r="BO1360" s="3">
        <v>67.849999999999994</v>
      </c>
      <c r="BQ1360" s="3" t="s">
        <v>83</v>
      </c>
      <c r="BR1360" s="3" t="s">
        <v>84</v>
      </c>
      <c r="BS1360" s="4">
        <v>44582</v>
      </c>
      <c r="BT1360" s="5">
        <v>0.56597222222222221</v>
      </c>
      <c r="BU1360" s="3" t="s">
        <v>1680</v>
      </c>
      <c r="BV1360" s="3" t="s">
        <v>87</v>
      </c>
      <c r="BW1360" s="3" t="s">
        <v>457</v>
      </c>
      <c r="BX1360" s="3" t="s">
        <v>605</v>
      </c>
      <c r="BY1360" s="3">
        <v>1200</v>
      </c>
      <c r="CA1360" s="3" t="s">
        <v>1681</v>
      </c>
      <c r="CC1360" s="3" t="s">
        <v>185</v>
      </c>
      <c r="CD1360" s="3">
        <v>5201</v>
      </c>
      <c r="CE1360" s="3" t="s">
        <v>93</v>
      </c>
      <c r="CF1360" s="4">
        <v>44582</v>
      </c>
      <c r="CI1360" s="3">
        <v>1</v>
      </c>
      <c r="CJ1360" s="3">
        <v>2</v>
      </c>
      <c r="CK1360" s="3">
        <v>21</v>
      </c>
      <c r="CL1360" s="3" t="s">
        <v>87</v>
      </c>
    </row>
    <row r="1361" spans="1:90" x14ac:dyDescent="0.2">
      <c r="A1361" s="3" t="s">
        <v>72</v>
      </c>
      <c r="B1361" s="3" t="s">
        <v>73</v>
      </c>
      <c r="C1361" s="3" t="s">
        <v>74</v>
      </c>
      <c r="E1361" s="3" t="str">
        <f>"FES1162845749"</f>
        <v>FES1162845749</v>
      </c>
      <c r="F1361" s="4">
        <v>44580</v>
      </c>
      <c r="G1361" s="3">
        <v>202207</v>
      </c>
      <c r="H1361" s="3" t="s">
        <v>75</v>
      </c>
      <c r="I1361" s="3" t="s">
        <v>76</v>
      </c>
      <c r="J1361" s="3" t="s">
        <v>77</v>
      </c>
      <c r="K1361" s="3" t="s">
        <v>78</v>
      </c>
      <c r="L1361" s="3" t="s">
        <v>79</v>
      </c>
      <c r="M1361" s="3" t="s">
        <v>80</v>
      </c>
      <c r="N1361" s="3" t="s">
        <v>415</v>
      </c>
      <c r="O1361" s="3" t="s">
        <v>82</v>
      </c>
      <c r="P1361" s="3" t="str">
        <f>"2170817222                    "</f>
        <v xml:space="preserve">2170817222                    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15.46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0</v>
      </c>
      <c r="AZ1361" s="3">
        <v>0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  <c r="BH1361" s="3">
        <v>1</v>
      </c>
      <c r="BI1361" s="3">
        <v>1</v>
      </c>
      <c r="BJ1361" s="3">
        <v>0.2</v>
      </c>
      <c r="BK1361" s="3">
        <v>1</v>
      </c>
      <c r="BL1361" s="3">
        <v>59</v>
      </c>
      <c r="BM1361" s="3">
        <v>8.85</v>
      </c>
      <c r="BN1361" s="3">
        <v>67.849999999999994</v>
      </c>
      <c r="BO1361" s="3">
        <v>67.849999999999994</v>
      </c>
      <c r="BQ1361" s="3" t="s">
        <v>83</v>
      </c>
      <c r="BR1361" s="3" t="s">
        <v>84</v>
      </c>
      <c r="BS1361" s="4">
        <v>44581</v>
      </c>
      <c r="BT1361" s="5">
        <v>0.41041666666666665</v>
      </c>
      <c r="BU1361" s="3" t="s">
        <v>1066</v>
      </c>
      <c r="BV1361" s="3" t="s">
        <v>105</v>
      </c>
      <c r="BY1361" s="3">
        <v>1200</v>
      </c>
      <c r="CA1361" s="3" t="s">
        <v>1358</v>
      </c>
      <c r="CC1361" s="3" t="s">
        <v>80</v>
      </c>
      <c r="CD1361" s="3">
        <v>183</v>
      </c>
      <c r="CE1361" s="3" t="s">
        <v>93</v>
      </c>
      <c r="CF1361" s="4">
        <v>44581</v>
      </c>
      <c r="CI1361" s="3">
        <v>1</v>
      </c>
      <c r="CJ1361" s="3">
        <v>1</v>
      </c>
      <c r="CK1361" s="3">
        <v>21</v>
      </c>
      <c r="CL1361" s="3" t="s">
        <v>87</v>
      </c>
    </row>
    <row r="1362" spans="1:90" x14ac:dyDescent="0.2">
      <c r="A1362" s="3" t="s">
        <v>72</v>
      </c>
      <c r="B1362" s="3" t="s">
        <v>73</v>
      </c>
      <c r="C1362" s="3" t="s">
        <v>74</v>
      </c>
      <c r="E1362" s="3" t="str">
        <f>"FES1162845797"</f>
        <v>FES1162845797</v>
      </c>
      <c r="F1362" s="4">
        <v>44580</v>
      </c>
      <c r="G1362" s="3">
        <v>202207</v>
      </c>
      <c r="H1362" s="3" t="s">
        <v>75</v>
      </c>
      <c r="I1362" s="3" t="s">
        <v>76</v>
      </c>
      <c r="J1362" s="3" t="s">
        <v>77</v>
      </c>
      <c r="K1362" s="3" t="s">
        <v>78</v>
      </c>
      <c r="L1362" s="3" t="s">
        <v>335</v>
      </c>
      <c r="M1362" s="3" t="s">
        <v>336</v>
      </c>
      <c r="N1362" s="3" t="s">
        <v>1113</v>
      </c>
      <c r="O1362" s="3" t="s">
        <v>82</v>
      </c>
      <c r="P1362" s="3" t="str">
        <f>"2170814484                    "</f>
        <v xml:space="preserve">2170814484                    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15.46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15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0</v>
      </c>
      <c r="BE1362" s="3">
        <v>0</v>
      </c>
      <c r="BF1362" s="3">
        <v>0</v>
      </c>
      <c r="BG1362" s="3">
        <v>0</v>
      </c>
      <c r="BH1362" s="3">
        <v>1</v>
      </c>
      <c r="BI1362" s="3">
        <v>1</v>
      </c>
      <c r="BJ1362" s="3">
        <v>0.2</v>
      </c>
      <c r="BK1362" s="3">
        <v>1</v>
      </c>
      <c r="BL1362" s="3">
        <v>74</v>
      </c>
      <c r="BM1362" s="3">
        <v>11.1</v>
      </c>
      <c r="BN1362" s="3">
        <v>85.1</v>
      </c>
      <c r="BO1362" s="3">
        <v>85.1</v>
      </c>
      <c r="BQ1362" s="3" t="s">
        <v>126</v>
      </c>
      <c r="BR1362" s="3" t="s">
        <v>84</v>
      </c>
      <c r="BS1362" s="4">
        <v>44581</v>
      </c>
      <c r="BT1362" s="5">
        <v>0.3833333333333333</v>
      </c>
      <c r="BU1362" s="3" t="s">
        <v>1114</v>
      </c>
      <c r="BV1362" s="3" t="s">
        <v>105</v>
      </c>
      <c r="BY1362" s="3">
        <v>1200</v>
      </c>
      <c r="BZ1362" s="3" t="s">
        <v>30</v>
      </c>
      <c r="CA1362" s="3" t="s">
        <v>528</v>
      </c>
      <c r="CC1362" s="3" t="s">
        <v>336</v>
      </c>
      <c r="CD1362" s="3">
        <v>4110</v>
      </c>
      <c r="CE1362" s="3" t="s">
        <v>93</v>
      </c>
      <c r="CF1362" s="4">
        <v>44582</v>
      </c>
      <c r="CI1362" s="3">
        <v>1</v>
      </c>
      <c r="CJ1362" s="3">
        <v>1</v>
      </c>
      <c r="CK1362" s="3">
        <v>21</v>
      </c>
      <c r="CL1362" s="3" t="s">
        <v>87</v>
      </c>
    </row>
    <row r="1363" spans="1:90" x14ac:dyDescent="0.2">
      <c r="A1363" s="3" t="s">
        <v>72</v>
      </c>
      <c r="B1363" s="3" t="s">
        <v>73</v>
      </c>
      <c r="C1363" s="3" t="s">
        <v>74</v>
      </c>
      <c r="E1363" s="3" t="str">
        <f>"FES1162845828"</f>
        <v>FES1162845828</v>
      </c>
      <c r="F1363" s="4">
        <v>44580</v>
      </c>
      <c r="G1363" s="3">
        <v>202207</v>
      </c>
      <c r="H1363" s="3" t="s">
        <v>75</v>
      </c>
      <c r="I1363" s="3" t="s">
        <v>76</v>
      </c>
      <c r="J1363" s="3" t="s">
        <v>77</v>
      </c>
      <c r="K1363" s="3" t="s">
        <v>78</v>
      </c>
      <c r="L1363" s="3" t="s">
        <v>464</v>
      </c>
      <c r="M1363" s="3" t="s">
        <v>465</v>
      </c>
      <c r="N1363" s="3" t="s">
        <v>1682</v>
      </c>
      <c r="O1363" s="3" t="s">
        <v>82</v>
      </c>
      <c r="P1363" s="3" t="str">
        <f>"2170817310                    "</f>
        <v xml:space="preserve">2170817310                    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12.07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0</v>
      </c>
      <c r="BG1363" s="3">
        <v>0</v>
      </c>
      <c r="BH1363" s="3">
        <v>1</v>
      </c>
      <c r="BI1363" s="3">
        <v>1</v>
      </c>
      <c r="BJ1363" s="3">
        <v>0.2</v>
      </c>
      <c r="BK1363" s="3">
        <v>1</v>
      </c>
      <c r="BL1363" s="3">
        <v>46.08</v>
      </c>
      <c r="BM1363" s="3">
        <v>6.91</v>
      </c>
      <c r="BN1363" s="3">
        <v>52.99</v>
      </c>
      <c r="BO1363" s="3">
        <v>52.99</v>
      </c>
      <c r="BQ1363" s="3" t="s">
        <v>89</v>
      </c>
      <c r="BR1363" s="3" t="s">
        <v>84</v>
      </c>
      <c r="BS1363" s="4">
        <v>44581</v>
      </c>
      <c r="BT1363" s="5">
        <v>0.34930555555555554</v>
      </c>
      <c r="BU1363" s="3" t="s">
        <v>1683</v>
      </c>
      <c r="BV1363" s="3" t="s">
        <v>105</v>
      </c>
      <c r="BY1363" s="3">
        <v>1200</v>
      </c>
      <c r="CA1363" s="3" t="s">
        <v>1684</v>
      </c>
      <c r="CC1363" s="3" t="s">
        <v>465</v>
      </c>
      <c r="CD1363" s="3">
        <v>1501</v>
      </c>
      <c r="CE1363" s="3" t="s">
        <v>93</v>
      </c>
      <c r="CF1363" s="4">
        <v>44582</v>
      </c>
      <c r="CI1363" s="3">
        <v>1</v>
      </c>
      <c r="CJ1363" s="3">
        <v>1</v>
      </c>
      <c r="CK1363" s="3">
        <v>22</v>
      </c>
      <c r="CL1363" s="3" t="s">
        <v>87</v>
      </c>
    </row>
    <row r="1364" spans="1:90" x14ac:dyDescent="0.2">
      <c r="A1364" s="3" t="s">
        <v>72</v>
      </c>
      <c r="B1364" s="3" t="s">
        <v>73</v>
      </c>
      <c r="C1364" s="3" t="s">
        <v>74</v>
      </c>
      <c r="E1364" s="3" t="str">
        <f>"FES1162845747"</f>
        <v>FES1162845747</v>
      </c>
      <c r="F1364" s="4">
        <v>44580</v>
      </c>
      <c r="G1364" s="3">
        <v>202207</v>
      </c>
      <c r="H1364" s="3" t="s">
        <v>75</v>
      </c>
      <c r="I1364" s="3" t="s">
        <v>76</v>
      </c>
      <c r="J1364" s="3" t="s">
        <v>77</v>
      </c>
      <c r="K1364" s="3" t="s">
        <v>78</v>
      </c>
      <c r="L1364" s="3" t="s">
        <v>115</v>
      </c>
      <c r="M1364" s="3" t="s">
        <v>116</v>
      </c>
      <c r="N1364" s="3" t="s">
        <v>419</v>
      </c>
      <c r="O1364" s="3" t="s">
        <v>82</v>
      </c>
      <c r="P1364" s="3" t="str">
        <f>"2170817245                    "</f>
        <v xml:space="preserve">2170817245                    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12.07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  <c r="BH1364" s="3">
        <v>1</v>
      </c>
      <c r="BI1364" s="3">
        <v>1</v>
      </c>
      <c r="BJ1364" s="3">
        <v>0.2</v>
      </c>
      <c r="BK1364" s="3">
        <v>1</v>
      </c>
      <c r="BL1364" s="3">
        <v>46.08</v>
      </c>
      <c r="BM1364" s="3">
        <v>6.91</v>
      </c>
      <c r="BN1364" s="3">
        <v>52.99</v>
      </c>
      <c r="BO1364" s="3">
        <v>52.99</v>
      </c>
      <c r="BQ1364" s="3" t="s">
        <v>89</v>
      </c>
      <c r="BR1364" s="3" t="s">
        <v>84</v>
      </c>
      <c r="BS1364" s="4">
        <v>44581</v>
      </c>
      <c r="BT1364" s="5">
        <v>0.40208333333333335</v>
      </c>
      <c r="BU1364" s="3" t="s">
        <v>545</v>
      </c>
      <c r="BV1364" s="3" t="s">
        <v>105</v>
      </c>
      <c r="BY1364" s="3">
        <v>1200</v>
      </c>
      <c r="CA1364" s="3" t="s">
        <v>119</v>
      </c>
      <c r="CC1364" s="3" t="s">
        <v>116</v>
      </c>
      <c r="CD1364" s="3">
        <v>1559</v>
      </c>
      <c r="CE1364" s="3" t="s">
        <v>93</v>
      </c>
      <c r="CF1364" s="4">
        <v>44581</v>
      </c>
      <c r="CI1364" s="3">
        <v>1</v>
      </c>
      <c r="CJ1364" s="3">
        <v>1</v>
      </c>
      <c r="CK1364" s="3">
        <v>22</v>
      </c>
      <c r="CL1364" s="3" t="s">
        <v>87</v>
      </c>
    </row>
    <row r="1365" spans="1:90" x14ac:dyDescent="0.2">
      <c r="A1365" s="3" t="s">
        <v>72</v>
      </c>
      <c r="B1365" s="3" t="s">
        <v>73</v>
      </c>
      <c r="C1365" s="3" t="s">
        <v>74</v>
      </c>
      <c r="E1365" s="3" t="str">
        <f>"FES1162845726"</f>
        <v>FES1162845726</v>
      </c>
      <c r="F1365" s="4">
        <v>44580</v>
      </c>
      <c r="G1365" s="3">
        <v>202207</v>
      </c>
      <c r="H1365" s="3" t="s">
        <v>75</v>
      </c>
      <c r="I1365" s="3" t="s">
        <v>76</v>
      </c>
      <c r="J1365" s="3" t="s">
        <v>77</v>
      </c>
      <c r="K1365" s="3" t="s">
        <v>78</v>
      </c>
      <c r="L1365" s="3" t="s">
        <v>158</v>
      </c>
      <c r="M1365" s="3" t="s">
        <v>159</v>
      </c>
      <c r="N1365" s="3" t="s">
        <v>774</v>
      </c>
      <c r="O1365" s="3" t="s">
        <v>82</v>
      </c>
      <c r="P1365" s="3" t="str">
        <f>"2170817202                    "</f>
        <v xml:space="preserve">2170817202                    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12.07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3">
        <v>1</v>
      </c>
      <c r="BI1365" s="3">
        <v>1</v>
      </c>
      <c r="BJ1365" s="3">
        <v>0.2</v>
      </c>
      <c r="BK1365" s="3">
        <v>1</v>
      </c>
      <c r="BL1365" s="3">
        <v>46.08</v>
      </c>
      <c r="BM1365" s="3">
        <v>6.91</v>
      </c>
      <c r="BN1365" s="3">
        <v>52.99</v>
      </c>
      <c r="BO1365" s="3">
        <v>52.99</v>
      </c>
      <c r="BQ1365" s="3" t="s">
        <v>89</v>
      </c>
      <c r="BR1365" s="3" t="s">
        <v>84</v>
      </c>
      <c r="BS1365" s="4">
        <v>44581</v>
      </c>
      <c r="BT1365" s="5">
        <v>0.3354166666666667</v>
      </c>
      <c r="BU1365" s="3" t="s">
        <v>1685</v>
      </c>
      <c r="BV1365" s="3" t="s">
        <v>105</v>
      </c>
      <c r="BY1365" s="3">
        <v>1200</v>
      </c>
      <c r="CA1365" s="3" t="s">
        <v>678</v>
      </c>
      <c r="CC1365" s="3" t="s">
        <v>159</v>
      </c>
      <c r="CD1365" s="3">
        <v>1459</v>
      </c>
      <c r="CE1365" s="3" t="s">
        <v>93</v>
      </c>
      <c r="CF1365" s="4">
        <v>44581</v>
      </c>
      <c r="CI1365" s="3">
        <v>1</v>
      </c>
      <c r="CJ1365" s="3">
        <v>1</v>
      </c>
      <c r="CK1365" s="3">
        <v>22</v>
      </c>
      <c r="CL1365" s="3" t="s">
        <v>87</v>
      </c>
    </row>
    <row r="1366" spans="1:90" x14ac:dyDescent="0.2">
      <c r="A1366" s="3" t="s">
        <v>72</v>
      </c>
      <c r="B1366" s="3" t="s">
        <v>73</v>
      </c>
      <c r="C1366" s="3" t="s">
        <v>74</v>
      </c>
      <c r="E1366" s="3" t="str">
        <f>"FES1162845722"</f>
        <v>FES1162845722</v>
      </c>
      <c r="F1366" s="4">
        <v>44580</v>
      </c>
      <c r="G1366" s="3">
        <v>202207</v>
      </c>
      <c r="H1366" s="3" t="s">
        <v>75</v>
      </c>
      <c r="I1366" s="3" t="s">
        <v>76</v>
      </c>
      <c r="J1366" s="3" t="s">
        <v>77</v>
      </c>
      <c r="K1366" s="3" t="s">
        <v>78</v>
      </c>
      <c r="L1366" s="3" t="s">
        <v>1686</v>
      </c>
      <c r="M1366" s="3" t="s">
        <v>1687</v>
      </c>
      <c r="N1366" s="3" t="s">
        <v>1688</v>
      </c>
      <c r="O1366" s="3" t="s">
        <v>82</v>
      </c>
      <c r="P1366" s="3" t="str">
        <f>"2170817199                    "</f>
        <v xml:space="preserve">2170817199                    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29.95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3">
        <v>1</v>
      </c>
      <c r="BI1366" s="3">
        <v>1</v>
      </c>
      <c r="BJ1366" s="3">
        <v>0.2</v>
      </c>
      <c r="BK1366" s="3">
        <v>1</v>
      </c>
      <c r="BL1366" s="3">
        <v>114.31</v>
      </c>
      <c r="BM1366" s="3">
        <v>17.149999999999999</v>
      </c>
      <c r="BN1366" s="3">
        <v>131.46</v>
      </c>
      <c r="BO1366" s="3">
        <v>131.46</v>
      </c>
      <c r="BQ1366" s="3" t="s">
        <v>83</v>
      </c>
      <c r="BR1366" s="3" t="s">
        <v>84</v>
      </c>
      <c r="BS1366" s="3" t="s">
        <v>85</v>
      </c>
      <c r="BY1366" s="3">
        <v>1200</v>
      </c>
      <c r="CC1366" s="3" t="s">
        <v>1687</v>
      </c>
      <c r="CD1366" s="3">
        <v>8405</v>
      </c>
      <c r="CE1366" s="3" t="s">
        <v>93</v>
      </c>
      <c r="CI1366" s="3">
        <v>5</v>
      </c>
      <c r="CJ1366" s="3" t="s">
        <v>85</v>
      </c>
      <c r="CK1366" s="3">
        <v>23</v>
      </c>
      <c r="CL1366" s="3" t="s">
        <v>87</v>
      </c>
    </row>
    <row r="1367" spans="1:90" x14ac:dyDescent="0.2">
      <c r="A1367" s="3" t="s">
        <v>72</v>
      </c>
      <c r="B1367" s="3" t="s">
        <v>73</v>
      </c>
      <c r="C1367" s="3" t="s">
        <v>74</v>
      </c>
      <c r="E1367" s="3" t="str">
        <f>"FES1162845799"</f>
        <v>FES1162845799</v>
      </c>
      <c r="F1367" s="4">
        <v>44580</v>
      </c>
      <c r="G1367" s="3">
        <v>202207</v>
      </c>
      <c r="H1367" s="3" t="s">
        <v>75</v>
      </c>
      <c r="I1367" s="3" t="s">
        <v>76</v>
      </c>
      <c r="J1367" s="3" t="s">
        <v>77</v>
      </c>
      <c r="K1367" s="3" t="s">
        <v>78</v>
      </c>
      <c r="L1367" s="3" t="s">
        <v>101</v>
      </c>
      <c r="M1367" s="3" t="s">
        <v>102</v>
      </c>
      <c r="N1367" s="3" t="s">
        <v>1689</v>
      </c>
      <c r="O1367" s="3" t="s">
        <v>82</v>
      </c>
      <c r="P1367" s="3" t="str">
        <f>"2170815542                    "</f>
        <v xml:space="preserve">2170815542                    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15.46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  <c r="BH1367" s="3">
        <v>1</v>
      </c>
      <c r="BI1367" s="3">
        <v>1</v>
      </c>
      <c r="BJ1367" s="3">
        <v>1.5</v>
      </c>
      <c r="BK1367" s="3">
        <v>1.5</v>
      </c>
      <c r="BL1367" s="3">
        <v>59</v>
      </c>
      <c r="BM1367" s="3">
        <v>8.85</v>
      </c>
      <c r="BN1367" s="3">
        <v>67.849999999999994</v>
      </c>
      <c r="BO1367" s="3">
        <v>67.849999999999994</v>
      </c>
      <c r="BQ1367" s="3" t="s">
        <v>83</v>
      </c>
      <c r="BR1367" s="3" t="s">
        <v>84</v>
      </c>
      <c r="BS1367" s="4">
        <v>44581</v>
      </c>
      <c r="BT1367" s="5">
        <v>0.39374999999999999</v>
      </c>
      <c r="BU1367" s="3" t="s">
        <v>1690</v>
      </c>
      <c r="BV1367" s="3" t="s">
        <v>105</v>
      </c>
      <c r="BY1367" s="3">
        <v>7540</v>
      </c>
      <c r="CA1367" s="3" t="s">
        <v>528</v>
      </c>
      <c r="CC1367" s="3" t="s">
        <v>102</v>
      </c>
      <c r="CD1367" s="3">
        <v>4052</v>
      </c>
      <c r="CE1367" s="3" t="s">
        <v>86</v>
      </c>
      <c r="CF1367" s="4">
        <v>44582</v>
      </c>
      <c r="CI1367" s="3">
        <v>1</v>
      </c>
      <c r="CJ1367" s="3">
        <v>1</v>
      </c>
      <c r="CK1367" s="3">
        <v>21</v>
      </c>
      <c r="CL1367" s="3" t="s">
        <v>87</v>
      </c>
    </row>
    <row r="1368" spans="1:90" x14ac:dyDescent="0.2">
      <c r="A1368" s="3" t="s">
        <v>72</v>
      </c>
      <c r="B1368" s="3" t="s">
        <v>73</v>
      </c>
      <c r="C1368" s="3" t="s">
        <v>74</v>
      </c>
      <c r="E1368" s="3" t="str">
        <f>"FES1162845795"</f>
        <v>FES1162845795</v>
      </c>
      <c r="F1368" s="4">
        <v>44580</v>
      </c>
      <c r="G1368" s="3">
        <v>202207</v>
      </c>
      <c r="H1368" s="3" t="s">
        <v>75</v>
      </c>
      <c r="I1368" s="3" t="s">
        <v>76</v>
      </c>
      <c r="J1368" s="3" t="s">
        <v>77</v>
      </c>
      <c r="K1368" s="3" t="s">
        <v>78</v>
      </c>
      <c r="L1368" s="3" t="s">
        <v>158</v>
      </c>
      <c r="M1368" s="3" t="s">
        <v>159</v>
      </c>
      <c r="N1368" s="3" t="s">
        <v>1691</v>
      </c>
      <c r="O1368" s="3" t="s">
        <v>82</v>
      </c>
      <c r="P1368" s="3" t="str">
        <f>"2170811698                    "</f>
        <v xml:space="preserve">2170811698                    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12.07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  <c r="BH1368" s="3">
        <v>1</v>
      </c>
      <c r="BI1368" s="3">
        <v>1</v>
      </c>
      <c r="BJ1368" s="3">
        <v>0.9</v>
      </c>
      <c r="BK1368" s="3">
        <v>1</v>
      </c>
      <c r="BL1368" s="3">
        <v>46.08</v>
      </c>
      <c r="BM1368" s="3">
        <v>6.91</v>
      </c>
      <c r="BN1368" s="3">
        <v>52.99</v>
      </c>
      <c r="BO1368" s="3">
        <v>52.99</v>
      </c>
      <c r="BQ1368" s="3" t="s">
        <v>83</v>
      </c>
      <c r="BR1368" s="3" t="s">
        <v>84</v>
      </c>
      <c r="BS1368" s="4">
        <v>44581</v>
      </c>
      <c r="BT1368" s="5">
        <v>0.29722222222222222</v>
      </c>
      <c r="BU1368" s="3" t="s">
        <v>1692</v>
      </c>
      <c r="BV1368" s="3" t="s">
        <v>105</v>
      </c>
      <c r="BY1368" s="3">
        <v>4275</v>
      </c>
      <c r="CA1368" s="3" t="s">
        <v>1305</v>
      </c>
      <c r="CC1368" s="3" t="s">
        <v>159</v>
      </c>
      <c r="CD1368" s="3">
        <v>1460</v>
      </c>
      <c r="CE1368" s="3" t="s">
        <v>86</v>
      </c>
      <c r="CF1368" s="4">
        <v>44581</v>
      </c>
      <c r="CI1368" s="3">
        <v>1</v>
      </c>
      <c r="CJ1368" s="3">
        <v>1</v>
      </c>
      <c r="CK1368" s="3">
        <v>22</v>
      </c>
      <c r="CL1368" s="3" t="s">
        <v>87</v>
      </c>
    </row>
    <row r="1369" spans="1:90" x14ac:dyDescent="0.2">
      <c r="A1369" s="3" t="s">
        <v>72</v>
      </c>
      <c r="B1369" s="3" t="s">
        <v>73</v>
      </c>
      <c r="C1369" s="3" t="s">
        <v>74</v>
      </c>
      <c r="E1369" s="3" t="str">
        <f>"FES1162845796"</f>
        <v>FES1162845796</v>
      </c>
      <c r="F1369" s="4">
        <v>44580</v>
      </c>
      <c r="G1369" s="3">
        <v>202207</v>
      </c>
      <c r="H1369" s="3" t="s">
        <v>75</v>
      </c>
      <c r="I1369" s="3" t="s">
        <v>76</v>
      </c>
      <c r="J1369" s="3" t="s">
        <v>77</v>
      </c>
      <c r="K1369" s="3" t="s">
        <v>78</v>
      </c>
      <c r="L1369" s="3" t="s">
        <v>158</v>
      </c>
      <c r="M1369" s="3" t="s">
        <v>159</v>
      </c>
      <c r="N1369" s="3" t="s">
        <v>1691</v>
      </c>
      <c r="O1369" s="3" t="s">
        <v>82</v>
      </c>
      <c r="P1369" s="3" t="str">
        <f>"270813223                     "</f>
        <v xml:space="preserve">270813223                     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12.07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3">
        <v>1</v>
      </c>
      <c r="BI1369" s="3">
        <v>1</v>
      </c>
      <c r="BJ1369" s="3">
        <v>0.9</v>
      </c>
      <c r="BK1369" s="3">
        <v>1</v>
      </c>
      <c r="BL1369" s="3">
        <v>46.08</v>
      </c>
      <c r="BM1369" s="3">
        <v>6.91</v>
      </c>
      <c r="BN1369" s="3">
        <v>52.99</v>
      </c>
      <c r="BO1369" s="3">
        <v>52.99</v>
      </c>
      <c r="BQ1369" s="3" t="s">
        <v>83</v>
      </c>
      <c r="BR1369" s="3" t="s">
        <v>84</v>
      </c>
      <c r="BS1369" s="4">
        <v>44581</v>
      </c>
      <c r="BT1369" s="5">
        <v>0.29722222222222222</v>
      </c>
      <c r="BU1369" s="3" t="s">
        <v>1692</v>
      </c>
      <c r="BV1369" s="3" t="s">
        <v>105</v>
      </c>
      <c r="BY1369" s="3">
        <v>4275</v>
      </c>
      <c r="CA1369" s="3" t="s">
        <v>1305</v>
      </c>
      <c r="CC1369" s="3" t="s">
        <v>159</v>
      </c>
      <c r="CD1369" s="3">
        <v>1460</v>
      </c>
      <c r="CE1369" s="3" t="s">
        <v>86</v>
      </c>
      <c r="CF1369" s="4">
        <v>44581</v>
      </c>
      <c r="CI1369" s="3">
        <v>1</v>
      </c>
      <c r="CJ1369" s="3">
        <v>1</v>
      </c>
      <c r="CK1369" s="3">
        <v>22</v>
      </c>
      <c r="CL1369" s="3" t="s">
        <v>87</v>
      </c>
    </row>
    <row r="1370" spans="1:90" x14ac:dyDescent="0.2">
      <c r="A1370" s="3" t="s">
        <v>72</v>
      </c>
      <c r="B1370" s="3" t="s">
        <v>73</v>
      </c>
      <c r="C1370" s="3" t="s">
        <v>74</v>
      </c>
      <c r="E1370" s="3" t="str">
        <f>"FES1162845447"</f>
        <v>FES1162845447</v>
      </c>
      <c r="F1370" s="4">
        <v>44578</v>
      </c>
      <c r="G1370" s="3">
        <v>202207</v>
      </c>
      <c r="H1370" s="3" t="s">
        <v>75</v>
      </c>
      <c r="I1370" s="3" t="s">
        <v>76</v>
      </c>
      <c r="J1370" s="3" t="s">
        <v>77</v>
      </c>
      <c r="K1370" s="3" t="s">
        <v>78</v>
      </c>
      <c r="L1370" s="3" t="s">
        <v>97</v>
      </c>
      <c r="M1370" s="3" t="s">
        <v>98</v>
      </c>
      <c r="N1370" s="3" t="s">
        <v>423</v>
      </c>
      <c r="O1370" s="3" t="s">
        <v>82</v>
      </c>
      <c r="P1370" s="3" t="str">
        <f>"2170816993                    "</f>
        <v xml:space="preserve">2170816993                    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12.07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0</v>
      </c>
      <c r="AZ1370" s="3">
        <v>0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3">
        <v>1</v>
      </c>
      <c r="BI1370" s="3">
        <v>1</v>
      </c>
      <c r="BJ1370" s="3">
        <v>0.2</v>
      </c>
      <c r="BK1370" s="3">
        <v>1</v>
      </c>
      <c r="BL1370" s="3">
        <v>46.08</v>
      </c>
      <c r="BM1370" s="3">
        <v>6.91</v>
      </c>
      <c r="BN1370" s="3">
        <v>52.99</v>
      </c>
      <c r="BO1370" s="3">
        <v>52.99</v>
      </c>
      <c r="BR1370" s="3" t="s">
        <v>84</v>
      </c>
      <c r="BS1370" s="4">
        <v>44579</v>
      </c>
      <c r="BT1370" s="5">
        <v>0.40069444444444446</v>
      </c>
      <c r="BU1370" s="3" t="s">
        <v>1693</v>
      </c>
      <c r="BV1370" s="3" t="s">
        <v>105</v>
      </c>
      <c r="BY1370" s="3">
        <v>1200</v>
      </c>
      <c r="BZ1370" s="3" t="s">
        <v>165</v>
      </c>
      <c r="CA1370" s="3" t="s">
        <v>847</v>
      </c>
      <c r="CC1370" s="3" t="s">
        <v>98</v>
      </c>
      <c r="CD1370" s="3">
        <v>2001</v>
      </c>
      <c r="CE1370" s="3" t="s">
        <v>93</v>
      </c>
      <c r="CF1370" s="4">
        <v>44579</v>
      </c>
      <c r="CI1370" s="3">
        <v>1</v>
      </c>
      <c r="CJ1370" s="3">
        <v>1</v>
      </c>
      <c r="CK1370" s="3">
        <v>22</v>
      </c>
      <c r="CL1370" s="3" t="s">
        <v>87</v>
      </c>
    </row>
    <row r="1371" spans="1:90" x14ac:dyDescent="0.2">
      <c r="A1371" s="3" t="s">
        <v>72</v>
      </c>
      <c r="B1371" s="3" t="s">
        <v>73</v>
      </c>
      <c r="C1371" s="3" t="s">
        <v>74</v>
      </c>
      <c r="E1371" s="3" t="str">
        <f>"FES1162845465"</f>
        <v>FES1162845465</v>
      </c>
      <c r="F1371" s="4">
        <v>44578</v>
      </c>
      <c r="G1371" s="3">
        <v>202207</v>
      </c>
      <c r="H1371" s="3" t="s">
        <v>75</v>
      </c>
      <c r="I1371" s="3" t="s">
        <v>76</v>
      </c>
      <c r="J1371" s="3" t="s">
        <v>77</v>
      </c>
      <c r="K1371" s="3" t="s">
        <v>78</v>
      </c>
      <c r="L1371" s="3" t="s">
        <v>171</v>
      </c>
      <c r="M1371" s="3" t="s">
        <v>172</v>
      </c>
      <c r="N1371" s="3" t="s">
        <v>1694</v>
      </c>
      <c r="O1371" s="3" t="s">
        <v>82</v>
      </c>
      <c r="P1371" s="3" t="str">
        <f>"2170817014                    "</f>
        <v xml:space="preserve">2170817014                    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15.46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0</v>
      </c>
      <c r="AZ1371" s="3">
        <v>0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3">
        <v>1</v>
      </c>
      <c r="BI1371" s="3">
        <v>1</v>
      </c>
      <c r="BJ1371" s="3">
        <v>0.2</v>
      </c>
      <c r="BK1371" s="3">
        <v>1</v>
      </c>
      <c r="BL1371" s="3">
        <v>59</v>
      </c>
      <c r="BM1371" s="3">
        <v>8.85</v>
      </c>
      <c r="BN1371" s="3">
        <v>67.849999999999994</v>
      </c>
      <c r="BO1371" s="3">
        <v>67.849999999999994</v>
      </c>
      <c r="BQ1371" s="3" t="s">
        <v>83</v>
      </c>
      <c r="BR1371" s="3" t="s">
        <v>84</v>
      </c>
      <c r="BS1371" s="4">
        <v>44579</v>
      </c>
      <c r="BT1371" s="5">
        <v>0.64166666666666672</v>
      </c>
      <c r="BU1371" s="3" t="s">
        <v>1695</v>
      </c>
      <c r="BV1371" s="3" t="s">
        <v>87</v>
      </c>
      <c r="BW1371" s="3" t="s">
        <v>457</v>
      </c>
      <c r="BX1371" s="3" t="s">
        <v>279</v>
      </c>
      <c r="BY1371" s="3">
        <v>1200</v>
      </c>
      <c r="BZ1371" s="3" t="s">
        <v>165</v>
      </c>
      <c r="CA1371" s="3" t="s">
        <v>1696</v>
      </c>
      <c r="CC1371" s="3" t="s">
        <v>172</v>
      </c>
      <c r="CD1371" s="3">
        <v>6001</v>
      </c>
      <c r="CE1371" s="3" t="s">
        <v>93</v>
      </c>
      <c r="CF1371" s="4">
        <v>44579</v>
      </c>
      <c r="CI1371" s="3">
        <v>1</v>
      </c>
      <c r="CJ1371" s="3">
        <v>1</v>
      </c>
      <c r="CK1371" s="3">
        <v>21</v>
      </c>
      <c r="CL1371" s="3" t="s">
        <v>87</v>
      </c>
    </row>
    <row r="1372" spans="1:90" x14ac:dyDescent="0.2">
      <c r="A1372" s="3" t="s">
        <v>72</v>
      </c>
      <c r="B1372" s="3" t="s">
        <v>73</v>
      </c>
      <c r="C1372" s="3" t="s">
        <v>74</v>
      </c>
      <c r="E1372" s="3" t="str">
        <f>"FES1162845467"</f>
        <v>FES1162845467</v>
      </c>
      <c r="F1372" s="4">
        <v>44578</v>
      </c>
      <c r="G1372" s="3">
        <v>202207</v>
      </c>
      <c r="H1372" s="3" t="s">
        <v>75</v>
      </c>
      <c r="I1372" s="3" t="s">
        <v>76</v>
      </c>
      <c r="J1372" s="3" t="s">
        <v>77</v>
      </c>
      <c r="K1372" s="3" t="s">
        <v>78</v>
      </c>
      <c r="L1372" s="3" t="s">
        <v>75</v>
      </c>
      <c r="M1372" s="3" t="s">
        <v>76</v>
      </c>
      <c r="N1372" s="3" t="s">
        <v>147</v>
      </c>
      <c r="O1372" s="3" t="s">
        <v>82</v>
      </c>
      <c r="P1372" s="3" t="str">
        <f>"2170817017                    "</f>
        <v xml:space="preserve">2170817017                    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12.07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0</v>
      </c>
      <c r="AZ1372" s="3">
        <v>0</v>
      </c>
      <c r="BA1372" s="3">
        <v>0</v>
      </c>
      <c r="BB1372" s="3">
        <v>0</v>
      </c>
      <c r="BC1372" s="3">
        <v>0</v>
      </c>
      <c r="BD1372" s="3">
        <v>0</v>
      </c>
      <c r="BE1372" s="3">
        <v>0</v>
      </c>
      <c r="BF1372" s="3">
        <v>0</v>
      </c>
      <c r="BG1372" s="3">
        <v>0</v>
      </c>
      <c r="BH1372" s="3">
        <v>1</v>
      </c>
      <c r="BI1372" s="3">
        <v>1</v>
      </c>
      <c r="BJ1372" s="3">
        <v>0.2</v>
      </c>
      <c r="BK1372" s="3">
        <v>1</v>
      </c>
      <c r="BL1372" s="3">
        <v>46.08</v>
      </c>
      <c r="BM1372" s="3">
        <v>6.91</v>
      </c>
      <c r="BN1372" s="3">
        <v>52.99</v>
      </c>
      <c r="BO1372" s="3">
        <v>52.99</v>
      </c>
      <c r="BQ1372" s="3" t="s">
        <v>89</v>
      </c>
      <c r="BR1372" s="3" t="s">
        <v>84</v>
      </c>
      <c r="BS1372" s="4">
        <v>44579</v>
      </c>
      <c r="BT1372" s="5">
        <v>0.40486111111111112</v>
      </c>
      <c r="BU1372" s="3" t="s">
        <v>1386</v>
      </c>
      <c r="BV1372" s="3" t="s">
        <v>105</v>
      </c>
      <c r="BY1372" s="3">
        <v>1200</v>
      </c>
      <c r="BZ1372" s="3" t="s">
        <v>165</v>
      </c>
      <c r="CA1372" s="3" t="s">
        <v>1293</v>
      </c>
      <c r="CC1372" s="3" t="s">
        <v>76</v>
      </c>
      <c r="CD1372" s="3">
        <v>1645</v>
      </c>
      <c r="CE1372" s="3" t="s">
        <v>93</v>
      </c>
      <c r="CF1372" s="4">
        <v>44580</v>
      </c>
      <c r="CI1372" s="3">
        <v>1</v>
      </c>
      <c r="CJ1372" s="3">
        <v>1</v>
      </c>
      <c r="CK1372" s="3">
        <v>22</v>
      </c>
      <c r="CL1372" s="3" t="s">
        <v>87</v>
      </c>
    </row>
    <row r="1373" spans="1:90" x14ac:dyDescent="0.2">
      <c r="A1373" s="3" t="s">
        <v>72</v>
      </c>
      <c r="B1373" s="3" t="s">
        <v>73</v>
      </c>
      <c r="C1373" s="3" t="s">
        <v>74</v>
      </c>
      <c r="E1373" s="3" t="str">
        <f>"FES1162845454"</f>
        <v>FES1162845454</v>
      </c>
      <c r="F1373" s="4">
        <v>44578</v>
      </c>
      <c r="G1373" s="3">
        <v>202207</v>
      </c>
      <c r="H1373" s="3" t="s">
        <v>75</v>
      </c>
      <c r="I1373" s="3" t="s">
        <v>76</v>
      </c>
      <c r="J1373" s="3" t="s">
        <v>77</v>
      </c>
      <c r="K1373" s="3" t="s">
        <v>78</v>
      </c>
      <c r="L1373" s="3" t="s">
        <v>94</v>
      </c>
      <c r="M1373" s="3" t="s">
        <v>95</v>
      </c>
      <c r="N1373" s="3" t="s">
        <v>613</v>
      </c>
      <c r="O1373" s="3" t="s">
        <v>82</v>
      </c>
      <c r="P1373" s="3" t="str">
        <f>"2170817000                    "</f>
        <v xml:space="preserve">2170817000                    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34.770000000000003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0</v>
      </c>
      <c r="AZ1373" s="3">
        <v>0</v>
      </c>
      <c r="BA1373" s="3">
        <v>0</v>
      </c>
      <c r="BB1373" s="3">
        <v>0</v>
      </c>
      <c r="BC1373" s="3">
        <v>0</v>
      </c>
      <c r="BD1373" s="3">
        <v>0</v>
      </c>
      <c r="BE1373" s="3">
        <v>0</v>
      </c>
      <c r="BF1373" s="3">
        <v>0</v>
      </c>
      <c r="BG1373" s="3">
        <v>0</v>
      </c>
      <c r="BH1373" s="3">
        <v>1</v>
      </c>
      <c r="BI1373" s="3">
        <v>1</v>
      </c>
      <c r="BJ1373" s="3">
        <v>4.0999999999999996</v>
      </c>
      <c r="BK1373" s="3">
        <v>4.5</v>
      </c>
      <c r="BL1373" s="3">
        <v>132.71</v>
      </c>
      <c r="BM1373" s="3">
        <v>19.91</v>
      </c>
      <c r="BN1373" s="3">
        <v>152.62</v>
      </c>
      <c r="BO1373" s="3">
        <v>152.62</v>
      </c>
      <c r="BQ1373" s="3" t="s">
        <v>89</v>
      </c>
      <c r="BR1373" s="3" t="s">
        <v>84</v>
      </c>
      <c r="BS1373" s="4">
        <v>44579</v>
      </c>
      <c r="BT1373" s="5">
        <v>0.39583333333333331</v>
      </c>
      <c r="BU1373" s="3" t="s">
        <v>1697</v>
      </c>
      <c r="BV1373" s="3" t="s">
        <v>105</v>
      </c>
      <c r="BY1373" s="3">
        <v>20358</v>
      </c>
      <c r="BZ1373" s="3" t="s">
        <v>165</v>
      </c>
      <c r="CC1373" s="3" t="s">
        <v>95</v>
      </c>
      <c r="CD1373" s="3">
        <v>3212</v>
      </c>
      <c r="CE1373" s="3" t="s">
        <v>86</v>
      </c>
      <c r="CF1373" s="4">
        <v>44582</v>
      </c>
      <c r="CI1373" s="3">
        <v>1</v>
      </c>
      <c r="CJ1373" s="3">
        <v>1</v>
      </c>
      <c r="CK1373" s="3">
        <v>21</v>
      </c>
      <c r="CL1373" s="3" t="s">
        <v>87</v>
      </c>
    </row>
    <row r="1374" spans="1:90" x14ac:dyDescent="0.2">
      <c r="A1374" s="3" t="s">
        <v>72</v>
      </c>
      <c r="B1374" s="3" t="s">
        <v>73</v>
      </c>
      <c r="C1374" s="3" t="s">
        <v>74</v>
      </c>
      <c r="E1374" s="3" t="str">
        <f>"FES1162845431"</f>
        <v>FES1162845431</v>
      </c>
      <c r="F1374" s="4">
        <v>44578</v>
      </c>
      <c r="G1374" s="3">
        <v>202207</v>
      </c>
      <c r="H1374" s="3" t="s">
        <v>75</v>
      </c>
      <c r="I1374" s="3" t="s">
        <v>76</v>
      </c>
      <c r="J1374" s="3" t="s">
        <v>77</v>
      </c>
      <c r="K1374" s="3" t="s">
        <v>78</v>
      </c>
      <c r="L1374" s="3" t="s">
        <v>90</v>
      </c>
      <c r="M1374" s="3" t="s">
        <v>91</v>
      </c>
      <c r="N1374" s="3" t="s">
        <v>600</v>
      </c>
      <c r="O1374" s="3" t="s">
        <v>82</v>
      </c>
      <c r="P1374" s="3" t="str">
        <f>"2170816964                    "</f>
        <v xml:space="preserve">2170816964                    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34.770000000000003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3">
        <v>1</v>
      </c>
      <c r="BI1374" s="3">
        <v>2</v>
      </c>
      <c r="BJ1374" s="3">
        <v>4.0999999999999996</v>
      </c>
      <c r="BK1374" s="3">
        <v>4.5</v>
      </c>
      <c r="BL1374" s="3">
        <v>132.71</v>
      </c>
      <c r="BM1374" s="3">
        <v>19.91</v>
      </c>
      <c r="BN1374" s="3">
        <v>152.62</v>
      </c>
      <c r="BO1374" s="3">
        <v>152.62</v>
      </c>
      <c r="BQ1374" s="3" t="s">
        <v>89</v>
      </c>
      <c r="BR1374" s="3" t="s">
        <v>84</v>
      </c>
      <c r="BS1374" s="4">
        <v>44579</v>
      </c>
      <c r="BT1374" s="5">
        <v>0.3347222222222222</v>
      </c>
      <c r="BU1374" s="3" t="s">
        <v>1698</v>
      </c>
      <c r="BV1374" s="3" t="s">
        <v>105</v>
      </c>
      <c r="BY1374" s="3">
        <v>20358</v>
      </c>
      <c r="BZ1374" s="3" t="s">
        <v>165</v>
      </c>
      <c r="CA1374" s="3" t="s">
        <v>603</v>
      </c>
      <c r="CC1374" s="3" t="s">
        <v>91</v>
      </c>
      <c r="CD1374" s="3">
        <v>7945</v>
      </c>
      <c r="CE1374" s="3" t="s">
        <v>86</v>
      </c>
      <c r="CF1374" s="4">
        <v>44580</v>
      </c>
      <c r="CI1374" s="3">
        <v>1</v>
      </c>
      <c r="CJ1374" s="3">
        <v>1</v>
      </c>
      <c r="CK1374" s="3">
        <v>21</v>
      </c>
      <c r="CL1374" s="3" t="s">
        <v>87</v>
      </c>
    </row>
    <row r="1375" spans="1:90" x14ac:dyDescent="0.2">
      <c r="A1375" s="3" t="s">
        <v>72</v>
      </c>
      <c r="B1375" s="3" t="s">
        <v>73</v>
      </c>
      <c r="C1375" s="3" t="s">
        <v>74</v>
      </c>
      <c r="E1375" s="3" t="str">
        <f>"FES1162845513"</f>
        <v>FES1162845513</v>
      </c>
      <c r="F1375" s="4">
        <v>44578</v>
      </c>
      <c r="G1375" s="3">
        <v>202207</v>
      </c>
      <c r="H1375" s="3" t="s">
        <v>75</v>
      </c>
      <c r="I1375" s="3" t="s">
        <v>76</v>
      </c>
      <c r="J1375" s="3" t="s">
        <v>77</v>
      </c>
      <c r="K1375" s="3" t="s">
        <v>78</v>
      </c>
      <c r="L1375" s="3" t="s">
        <v>90</v>
      </c>
      <c r="M1375" s="3" t="s">
        <v>91</v>
      </c>
      <c r="N1375" s="3" t="s">
        <v>1699</v>
      </c>
      <c r="O1375" s="3" t="s">
        <v>82</v>
      </c>
      <c r="P1375" s="3" t="str">
        <f>"2170817049                    "</f>
        <v xml:space="preserve">2170817049                    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15.46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3">
        <v>1</v>
      </c>
      <c r="BI1375" s="3">
        <v>1</v>
      </c>
      <c r="BJ1375" s="3">
        <v>1.1000000000000001</v>
      </c>
      <c r="BK1375" s="3">
        <v>1.5</v>
      </c>
      <c r="BL1375" s="3">
        <v>59</v>
      </c>
      <c r="BM1375" s="3">
        <v>8.85</v>
      </c>
      <c r="BN1375" s="3">
        <v>67.849999999999994</v>
      </c>
      <c r="BO1375" s="3">
        <v>67.849999999999994</v>
      </c>
      <c r="BQ1375" s="3" t="s">
        <v>83</v>
      </c>
      <c r="BR1375" s="3" t="s">
        <v>84</v>
      </c>
      <c r="BS1375" s="4">
        <v>44579</v>
      </c>
      <c r="BT1375" s="5">
        <v>0.49027777777777781</v>
      </c>
      <c r="BU1375" s="3" t="s">
        <v>1700</v>
      </c>
      <c r="BV1375" s="3" t="s">
        <v>87</v>
      </c>
      <c r="BW1375" s="3" t="s">
        <v>353</v>
      </c>
      <c r="BX1375" s="3" t="s">
        <v>602</v>
      </c>
      <c r="BY1375" s="3">
        <v>5320</v>
      </c>
      <c r="BZ1375" s="3" t="s">
        <v>165</v>
      </c>
      <c r="CA1375" s="3" t="s">
        <v>623</v>
      </c>
      <c r="CC1375" s="3" t="s">
        <v>91</v>
      </c>
      <c r="CD1375" s="3">
        <v>7945</v>
      </c>
      <c r="CE1375" s="3" t="s">
        <v>86</v>
      </c>
      <c r="CF1375" s="4">
        <v>44580</v>
      </c>
      <c r="CI1375" s="3">
        <v>1</v>
      </c>
      <c r="CJ1375" s="3">
        <v>1</v>
      </c>
      <c r="CK1375" s="3">
        <v>21</v>
      </c>
      <c r="CL1375" s="3" t="s">
        <v>87</v>
      </c>
    </row>
    <row r="1376" spans="1:90" x14ac:dyDescent="0.2">
      <c r="A1376" s="3" t="s">
        <v>72</v>
      </c>
      <c r="B1376" s="3" t="s">
        <v>73</v>
      </c>
      <c r="C1376" s="3" t="s">
        <v>74</v>
      </c>
      <c r="E1376" s="3" t="str">
        <f>"FES1162845460"</f>
        <v>FES1162845460</v>
      </c>
      <c r="F1376" s="4">
        <v>44578</v>
      </c>
      <c r="G1376" s="3">
        <v>202207</v>
      </c>
      <c r="H1376" s="3" t="s">
        <v>75</v>
      </c>
      <c r="I1376" s="3" t="s">
        <v>76</v>
      </c>
      <c r="J1376" s="3" t="s">
        <v>77</v>
      </c>
      <c r="K1376" s="3" t="s">
        <v>78</v>
      </c>
      <c r="L1376" s="3" t="s">
        <v>110</v>
      </c>
      <c r="M1376" s="3" t="s">
        <v>110</v>
      </c>
      <c r="N1376" s="3" t="s">
        <v>111</v>
      </c>
      <c r="O1376" s="3" t="s">
        <v>82</v>
      </c>
      <c r="P1376" s="3" t="str">
        <f>"2170817005                    "</f>
        <v xml:space="preserve">2170817005                    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29.95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0</v>
      </c>
      <c r="AZ1376" s="3">
        <v>0</v>
      </c>
      <c r="BA1376" s="3">
        <v>0</v>
      </c>
      <c r="BB1376" s="3">
        <v>0</v>
      </c>
      <c r="BC1376" s="3">
        <v>0</v>
      </c>
      <c r="BD1376" s="3">
        <v>0</v>
      </c>
      <c r="BE1376" s="3">
        <v>0</v>
      </c>
      <c r="BF1376" s="3">
        <v>0</v>
      </c>
      <c r="BG1376" s="3">
        <v>0</v>
      </c>
      <c r="BH1376" s="3">
        <v>1</v>
      </c>
      <c r="BI1376" s="3">
        <v>1</v>
      </c>
      <c r="BJ1376" s="3">
        <v>0.2</v>
      </c>
      <c r="BK1376" s="3">
        <v>1</v>
      </c>
      <c r="BL1376" s="3">
        <v>114.31</v>
      </c>
      <c r="BM1376" s="3">
        <v>17.149999999999999</v>
      </c>
      <c r="BN1376" s="3">
        <v>131.46</v>
      </c>
      <c r="BO1376" s="3">
        <v>131.46</v>
      </c>
      <c r="BQ1376" s="3" t="s">
        <v>89</v>
      </c>
      <c r="BR1376" s="3" t="s">
        <v>84</v>
      </c>
      <c r="BS1376" s="4">
        <v>44579</v>
      </c>
      <c r="BT1376" s="5">
        <v>0.4055555555555555</v>
      </c>
      <c r="BU1376" s="3" t="s">
        <v>1675</v>
      </c>
      <c r="BV1376" s="3" t="s">
        <v>105</v>
      </c>
      <c r="BY1376" s="3">
        <v>1200</v>
      </c>
      <c r="BZ1376" s="3" t="s">
        <v>165</v>
      </c>
      <c r="CA1376" s="3" t="s">
        <v>360</v>
      </c>
      <c r="CC1376" s="3" t="s">
        <v>110</v>
      </c>
      <c r="CD1376" s="3">
        <v>7646</v>
      </c>
      <c r="CE1376" s="3" t="s">
        <v>93</v>
      </c>
      <c r="CF1376" s="4">
        <v>44580</v>
      </c>
      <c r="CI1376" s="3">
        <v>1</v>
      </c>
      <c r="CJ1376" s="3">
        <v>1</v>
      </c>
      <c r="CK1376" s="3">
        <v>23</v>
      </c>
      <c r="CL1376" s="3" t="s">
        <v>87</v>
      </c>
    </row>
    <row r="1377" spans="1:90" x14ac:dyDescent="0.2">
      <c r="A1377" s="3" t="s">
        <v>72</v>
      </c>
      <c r="B1377" s="3" t="s">
        <v>73</v>
      </c>
      <c r="C1377" s="3" t="s">
        <v>74</v>
      </c>
      <c r="E1377" s="3" t="str">
        <f>"FES1162845456"</f>
        <v>FES1162845456</v>
      </c>
      <c r="F1377" s="4">
        <v>44578</v>
      </c>
      <c r="G1377" s="3">
        <v>202207</v>
      </c>
      <c r="H1377" s="3" t="s">
        <v>75</v>
      </c>
      <c r="I1377" s="3" t="s">
        <v>76</v>
      </c>
      <c r="J1377" s="3" t="s">
        <v>77</v>
      </c>
      <c r="K1377" s="3" t="s">
        <v>78</v>
      </c>
      <c r="L1377" s="3" t="s">
        <v>171</v>
      </c>
      <c r="M1377" s="3" t="s">
        <v>172</v>
      </c>
      <c r="N1377" s="3" t="s">
        <v>200</v>
      </c>
      <c r="O1377" s="3" t="s">
        <v>82</v>
      </c>
      <c r="P1377" s="3" t="str">
        <f>"2170817002                    "</f>
        <v xml:space="preserve">2170817002                    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15.46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v>0</v>
      </c>
      <c r="BA1377" s="3">
        <v>0</v>
      </c>
      <c r="BB1377" s="3">
        <v>0</v>
      </c>
      <c r="BC1377" s="3">
        <v>0</v>
      </c>
      <c r="BD1377" s="3">
        <v>0</v>
      </c>
      <c r="BE1377" s="3">
        <v>0</v>
      </c>
      <c r="BF1377" s="3">
        <v>0</v>
      </c>
      <c r="BG1377" s="3">
        <v>0</v>
      </c>
      <c r="BH1377" s="3">
        <v>1</v>
      </c>
      <c r="BI1377" s="3">
        <v>1</v>
      </c>
      <c r="BJ1377" s="3">
        <v>0.2</v>
      </c>
      <c r="BK1377" s="3">
        <v>1</v>
      </c>
      <c r="BL1377" s="3">
        <v>59</v>
      </c>
      <c r="BM1377" s="3">
        <v>8.85</v>
      </c>
      <c r="BN1377" s="3">
        <v>67.849999999999994</v>
      </c>
      <c r="BO1377" s="3">
        <v>67.849999999999994</v>
      </c>
      <c r="BQ1377" s="3" t="s">
        <v>89</v>
      </c>
      <c r="BR1377" s="3" t="s">
        <v>84</v>
      </c>
      <c r="BS1377" s="4">
        <v>44579</v>
      </c>
      <c r="BT1377" s="5">
        <v>0.46319444444444446</v>
      </c>
      <c r="BU1377" s="3" t="s">
        <v>813</v>
      </c>
      <c r="BV1377" s="3" t="s">
        <v>87</v>
      </c>
      <c r="BW1377" s="3" t="s">
        <v>457</v>
      </c>
      <c r="BX1377" s="3" t="s">
        <v>458</v>
      </c>
      <c r="BY1377" s="3">
        <v>1200</v>
      </c>
      <c r="BZ1377" s="3" t="s">
        <v>165</v>
      </c>
      <c r="CA1377" s="3" t="s">
        <v>814</v>
      </c>
      <c r="CC1377" s="3" t="s">
        <v>172</v>
      </c>
      <c r="CD1377" s="3">
        <v>6001</v>
      </c>
      <c r="CE1377" s="3" t="s">
        <v>93</v>
      </c>
      <c r="CF1377" s="4">
        <v>44579</v>
      </c>
      <c r="CI1377" s="3">
        <v>1</v>
      </c>
      <c r="CJ1377" s="3">
        <v>1</v>
      </c>
      <c r="CK1377" s="3">
        <v>21</v>
      </c>
      <c r="CL1377" s="3" t="s">
        <v>87</v>
      </c>
    </row>
    <row r="1378" spans="1:90" x14ac:dyDescent="0.2">
      <c r="A1378" s="3" t="s">
        <v>72</v>
      </c>
      <c r="B1378" s="3" t="s">
        <v>73</v>
      </c>
      <c r="C1378" s="3" t="s">
        <v>74</v>
      </c>
      <c r="E1378" s="3" t="str">
        <f>"FES1162845482"</f>
        <v>FES1162845482</v>
      </c>
      <c r="F1378" s="4">
        <v>44578</v>
      </c>
      <c r="G1378" s="3">
        <v>202207</v>
      </c>
      <c r="H1378" s="3" t="s">
        <v>75</v>
      </c>
      <c r="I1378" s="3" t="s">
        <v>76</v>
      </c>
      <c r="J1378" s="3" t="s">
        <v>77</v>
      </c>
      <c r="K1378" s="3" t="s">
        <v>78</v>
      </c>
      <c r="L1378" s="3" t="s">
        <v>101</v>
      </c>
      <c r="M1378" s="3" t="s">
        <v>102</v>
      </c>
      <c r="N1378" s="3" t="s">
        <v>1673</v>
      </c>
      <c r="O1378" s="3" t="s">
        <v>82</v>
      </c>
      <c r="P1378" s="3" t="str">
        <f>"2170817032                    "</f>
        <v xml:space="preserve">2170817032                    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15.46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0</v>
      </c>
      <c r="AZ1378" s="3">
        <v>0</v>
      </c>
      <c r="BA1378" s="3">
        <v>0</v>
      </c>
      <c r="BB1378" s="3">
        <v>0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3">
        <v>1</v>
      </c>
      <c r="BI1378" s="3">
        <v>1</v>
      </c>
      <c r="BJ1378" s="3">
        <v>0.2</v>
      </c>
      <c r="BK1378" s="3">
        <v>1</v>
      </c>
      <c r="BL1378" s="3">
        <v>59</v>
      </c>
      <c r="BM1378" s="3">
        <v>8.85</v>
      </c>
      <c r="BN1378" s="3">
        <v>67.849999999999994</v>
      </c>
      <c r="BO1378" s="3">
        <v>67.849999999999994</v>
      </c>
      <c r="BQ1378" s="3" t="s">
        <v>83</v>
      </c>
      <c r="BR1378" s="3" t="s">
        <v>84</v>
      </c>
      <c r="BS1378" s="4">
        <v>44579</v>
      </c>
      <c r="BT1378" s="5">
        <v>0.46388888888888885</v>
      </c>
      <c r="BU1378" s="3" t="s">
        <v>1701</v>
      </c>
      <c r="BV1378" s="3" t="s">
        <v>87</v>
      </c>
      <c r="BW1378" s="3" t="s">
        <v>278</v>
      </c>
      <c r="BX1378" s="3" t="s">
        <v>279</v>
      </c>
      <c r="BY1378" s="3">
        <v>1200</v>
      </c>
      <c r="BZ1378" s="3" t="s">
        <v>165</v>
      </c>
      <c r="CA1378" s="3" t="s">
        <v>240</v>
      </c>
      <c r="CC1378" s="3" t="s">
        <v>102</v>
      </c>
      <c r="CD1378" s="3">
        <v>4094</v>
      </c>
      <c r="CE1378" s="3" t="s">
        <v>93</v>
      </c>
      <c r="CF1378" s="4">
        <v>44580</v>
      </c>
      <c r="CI1378" s="3">
        <v>1</v>
      </c>
      <c r="CJ1378" s="3">
        <v>1</v>
      </c>
      <c r="CK1378" s="3">
        <v>21</v>
      </c>
      <c r="CL1378" s="3" t="s">
        <v>87</v>
      </c>
    </row>
    <row r="1379" spans="1:90" x14ac:dyDescent="0.2">
      <c r="A1379" s="3" t="s">
        <v>72</v>
      </c>
      <c r="B1379" s="3" t="s">
        <v>73</v>
      </c>
      <c r="C1379" s="3" t="s">
        <v>74</v>
      </c>
      <c r="E1379" s="3" t="str">
        <f>"FES1162845462"</f>
        <v>FES1162845462</v>
      </c>
      <c r="F1379" s="4">
        <v>44578</v>
      </c>
      <c r="G1379" s="3">
        <v>202207</v>
      </c>
      <c r="H1379" s="3" t="s">
        <v>75</v>
      </c>
      <c r="I1379" s="3" t="s">
        <v>76</v>
      </c>
      <c r="J1379" s="3" t="s">
        <v>77</v>
      </c>
      <c r="K1379" s="3" t="s">
        <v>78</v>
      </c>
      <c r="L1379" s="3" t="s">
        <v>97</v>
      </c>
      <c r="M1379" s="3" t="s">
        <v>98</v>
      </c>
      <c r="N1379" s="3" t="s">
        <v>505</v>
      </c>
      <c r="O1379" s="3" t="s">
        <v>82</v>
      </c>
      <c r="P1379" s="3" t="str">
        <f>"2170817007                    "</f>
        <v xml:space="preserve">2170817007                    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12.07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0</v>
      </c>
      <c r="AZ1379" s="3">
        <v>0</v>
      </c>
      <c r="BA1379" s="3">
        <v>0</v>
      </c>
      <c r="BB1379" s="3">
        <v>0</v>
      </c>
      <c r="BC1379" s="3">
        <v>0</v>
      </c>
      <c r="BD1379" s="3">
        <v>0</v>
      </c>
      <c r="BE1379" s="3">
        <v>0</v>
      </c>
      <c r="BF1379" s="3">
        <v>0</v>
      </c>
      <c r="BG1379" s="3">
        <v>0</v>
      </c>
      <c r="BH1379" s="3">
        <v>1</v>
      </c>
      <c r="BI1379" s="3">
        <v>1</v>
      </c>
      <c r="BJ1379" s="3">
        <v>0.2</v>
      </c>
      <c r="BK1379" s="3">
        <v>1</v>
      </c>
      <c r="BL1379" s="3">
        <v>46.08</v>
      </c>
      <c r="BM1379" s="3">
        <v>6.91</v>
      </c>
      <c r="BN1379" s="3">
        <v>52.99</v>
      </c>
      <c r="BO1379" s="3">
        <v>52.99</v>
      </c>
      <c r="BQ1379" s="3" t="s">
        <v>83</v>
      </c>
      <c r="BR1379" s="3" t="s">
        <v>84</v>
      </c>
      <c r="BS1379" s="4">
        <v>44579</v>
      </c>
      <c r="BT1379" s="5">
        <v>0.35416666666666669</v>
      </c>
      <c r="BU1379" s="3" t="s">
        <v>1702</v>
      </c>
      <c r="BV1379" s="3" t="s">
        <v>105</v>
      </c>
      <c r="BY1379" s="3">
        <v>1200</v>
      </c>
      <c r="BZ1379" s="3" t="s">
        <v>165</v>
      </c>
      <c r="CA1379" s="3" t="s">
        <v>328</v>
      </c>
      <c r="CC1379" s="3" t="s">
        <v>98</v>
      </c>
      <c r="CD1379" s="3">
        <v>2094</v>
      </c>
      <c r="CE1379" s="3" t="s">
        <v>93</v>
      </c>
      <c r="CF1379" s="4">
        <v>44579</v>
      </c>
      <c r="CI1379" s="3">
        <v>1</v>
      </c>
      <c r="CJ1379" s="3">
        <v>1</v>
      </c>
      <c r="CK1379" s="3">
        <v>22</v>
      </c>
      <c r="CL1379" s="3" t="s">
        <v>87</v>
      </c>
    </row>
    <row r="1380" spans="1:90" x14ac:dyDescent="0.2">
      <c r="A1380" s="3" t="s">
        <v>72</v>
      </c>
      <c r="B1380" s="3" t="s">
        <v>73</v>
      </c>
      <c r="C1380" s="3" t="s">
        <v>74</v>
      </c>
      <c r="E1380" s="3" t="str">
        <f>"FES1162845458"</f>
        <v>FES1162845458</v>
      </c>
      <c r="F1380" s="4">
        <v>44578</v>
      </c>
      <c r="G1380" s="3">
        <v>202207</v>
      </c>
      <c r="H1380" s="3" t="s">
        <v>75</v>
      </c>
      <c r="I1380" s="3" t="s">
        <v>76</v>
      </c>
      <c r="J1380" s="3" t="s">
        <v>77</v>
      </c>
      <c r="K1380" s="3" t="s">
        <v>78</v>
      </c>
      <c r="L1380" s="3" t="s">
        <v>97</v>
      </c>
      <c r="M1380" s="3" t="s">
        <v>98</v>
      </c>
      <c r="N1380" s="3" t="s">
        <v>317</v>
      </c>
      <c r="O1380" s="3" t="s">
        <v>82</v>
      </c>
      <c r="P1380" s="3" t="str">
        <f>"2170817003                    "</f>
        <v xml:space="preserve">2170817003                    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12.07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0</v>
      </c>
      <c r="AZ1380" s="3">
        <v>0</v>
      </c>
      <c r="BA1380" s="3">
        <v>0</v>
      </c>
      <c r="BB1380" s="3">
        <v>0</v>
      </c>
      <c r="BC1380" s="3">
        <v>0</v>
      </c>
      <c r="BD1380" s="3">
        <v>0</v>
      </c>
      <c r="BE1380" s="3">
        <v>0</v>
      </c>
      <c r="BF1380" s="3">
        <v>0</v>
      </c>
      <c r="BG1380" s="3">
        <v>0</v>
      </c>
      <c r="BH1380" s="3">
        <v>1</v>
      </c>
      <c r="BI1380" s="3">
        <v>1</v>
      </c>
      <c r="BJ1380" s="3">
        <v>0.2</v>
      </c>
      <c r="BK1380" s="3">
        <v>1</v>
      </c>
      <c r="BL1380" s="3">
        <v>46.08</v>
      </c>
      <c r="BM1380" s="3">
        <v>6.91</v>
      </c>
      <c r="BN1380" s="3">
        <v>52.99</v>
      </c>
      <c r="BO1380" s="3">
        <v>52.99</v>
      </c>
      <c r="BQ1380" s="3" t="s">
        <v>318</v>
      </c>
      <c r="BR1380" s="3" t="s">
        <v>84</v>
      </c>
      <c r="BS1380" s="4">
        <v>44579</v>
      </c>
      <c r="BT1380" s="5">
        <v>0.32430555555555557</v>
      </c>
      <c r="BU1380" s="3" t="s">
        <v>1306</v>
      </c>
      <c r="BV1380" s="3" t="s">
        <v>105</v>
      </c>
      <c r="BY1380" s="3">
        <v>1200</v>
      </c>
      <c r="BZ1380" s="3" t="s">
        <v>165</v>
      </c>
      <c r="CA1380" s="3" t="s">
        <v>1703</v>
      </c>
      <c r="CC1380" s="3" t="s">
        <v>98</v>
      </c>
      <c r="CD1380" s="3">
        <v>2042</v>
      </c>
      <c r="CE1380" s="3" t="s">
        <v>93</v>
      </c>
      <c r="CF1380" s="4">
        <v>44579</v>
      </c>
      <c r="CI1380" s="3">
        <v>1</v>
      </c>
      <c r="CJ1380" s="3">
        <v>1</v>
      </c>
      <c r="CK1380" s="3">
        <v>22</v>
      </c>
      <c r="CL1380" s="3" t="s">
        <v>87</v>
      </c>
    </row>
    <row r="1381" spans="1:90" x14ac:dyDescent="0.2">
      <c r="A1381" s="3" t="s">
        <v>72</v>
      </c>
      <c r="B1381" s="3" t="s">
        <v>73</v>
      </c>
      <c r="C1381" s="3" t="s">
        <v>74</v>
      </c>
      <c r="E1381" s="3" t="str">
        <f>"FES1162845476"</f>
        <v>FES1162845476</v>
      </c>
      <c r="F1381" s="4">
        <v>44578</v>
      </c>
      <c r="G1381" s="3">
        <v>202207</v>
      </c>
      <c r="H1381" s="3" t="s">
        <v>75</v>
      </c>
      <c r="I1381" s="3" t="s">
        <v>76</v>
      </c>
      <c r="J1381" s="3" t="s">
        <v>77</v>
      </c>
      <c r="K1381" s="3" t="s">
        <v>78</v>
      </c>
      <c r="L1381" s="3" t="s">
        <v>312</v>
      </c>
      <c r="M1381" s="3" t="s">
        <v>313</v>
      </c>
      <c r="N1381" s="3" t="s">
        <v>314</v>
      </c>
      <c r="O1381" s="3" t="s">
        <v>82</v>
      </c>
      <c r="P1381" s="3" t="str">
        <f>"2170817024                    "</f>
        <v xml:space="preserve">2170817024                    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38.630000000000003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0</v>
      </c>
      <c r="BF1381" s="3">
        <v>0</v>
      </c>
      <c r="BG1381" s="3">
        <v>0</v>
      </c>
      <c r="BH1381" s="3">
        <v>1</v>
      </c>
      <c r="BI1381" s="3">
        <v>5</v>
      </c>
      <c r="BJ1381" s="3">
        <v>2</v>
      </c>
      <c r="BK1381" s="3">
        <v>5</v>
      </c>
      <c r="BL1381" s="3">
        <v>147.44999999999999</v>
      </c>
      <c r="BM1381" s="3">
        <v>22.12</v>
      </c>
      <c r="BN1381" s="3">
        <v>169.57</v>
      </c>
      <c r="BO1381" s="3">
        <v>169.57</v>
      </c>
      <c r="BR1381" s="3" t="s">
        <v>84</v>
      </c>
      <c r="BS1381" s="4">
        <v>44579</v>
      </c>
      <c r="BT1381" s="5">
        <v>0.43124999999999997</v>
      </c>
      <c r="BU1381" s="3" t="s">
        <v>1704</v>
      </c>
      <c r="BV1381" s="3" t="s">
        <v>105</v>
      </c>
      <c r="BY1381" s="3">
        <v>9918</v>
      </c>
      <c r="BZ1381" s="3" t="s">
        <v>165</v>
      </c>
      <c r="CA1381" s="3" t="s">
        <v>316</v>
      </c>
      <c r="CC1381" s="3" t="s">
        <v>313</v>
      </c>
      <c r="CD1381" s="3">
        <v>1240</v>
      </c>
      <c r="CE1381" s="3" t="s">
        <v>86</v>
      </c>
      <c r="CF1381" s="4">
        <v>44579</v>
      </c>
      <c r="CI1381" s="3">
        <v>1</v>
      </c>
      <c r="CJ1381" s="3">
        <v>1</v>
      </c>
      <c r="CK1381" s="3">
        <v>21</v>
      </c>
      <c r="CL1381" s="3" t="s">
        <v>87</v>
      </c>
    </row>
    <row r="1382" spans="1:90" x14ac:dyDescent="0.2">
      <c r="A1382" s="3" t="s">
        <v>72</v>
      </c>
      <c r="B1382" s="3" t="s">
        <v>73</v>
      </c>
      <c r="C1382" s="3" t="s">
        <v>74</v>
      </c>
      <c r="E1382" s="3" t="str">
        <f>"FES1162845468"</f>
        <v>FES1162845468</v>
      </c>
      <c r="F1382" s="4">
        <v>44578</v>
      </c>
      <c r="G1382" s="3">
        <v>202207</v>
      </c>
      <c r="H1382" s="3" t="s">
        <v>75</v>
      </c>
      <c r="I1382" s="3" t="s">
        <v>76</v>
      </c>
      <c r="J1382" s="3" t="s">
        <v>77</v>
      </c>
      <c r="K1382" s="3" t="s">
        <v>78</v>
      </c>
      <c r="L1382" s="3" t="s">
        <v>176</v>
      </c>
      <c r="M1382" s="3" t="s">
        <v>177</v>
      </c>
      <c r="N1382" s="3" t="s">
        <v>178</v>
      </c>
      <c r="O1382" s="3" t="s">
        <v>82</v>
      </c>
      <c r="P1382" s="3" t="str">
        <f>"2170817019                    "</f>
        <v xml:space="preserve">2170817019                    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15.46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3">
        <v>1</v>
      </c>
      <c r="BI1382" s="3">
        <v>1</v>
      </c>
      <c r="BJ1382" s="3">
        <v>0.2</v>
      </c>
      <c r="BK1382" s="3">
        <v>1</v>
      </c>
      <c r="BL1382" s="3">
        <v>59</v>
      </c>
      <c r="BM1382" s="3">
        <v>8.85</v>
      </c>
      <c r="BN1382" s="3">
        <v>67.849999999999994</v>
      </c>
      <c r="BO1382" s="3">
        <v>67.849999999999994</v>
      </c>
      <c r="BQ1382" s="3" t="s">
        <v>83</v>
      </c>
      <c r="BR1382" s="3" t="s">
        <v>84</v>
      </c>
      <c r="BS1382" s="4">
        <v>44579</v>
      </c>
      <c r="BT1382" s="5">
        <v>0.38958333333333334</v>
      </c>
      <c r="BU1382" s="3" t="s">
        <v>1504</v>
      </c>
      <c r="BV1382" s="3" t="s">
        <v>105</v>
      </c>
      <c r="BY1382" s="3">
        <v>1200</v>
      </c>
      <c r="BZ1382" s="3" t="s">
        <v>165</v>
      </c>
      <c r="CA1382" s="3" t="s">
        <v>615</v>
      </c>
      <c r="CC1382" s="3" t="s">
        <v>177</v>
      </c>
      <c r="CD1382" s="3">
        <v>4026</v>
      </c>
      <c r="CE1382" s="3" t="s">
        <v>93</v>
      </c>
      <c r="CF1382" s="4">
        <v>44580</v>
      </c>
      <c r="CI1382" s="3">
        <v>1</v>
      </c>
      <c r="CJ1382" s="3">
        <v>1</v>
      </c>
      <c r="CK1382" s="3">
        <v>21</v>
      </c>
      <c r="CL1382" s="3" t="s">
        <v>87</v>
      </c>
    </row>
    <row r="1383" spans="1:90" x14ac:dyDescent="0.2">
      <c r="A1383" s="3" t="s">
        <v>72</v>
      </c>
      <c r="B1383" s="3" t="s">
        <v>73</v>
      </c>
      <c r="C1383" s="3" t="s">
        <v>74</v>
      </c>
      <c r="E1383" s="3" t="str">
        <f>"FES1162845466"</f>
        <v>FES1162845466</v>
      </c>
      <c r="F1383" s="4">
        <v>44578</v>
      </c>
      <c r="G1383" s="3">
        <v>202207</v>
      </c>
      <c r="H1383" s="3" t="s">
        <v>75</v>
      </c>
      <c r="I1383" s="3" t="s">
        <v>76</v>
      </c>
      <c r="J1383" s="3" t="s">
        <v>77</v>
      </c>
      <c r="K1383" s="3" t="s">
        <v>78</v>
      </c>
      <c r="L1383" s="3" t="s">
        <v>187</v>
      </c>
      <c r="M1383" s="3" t="s">
        <v>188</v>
      </c>
      <c r="N1383" s="3" t="s">
        <v>189</v>
      </c>
      <c r="O1383" s="3" t="s">
        <v>82</v>
      </c>
      <c r="P1383" s="3" t="str">
        <f>"2170817016                    "</f>
        <v xml:space="preserve">2170817016                    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29.95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0</v>
      </c>
      <c r="AZ1383" s="3">
        <v>0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0</v>
      </c>
      <c r="BH1383" s="3">
        <v>1</v>
      </c>
      <c r="BI1383" s="3">
        <v>1</v>
      </c>
      <c r="BJ1383" s="3">
        <v>0.2</v>
      </c>
      <c r="BK1383" s="3">
        <v>1</v>
      </c>
      <c r="BL1383" s="3">
        <v>114.31</v>
      </c>
      <c r="BM1383" s="3">
        <v>17.149999999999999</v>
      </c>
      <c r="BN1383" s="3">
        <v>131.46</v>
      </c>
      <c r="BO1383" s="3">
        <v>131.46</v>
      </c>
      <c r="BQ1383" s="3" t="s">
        <v>83</v>
      </c>
      <c r="BR1383" s="3" t="s">
        <v>84</v>
      </c>
      <c r="BS1383" s="4">
        <v>44579</v>
      </c>
      <c r="BT1383" s="5">
        <v>0.48680555555555555</v>
      </c>
      <c r="BU1383" s="3" t="s">
        <v>267</v>
      </c>
      <c r="BV1383" s="3" t="s">
        <v>105</v>
      </c>
      <c r="BY1383" s="3">
        <v>1200</v>
      </c>
      <c r="BZ1383" s="3" t="s">
        <v>165</v>
      </c>
      <c r="CA1383" s="3" t="s">
        <v>268</v>
      </c>
      <c r="CC1383" s="3" t="s">
        <v>188</v>
      </c>
      <c r="CD1383" s="3">
        <v>7300</v>
      </c>
      <c r="CE1383" s="3" t="s">
        <v>93</v>
      </c>
      <c r="CF1383" s="4">
        <v>44580</v>
      </c>
      <c r="CI1383" s="3">
        <v>1</v>
      </c>
      <c r="CJ1383" s="3">
        <v>1</v>
      </c>
      <c r="CK1383" s="3">
        <v>23</v>
      </c>
      <c r="CL1383" s="3" t="s">
        <v>87</v>
      </c>
    </row>
    <row r="1384" spans="1:90" x14ac:dyDescent="0.2">
      <c r="A1384" s="3" t="s">
        <v>72</v>
      </c>
      <c r="B1384" s="3" t="s">
        <v>73</v>
      </c>
      <c r="C1384" s="3" t="s">
        <v>74</v>
      </c>
      <c r="E1384" s="3" t="str">
        <f>"FES1162845474"</f>
        <v>FES1162845474</v>
      </c>
      <c r="F1384" s="4">
        <v>44578</v>
      </c>
      <c r="G1384" s="3">
        <v>202207</v>
      </c>
      <c r="H1384" s="3" t="s">
        <v>75</v>
      </c>
      <c r="I1384" s="3" t="s">
        <v>76</v>
      </c>
      <c r="J1384" s="3" t="s">
        <v>77</v>
      </c>
      <c r="K1384" s="3" t="s">
        <v>78</v>
      </c>
      <c r="L1384" s="3" t="s">
        <v>90</v>
      </c>
      <c r="M1384" s="3" t="s">
        <v>91</v>
      </c>
      <c r="N1384" s="3" t="s">
        <v>157</v>
      </c>
      <c r="O1384" s="3" t="s">
        <v>82</v>
      </c>
      <c r="P1384" s="3" t="str">
        <f>"2170817022                    "</f>
        <v xml:space="preserve">2170817022                    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15.46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3">
        <v>1</v>
      </c>
      <c r="BI1384" s="3">
        <v>1</v>
      </c>
      <c r="BJ1384" s="3">
        <v>0.2</v>
      </c>
      <c r="BK1384" s="3">
        <v>1</v>
      </c>
      <c r="BL1384" s="3">
        <v>59</v>
      </c>
      <c r="BM1384" s="3">
        <v>8.85</v>
      </c>
      <c r="BN1384" s="3">
        <v>67.849999999999994</v>
      </c>
      <c r="BO1384" s="3">
        <v>67.849999999999994</v>
      </c>
      <c r="BQ1384" s="3" t="s">
        <v>89</v>
      </c>
      <c r="BR1384" s="3" t="s">
        <v>84</v>
      </c>
      <c r="BS1384" s="4">
        <v>44579</v>
      </c>
      <c r="BT1384" s="5">
        <v>0.51458333333333328</v>
      </c>
      <c r="BU1384" s="3" t="s">
        <v>693</v>
      </c>
      <c r="BV1384" s="3" t="s">
        <v>87</v>
      </c>
      <c r="BW1384" s="3" t="s">
        <v>353</v>
      </c>
      <c r="BX1384" s="3" t="s">
        <v>354</v>
      </c>
      <c r="BY1384" s="3">
        <v>1200</v>
      </c>
      <c r="BZ1384" s="3" t="s">
        <v>165</v>
      </c>
      <c r="CA1384" s="3" t="s">
        <v>1046</v>
      </c>
      <c r="CC1384" s="3" t="s">
        <v>91</v>
      </c>
      <c r="CD1384" s="3">
        <v>7441</v>
      </c>
      <c r="CE1384" s="3" t="s">
        <v>93</v>
      </c>
      <c r="CF1384" s="4">
        <v>44580</v>
      </c>
      <c r="CI1384" s="3">
        <v>1</v>
      </c>
      <c r="CJ1384" s="3">
        <v>1</v>
      </c>
      <c r="CK1384" s="3">
        <v>21</v>
      </c>
      <c r="CL1384" s="3" t="s">
        <v>87</v>
      </c>
    </row>
    <row r="1385" spans="1:90" x14ac:dyDescent="0.2">
      <c r="A1385" s="3" t="s">
        <v>72</v>
      </c>
      <c r="B1385" s="3" t="s">
        <v>73</v>
      </c>
      <c r="C1385" s="3" t="s">
        <v>74</v>
      </c>
      <c r="E1385" s="3" t="str">
        <f>"FES1162845484"</f>
        <v>FES1162845484</v>
      </c>
      <c r="F1385" s="4">
        <v>44578</v>
      </c>
      <c r="G1385" s="3">
        <v>202207</v>
      </c>
      <c r="H1385" s="3" t="s">
        <v>75</v>
      </c>
      <c r="I1385" s="3" t="s">
        <v>76</v>
      </c>
      <c r="J1385" s="3" t="s">
        <v>77</v>
      </c>
      <c r="K1385" s="3" t="s">
        <v>78</v>
      </c>
      <c r="L1385" s="3" t="s">
        <v>110</v>
      </c>
      <c r="M1385" s="3" t="s">
        <v>110</v>
      </c>
      <c r="N1385" s="3" t="s">
        <v>111</v>
      </c>
      <c r="O1385" s="3" t="s">
        <v>82</v>
      </c>
      <c r="P1385" s="3" t="str">
        <f>"2170817034                    "</f>
        <v xml:space="preserve">2170817034                    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29.95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0</v>
      </c>
      <c r="AZ1385" s="3">
        <v>0</v>
      </c>
      <c r="BA1385" s="3">
        <v>0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  <c r="BH1385" s="3">
        <v>1</v>
      </c>
      <c r="BI1385" s="3">
        <v>1</v>
      </c>
      <c r="BJ1385" s="3">
        <v>0.2</v>
      </c>
      <c r="BK1385" s="3">
        <v>1</v>
      </c>
      <c r="BL1385" s="3">
        <v>114.31</v>
      </c>
      <c r="BM1385" s="3">
        <v>17.149999999999999</v>
      </c>
      <c r="BN1385" s="3">
        <v>131.46</v>
      </c>
      <c r="BO1385" s="3">
        <v>131.46</v>
      </c>
      <c r="BQ1385" s="3" t="s">
        <v>89</v>
      </c>
      <c r="BR1385" s="3" t="s">
        <v>84</v>
      </c>
      <c r="BS1385" s="4">
        <v>44579</v>
      </c>
      <c r="BT1385" s="5">
        <v>0.4055555555555555</v>
      </c>
      <c r="BU1385" s="3" t="s">
        <v>1675</v>
      </c>
      <c r="BV1385" s="3" t="s">
        <v>105</v>
      </c>
      <c r="BY1385" s="3">
        <v>1200</v>
      </c>
      <c r="BZ1385" s="3" t="s">
        <v>165</v>
      </c>
      <c r="CA1385" s="3" t="s">
        <v>360</v>
      </c>
      <c r="CC1385" s="3" t="s">
        <v>110</v>
      </c>
      <c r="CD1385" s="3">
        <v>7646</v>
      </c>
      <c r="CE1385" s="3" t="s">
        <v>93</v>
      </c>
      <c r="CF1385" s="4">
        <v>44580</v>
      </c>
      <c r="CI1385" s="3">
        <v>1</v>
      </c>
      <c r="CJ1385" s="3">
        <v>1</v>
      </c>
      <c r="CK1385" s="3">
        <v>23</v>
      </c>
      <c r="CL1385" s="3" t="s">
        <v>87</v>
      </c>
    </row>
    <row r="1386" spans="1:90" x14ac:dyDescent="0.2">
      <c r="A1386" s="3" t="s">
        <v>72</v>
      </c>
      <c r="B1386" s="3" t="s">
        <v>73</v>
      </c>
      <c r="C1386" s="3" t="s">
        <v>74</v>
      </c>
      <c r="E1386" s="3" t="str">
        <f>"FES1162845778"</f>
        <v>FES1162845778</v>
      </c>
      <c r="F1386" s="4">
        <v>44580</v>
      </c>
      <c r="G1386" s="3">
        <v>202207</v>
      </c>
      <c r="H1386" s="3" t="s">
        <v>75</v>
      </c>
      <c r="I1386" s="3" t="s">
        <v>76</v>
      </c>
      <c r="J1386" s="3" t="s">
        <v>77</v>
      </c>
      <c r="K1386" s="3" t="s">
        <v>78</v>
      </c>
      <c r="L1386" s="3" t="s">
        <v>786</v>
      </c>
      <c r="M1386" s="3" t="s">
        <v>787</v>
      </c>
      <c r="N1386" s="3" t="s">
        <v>788</v>
      </c>
      <c r="O1386" s="3" t="s">
        <v>82</v>
      </c>
      <c r="P1386" s="3" t="str">
        <f>"2170817263                    "</f>
        <v xml:space="preserve">2170817263                    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21.74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3">
        <v>1</v>
      </c>
      <c r="BI1386" s="3">
        <v>1</v>
      </c>
      <c r="BJ1386" s="3">
        <v>0.2</v>
      </c>
      <c r="BK1386" s="3">
        <v>1</v>
      </c>
      <c r="BL1386" s="3">
        <v>82.98</v>
      </c>
      <c r="BM1386" s="3">
        <v>12.45</v>
      </c>
      <c r="BN1386" s="3">
        <v>95.43</v>
      </c>
      <c r="BO1386" s="3">
        <v>95.43</v>
      </c>
      <c r="BQ1386" s="3" t="s">
        <v>83</v>
      </c>
      <c r="BR1386" s="3" t="s">
        <v>84</v>
      </c>
      <c r="BS1386" s="4">
        <v>44581</v>
      </c>
      <c r="BT1386" s="5">
        <v>0.46319444444444446</v>
      </c>
      <c r="BU1386" s="3" t="s">
        <v>1618</v>
      </c>
      <c r="BV1386" s="3" t="s">
        <v>105</v>
      </c>
      <c r="BY1386" s="3">
        <v>1200</v>
      </c>
      <c r="CA1386" s="3" t="s">
        <v>790</v>
      </c>
      <c r="CC1386" s="3" t="s">
        <v>787</v>
      </c>
      <c r="CD1386" s="3">
        <v>2410</v>
      </c>
      <c r="CE1386" s="3" t="s">
        <v>93</v>
      </c>
      <c r="CF1386" s="4">
        <v>44581</v>
      </c>
      <c r="CI1386" s="3">
        <v>1</v>
      </c>
      <c r="CJ1386" s="3">
        <v>1</v>
      </c>
      <c r="CK1386" s="3">
        <v>24</v>
      </c>
      <c r="CL1386" s="3" t="s">
        <v>87</v>
      </c>
    </row>
    <row r="1387" spans="1:90" x14ac:dyDescent="0.2">
      <c r="A1387" s="3" t="s">
        <v>72</v>
      </c>
      <c r="B1387" s="3" t="s">
        <v>73</v>
      </c>
      <c r="C1387" s="3" t="s">
        <v>74</v>
      </c>
      <c r="E1387" s="3" t="str">
        <f>"FES1162845708"</f>
        <v>FES1162845708</v>
      </c>
      <c r="F1387" s="4">
        <v>44580</v>
      </c>
      <c r="G1387" s="3">
        <v>202207</v>
      </c>
      <c r="H1387" s="3" t="s">
        <v>75</v>
      </c>
      <c r="I1387" s="3" t="s">
        <v>76</v>
      </c>
      <c r="J1387" s="3" t="s">
        <v>77</v>
      </c>
      <c r="K1387" s="3" t="s">
        <v>78</v>
      </c>
      <c r="L1387" s="3" t="s">
        <v>79</v>
      </c>
      <c r="M1387" s="3" t="s">
        <v>80</v>
      </c>
      <c r="N1387" s="3" t="s">
        <v>1705</v>
      </c>
      <c r="O1387" s="3" t="s">
        <v>148</v>
      </c>
      <c r="P1387" s="3" t="str">
        <f>"2170817165                    "</f>
        <v xml:space="preserve">2170817165                    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34.82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0</v>
      </c>
      <c r="AZ1387" s="3">
        <v>0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0</v>
      </c>
      <c r="BG1387" s="3">
        <v>0</v>
      </c>
      <c r="BH1387" s="3">
        <v>1</v>
      </c>
      <c r="BI1387" s="3">
        <v>9</v>
      </c>
      <c r="BJ1387" s="3">
        <v>18.3</v>
      </c>
      <c r="BK1387" s="3">
        <v>19</v>
      </c>
      <c r="BL1387" s="3">
        <v>138.15</v>
      </c>
      <c r="BM1387" s="3">
        <v>20.72</v>
      </c>
      <c r="BN1387" s="3">
        <v>158.87</v>
      </c>
      <c r="BO1387" s="3">
        <v>158.87</v>
      </c>
      <c r="BQ1387" s="3" t="s">
        <v>89</v>
      </c>
      <c r="BR1387" s="3" t="s">
        <v>84</v>
      </c>
      <c r="BS1387" s="3" t="s">
        <v>85</v>
      </c>
      <c r="BY1387" s="3">
        <v>91264</v>
      </c>
      <c r="CC1387" s="3" t="s">
        <v>80</v>
      </c>
      <c r="CD1387" s="3">
        <v>200</v>
      </c>
      <c r="CE1387" s="3" t="s">
        <v>86</v>
      </c>
      <c r="CI1387" s="3">
        <v>1</v>
      </c>
      <c r="CJ1387" s="3" t="s">
        <v>85</v>
      </c>
      <c r="CK1387" s="3">
        <v>41</v>
      </c>
      <c r="CL1387" s="3" t="s">
        <v>87</v>
      </c>
    </row>
    <row r="1388" spans="1:90" x14ac:dyDescent="0.2">
      <c r="A1388" s="3" t="s">
        <v>72</v>
      </c>
      <c r="B1388" s="3" t="s">
        <v>73</v>
      </c>
      <c r="C1388" s="3" t="s">
        <v>74</v>
      </c>
      <c r="E1388" s="3" t="str">
        <f>"FES1162845774"</f>
        <v>FES1162845774</v>
      </c>
      <c r="F1388" s="4">
        <v>44580</v>
      </c>
      <c r="G1388" s="3">
        <v>202207</v>
      </c>
      <c r="H1388" s="3" t="s">
        <v>75</v>
      </c>
      <c r="I1388" s="3" t="s">
        <v>76</v>
      </c>
      <c r="J1388" s="3" t="s">
        <v>77</v>
      </c>
      <c r="K1388" s="3" t="s">
        <v>78</v>
      </c>
      <c r="L1388" s="3" t="s">
        <v>420</v>
      </c>
      <c r="M1388" s="3" t="s">
        <v>421</v>
      </c>
      <c r="N1388" s="3" t="s">
        <v>422</v>
      </c>
      <c r="O1388" s="3" t="s">
        <v>82</v>
      </c>
      <c r="P1388" s="3" t="str">
        <f>"2170817267                    "</f>
        <v xml:space="preserve">2170817267                    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29.95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>
        <v>0</v>
      </c>
      <c r="BG1388" s="3">
        <v>0</v>
      </c>
      <c r="BH1388" s="3">
        <v>1</v>
      </c>
      <c r="BI1388" s="3">
        <v>1</v>
      </c>
      <c r="BJ1388" s="3">
        <v>0.2</v>
      </c>
      <c r="BK1388" s="3">
        <v>1</v>
      </c>
      <c r="BL1388" s="3">
        <v>114.31</v>
      </c>
      <c r="BM1388" s="3">
        <v>17.149999999999999</v>
      </c>
      <c r="BN1388" s="3">
        <v>131.46</v>
      </c>
      <c r="BO1388" s="3">
        <v>131.46</v>
      </c>
      <c r="BR1388" s="3" t="s">
        <v>84</v>
      </c>
      <c r="BS1388" s="4">
        <v>44585</v>
      </c>
      <c r="BT1388" s="5">
        <v>9.7222222222222224E-3</v>
      </c>
      <c r="BU1388" s="3" t="s">
        <v>1706</v>
      </c>
      <c r="BV1388" s="3" t="s">
        <v>87</v>
      </c>
      <c r="BY1388" s="3">
        <v>1200</v>
      </c>
      <c r="CC1388" s="3" t="s">
        <v>421</v>
      </c>
      <c r="CD1388" s="3">
        <v>6742</v>
      </c>
      <c r="CE1388" s="3" t="s">
        <v>93</v>
      </c>
      <c r="CF1388" s="4">
        <v>44589</v>
      </c>
      <c r="CI1388" s="3">
        <v>2</v>
      </c>
      <c r="CJ1388" s="3">
        <v>3</v>
      </c>
      <c r="CK1388" s="3">
        <v>23</v>
      </c>
      <c r="CL1388" s="3" t="s">
        <v>87</v>
      </c>
    </row>
    <row r="1389" spans="1:90" x14ac:dyDescent="0.2">
      <c r="A1389" s="3" t="s">
        <v>72</v>
      </c>
      <c r="B1389" s="3" t="s">
        <v>73</v>
      </c>
      <c r="C1389" s="3" t="s">
        <v>74</v>
      </c>
      <c r="E1389" s="3" t="str">
        <f>"FES1162845721"</f>
        <v>FES1162845721</v>
      </c>
      <c r="F1389" s="4">
        <v>44580</v>
      </c>
      <c r="G1389" s="3">
        <v>202207</v>
      </c>
      <c r="H1389" s="3" t="s">
        <v>75</v>
      </c>
      <c r="I1389" s="3" t="s">
        <v>76</v>
      </c>
      <c r="J1389" s="3" t="s">
        <v>77</v>
      </c>
      <c r="K1389" s="3" t="s">
        <v>78</v>
      </c>
      <c r="L1389" s="3" t="s">
        <v>171</v>
      </c>
      <c r="M1389" s="3" t="s">
        <v>172</v>
      </c>
      <c r="N1389" s="3" t="s">
        <v>329</v>
      </c>
      <c r="O1389" s="3" t="s">
        <v>82</v>
      </c>
      <c r="P1389" s="3" t="str">
        <f>"2170810302                    "</f>
        <v xml:space="preserve">2170810302                    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15.46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0</v>
      </c>
      <c r="AZ1389" s="3">
        <v>0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0</v>
      </c>
      <c r="BH1389" s="3">
        <v>1</v>
      </c>
      <c r="BI1389" s="3">
        <v>1</v>
      </c>
      <c r="BJ1389" s="3">
        <v>0.9</v>
      </c>
      <c r="BK1389" s="3">
        <v>1</v>
      </c>
      <c r="BL1389" s="3">
        <v>59</v>
      </c>
      <c r="BM1389" s="3">
        <v>8.85</v>
      </c>
      <c r="BN1389" s="3">
        <v>67.849999999999994</v>
      </c>
      <c r="BO1389" s="3">
        <v>67.849999999999994</v>
      </c>
      <c r="BQ1389" s="3" t="s">
        <v>83</v>
      </c>
      <c r="BR1389" s="3" t="s">
        <v>84</v>
      </c>
      <c r="BS1389" s="4">
        <v>44581</v>
      </c>
      <c r="BT1389" s="5">
        <v>0.41597222222222219</v>
      </c>
      <c r="BU1389" s="3" t="s">
        <v>330</v>
      </c>
      <c r="BV1389" s="3" t="s">
        <v>105</v>
      </c>
      <c r="BY1389" s="3">
        <v>4275</v>
      </c>
      <c r="CA1389" s="3" t="s">
        <v>331</v>
      </c>
      <c r="CC1389" s="3" t="s">
        <v>172</v>
      </c>
      <c r="CD1389" s="3">
        <v>6001</v>
      </c>
      <c r="CE1389" s="3" t="s">
        <v>86</v>
      </c>
      <c r="CF1389" s="4">
        <v>44582</v>
      </c>
      <c r="CI1389" s="3">
        <v>1</v>
      </c>
      <c r="CJ1389" s="3">
        <v>1</v>
      </c>
      <c r="CK1389" s="3">
        <v>21</v>
      </c>
      <c r="CL1389" s="3" t="s">
        <v>87</v>
      </c>
    </row>
    <row r="1390" spans="1:90" x14ac:dyDescent="0.2">
      <c r="A1390" s="3" t="s">
        <v>72</v>
      </c>
      <c r="B1390" s="3" t="s">
        <v>73</v>
      </c>
      <c r="C1390" s="3" t="s">
        <v>74</v>
      </c>
      <c r="E1390" s="3" t="str">
        <f>"FES1162845772"</f>
        <v>FES1162845772</v>
      </c>
      <c r="F1390" s="4">
        <v>44580</v>
      </c>
      <c r="G1390" s="3">
        <v>202207</v>
      </c>
      <c r="H1390" s="3" t="s">
        <v>75</v>
      </c>
      <c r="I1390" s="3" t="s">
        <v>76</v>
      </c>
      <c r="J1390" s="3" t="s">
        <v>77</v>
      </c>
      <c r="K1390" s="3" t="s">
        <v>78</v>
      </c>
      <c r="L1390" s="3" t="s">
        <v>97</v>
      </c>
      <c r="M1390" s="3" t="s">
        <v>98</v>
      </c>
      <c r="N1390" s="3" t="s">
        <v>1707</v>
      </c>
      <c r="O1390" s="3" t="s">
        <v>82</v>
      </c>
      <c r="P1390" s="3" t="str">
        <f>"2170817265                    "</f>
        <v xml:space="preserve">2170817265                    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12.07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0</v>
      </c>
      <c r="AZ1390" s="3">
        <v>0</v>
      </c>
      <c r="BA1390" s="3">
        <v>0</v>
      </c>
      <c r="BB1390" s="3">
        <v>0</v>
      </c>
      <c r="BC1390" s="3">
        <v>0</v>
      </c>
      <c r="BD1390" s="3">
        <v>0</v>
      </c>
      <c r="BE1390" s="3">
        <v>0</v>
      </c>
      <c r="BF1390" s="3">
        <v>0</v>
      </c>
      <c r="BG1390" s="3">
        <v>0</v>
      </c>
      <c r="BH1390" s="3">
        <v>1</v>
      </c>
      <c r="BI1390" s="3">
        <v>1</v>
      </c>
      <c r="BJ1390" s="3">
        <v>0.2</v>
      </c>
      <c r="BK1390" s="3">
        <v>1</v>
      </c>
      <c r="BL1390" s="3">
        <v>46.08</v>
      </c>
      <c r="BM1390" s="3">
        <v>6.91</v>
      </c>
      <c r="BN1390" s="3">
        <v>52.99</v>
      </c>
      <c r="BO1390" s="3">
        <v>52.99</v>
      </c>
      <c r="BR1390" s="3" t="s">
        <v>84</v>
      </c>
      <c r="BS1390" s="4">
        <v>44581</v>
      </c>
      <c r="BT1390" s="5">
        <v>0.3444444444444445</v>
      </c>
      <c r="BU1390" s="3" t="s">
        <v>1708</v>
      </c>
      <c r="BV1390" s="3" t="s">
        <v>105</v>
      </c>
      <c r="BY1390" s="3">
        <v>1200</v>
      </c>
      <c r="CA1390" s="3" t="s">
        <v>1703</v>
      </c>
      <c r="CC1390" s="3" t="s">
        <v>98</v>
      </c>
      <c r="CD1390" s="3">
        <v>2093</v>
      </c>
      <c r="CE1390" s="3" t="s">
        <v>93</v>
      </c>
      <c r="CF1390" s="4">
        <v>44582</v>
      </c>
      <c r="CI1390" s="3">
        <v>1</v>
      </c>
      <c r="CJ1390" s="3">
        <v>1</v>
      </c>
      <c r="CK1390" s="3">
        <v>22</v>
      </c>
      <c r="CL1390" s="3" t="s">
        <v>87</v>
      </c>
    </row>
    <row r="1391" spans="1:90" x14ac:dyDescent="0.2">
      <c r="A1391" s="3" t="s">
        <v>72</v>
      </c>
      <c r="B1391" s="3" t="s">
        <v>73</v>
      </c>
      <c r="C1391" s="3" t="s">
        <v>74</v>
      </c>
      <c r="E1391" s="3" t="str">
        <f>"FES1162845741"</f>
        <v>FES1162845741</v>
      </c>
      <c r="F1391" s="4">
        <v>44580</v>
      </c>
      <c r="G1391" s="3">
        <v>202207</v>
      </c>
      <c r="H1391" s="3" t="s">
        <v>75</v>
      </c>
      <c r="I1391" s="3" t="s">
        <v>76</v>
      </c>
      <c r="J1391" s="3" t="s">
        <v>77</v>
      </c>
      <c r="K1391" s="3" t="s">
        <v>78</v>
      </c>
      <c r="L1391" s="3" t="s">
        <v>154</v>
      </c>
      <c r="M1391" s="3" t="s">
        <v>155</v>
      </c>
      <c r="N1391" s="3" t="s">
        <v>963</v>
      </c>
      <c r="O1391" s="3" t="s">
        <v>82</v>
      </c>
      <c r="P1391" s="3" t="str">
        <f>"2170817238                    "</f>
        <v xml:space="preserve">2170817238                    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12.07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3">
        <v>1</v>
      </c>
      <c r="BI1391" s="3">
        <v>2</v>
      </c>
      <c r="BJ1391" s="3">
        <v>1.7</v>
      </c>
      <c r="BK1391" s="3">
        <v>2</v>
      </c>
      <c r="BL1391" s="3">
        <v>46.08</v>
      </c>
      <c r="BM1391" s="3">
        <v>6.91</v>
      </c>
      <c r="BN1391" s="3">
        <v>52.99</v>
      </c>
      <c r="BO1391" s="3">
        <v>52.99</v>
      </c>
      <c r="BQ1391" s="3" t="s">
        <v>83</v>
      </c>
      <c r="BR1391" s="3" t="s">
        <v>84</v>
      </c>
      <c r="BS1391" s="4">
        <v>44581</v>
      </c>
      <c r="BT1391" s="5">
        <v>0.3840277777777778</v>
      </c>
      <c r="BU1391" s="3" t="s">
        <v>1178</v>
      </c>
      <c r="BV1391" s="3" t="s">
        <v>105</v>
      </c>
      <c r="BY1391" s="3">
        <v>8325</v>
      </c>
      <c r="CA1391" s="3" t="s">
        <v>965</v>
      </c>
      <c r="CC1391" s="3" t="s">
        <v>155</v>
      </c>
      <c r="CD1391" s="3">
        <v>1682</v>
      </c>
      <c r="CE1391" s="3" t="s">
        <v>86</v>
      </c>
      <c r="CF1391" s="4">
        <v>44582</v>
      </c>
      <c r="CI1391" s="3">
        <v>1</v>
      </c>
      <c r="CJ1391" s="3">
        <v>1</v>
      </c>
      <c r="CK1391" s="3">
        <v>22</v>
      </c>
      <c r="CL1391" s="3" t="s">
        <v>87</v>
      </c>
    </row>
    <row r="1392" spans="1:90" x14ac:dyDescent="0.2">
      <c r="A1392" s="3" t="s">
        <v>72</v>
      </c>
      <c r="B1392" s="3" t="s">
        <v>73</v>
      </c>
      <c r="C1392" s="3" t="s">
        <v>74</v>
      </c>
      <c r="E1392" s="3" t="str">
        <f>"FES1162845788"</f>
        <v>FES1162845788</v>
      </c>
      <c r="F1392" s="4">
        <v>44580</v>
      </c>
      <c r="G1392" s="3">
        <v>202207</v>
      </c>
      <c r="H1392" s="3" t="s">
        <v>75</v>
      </c>
      <c r="I1392" s="3" t="s">
        <v>76</v>
      </c>
      <c r="J1392" s="3" t="s">
        <v>77</v>
      </c>
      <c r="K1392" s="3" t="s">
        <v>78</v>
      </c>
      <c r="L1392" s="3" t="s">
        <v>171</v>
      </c>
      <c r="M1392" s="3" t="s">
        <v>172</v>
      </c>
      <c r="N1392" s="3" t="s">
        <v>1709</v>
      </c>
      <c r="O1392" s="3" t="s">
        <v>82</v>
      </c>
      <c r="P1392" s="3" t="str">
        <f>"2170817279                    "</f>
        <v xml:space="preserve">2170817279                    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15.46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0</v>
      </c>
      <c r="AZ1392" s="3">
        <v>0</v>
      </c>
      <c r="BA1392" s="3">
        <v>0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0</v>
      </c>
      <c r="BH1392" s="3">
        <v>1</v>
      </c>
      <c r="BI1392" s="3">
        <v>1</v>
      </c>
      <c r="BJ1392" s="3">
        <v>0.5</v>
      </c>
      <c r="BK1392" s="3">
        <v>1</v>
      </c>
      <c r="BL1392" s="3">
        <v>59</v>
      </c>
      <c r="BM1392" s="3">
        <v>8.85</v>
      </c>
      <c r="BN1392" s="3">
        <v>67.849999999999994</v>
      </c>
      <c r="BO1392" s="3">
        <v>67.849999999999994</v>
      </c>
      <c r="BQ1392" s="3" t="s">
        <v>83</v>
      </c>
      <c r="BR1392" s="3" t="s">
        <v>84</v>
      </c>
      <c r="BS1392" s="4">
        <v>44581</v>
      </c>
      <c r="BT1392" s="5">
        <v>0.43472222222222223</v>
      </c>
      <c r="BU1392" s="3" t="s">
        <v>1710</v>
      </c>
      <c r="BV1392" s="3" t="s">
        <v>105</v>
      </c>
      <c r="BY1392" s="3">
        <v>2646</v>
      </c>
      <c r="CA1392" s="3" t="s">
        <v>331</v>
      </c>
      <c r="CC1392" s="3" t="s">
        <v>172</v>
      </c>
      <c r="CD1392" s="3">
        <v>6001</v>
      </c>
      <c r="CE1392" s="3" t="s">
        <v>86</v>
      </c>
      <c r="CF1392" s="4">
        <v>44582</v>
      </c>
      <c r="CI1392" s="3">
        <v>1</v>
      </c>
      <c r="CJ1392" s="3">
        <v>1</v>
      </c>
      <c r="CK1392" s="3">
        <v>21</v>
      </c>
      <c r="CL1392" s="3" t="s">
        <v>87</v>
      </c>
    </row>
    <row r="1393" spans="1:90" x14ac:dyDescent="0.2">
      <c r="A1393" s="3" t="s">
        <v>72</v>
      </c>
      <c r="B1393" s="3" t="s">
        <v>73</v>
      </c>
      <c r="C1393" s="3" t="s">
        <v>74</v>
      </c>
      <c r="E1393" s="3" t="str">
        <f>"FES1162845789"</f>
        <v>FES1162845789</v>
      </c>
      <c r="F1393" s="4">
        <v>44580</v>
      </c>
      <c r="G1393" s="3">
        <v>202207</v>
      </c>
      <c r="H1393" s="3" t="s">
        <v>75</v>
      </c>
      <c r="I1393" s="3" t="s">
        <v>76</v>
      </c>
      <c r="J1393" s="3" t="s">
        <v>77</v>
      </c>
      <c r="K1393" s="3" t="s">
        <v>78</v>
      </c>
      <c r="L1393" s="3" t="s">
        <v>75</v>
      </c>
      <c r="M1393" s="3" t="s">
        <v>76</v>
      </c>
      <c r="N1393" s="3" t="s">
        <v>688</v>
      </c>
      <c r="O1393" s="3" t="s">
        <v>82</v>
      </c>
      <c r="P1393" s="3" t="str">
        <f>"2170817281                    "</f>
        <v xml:space="preserve">2170817281                    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12.07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0</v>
      </c>
      <c r="AZ1393" s="3">
        <v>0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  <c r="BH1393" s="3">
        <v>1</v>
      </c>
      <c r="BI1393" s="3">
        <v>1</v>
      </c>
      <c r="BJ1393" s="3">
        <v>2</v>
      </c>
      <c r="BK1393" s="3">
        <v>2</v>
      </c>
      <c r="BL1393" s="3">
        <v>46.08</v>
      </c>
      <c r="BM1393" s="3">
        <v>6.91</v>
      </c>
      <c r="BN1393" s="3">
        <v>52.99</v>
      </c>
      <c r="BO1393" s="3">
        <v>52.99</v>
      </c>
      <c r="BQ1393" s="3" t="s">
        <v>83</v>
      </c>
      <c r="BR1393" s="3" t="s">
        <v>84</v>
      </c>
      <c r="BS1393" s="4">
        <v>44581</v>
      </c>
      <c r="BT1393" s="5">
        <v>0.30763888888888891</v>
      </c>
      <c r="BU1393" s="3" t="s">
        <v>1016</v>
      </c>
      <c r="BV1393" s="3" t="s">
        <v>105</v>
      </c>
      <c r="BY1393" s="3">
        <v>9984</v>
      </c>
      <c r="CA1393" s="3" t="s">
        <v>227</v>
      </c>
      <c r="CC1393" s="3" t="s">
        <v>76</v>
      </c>
      <c r="CD1393" s="3">
        <v>1620</v>
      </c>
      <c r="CE1393" s="3" t="s">
        <v>86</v>
      </c>
      <c r="CF1393" s="4">
        <v>44581</v>
      </c>
      <c r="CI1393" s="3">
        <v>1</v>
      </c>
      <c r="CJ1393" s="3">
        <v>1</v>
      </c>
      <c r="CK1393" s="3">
        <v>22</v>
      </c>
      <c r="CL1393" s="3" t="s">
        <v>87</v>
      </c>
    </row>
    <row r="1394" spans="1:90" x14ac:dyDescent="0.2">
      <c r="A1394" s="3" t="s">
        <v>72</v>
      </c>
      <c r="B1394" s="3" t="s">
        <v>73</v>
      </c>
      <c r="C1394" s="3" t="s">
        <v>74</v>
      </c>
      <c r="E1394" s="3" t="str">
        <f>"FES1162845757"</f>
        <v>FES1162845757</v>
      </c>
      <c r="F1394" s="4">
        <v>44580</v>
      </c>
      <c r="G1394" s="3">
        <v>202207</v>
      </c>
      <c r="H1394" s="3" t="s">
        <v>75</v>
      </c>
      <c r="I1394" s="3" t="s">
        <v>76</v>
      </c>
      <c r="J1394" s="3" t="s">
        <v>77</v>
      </c>
      <c r="K1394" s="3" t="s">
        <v>78</v>
      </c>
      <c r="L1394" s="3" t="s">
        <v>138</v>
      </c>
      <c r="M1394" s="3" t="s">
        <v>139</v>
      </c>
      <c r="N1394" s="3" t="s">
        <v>140</v>
      </c>
      <c r="O1394" s="3" t="s">
        <v>82</v>
      </c>
      <c r="P1394" s="3" t="str">
        <f>"2170816895                    "</f>
        <v xml:space="preserve">2170816895                    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15.46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0</v>
      </c>
      <c r="AZ1394" s="3">
        <v>0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1</v>
      </c>
      <c r="BI1394" s="3">
        <v>2</v>
      </c>
      <c r="BJ1394" s="3">
        <v>1.7</v>
      </c>
      <c r="BK1394" s="3">
        <v>2</v>
      </c>
      <c r="BL1394" s="3">
        <v>59</v>
      </c>
      <c r="BM1394" s="3">
        <v>8.85</v>
      </c>
      <c r="BN1394" s="3">
        <v>67.849999999999994</v>
      </c>
      <c r="BO1394" s="3">
        <v>67.849999999999994</v>
      </c>
      <c r="BQ1394" s="3" t="s">
        <v>126</v>
      </c>
      <c r="BR1394" s="3" t="s">
        <v>84</v>
      </c>
      <c r="BS1394" s="4">
        <v>44581</v>
      </c>
      <c r="BT1394" s="5">
        <v>0.39027777777777778</v>
      </c>
      <c r="BU1394" s="3" t="s">
        <v>819</v>
      </c>
      <c r="BV1394" s="3" t="s">
        <v>105</v>
      </c>
      <c r="BY1394" s="3">
        <v>8550</v>
      </c>
      <c r="CA1394" s="3" t="s">
        <v>334</v>
      </c>
      <c r="CC1394" s="3" t="s">
        <v>139</v>
      </c>
      <c r="CD1394" s="3">
        <v>3610</v>
      </c>
      <c r="CE1394" s="3" t="s">
        <v>86</v>
      </c>
      <c r="CF1394" s="4">
        <v>44582</v>
      </c>
      <c r="CI1394" s="3">
        <v>1</v>
      </c>
      <c r="CJ1394" s="3">
        <v>1</v>
      </c>
      <c r="CK1394" s="3">
        <v>21</v>
      </c>
      <c r="CL1394" s="3" t="s">
        <v>87</v>
      </c>
    </row>
    <row r="1395" spans="1:90" x14ac:dyDescent="0.2">
      <c r="A1395" s="3" t="s">
        <v>72</v>
      </c>
      <c r="B1395" s="3" t="s">
        <v>73</v>
      </c>
      <c r="C1395" s="3" t="s">
        <v>74</v>
      </c>
      <c r="E1395" s="3" t="str">
        <f>"FES1162845784"</f>
        <v>FES1162845784</v>
      </c>
      <c r="F1395" s="4">
        <v>44580</v>
      </c>
      <c r="G1395" s="3">
        <v>202207</v>
      </c>
      <c r="H1395" s="3" t="s">
        <v>75</v>
      </c>
      <c r="I1395" s="3" t="s">
        <v>76</v>
      </c>
      <c r="J1395" s="3" t="s">
        <v>77</v>
      </c>
      <c r="K1395" s="3" t="s">
        <v>78</v>
      </c>
      <c r="L1395" s="3" t="s">
        <v>162</v>
      </c>
      <c r="M1395" s="3" t="s">
        <v>163</v>
      </c>
      <c r="N1395" s="3" t="s">
        <v>1711</v>
      </c>
      <c r="O1395" s="3" t="s">
        <v>82</v>
      </c>
      <c r="P1395" s="3" t="str">
        <f>"2170817275                    "</f>
        <v xml:space="preserve">2170817275                    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12.07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0</v>
      </c>
      <c r="AZ1395" s="3">
        <v>0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3">
        <v>1</v>
      </c>
      <c r="BI1395" s="3">
        <v>1</v>
      </c>
      <c r="BJ1395" s="3">
        <v>0.8</v>
      </c>
      <c r="BK1395" s="3">
        <v>1</v>
      </c>
      <c r="BL1395" s="3">
        <v>46.08</v>
      </c>
      <c r="BM1395" s="3">
        <v>6.91</v>
      </c>
      <c r="BN1395" s="3">
        <v>52.99</v>
      </c>
      <c r="BO1395" s="3">
        <v>52.99</v>
      </c>
      <c r="BQ1395" s="3" t="s">
        <v>1712</v>
      </c>
      <c r="BR1395" s="3" t="s">
        <v>84</v>
      </c>
      <c r="BS1395" s="4">
        <v>44581</v>
      </c>
      <c r="BT1395" s="5">
        <v>0.48472222222222222</v>
      </c>
      <c r="BU1395" s="3" t="s">
        <v>1713</v>
      </c>
      <c r="BV1395" s="3" t="s">
        <v>87</v>
      </c>
      <c r="BW1395" s="3" t="s">
        <v>353</v>
      </c>
      <c r="BX1395" s="3" t="s">
        <v>618</v>
      </c>
      <c r="BY1395" s="3">
        <v>4000</v>
      </c>
      <c r="CA1395" s="3" t="s">
        <v>1051</v>
      </c>
      <c r="CC1395" s="3" t="s">
        <v>163</v>
      </c>
      <c r="CD1395" s="3">
        <v>1401</v>
      </c>
      <c r="CE1395" s="3" t="s">
        <v>86</v>
      </c>
      <c r="CF1395" s="4">
        <v>44582</v>
      </c>
      <c r="CI1395" s="3">
        <v>1</v>
      </c>
      <c r="CJ1395" s="3">
        <v>1</v>
      </c>
      <c r="CK1395" s="3">
        <v>22</v>
      </c>
      <c r="CL1395" s="3" t="s">
        <v>87</v>
      </c>
    </row>
    <row r="1396" spans="1:90" x14ac:dyDescent="0.2">
      <c r="A1396" s="3" t="s">
        <v>72</v>
      </c>
      <c r="B1396" s="3" t="s">
        <v>73</v>
      </c>
      <c r="C1396" s="3" t="s">
        <v>74</v>
      </c>
      <c r="E1396" s="3" t="str">
        <f>"FES1162844428"</f>
        <v>FES1162844428</v>
      </c>
      <c r="F1396" s="4">
        <v>44572</v>
      </c>
      <c r="G1396" s="3">
        <v>202207</v>
      </c>
      <c r="H1396" s="3" t="s">
        <v>75</v>
      </c>
      <c r="I1396" s="3" t="s">
        <v>76</v>
      </c>
      <c r="J1396" s="3" t="s">
        <v>966</v>
      </c>
      <c r="K1396" s="3" t="s">
        <v>78</v>
      </c>
      <c r="L1396" s="3" t="s">
        <v>79</v>
      </c>
      <c r="M1396" s="3" t="s">
        <v>80</v>
      </c>
      <c r="N1396" s="3" t="s">
        <v>1714</v>
      </c>
      <c r="O1396" s="3" t="s">
        <v>148</v>
      </c>
      <c r="P1396" s="3" t="str">
        <f>"2170814204                    "</f>
        <v xml:space="preserve">2170814204                    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29.89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3">
        <v>1</v>
      </c>
      <c r="BI1396" s="3">
        <v>4</v>
      </c>
      <c r="BJ1396" s="3">
        <v>0.9</v>
      </c>
      <c r="BK1396" s="3">
        <v>4</v>
      </c>
      <c r="BL1396" s="3">
        <v>119.34</v>
      </c>
      <c r="BM1396" s="3">
        <v>17.899999999999999</v>
      </c>
      <c r="BN1396" s="3">
        <v>137.24</v>
      </c>
      <c r="BO1396" s="3">
        <v>137.24</v>
      </c>
      <c r="BQ1396" s="3" t="s">
        <v>83</v>
      </c>
      <c r="BR1396" s="3" t="s">
        <v>1268</v>
      </c>
      <c r="BS1396" s="4">
        <v>44573</v>
      </c>
      <c r="BT1396" s="5">
        <v>0.4201388888888889</v>
      </c>
      <c r="BU1396" s="3" t="s">
        <v>1715</v>
      </c>
      <c r="BV1396" s="3" t="s">
        <v>105</v>
      </c>
      <c r="BY1396" s="3">
        <v>4680</v>
      </c>
      <c r="BZ1396" s="3" t="s">
        <v>1076</v>
      </c>
      <c r="CA1396" s="3" t="s">
        <v>1716</v>
      </c>
      <c r="CC1396" s="3" t="s">
        <v>80</v>
      </c>
      <c r="CD1396" s="3">
        <v>184</v>
      </c>
      <c r="CE1396" s="3" t="s">
        <v>86</v>
      </c>
      <c r="CF1396" s="4">
        <v>44573</v>
      </c>
      <c r="CI1396" s="3">
        <v>1</v>
      </c>
      <c r="CJ1396" s="3">
        <v>1</v>
      </c>
      <c r="CK1396" s="3">
        <v>41</v>
      </c>
      <c r="CL1396" s="3" t="s">
        <v>87</v>
      </c>
    </row>
    <row r="1397" spans="1:90" x14ac:dyDescent="0.2">
      <c r="A1397" s="3" t="s">
        <v>72</v>
      </c>
      <c r="B1397" s="3" t="s">
        <v>73</v>
      </c>
      <c r="C1397" s="3" t="s">
        <v>74</v>
      </c>
      <c r="E1397" s="3" t="str">
        <f>"FES1162844656"</f>
        <v>FES1162844656</v>
      </c>
      <c r="F1397" s="4">
        <v>44572</v>
      </c>
      <c r="G1397" s="3">
        <v>202207</v>
      </c>
      <c r="H1397" s="3" t="s">
        <v>75</v>
      </c>
      <c r="I1397" s="3" t="s">
        <v>76</v>
      </c>
      <c r="J1397" s="3" t="s">
        <v>966</v>
      </c>
      <c r="K1397" s="3" t="s">
        <v>78</v>
      </c>
      <c r="L1397" s="3" t="s">
        <v>190</v>
      </c>
      <c r="M1397" s="3" t="s">
        <v>191</v>
      </c>
      <c r="N1397" s="3" t="s">
        <v>1717</v>
      </c>
      <c r="O1397" s="3" t="s">
        <v>148</v>
      </c>
      <c r="P1397" s="3" t="str">
        <f>"2170816233                    "</f>
        <v xml:space="preserve">2170816233                    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42.16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0</v>
      </c>
      <c r="AZ1397" s="3">
        <v>0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  <c r="BH1397" s="3">
        <v>2</v>
      </c>
      <c r="BI1397" s="3">
        <v>7</v>
      </c>
      <c r="BJ1397" s="3">
        <v>11.3</v>
      </c>
      <c r="BK1397" s="3">
        <v>12</v>
      </c>
      <c r="BL1397" s="3">
        <v>166.16</v>
      </c>
      <c r="BM1397" s="3">
        <v>24.92</v>
      </c>
      <c r="BN1397" s="3">
        <v>191.08</v>
      </c>
      <c r="BO1397" s="3">
        <v>191.08</v>
      </c>
      <c r="BR1397" s="3" t="s">
        <v>1268</v>
      </c>
      <c r="BS1397" s="4">
        <v>44573</v>
      </c>
      <c r="BT1397" s="5">
        <v>0.50763888888888886</v>
      </c>
      <c r="BU1397" s="3" t="s">
        <v>1718</v>
      </c>
      <c r="BV1397" s="3" t="s">
        <v>105</v>
      </c>
      <c r="BY1397" s="3">
        <v>56358</v>
      </c>
      <c r="BZ1397" s="3" t="s">
        <v>1076</v>
      </c>
      <c r="CA1397" s="3" t="s">
        <v>397</v>
      </c>
      <c r="CC1397" s="3" t="s">
        <v>191</v>
      </c>
      <c r="CD1397" s="3">
        <v>1050</v>
      </c>
      <c r="CE1397" s="3" t="s">
        <v>221</v>
      </c>
      <c r="CF1397" s="4">
        <v>44573</v>
      </c>
      <c r="CI1397" s="3">
        <v>1</v>
      </c>
      <c r="CJ1397" s="3">
        <v>1</v>
      </c>
      <c r="CK1397" s="3">
        <v>43</v>
      </c>
      <c r="CL1397" s="3" t="s">
        <v>87</v>
      </c>
    </row>
    <row r="1398" spans="1:90" x14ac:dyDescent="0.2">
      <c r="A1398" s="3" t="s">
        <v>72</v>
      </c>
      <c r="B1398" s="3" t="s">
        <v>73</v>
      </c>
      <c r="C1398" s="3" t="s">
        <v>74</v>
      </c>
      <c r="E1398" s="3" t="str">
        <f>"FES1162844663"</f>
        <v>FES1162844663</v>
      </c>
      <c r="F1398" s="4">
        <v>44572</v>
      </c>
      <c r="G1398" s="3">
        <v>202207</v>
      </c>
      <c r="H1398" s="3" t="s">
        <v>75</v>
      </c>
      <c r="I1398" s="3" t="s">
        <v>76</v>
      </c>
      <c r="J1398" s="3" t="s">
        <v>966</v>
      </c>
      <c r="K1398" s="3" t="s">
        <v>78</v>
      </c>
      <c r="L1398" s="3" t="s">
        <v>97</v>
      </c>
      <c r="M1398" s="3" t="s">
        <v>98</v>
      </c>
      <c r="N1398" s="3" t="s">
        <v>482</v>
      </c>
      <c r="O1398" s="3" t="s">
        <v>82</v>
      </c>
      <c r="P1398" s="3" t="str">
        <f>"2170816238                    "</f>
        <v xml:space="preserve">2170816238                    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16.420000000000002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0</v>
      </c>
      <c r="AZ1398" s="3">
        <v>0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3">
        <v>1</v>
      </c>
      <c r="BI1398" s="3">
        <v>9</v>
      </c>
      <c r="BJ1398" s="3">
        <v>9.1</v>
      </c>
      <c r="BK1398" s="3">
        <v>9.5</v>
      </c>
      <c r="BL1398" s="3">
        <v>62.67</v>
      </c>
      <c r="BM1398" s="3">
        <v>9.4</v>
      </c>
      <c r="BN1398" s="3">
        <v>72.069999999999993</v>
      </c>
      <c r="BO1398" s="3">
        <v>72.069999999999993</v>
      </c>
      <c r="BQ1398" s="3" t="s">
        <v>83</v>
      </c>
      <c r="BR1398" s="3" t="s">
        <v>1268</v>
      </c>
      <c r="BS1398" s="4">
        <v>44573</v>
      </c>
      <c r="BT1398" s="5">
        <v>0.48749999999999999</v>
      </c>
      <c r="BU1398" s="3" t="s">
        <v>483</v>
      </c>
      <c r="BV1398" s="3" t="s">
        <v>87</v>
      </c>
      <c r="BW1398" s="3" t="s">
        <v>353</v>
      </c>
      <c r="BX1398" s="3" t="s">
        <v>377</v>
      </c>
      <c r="BY1398" s="3">
        <v>45632</v>
      </c>
      <c r="BZ1398" s="3" t="s">
        <v>1076</v>
      </c>
      <c r="CC1398" s="3" t="s">
        <v>98</v>
      </c>
      <c r="CD1398" s="3">
        <v>2197</v>
      </c>
      <c r="CE1398" s="3" t="s">
        <v>86</v>
      </c>
      <c r="CF1398" s="4">
        <v>44573</v>
      </c>
      <c r="CI1398" s="3">
        <v>1</v>
      </c>
      <c r="CJ1398" s="3">
        <v>1</v>
      </c>
      <c r="CK1398" s="3">
        <v>22</v>
      </c>
      <c r="CL1398" s="3" t="s">
        <v>87</v>
      </c>
    </row>
    <row r="1399" spans="1:90" x14ac:dyDescent="0.2">
      <c r="A1399" s="3" t="s">
        <v>72</v>
      </c>
      <c r="B1399" s="3" t="s">
        <v>73</v>
      </c>
      <c r="C1399" s="3" t="s">
        <v>74</v>
      </c>
      <c r="E1399" s="3" t="str">
        <f>"009942045018"</f>
        <v>009942045018</v>
      </c>
      <c r="F1399" s="4">
        <v>44571</v>
      </c>
      <c r="G1399" s="3">
        <v>202207</v>
      </c>
      <c r="H1399" s="3" t="s">
        <v>75</v>
      </c>
      <c r="I1399" s="3" t="s">
        <v>76</v>
      </c>
      <c r="J1399" s="3" t="s">
        <v>966</v>
      </c>
      <c r="K1399" s="3" t="s">
        <v>78</v>
      </c>
      <c r="L1399" s="3" t="s">
        <v>489</v>
      </c>
      <c r="M1399" s="3" t="s">
        <v>490</v>
      </c>
      <c r="N1399" s="3" t="s">
        <v>491</v>
      </c>
      <c r="O1399" s="3" t="s">
        <v>1237</v>
      </c>
      <c r="P1399" s="3" t="str">
        <f>"1162841806                    "</f>
        <v xml:space="preserve">1162841806                    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37.799999999999997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0</v>
      </c>
      <c r="AZ1399" s="3">
        <v>0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3">
        <v>1</v>
      </c>
      <c r="BI1399" s="3">
        <v>5</v>
      </c>
      <c r="BJ1399" s="3">
        <v>4.3</v>
      </c>
      <c r="BK1399" s="3">
        <v>5</v>
      </c>
      <c r="BL1399" s="3">
        <v>144.27000000000001</v>
      </c>
      <c r="BM1399" s="3">
        <v>21.64</v>
      </c>
      <c r="BN1399" s="3">
        <v>165.91</v>
      </c>
      <c r="BO1399" s="3">
        <v>165.91</v>
      </c>
      <c r="BQ1399" s="3" t="s">
        <v>83</v>
      </c>
      <c r="BR1399" s="3" t="s">
        <v>364</v>
      </c>
      <c r="BS1399" s="4">
        <v>44572</v>
      </c>
      <c r="BT1399" s="5">
        <v>0.5756944444444444</v>
      </c>
      <c r="BU1399" s="3" t="s">
        <v>492</v>
      </c>
      <c r="BV1399" s="3" t="s">
        <v>87</v>
      </c>
      <c r="BY1399" s="3">
        <v>21600</v>
      </c>
      <c r="BZ1399" s="3" t="s">
        <v>1076</v>
      </c>
      <c r="CA1399" s="3" t="s">
        <v>495</v>
      </c>
      <c r="CC1399" s="3" t="s">
        <v>490</v>
      </c>
      <c r="CD1399" s="3">
        <v>250</v>
      </c>
      <c r="CE1399" s="3" t="s">
        <v>86</v>
      </c>
      <c r="CF1399" s="4">
        <v>44572</v>
      </c>
      <c r="CI1399" s="3">
        <v>1</v>
      </c>
      <c r="CJ1399" s="3">
        <v>1</v>
      </c>
      <c r="CK1399" s="3">
        <v>33</v>
      </c>
      <c r="CL1399" s="3" t="s">
        <v>87</v>
      </c>
    </row>
    <row r="1400" spans="1:90" x14ac:dyDescent="0.2">
      <c r="A1400" s="3" t="s">
        <v>72</v>
      </c>
      <c r="B1400" s="3" t="s">
        <v>73</v>
      </c>
      <c r="C1400" s="3" t="s">
        <v>74</v>
      </c>
      <c r="E1400" s="3" t="str">
        <f>"009942045019"</f>
        <v>009942045019</v>
      </c>
      <c r="F1400" s="4">
        <v>44571</v>
      </c>
      <c r="G1400" s="3">
        <v>202207</v>
      </c>
      <c r="H1400" s="3" t="s">
        <v>75</v>
      </c>
      <c r="I1400" s="3" t="s">
        <v>76</v>
      </c>
      <c r="J1400" s="3" t="s">
        <v>966</v>
      </c>
      <c r="K1400" s="3" t="s">
        <v>78</v>
      </c>
      <c r="L1400" s="3" t="s">
        <v>489</v>
      </c>
      <c r="M1400" s="3" t="s">
        <v>490</v>
      </c>
      <c r="N1400" s="3" t="s">
        <v>491</v>
      </c>
      <c r="O1400" s="3" t="s">
        <v>1237</v>
      </c>
      <c r="P1400" s="3" t="str">
        <f>"1162834116                    "</f>
        <v xml:space="preserve">1162834116                    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29.95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3">
        <v>1</v>
      </c>
      <c r="BI1400" s="3">
        <v>3</v>
      </c>
      <c r="BJ1400" s="3">
        <v>2</v>
      </c>
      <c r="BK1400" s="3">
        <v>3</v>
      </c>
      <c r="BL1400" s="3">
        <v>114.31</v>
      </c>
      <c r="BM1400" s="3">
        <v>17.149999999999999</v>
      </c>
      <c r="BN1400" s="3">
        <v>131.46</v>
      </c>
      <c r="BO1400" s="3">
        <v>131.46</v>
      </c>
      <c r="BQ1400" s="3" t="s">
        <v>83</v>
      </c>
      <c r="BR1400" s="3" t="s">
        <v>364</v>
      </c>
      <c r="BS1400" s="4">
        <v>44572</v>
      </c>
      <c r="BT1400" s="5">
        <v>0.57708333333333328</v>
      </c>
      <c r="BU1400" s="3" t="s">
        <v>492</v>
      </c>
      <c r="BV1400" s="3" t="s">
        <v>87</v>
      </c>
      <c r="BW1400" s="3" t="s">
        <v>493</v>
      </c>
      <c r="BX1400" s="3" t="s">
        <v>494</v>
      </c>
      <c r="BY1400" s="3">
        <v>9918</v>
      </c>
      <c r="BZ1400" s="3" t="s">
        <v>1076</v>
      </c>
      <c r="CA1400" s="3" t="s">
        <v>495</v>
      </c>
      <c r="CC1400" s="3" t="s">
        <v>490</v>
      </c>
      <c r="CD1400" s="3">
        <v>250</v>
      </c>
      <c r="CE1400" s="3" t="s">
        <v>86</v>
      </c>
      <c r="CF1400" s="4">
        <v>44572</v>
      </c>
      <c r="CI1400" s="3">
        <v>1</v>
      </c>
      <c r="CJ1400" s="3">
        <v>1</v>
      </c>
      <c r="CK1400" s="3">
        <v>33</v>
      </c>
      <c r="CL1400" s="3" t="s">
        <v>87</v>
      </c>
    </row>
    <row r="1401" spans="1:90" x14ac:dyDescent="0.2">
      <c r="A1401" s="3" t="s">
        <v>72</v>
      </c>
      <c r="B1401" s="3" t="s">
        <v>73</v>
      </c>
      <c r="C1401" s="3" t="s">
        <v>74</v>
      </c>
      <c r="E1401" s="3" t="str">
        <f>"FES1162844220"</f>
        <v>FES1162844220</v>
      </c>
      <c r="F1401" s="4">
        <v>44571</v>
      </c>
      <c r="G1401" s="3">
        <v>202207</v>
      </c>
      <c r="H1401" s="3" t="s">
        <v>75</v>
      </c>
      <c r="I1401" s="3" t="s">
        <v>76</v>
      </c>
      <c r="J1401" s="3" t="s">
        <v>966</v>
      </c>
      <c r="K1401" s="3" t="s">
        <v>78</v>
      </c>
      <c r="L1401" s="3" t="s">
        <v>79</v>
      </c>
      <c r="M1401" s="3" t="s">
        <v>80</v>
      </c>
      <c r="N1401" s="3" t="s">
        <v>1719</v>
      </c>
      <c r="O1401" s="3" t="s">
        <v>148</v>
      </c>
      <c r="P1401" s="3" t="str">
        <f>"2170815949                    "</f>
        <v xml:space="preserve">2170815949                    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29.89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0</v>
      </c>
      <c r="BF1401" s="3">
        <v>0</v>
      </c>
      <c r="BG1401" s="3">
        <v>0</v>
      </c>
      <c r="BH1401" s="3">
        <v>1</v>
      </c>
      <c r="BI1401" s="3">
        <v>5</v>
      </c>
      <c r="BJ1401" s="3">
        <v>4.0999999999999996</v>
      </c>
      <c r="BK1401" s="3">
        <v>5</v>
      </c>
      <c r="BL1401" s="3">
        <v>119.34</v>
      </c>
      <c r="BM1401" s="3">
        <v>17.899999999999999</v>
      </c>
      <c r="BN1401" s="3">
        <v>137.24</v>
      </c>
      <c r="BO1401" s="3">
        <v>137.24</v>
      </c>
      <c r="BQ1401" s="3" t="s">
        <v>83</v>
      </c>
      <c r="BR1401" s="3" t="s">
        <v>1268</v>
      </c>
      <c r="BS1401" s="4">
        <v>44572</v>
      </c>
      <c r="BT1401" s="5">
        <v>0.39583333333333331</v>
      </c>
      <c r="BU1401" s="3" t="s">
        <v>1720</v>
      </c>
      <c r="BV1401" s="3" t="s">
        <v>105</v>
      </c>
      <c r="BY1401" s="3">
        <v>20358</v>
      </c>
      <c r="BZ1401" s="3" t="s">
        <v>1076</v>
      </c>
      <c r="CA1401" s="3" t="s">
        <v>366</v>
      </c>
      <c r="CC1401" s="3" t="s">
        <v>80</v>
      </c>
      <c r="CD1401" s="3">
        <v>200</v>
      </c>
      <c r="CE1401" s="3" t="s">
        <v>86</v>
      </c>
      <c r="CF1401" s="4">
        <v>44572</v>
      </c>
      <c r="CI1401" s="3">
        <v>1</v>
      </c>
      <c r="CJ1401" s="3">
        <v>1</v>
      </c>
      <c r="CK1401" s="3">
        <v>41</v>
      </c>
      <c r="CL1401" s="3" t="s">
        <v>87</v>
      </c>
    </row>
    <row r="1402" spans="1:90" x14ac:dyDescent="0.2">
      <c r="A1402" s="3" t="s">
        <v>72</v>
      </c>
      <c r="B1402" s="3" t="s">
        <v>73</v>
      </c>
      <c r="C1402" s="3" t="s">
        <v>74</v>
      </c>
      <c r="E1402" s="3" t="str">
        <f>"FES1162844296"</f>
        <v>FES1162844296</v>
      </c>
      <c r="F1402" s="4">
        <v>44571</v>
      </c>
      <c r="G1402" s="3">
        <v>202207</v>
      </c>
      <c r="H1402" s="3" t="s">
        <v>75</v>
      </c>
      <c r="I1402" s="3" t="s">
        <v>76</v>
      </c>
      <c r="J1402" s="3" t="s">
        <v>966</v>
      </c>
      <c r="K1402" s="3" t="s">
        <v>78</v>
      </c>
      <c r="L1402" s="3" t="s">
        <v>948</v>
      </c>
      <c r="M1402" s="3" t="s">
        <v>949</v>
      </c>
      <c r="N1402" s="3" t="s">
        <v>1294</v>
      </c>
      <c r="O1402" s="3" t="s">
        <v>1237</v>
      </c>
      <c r="P1402" s="3" t="str">
        <f>"2170811759                    "</f>
        <v xml:space="preserve">2170811759                    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28.27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v>0</v>
      </c>
      <c r="BA1402" s="3">
        <v>0</v>
      </c>
      <c r="BB1402" s="3">
        <v>0</v>
      </c>
      <c r="BC1402" s="3">
        <v>0</v>
      </c>
      <c r="BD1402" s="3">
        <v>0</v>
      </c>
      <c r="BE1402" s="3">
        <v>0</v>
      </c>
      <c r="BF1402" s="3">
        <v>0</v>
      </c>
      <c r="BG1402" s="3">
        <v>0</v>
      </c>
      <c r="BH1402" s="3">
        <v>1</v>
      </c>
      <c r="BI1402" s="3">
        <v>2</v>
      </c>
      <c r="BJ1402" s="3">
        <v>4.0999999999999996</v>
      </c>
      <c r="BK1402" s="3">
        <v>5</v>
      </c>
      <c r="BL1402" s="3">
        <v>107.89</v>
      </c>
      <c r="BM1402" s="3">
        <v>16.18</v>
      </c>
      <c r="BN1402" s="3">
        <v>124.07</v>
      </c>
      <c r="BO1402" s="3">
        <v>124.07</v>
      </c>
      <c r="BR1402" s="3" t="s">
        <v>1268</v>
      </c>
      <c r="BS1402" s="4">
        <v>44572</v>
      </c>
      <c r="BT1402" s="5">
        <v>0.50624999999999998</v>
      </c>
      <c r="BU1402" s="3" t="s">
        <v>1107</v>
      </c>
      <c r="BV1402" s="3" t="s">
        <v>105</v>
      </c>
      <c r="BY1402" s="3">
        <v>20358</v>
      </c>
      <c r="BZ1402" s="3" t="s">
        <v>1076</v>
      </c>
      <c r="CA1402" s="3" t="s">
        <v>952</v>
      </c>
      <c r="CC1402" s="3" t="s">
        <v>949</v>
      </c>
      <c r="CD1402" s="3">
        <v>1759</v>
      </c>
      <c r="CE1402" s="3" t="s">
        <v>86</v>
      </c>
      <c r="CF1402" s="4">
        <v>44572</v>
      </c>
      <c r="CI1402" s="3">
        <v>1</v>
      </c>
      <c r="CJ1402" s="3">
        <v>1</v>
      </c>
      <c r="CK1402" s="3">
        <v>34</v>
      </c>
      <c r="CL1402" s="3" t="s">
        <v>87</v>
      </c>
    </row>
    <row r="1403" spans="1:90" x14ac:dyDescent="0.2">
      <c r="A1403" s="3" t="s">
        <v>72</v>
      </c>
      <c r="B1403" s="3" t="s">
        <v>73</v>
      </c>
      <c r="C1403" s="3" t="s">
        <v>74</v>
      </c>
      <c r="E1403" s="3" t="str">
        <f>"FES1162844239"</f>
        <v>FES1162844239</v>
      </c>
      <c r="F1403" s="4">
        <v>44571</v>
      </c>
      <c r="G1403" s="3">
        <v>202207</v>
      </c>
      <c r="H1403" s="3" t="s">
        <v>75</v>
      </c>
      <c r="I1403" s="3" t="s">
        <v>76</v>
      </c>
      <c r="J1403" s="3" t="s">
        <v>966</v>
      </c>
      <c r="K1403" s="3" t="s">
        <v>78</v>
      </c>
      <c r="L1403" s="3" t="s">
        <v>162</v>
      </c>
      <c r="M1403" s="3" t="s">
        <v>163</v>
      </c>
      <c r="N1403" s="3" t="s">
        <v>1185</v>
      </c>
      <c r="O1403" s="3" t="s">
        <v>82</v>
      </c>
      <c r="P1403" s="3" t="str">
        <f>"2170815972                    "</f>
        <v xml:space="preserve">2170815972                    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14.97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0</v>
      </c>
      <c r="BC1403" s="3">
        <v>0</v>
      </c>
      <c r="BD1403" s="3">
        <v>0</v>
      </c>
      <c r="BE1403" s="3">
        <v>0</v>
      </c>
      <c r="BF1403" s="3">
        <v>0</v>
      </c>
      <c r="BG1403" s="3">
        <v>0</v>
      </c>
      <c r="BH1403" s="3">
        <v>1</v>
      </c>
      <c r="BI1403" s="3">
        <v>9</v>
      </c>
      <c r="BJ1403" s="3">
        <v>2.7</v>
      </c>
      <c r="BK1403" s="3">
        <v>9</v>
      </c>
      <c r="BL1403" s="3">
        <v>57.14</v>
      </c>
      <c r="BM1403" s="3">
        <v>8.57</v>
      </c>
      <c r="BN1403" s="3">
        <v>65.709999999999994</v>
      </c>
      <c r="BO1403" s="3">
        <v>65.709999999999994</v>
      </c>
      <c r="BQ1403" s="3" t="s">
        <v>126</v>
      </c>
      <c r="BR1403" s="3" t="s">
        <v>1268</v>
      </c>
      <c r="BS1403" s="4">
        <v>44573</v>
      </c>
      <c r="BT1403" s="5">
        <v>0.38958333333333334</v>
      </c>
      <c r="BU1403" s="3" t="s">
        <v>1721</v>
      </c>
      <c r="BV1403" s="3" t="s">
        <v>87</v>
      </c>
      <c r="BW1403" s="3" t="s">
        <v>278</v>
      </c>
      <c r="BX1403" s="3" t="s">
        <v>1722</v>
      </c>
      <c r="BY1403" s="3">
        <v>13680</v>
      </c>
      <c r="BZ1403" s="3" t="s">
        <v>1076</v>
      </c>
      <c r="CA1403" s="3" t="s">
        <v>1080</v>
      </c>
      <c r="CC1403" s="3" t="s">
        <v>163</v>
      </c>
      <c r="CD1403" s="3">
        <v>1401</v>
      </c>
      <c r="CE1403" s="3" t="s">
        <v>86</v>
      </c>
      <c r="CF1403" s="4">
        <v>44574</v>
      </c>
      <c r="CI1403" s="3">
        <v>1</v>
      </c>
      <c r="CJ1403" s="3">
        <v>2</v>
      </c>
      <c r="CK1403" s="3">
        <v>22</v>
      </c>
      <c r="CL1403" s="3" t="s">
        <v>87</v>
      </c>
    </row>
    <row r="1404" spans="1:90" x14ac:dyDescent="0.2">
      <c r="A1404" s="3" t="s">
        <v>72</v>
      </c>
      <c r="B1404" s="3" t="s">
        <v>73</v>
      </c>
      <c r="C1404" s="3" t="s">
        <v>74</v>
      </c>
      <c r="E1404" s="3" t="str">
        <f>"FES1162844306"</f>
        <v>FES1162844306</v>
      </c>
      <c r="F1404" s="4">
        <v>44571</v>
      </c>
      <c r="G1404" s="3">
        <v>202207</v>
      </c>
      <c r="H1404" s="3" t="s">
        <v>75</v>
      </c>
      <c r="I1404" s="3" t="s">
        <v>76</v>
      </c>
      <c r="J1404" s="3" t="s">
        <v>966</v>
      </c>
      <c r="K1404" s="3" t="s">
        <v>78</v>
      </c>
      <c r="L1404" s="3" t="s">
        <v>79</v>
      </c>
      <c r="M1404" s="3" t="s">
        <v>80</v>
      </c>
      <c r="N1404" s="3" t="s">
        <v>416</v>
      </c>
      <c r="O1404" s="3" t="s">
        <v>148</v>
      </c>
      <c r="P1404" s="3" t="str">
        <f>"2170812941                    "</f>
        <v xml:space="preserve">2170812941                    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29.89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0</v>
      </c>
      <c r="BC1404" s="3">
        <v>0</v>
      </c>
      <c r="BD1404" s="3">
        <v>0</v>
      </c>
      <c r="BE1404" s="3">
        <v>0</v>
      </c>
      <c r="BF1404" s="3">
        <v>0</v>
      </c>
      <c r="BG1404" s="3">
        <v>0</v>
      </c>
      <c r="BH1404" s="3">
        <v>1</v>
      </c>
      <c r="BI1404" s="3">
        <v>9</v>
      </c>
      <c r="BJ1404" s="3">
        <v>2</v>
      </c>
      <c r="BK1404" s="3">
        <v>9</v>
      </c>
      <c r="BL1404" s="3">
        <v>119.34</v>
      </c>
      <c r="BM1404" s="3">
        <v>17.899999999999999</v>
      </c>
      <c r="BN1404" s="3">
        <v>137.24</v>
      </c>
      <c r="BO1404" s="3">
        <v>137.24</v>
      </c>
      <c r="BQ1404" s="3" t="s">
        <v>126</v>
      </c>
      <c r="BR1404" s="3" t="s">
        <v>1268</v>
      </c>
      <c r="BS1404" s="4">
        <v>44572</v>
      </c>
      <c r="BT1404" s="5">
        <v>0.50763888888888886</v>
      </c>
      <c r="BU1404" s="3" t="s">
        <v>1723</v>
      </c>
      <c r="BV1404" s="3" t="s">
        <v>105</v>
      </c>
      <c r="BY1404" s="3">
        <v>9918</v>
      </c>
      <c r="BZ1404" s="3" t="s">
        <v>1076</v>
      </c>
      <c r="CA1404" s="3" t="s">
        <v>1499</v>
      </c>
      <c r="CC1404" s="3" t="s">
        <v>80</v>
      </c>
      <c r="CD1404" s="3">
        <v>186</v>
      </c>
      <c r="CE1404" s="3" t="s">
        <v>86</v>
      </c>
      <c r="CF1404" s="4">
        <v>44572</v>
      </c>
      <c r="CI1404" s="3">
        <v>1</v>
      </c>
      <c r="CJ1404" s="3">
        <v>1</v>
      </c>
      <c r="CK1404" s="3">
        <v>41</v>
      </c>
      <c r="CL1404" s="3" t="s">
        <v>87</v>
      </c>
    </row>
    <row r="1405" spans="1:90" x14ac:dyDescent="0.2">
      <c r="A1405" s="3" t="s">
        <v>72</v>
      </c>
      <c r="B1405" s="3" t="s">
        <v>73</v>
      </c>
      <c r="C1405" s="3" t="s">
        <v>74</v>
      </c>
      <c r="E1405" s="3" t="str">
        <f>"FES1162844286"</f>
        <v>FES1162844286</v>
      </c>
      <c r="F1405" s="4">
        <v>44571</v>
      </c>
      <c r="G1405" s="3">
        <v>202207</v>
      </c>
      <c r="H1405" s="3" t="s">
        <v>75</v>
      </c>
      <c r="I1405" s="3" t="s">
        <v>76</v>
      </c>
      <c r="J1405" s="3" t="s">
        <v>966</v>
      </c>
      <c r="K1405" s="3" t="s">
        <v>78</v>
      </c>
      <c r="L1405" s="3" t="s">
        <v>79</v>
      </c>
      <c r="M1405" s="3" t="s">
        <v>80</v>
      </c>
      <c r="N1405" s="3" t="s">
        <v>416</v>
      </c>
      <c r="O1405" s="3" t="s">
        <v>148</v>
      </c>
      <c r="P1405" s="3" t="str">
        <f>"2170810410                    "</f>
        <v xml:space="preserve">2170810410                    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29.89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1</v>
      </c>
      <c r="BI1405" s="3">
        <v>4</v>
      </c>
      <c r="BJ1405" s="3">
        <v>2</v>
      </c>
      <c r="BK1405" s="3">
        <v>4</v>
      </c>
      <c r="BL1405" s="3">
        <v>119.34</v>
      </c>
      <c r="BM1405" s="3">
        <v>17.899999999999999</v>
      </c>
      <c r="BN1405" s="3">
        <v>137.24</v>
      </c>
      <c r="BO1405" s="3">
        <v>137.24</v>
      </c>
      <c r="BQ1405" s="3" t="s">
        <v>126</v>
      </c>
      <c r="BR1405" s="3" t="s">
        <v>1268</v>
      </c>
      <c r="BS1405" s="4">
        <v>44572</v>
      </c>
      <c r="BT1405" s="5">
        <v>0.50763888888888886</v>
      </c>
      <c r="BU1405" s="3" t="s">
        <v>1723</v>
      </c>
      <c r="BV1405" s="3" t="s">
        <v>105</v>
      </c>
      <c r="BY1405" s="3">
        <v>9918</v>
      </c>
      <c r="BZ1405" s="3" t="s">
        <v>1076</v>
      </c>
      <c r="CA1405" s="3" t="s">
        <v>1499</v>
      </c>
      <c r="CC1405" s="3" t="s">
        <v>80</v>
      </c>
      <c r="CD1405" s="3">
        <v>186</v>
      </c>
      <c r="CE1405" s="3" t="s">
        <v>86</v>
      </c>
      <c r="CF1405" s="4">
        <v>44572</v>
      </c>
      <c r="CI1405" s="3">
        <v>1</v>
      </c>
      <c r="CJ1405" s="3">
        <v>1</v>
      </c>
      <c r="CK1405" s="3">
        <v>41</v>
      </c>
      <c r="CL1405" s="3" t="s">
        <v>87</v>
      </c>
    </row>
    <row r="1406" spans="1:90" x14ac:dyDescent="0.2">
      <c r="A1406" s="3" t="s">
        <v>72</v>
      </c>
      <c r="B1406" s="3" t="s">
        <v>73</v>
      </c>
      <c r="C1406" s="3" t="s">
        <v>74</v>
      </c>
      <c r="E1406" s="3" t="str">
        <f>"FES1162844252"</f>
        <v>FES1162844252</v>
      </c>
      <c r="F1406" s="4">
        <v>44571</v>
      </c>
      <c r="G1406" s="3">
        <v>202207</v>
      </c>
      <c r="H1406" s="3" t="s">
        <v>75</v>
      </c>
      <c r="I1406" s="3" t="s">
        <v>76</v>
      </c>
      <c r="J1406" s="3" t="s">
        <v>966</v>
      </c>
      <c r="K1406" s="3" t="s">
        <v>78</v>
      </c>
      <c r="L1406" s="3" t="s">
        <v>218</v>
      </c>
      <c r="M1406" s="3" t="s">
        <v>219</v>
      </c>
      <c r="N1406" s="3" t="s">
        <v>1724</v>
      </c>
      <c r="O1406" s="3" t="s">
        <v>148</v>
      </c>
      <c r="P1406" s="3" t="str">
        <f>"2170814747                    "</f>
        <v xml:space="preserve">2170814747                    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29.89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1</v>
      </c>
      <c r="BI1406" s="3">
        <v>6</v>
      </c>
      <c r="BJ1406" s="3">
        <v>7.2</v>
      </c>
      <c r="BK1406" s="3">
        <v>8</v>
      </c>
      <c r="BL1406" s="3">
        <v>119.34</v>
      </c>
      <c r="BM1406" s="3">
        <v>17.899999999999999</v>
      </c>
      <c r="BN1406" s="3">
        <v>137.24</v>
      </c>
      <c r="BO1406" s="3">
        <v>137.24</v>
      </c>
      <c r="BR1406" s="3" t="s">
        <v>1268</v>
      </c>
      <c r="BS1406" s="4">
        <v>44573</v>
      </c>
      <c r="BT1406" s="5">
        <v>0.35625000000000001</v>
      </c>
      <c r="BU1406" s="3" t="s">
        <v>1725</v>
      </c>
      <c r="BV1406" s="3" t="s">
        <v>87</v>
      </c>
      <c r="BW1406" s="3" t="s">
        <v>639</v>
      </c>
      <c r="BX1406" s="3" t="s">
        <v>1726</v>
      </c>
      <c r="BY1406" s="3">
        <v>36015</v>
      </c>
      <c r="BZ1406" s="3" t="s">
        <v>1076</v>
      </c>
      <c r="CA1406" s="3" t="s">
        <v>1727</v>
      </c>
      <c r="CC1406" s="3" t="s">
        <v>219</v>
      </c>
      <c r="CD1406" s="3">
        <v>157</v>
      </c>
      <c r="CE1406" s="3" t="s">
        <v>86</v>
      </c>
      <c r="CF1406" s="4">
        <v>44573</v>
      </c>
      <c r="CI1406" s="3">
        <v>1</v>
      </c>
      <c r="CJ1406" s="3">
        <v>2</v>
      </c>
      <c r="CK1406" s="3">
        <v>41</v>
      </c>
      <c r="CL1406" s="3" t="s">
        <v>87</v>
      </c>
    </row>
    <row r="1407" spans="1:90" x14ac:dyDescent="0.2">
      <c r="A1407" s="3" t="s">
        <v>72</v>
      </c>
      <c r="B1407" s="3" t="s">
        <v>73</v>
      </c>
      <c r="C1407" s="3" t="s">
        <v>74</v>
      </c>
      <c r="E1407" s="3" t="str">
        <f>"FES1162844230"</f>
        <v>FES1162844230</v>
      </c>
      <c r="F1407" s="4">
        <v>44571</v>
      </c>
      <c r="G1407" s="3">
        <v>202207</v>
      </c>
      <c r="H1407" s="3" t="s">
        <v>75</v>
      </c>
      <c r="I1407" s="3" t="s">
        <v>76</v>
      </c>
      <c r="J1407" s="3" t="s">
        <v>966</v>
      </c>
      <c r="K1407" s="3" t="s">
        <v>78</v>
      </c>
      <c r="L1407" s="3" t="s">
        <v>1179</v>
      </c>
      <c r="M1407" s="3" t="s">
        <v>1180</v>
      </c>
      <c r="N1407" s="3" t="s">
        <v>1181</v>
      </c>
      <c r="O1407" s="3" t="s">
        <v>148</v>
      </c>
      <c r="P1407" s="3" t="str">
        <f>"2170815981                    "</f>
        <v xml:space="preserve">2170815981                    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42.16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  <c r="BH1407" s="3">
        <v>1</v>
      </c>
      <c r="BI1407" s="3">
        <v>12</v>
      </c>
      <c r="BJ1407" s="3">
        <v>5.2</v>
      </c>
      <c r="BK1407" s="3">
        <v>12</v>
      </c>
      <c r="BL1407" s="3">
        <v>166.16</v>
      </c>
      <c r="BM1407" s="3">
        <v>24.92</v>
      </c>
      <c r="BN1407" s="3">
        <v>191.08</v>
      </c>
      <c r="BO1407" s="3">
        <v>191.08</v>
      </c>
      <c r="BQ1407" s="3" t="s">
        <v>83</v>
      </c>
      <c r="BR1407" s="3" t="s">
        <v>1268</v>
      </c>
      <c r="BS1407" s="4">
        <v>44572</v>
      </c>
      <c r="BT1407" s="5">
        <v>0.68958333333333333</v>
      </c>
      <c r="BU1407" s="3" t="s">
        <v>1728</v>
      </c>
      <c r="BV1407" s="3" t="s">
        <v>105</v>
      </c>
      <c r="BY1407" s="3">
        <v>26013</v>
      </c>
      <c r="BZ1407" s="3" t="s">
        <v>1076</v>
      </c>
      <c r="CA1407" s="3" t="s">
        <v>1183</v>
      </c>
      <c r="CC1407" s="3" t="s">
        <v>1180</v>
      </c>
      <c r="CD1407" s="3">
        <v>208</v>
      </c>
      <c r="CE1407" s="3" t="s">
        <v>86</v>
      </c>
      <c r="CF1407" s="4">
        <v>44579</v>
      </c>
      <c r="CI1407" s="3">
        <v>1</v>
      </c>
      <c r="CJ1407" s="3">
        <v>1</v>
      </c>
      <c r="CK1407" s="3">
        <v>43</v>
      </c>
      <c r="CL1407" s="3" t="s">
        <v>87</v>
      </c>
    </row>
    <row r="1408" spans="1:90" x14ac:dyDescent="0.2">
      <c r="A1408" s="3" t="s">
        <v>72</v>
      </c>
      <c r="B1408" s="3" t="s">
        <v>73</v>
      </c>
      <c r="C1408" s="3" t="s">
        <v>74</v>
      </c>
      <c r="E1408" s="3" t="str">
        <f>"FES1162844346"</f>
        <v>FES1162844346</v>
      </c>
      <c r="F1408" s="4">
        <v>44571</v>
      </c>
      <c r="G1408" s="3">
        <v>202207</v>
      </c>
      <c r="H1408" s="3" t="s">
        <v>75</v>
      </c>
      <c r="I1408" s="3" t="s">
        <v>76</v>
      </c>
      <c r="J1408" s="3" t="s">
        <v>966</v>
      </c>
      <c r="K1408" s="3" t="s">
        <v>78</v>
      </c>
      <c r="L1408" s="3" t="s">
        <v>218</v>
      </c>
      <c r="M1408" s="3" t="s">
        <v>219</v>
      </c>
      <c r="N1408" s="3" t="s">
        <v>1724</v>
      </c>
      <c r="O1408" s="3" t="s">
        <v>148</v>
      </c>
      <c r="P1408" s="3" t="str">
        <f>"2170814747                    "</f>
        <v xml:space="preserve">2170814747                    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29.89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  <c r="BH1408" s="3">
        <v>1</v>
      </c>
      <c r="BI1408" s="3">
        <v>4</v>
      </c>
      <c r="BJ1408" s="3">
        <v>0.9</v>
      </c>
      <c r="BK1408" s="3">
        <v>4</v>
      </c>
      <c r="BL1408" s="3">
        <v>119.34</v>
      </c>
      <c r="BM1408" s="3">
        <v>17.899999999999999</v>
      </c>
      <c r="BN1408" s="3">
        <v>137.24</v>
      </c>
      <c r="BO1408" s="3">
        <v>137.24</v>
      </c>
      <c r="BR1408" s="3" t="s">
        <v>1268</v>
      </c>
      <c r="BS1408" s="4">
        <v>44573</v>
      </c>
      <c r="BT1408" s="5">
        <v>0.35625000000000001</v>
      </c>
      <c r="BU1408" s="3" t="s">
        <v>1725</v>
      </c>
      <c r="BV1408" s="3" t="s">
        <v>87</v>
      </c>
      <c r="BW1408" s="3" t="s">
        <v>639</v>
      </c>
      <c r="BX1408" s="3" t="s">
        <v>1726</v>
      </c>
      <c r="BY1408" s="3">
        <v>4275</v>
      </c>
      <c r="BZ1408" s="3" t="s">
        <v>1076</v>
      </c>
      <c r="CA1408" s="3" t="s">
        <v>1727</v>
      </c>
      <c r="CC1408" s="3" t="s">
        <v>219</v>
      </c>
      <c r="CD1408" s="3">
        <v>157</v>
      </c>
      <c r="CE1408" s="3" t="s">
        <v>86</v>
      </c>
      <c r="CF1408" s="4">
        <v>44573</v>
      </c>
      <c r="CI1408" s="3">
        <v>1</v>
      </c>
      <c r="CJ1408" s="3">
        <v>2</v>
      </c>
      <c r="CK1408" s="3">
        <v>41</v>
      </c>
      <c r="CL1408" s="3" t="s">
        <v>87</v>
      </c>
    </row>
    <row r="1409" spans="1:90" x14ac:dyDescent="0.2">
      <c r="A1409" s="3" t="s">
        <v>72</v>
      </c>
      <c r="B1409" s="3" t="s">
        <v>73</v>
      </c>
      <c r="C1409" s="3" t="s">
        <v>74</v>
      </c>
      <c r="E1409" s="3" t="str">
        <f>"FES1162843134"</f>
        <v>FES1162843134</v>
      </c>
      <c r="F1409" s="4">
        <v>44564</v>
      </c>
      <c r="G1409" s="3">
        <v>202207</v>
      </c>
      <c r="H1409" s="3" t="s">
        <v>75</v>
      </c>
      <c r="I1409" s="3" t="s">
        <v>76</v>
      </c>
      <c r="J1409" s="3" t="s">
        <v>966</v>
      </c>
      <c r="K1409" s="3" t="s">
        <v>78</v>
      </c>
      <c r="L1409" s="3" t="s">
        <v>218</v>
      </c>
      <c r="M1409" s="3" t="s">
        <v>219</v>
      </c>
      <c r="N1409" s="3" t="s">
        <v>1729</v>
      </c>
      <c r="O1409" s="3" t="s">
        <v>148</v>
      </c>
      <c r="P1409" s="3" t="str">
        <f>"2170802062                    "</f>
        <v xml:space="preserve">2170802062                    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32.840000000000003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  <c r="BH1409" s="3">
        <v>1</v>
      </c>
      <c r="BI1409" s="3">
        <v>6</v>
      </c>
      <c r="BJ1409" s="3">
        <v>2</v>
      </c>
      <c r="BK1409" s="3">
        <v>6</v>
      </c>
      <c r="BL1409" s="3">
        <v>122.29</v>
      </c>
      <c r="BM1409" s="3">
        <v>18.34</v>
      </c>
      <c r="BN1409" s="3">
        <v>140.63</v>
      </c>
      <c r="BO1409" s="3">
        <v>140.63</v>
      </c>
      <c r="BR1409" s="3" t="s">
        <v>308</v>
      </c>
      <c r="BS1409" s="4">
        <v>44571</v>
      </c>
      <c r="BT1409" s="5">
        <v>0.39305555555555555</v>
      </c>
      <c r="BU1409" s="3" t="s">
        <v>728</v>
      </c>
      <c r="BV1409" s="3" t="s">
        <v>87</v>
      </c>
      <c r="BY1409" s="3">
        <v>9918</v>
      </c>
      <c r="BZ1409" s="3" t="s">
        <v>1076</v>
      </c>
      <c r="CA1409" s="3" t="s">
        <v>362</v>
      </c>
      <c r="CC1409" s="3" t="s">
        <v>219</v>
      </c>
      <c r="CD1409" s="3">
        <v>46</v>
      </c>
      <c r="CE1409" s="3" t="s">
        <v>86</v>
      </c>
      <c r="CF1409" s="4">
        <v>44571</v>
      </c>
      <c r="CI1409" s="3">
        <v>1</v>
      </c>
      <c r="CJ1409" s="3">
        <v>5</v>
      </c>
      <c r="CK1409" s="3">
        <v>41</v>
      </c>
      <c r="CL1409" s="3" t="s">
        <v>87</v>
      </c>
    </row>
    <row r="1410" spans="1:90" x14ac:dyDescent="0.2">
      <c r="A1410" s="3" t="s">
        <v>72</v>
      </c>
      <c r="B1410" s="3" t="s">
        <v>73</v>
      </c>
      <c r="C1410" s="3" t="s">
        <v>74</v>
      </c>
      <c r="E1410" s="3" t="str">
        <f>"FES1162843100"</f>
        <v>FES1162843100</v>
      </c>
      <c r="F1410" s="4">
        <v>44564</v>
      </c>
      <c r="G1410" s="3">
        <v>202207</v>
      </c>
      <c r="H1410" s="3" t="s">
        <v>75</v>
      </c>
      <c r="I1410" s="3" t="s">
        <v>76</v>
      </c>
      <c r="J1410" s="3" t="s">
        <v>966</v>
      </c>
      <c r="K1410" s="3" t="s">
        <v>78</v>
      </c>
      <c r="L1410" s="3" t="s">
        <v>489</v>
      </c>
      <c r="M1410" s="3" t="s">
        <v>490</v>
      </c>
      <c r="N1410" s="3" t="s">
        <v>1730</v>
      </c>
      <c r="O1410" s="3" t="s">
        <v>1237</v>
      </c>
      <c r="P1410" s="3" t="str">
        <f>"2170803131                    "</f>
        <v xml:space="preserve">2170803131                    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32.9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  <c r="BH1410" s="3">
        <v>1</v>
      </c>
      <c r="BI1410" s="3">
        <v>3</v>
      </c>
      <c r="BJ1410" s="3">
        <v>2.2000000000000002</v>
      </c>
      <c r="BK1410" s="3">
        <v>3</v>
      </c>
      <c r="BL1410" s="3">
        <v>117.26</v>
      </c>
      <c r="BM1410" s="3">
        <v>17.59</v>
      </c>
      <c r="BN1410" s="3">
        <v>134.85</v>
      </c>
      <c r="BO1410" s="3">
        <v>134.85</v>
      </c>
      <c r="BR1410" s="3" t="s">
        <v>308</v>
      </c>
      <c r="BS1410" s="4">
        <v>44565</v>
      </c>
      <c r="BT1410" s="5">
        <v>0.3972222222222222</v>
      </c>
      <c r="BU1410" s="3" t="s">
        <v>1731</v>
      </c>
      <c r="BV1410" s="3" t="s">
        <v>105</v>
      </c>
      <c r="BY1410" s="3">
        <v>11040</v>
      </c>
      <c r="BZ1410" s="3" t="s">
        <v>1076</v>
      </c>
      <c r="CA1410" s="3" t="s">
        <v>1732</v>
      </c>
      <c r="CC1410" s="3" t="s">
        <v>490</v>
      </c>
      <c r="CD1410" s="3">
        <v>232</v>
      </c>
      <c r="CE1410" s="3" t="s">
        <v>86</v>
      </c>
      <c r="CF1410" s="4">
        <v>44565</v>
      </c>
      <c r="CI1410" s="3">
        <v>5</v>
      </c>
      <c r="CJ1410" s="3">
        <v>1</v>
      </c>
      <c r="CK1410" s="3">
        <v>33</v>
      </c>
      <c r="CL1410" s="3" t="s">
        <v>87</v>
      </c>
    </row>
    <row r="1411" spans="1:90" x14ac:dyDescent="0.2">
      <c r="A1411" s="3" t="s">
        <v>72</v>
      </c>
      <c r="B1411" s="3" t="s">
        <v>73</v>
      </c>
      <c r="C1411" s="3" t="s">
        <v>74</v>
      </c>
      <c r="E1411" s="3" t="str">
        <f>"FES1162843107"</f>
        <v>FES1162843107</v>
      </c>
      <c r="F1411" s="4">
        <v>44564</v>
      </c>
      <c r="G1411" s="3">
        <v>202207</v>
      </c>
      <c r="H1411" s="3" t="s">
        <v>75</v>
      </c>
      <c r="I1411" s="3" t="s">
        <v>76</v>
      </c>
      <c r="J1411" s="3" t="s">
        <v>966</v>
      </c>
      <c r="K1411" s="3" t="s">
        <v>78</v>
      </c>
      <c r="L1411" s="3" t="s">
        <v>79</v>
      </c>
      <c r="M1411" s="3" t="s">
        <v>80</v>
      </c>
      <c r="N1411" s="3" t="s">
        <v>416</v>
      </c>
      <c r="O1411" s="3" t="s">
        <v>148</v>
      </c>
      <c r="P1411" s="3" t="str">
        <f>"2170812941                    "</f>
        <v xml:space="preserve">2170812941                    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32.840000000000003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0</v>
      </c>
      <c r="AZ1411" s="3">
        <v>0</v>
      </c>
      <c r="BA1411" s="3">
        <v>0</v>
      </c>
      <c r="BB1411" s="3">
        <v>0</v>
      </c>
      <c r="BC1411" s="3">
        <v>0</v>
      </c>
      <c r="BD1411" s="3">
        <v>0</v>
      </c>
      <c r="BE1411" s="3">
        <v>0</v>
      </c>
      <c r="BF1411" s="3">
        <v>0</v>
      </c>
      <c r="BG1411" s="3">
        <v>0</v>
      </c>
      <c r="BH1411" s="3">
        <v>1</v>
      </c>
      <c r="BI1411" s="3">
        <v>7</v>
      </c>
      <c r="BJ1411" s="3">
        <v>4.0999999999999996</v>
      </c>
      <c r="BK1411" s="3">
        <v>7</v>
      </c>
      <c r="BL1411" s="3">
        <v>122.29</v>
      </c>
      <c r="BM1411" s="3">
        <v>18.34</v>
      </c>
      <c r="BN1411" s="3">
        <v>140.63</v>
      </c>
      <c r="BO1411" s="3">
        <v>140.63</v>
      </c>
      <c r="BQ1411" s="3" t="s">
        <v>126</v>
      </c>
      <c r="BR1411" s="3" t="s">
        <v>308</v>
      </c>
      <c r="BS1411" s="4">
        <v>44565</v>
      </c>
      <c r="BT1411" s="5">
        <v>0.42986111111111108</v>
      </c>
      <c r="BU1411" s="3" t="s">
        <v>1733</v>
      </c>
      <c r="BV1411" s="3" t="s">
        <v>105</v>
      </c>
      <c r="BY1411" s="3">
        <v>20358</v>
      </c>
      <c r="BZ1411" s="3" t="s">
        <v>1076</v>
      </c>
      <c r="CA1411" s="3" t="s">
        <v>1499</v>
      </c>
      <c r="CC1411" s="3" t="s">
        <v>80</v>
      </c>
      <c r="CD1411" s="3">
        <v>186</v>
      </c>
      <c r="CE1411" s="3" t="s">
        <v>86</v>
      </c>
      <c r="CF1411" s="4">
        <v>44565</v>
      </c>
      <c r="CI1411" s="3">
        <v>1</v>
      </c>
      <c r="CJ1411" s="3">
        <v>1</v>
      </c>
      <c r="CK1411" s="3">
        <v>41</v>
      </c>
      <c r="CL1411" s="3" t="s">
        <v>87</v>
      </c>
    </row>
    <row r="1412" spans="1:90" x14ac:dyDescent="0.2">
      <c r="A1412" s="3" t="s">
        <v>72</v>
      </c>
      <c r="B1412" s="3" t="s">
        <v>73</v>
      </c>
      <c r="C1412" s="3" t="s">
        <v>74</v>
      </c>
      <c r="E1412" s="3" t="str">
        <f>"FES1162843266"</f>
        <v>FES1162843266</v>
      </c>
      <c r="F1412" s="4">
        <v>44564</v>
      </c>
      <c r="G1412" s="3">
        <v>202207</v>
      </c>
      <c r="H1412" s="3" t="s">
        <v>75</v>
      </c>
      <c r="I1412" s="3" t="s">
        <v>76</v>
      </c>
      <c r="J1412" s="3" t="s">
        <v>966</v>
      </c>
      <c r="K1412" s="3" t="s">
        <v>78</v>
      </c>
      <c r="L1412" s="3" t="s">
        <v>180</v>
      </c>
      <c r="M1412" s="3" t="s">
        <v>181</v>
      </c>
      <c r="N1412" s="3" t="s">
        <v>1250</v>
      </c>
      <c r="O1412" s="3" t="s">
        <v>148</v>
      </c>
      <c r="P1412" s="3" t="str">
        <f>"2170815503                    "</f>
        <v xml:space="preserve">2170815503                    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36.270000000000003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0</v>
      </c>
      <c r="AZ1412" s="3">
        <v>0</v>
      </c>
      <c r="BA1412" s="3">
        <v>0</v>
      </c>
      <c r="BB1412" s="3">
        <v>0</v>
      </c>
      <c r="BC1412" s="3">
        <v>0</v>
      </c>
      <c r="BD1412" s="3">
        <v>0</v>
      </c>
      <c r="BE1412" s="3">
        <v>0</v>
      </c>
      <c r="BF1412" s="3">
        <v>0</v>
      </c>
      <c r="BG1412" s="3">
        <v>0</v>
      </c>
      <c r="BH1412" s="3">
        <v>1</v>
      </c>
      <c r="BI1412" s="3">
        <v>12</v>
      </c>
      <c r="BJ1412" s="3">
        <v>4.0999999999999996</v>
      </c>
      <c r="BK1412" s="3">
        <v>12</v>
      </c>
      <c r="BL1412" s="3">
        <v>134.51</v>
      </c>
      <c r="BM1412" s="3">
        <v>20.18</v>
      </c>
      <c r="BN1412" s="3">
        <v>154.69</v>
      </c>
      <c r="BO1412" s="3">
        <v>154.69</v>
      </c>
      <c r="BQ1412" s="3" t="s">
        <v>83</v>
      </c>
      <c r="BR1412" s="3" t="s">
        <v>308</v>
      </c>
      <c r="BS1412" s="4">
        <v>44565</v>
      </c>
      <c r="BT1412" s="5">
        <v>0.3979166666666667</v>
      </c>
      <c r="BU1412" s="3" t="s">
        <v>1734</v>
      </c>
      <c r="BV1412" s="3" t="s">
        <v>105</v>
      </c>
      <c r="BY1412" s="3">
        <v>20358</v>
      </c>
      <c r="BZ1412" s="3" t="s">
        <v>1076</v>
      </c>
      <c r="CA1412" s="3" t="s">
        <v>373</v>
      </c>
      <c r="CC1412" s="3" t="s">
        <v>181</v>
      </c>
      <c r="CD1412" s="3">
        <v>1961</v>
      </c>
      <c r="CE1412" s="3" t="s">
        <v>86</v>
      </c>
      <c r="CF1412" s="4">
        <v>44565</v>
      </c>
      <c r="CI1412" s="3">
        <v>1</v>
      </c>
      <c r="CJ1412" s="3">
        <v>1</v>
      </c>
      <c r="CK1412" s="3">
        <v>44</v>
      </c>
      <c r="CL1412" s="3" t="s">
        <v>87</v>
      </c>
    </row>
    <row r="1413" spans="1:90" x14ac:dyDescent="0.2">
      <c r="A1413" s="3" t="s">
        <v>72</v>
      </c>
      <c r="B1413" s="3" t="s">
        <v>73</v>
      </c>
      <c r="C1413" s="3" t="s">
        <v>74</v>
      </c>
      <c r="E1413" s="3" t="str">
        <f>"FES1162843143"</f>
        <v>FES1162843143</v>
      </c>
      <c r="F1413" s="4">
        <v>44564</v>
      </c>
      <c r="G1413" s="3">
        <v>202207</v>
      </c>
      <c r="H1413" s="3" t="s">
        <v>75</v>
      </c>
      <c r="I1413" s="3" t="s">
        <v>76</v>
      </c>
      <c r="J1413" s="3" t="s">
        <v>966</v>
      </c>
      <c r="K1413" s="3" t="s">
        <v>78</v>
      </c>
      <c r="L1413" s="3" t="s">
        <v>154</v>
      </c>
      <c r="M1413" s="3" t="s">
        <v>155</v>
      </c>
      <c r="N1413" s="3" t="s">
        <v>1735</v>
      </c>
      <c r="O1413" s="3" t="s">
        <v>82</v>
      </c>
      <c r="P1413" s="3" t="str">
        <f>"2170812411                    "</f>
        <v xml:space="preserve">2170812411                    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25.99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0</v>
      </c>
      <c r="AZ1413" s="3">
        <v>0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  <c r="BH1413" s="3">
        <v>1</v>
      </c>
      <c r="BI1413" s="3">
        <v>12</v>
      </c>
      <c r="BJ1413" s="3">
        <v>9.1</v>
      </c>
      <c r="BK1413" s="3">
        <v>12</v>
      </c>
      <c r="BL1413" s="3">
        <v>92.64</v>
      </c>
      <c r="BM1413" s="3">
        <v>13.9</v>
      </c>
      <c r="BN1413" s="3">
        <v>106.54</v>
      </c>
      <c r="BO1413" s="3">
        <v>106.54</v>
      </c>
      <c r="BQ1413" s="3" t="s">
        <v>83</v>
      </c>
      <c r="BR1413" s="3" t="s">
        <v>308</v>
      </c>
      <c r="BS1413" s="4">
        <v>44565</v>
      </c>
      <c r="BT1413" s="5">
        <v>0.3840277777777778</v>
      </c>
      <c r="BU1413" s="3" t="s">
        <v>1736</v>
      </c>
      <c r="BV1413" s="3" t="s">
        <v>105</v>
      </c>
      <c r="BY1413" s="3">
        <v>45632</v>
      </c>
      <c r="BZ1413" s="3" t="s">
        <v>1076</v>
      </c>
      <c r="CA1413" s="3" t="s">
        <v>708</v>
      </c>
      <c r="CC1413" s="3" t="s">
        <v>155</v>
      </c>
      <c r="CD1413" s="3">
        <v>1682</v>
      </c>
      <c r="CE1413" s="3" t="s">
        <v>86</v>
      </c>
      <c r="CF1413" s="4">
        <v>44565</v>
      </c>
      <c r="CI1413" s="3">
        <v>1</v>
      </c>
      <c r="CJ1413" s="3">
        <v>1</v>
      </c>
      <c r="CK1413" s="3">
        <v>22</v>
      </c>
      <c r="CL1413" s="3" t="s">
        <v>87</v>
      </c>
    </row>
    <row r="1414" spans="1:90" x14ac:dyDescent="0.2">
      <c r="A1414" s="3" t="s">
        <v>72</v>
      </c>
      <c r="B1414" s="3" t="s">
        <v>73</v>
      </c>
      <c r="C1414" s="3" t="s">
        <v>74</v>
      </c>
      <c r="E1414" s="3" t="str">
        <f>"FES1162843279"</f>
        <v>FES1162843279</v>
      </c>
      <c r="F1414" s="4">
        <v>44564</v>
      </c>
      <c r="G1414" s="3">
        <v>202207</v>
      </c>
      <c r="H1414" s="3" t="s">
        <v>75</v>
      </c>
      <c r="I1414" s="3" t="s">
        <v>76</v>
      </c>
      <c r="J1414" s="3" t="s">
        <v>966</v>
      </c>
      <c r="K1414" s="3" t="s">
        <v>78</v>
      </c>
      <c r="L1414" s="3" t="s">
        <v>79</v>
      </c>
      <c r="M1414" s="3" t="s">
        <v>80</v>
      </c>
      <c r="N1414" s="3" t="s">
        <v>81</v>
      </c>
      <c r="O1414" s="3" t="s">
        <v>148</v>
      </c>
      <c r="P1414" s="3" t="str">
        <f>"2170815523                    "</f>
        <v xml:space="preserve">2170815523                    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32.840000000000003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  <c r="BH1414" s="3">
        <v>1</v>
      </c>
      <c r="BI1414" s="3">
        <v>3</v>
      </c>
      <c r="BJ1414" s="3">
        <v>4.5999999999999996</v>
      </c>
      <c r="BK1414" s="3">
        <v>5</v>
      </c>
      <c r="BL1414" s="3">
        <v>122.29</v>
      </c>
      <c r="BM1414" s="3">
        <v>18.34</v>
      </c>
      <c r="BN1414" s="3">
        <v>140.63</v>
      </c>
      <c r="BO1414" s="3">
        <v>140.63</v>
      </c>
      <c r="BQ1414" s="3" t="s">
        <v>83</v>
      </c>
      <c r="BR1414" s="3" t="s">
        <v>308</v>
      </c>
      <c r="BS1414" s="4">
        <v>44565</v>
      </c>
      <c r="BT1414" s="5">
        <v>0.40625</v>
      </c>
      <c r="BU1414" s="3" t="s">
        <v>893</v>
      </c>
      <c r="BV1414" s="3" t="s">
        <v>105</v>
      </c>
      <c r="BY1414" s="3">
        <v>23120</v>
      </c>
      <c r="BZ1414" s="3" t="s">
        <v>1076</v>
      </c>
      <c r="CA1414" s="3" t="s">
        <v>366</v>
      </c>
      <c r="CC1414" s="3" t="s">
        <v>80</v>
      </c>
      <c r="CD1414" s="3">
        <v>200</v>
      </c>
      <c r="CE1414" s="3" t="s">
        <v>86</v>
      </c>
      <c r="CF1414" s="4">
        <v>44565</v>
      </c>
      <c r="CI1414" s="3">
        <v>1</v>
      </c>
      <c r="CJ1414" s="3">
        <v>1</v>
      </c>
      <c r="CK1414" s="3">
        <v>41</v>
      </c>
      <c r="CL1414" s="3" t="s">
        <v>87</v>
      </c>
    </row>
    <row r="1415" spans="1:90" x14ac:dyDescent="0.2">
      <c r="A1415" s="3" t="s">
        <v>72</v>
      </c>
      <c r="B1415" s="3" t="s">
        <v>73</v>
      </c>
      <c r="C1415" s="3" t="s">
        <v>74</v>
      </c>
      <c r="E1415" s="3" t="str">
        <f>"FES1162843144"</f>
        <v>FES1162843144</v>
      </c>
      <c r="F1415" s="4">
        <v>44564</v>
      </c>
      <c r="G1415" s="3">
        <v>202207</v>
      </c>
      <c r="H1415" s="3" t="s">
        <v>75</v>
      </c>
      <c r="I1415" s="3" t="s">
        <v>76</v>
      </c>
      <c r="J1415" s="3" t="s">
        <v>966</v>
      </c>
      <c r="K1415" s="3" t="s">
        <v>78</v>
      </c>
      <c r="L1415" s="3" t="s">
        <v>79</v>
      </c>
      <c r="M1415" s="3" t="s">
        <v>80</v>
      </c>
      <c r="N1415" s="3" t="s">
        <v>1737</v>
      </c>
      <c r="O1415" s="3" t="s">
        <v>148</v>
      </c>
      <c r="P1415" s="3" t="str">
        <f>"2170812514                    "</f>
        <v xml:space="preserve">2170812514                    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32.840000000000003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  <c r="BH1415" s="3">
        <v>1</v>
      </c>
      <c r="BI1415" s="3">
        <v>12</v>
      </c>
      <c r="BJ1415" s="3">
        <v>9.1</v>
      </c>
      <c r="BK1415" s="3">
        <v>12</v>
      </c>
      <c r="BL1415" s="3">
        <v>122.29</v>
      </c>
      <c r="BM1415" s="3">
        <v>18.34</v>
      </c>
      <c r="BN1415" s="3">
        <v>140.63</v>
      </c>
      <c r="BO1415" s="3">
        <v>140.63</v>
      </c>
      <c r="BR1415" s="3" t="s">
        <v>308</v>
      </c>
      <c r="BS1415" s="4">
        <v>44566</v>
      </c>
      <c r="BT1415" s="5">
        <v>0.44166666666666665</v>
      </c>
      <c r="BU1415" s="3" t="s">
        <v>527</v>
      </c>
      <c r="BV1415" s="3" t="s">
        <v>87</v>
      </c>
      <c r="BY1415" s="3">
        <v>45632</v>
      </c>
      <c r="BZ1415" s="3" t="s">
        <v>1076</v>
      </c>
      <c r="CA1415" s="3" t="s">
        <v>720</v>
      </c>
      <c r="CC1415" s="3" t="s">
        <v>80</v>
      </c>
      <c r="CD1415" s="3">
        <v>1</v>
      </c>
      <c r="CE1415" s="3" t="s">
        <v>86</v>
      </c>
      <c r="CF1415" s="4">
        <v>44566</v>
      </c>
      <c r="CI1415" s="3">
        <v>1</v>
      </c>
      <c r="CJ1415" s="3">
        <v>2</v>
      </c>
      <c r="CK1415" s="3">
        <v>41</v>
      </c>
      <c r="CL1415" s="3" t="s">
        <v>87</v>
      </c>
    </row>
    <row r="1416" spans="1:90" x14ac:dyDescent="0.2">
      <c r="A1416" s="3" t="s">
        <v>72</v>
      </c>
      <c r="B1416" s="3" t="s">
        <v>73</v>
      </c>
      <c r="C1416" s="3" t="s">
        <v>74</v>
      </c>
      <c r="E1416" s="3" t="str">
        <f>"FES1162843248"</f>
        <v>FES1162843248</v>
      </c>
      <c r="F1416" s="4">
        <v>44564</v>
      </c>
      <c r="G1416" s="3">
        <v>202207</v>
      </c>
      <c r="H1416" s="3" t="s">
        <v>75</v>
      </c>
      <c r="I1416" s="3" t="s">
        <v>76</v>
      </c>
      <c r="J1416" s="3" t="s">
        <v>966</v>
      </c>
      <c r="K1416" s="3" t="s">
        <v>78</v>
      </c>
      <c r="L1416" s="3" t="s">
        <v>158</v>
      </c>
      <c r="M1416" s="3" t="s">
        <v>159</v>
      </c>
      <c r="N1416" s="3" t="s">
        <v>1457</v>
      </c>
      <c r="O1416" s="3" t="s">
        <v>1237</v>
      </c>
      <c r="P1416" s="3" t="str">
        <f>"2170811050                    "</f>
        <v xml:space="preserve">2170811050                    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28.17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  <c r="BH1416" s="3">
        <v>1</v>
      </c>
      <c r="BI1416" s="3">
        <v>18</v>
      </c>
      <c r="BJ1416" s="3">
        <v>6.1</v>
      </c>
      <c r="BK1416" s="3">
        <v>18</v>
      </c>
      <c r="BL1416" s="3">
        <v>100.39</v>
      </c>
      <c r="BM1416" s="3">
        <v>15.06</v>
      </c>
      <c r="BN1416" s="3">
        <v>115.45</v>
      </c>
      <c r="BO1416" s="3">
        <v>115.45</v>
      </c>
      <c r="BQ1416" s="3" t="s">
        <v>83</v>
      </c>
      <c r="BR1416" s="3" t="s">
        <v>308</v>
      </c>
      <c r="BS1416" s="4">
        <v>44565</v>
      </c>
      <c r="BT1416" s="5">
        <v>0.5</v>
      </c>
      <c r="BU1416" s="3" t="s">
        <v>1738</v>
      </c>
      <c r="BV1416" s="3" t="s">
        <v>105</v>
      </c>
      <c r="BY1416" s="3">
        <v>30685</v>
      </c>
      <c r="BZ1416" s="3" t="s">
        <v>1076</v>
      </c>
      <c r="CA1416" s="3" t="s">
        <v>678</v>
      </c>
      <c r="CC1416" s="3" t="s">
        <v>159</v>
      </c>
      <c r="CD1416" s="3">
        <v>1459</v>
      </c>
      <c r="CE1416" s="3" t="s">
        <v>86</v>
      </c>
      <c r="CF1416" s="4">
        <v>44566</v>
      </c>
      <c r="CI1416" s="3">
        <v>1</v>
      </c>
      <c r="CJ1416" s="3">
        <v>1</v>
      </c>
      <c r="CK1416" s="3">
        <v>32</v>
      </c>
      <c r="CL1416" s="3" t="s">
        <v>87</v>
      </c>
    </row>
    <row r="1417" spans="1:90" x14ac:dyDescent="0.2">
      <c r="A1417" s="3" t="s">
        <v>72</v>
      </c>
      <c r="B1417" s="3" t="s">
        <v>73</v>
      </c>
      <c r="C1417" s="3" t="s">
        <v>74</v>
      </c>
      <c r="E1417" s="3" t="str">
        <f>"FES1162843197"</f>
        <v>FES1162843197</v>
      </c>
      <c r="F1417" s="4">
        <v>44564</v>
      </c>
      <c r="G1417" s="3">
        <v>202207</v>
      </c>
      <c r="H1417" s="3" t="s">
        <v>75</v>
      </c>
      <c r="I1417" s="3" t="s">
        <v>76</v>
      </c>
      <c r="J1417" s="3" t="s">
        <v>966</v>
      </c>
      <c r="K1417" s="3" t="s">
        <v>78</v>
      </c>
      <c r="L1417" s="3" t="s">
        <v>244</v>
      </c>
      <c r="M1417" s="3" t="s">
        <v>245</v>
      </c>
      <c r="N1417" s="3" t="s">
        <v>400</v>
      </c>
      <c r="O1417" s="3" t="s">
        <v>148</v>
      </c>
      <c r="P1417" s="3" t="str">
        <f>"2170813043                    "</f>
        <v xml:space="preserve">2170813043                    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46.31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  <c r="BH1417" s="3">
        <v>1</v>
      </c>
      <c r="BI1417" s="3">
        <v>4</v>
      </c>
      <c r="BJ1417" s="3">
        <v>1.5</v>
      </c>
      <c r="BK1417" s="3">
        <v>4</v>
      </c>
      <c r="BL1417" s="3">
        <v>170.31</v>
      </c>
      <c r="BM1417" s="3">
        <v>25.55</v>
      </c>
      <c r="BN1417" s="3">
        <v>195.86</v>
      </c>
      <c r="BO1417" s="3">
        <v>195.86</v>
      </c>
      <c r="BQ1417" s="3" t="s">
        <v>83</v>
      </c>
      <c r="BR1417" s="3" t="s">
        <v>308</v>
      </c>
      <c r="BS1417" s="4">
        <v>44565</v>
      </c>
      <c r="BT1417" s="5">
        <v>0.39305555555555555</v>
      </c>
      <c r="BU1417" s="3" t="s">
        <v>1739</v>
      </c>
      <c r="BV1417" s="3" t="s">
        <v>105</v>
      </c>
      <c r="BY1417" s="3">
        <v>7540</v>
      </c>
      <c r="BZ1417" s="3" t="s">
        <v>1076</v>
      </c>
      <c r="CA1417" s="3" t="s">
        <v>402</v>
      </c>
      <c r="CC1417" s="3" t="s">
        <v>245</v>
      </c>
      <c r="CD1417" s="3">
        <v>1947</v>
      </c>
      <c r="CE1417" s="3" t="s">
        <v>86</v>
      </c>
      <c r="CF1417" s="4">
        <v>44565</v>
      </c>
      <c r="CI1417" s="3">
        <v>1</v>
      </c>
      <c r="CJ1417" s="3">
        <v>1</v>
      </c>
      <c r="CK1417" s="3">
        <v>43</v>
      </c>
      <c r="CL1417" s="3" t="s">
        <v>87</v>
      </c>
    </row>
    <row r="1418" spans="1:90" x14ac:dyDescent="0.2">
      <c r="A1418" s="3" t="s">
        <v>72</v>
      </c>
      <c r="B1418" s="3" t="s">
        <v>73</v>
      </c>
      <c r="C1418" s="3" t="s">
        <v>74</v>
      </c>
      <c r="E1418" s="3" t="str">
        <f>"FES1162843046"</f>
        <v>FES1162843046</v>
      </c>
      <c r="F1418" s="4">
        <v>44564</v>
      </c>
      <c r="G1418" s="3">
        <v>202207</v>
      </c>
      <c r="H1418" s="3" t="s">
        <v>75</v>
      </c>
      <c r="I1418" s="3" t="s">
        <v>76</v>
      </c>
      <c r="J1418" s="3" t="s">
        <v>966</v>
      </c>
      <c r="K1418" s="3" t="s">
        <v>78</v>
      </c>
      <c r="L1418" s="3" t="s">
        <v>1307</v>
      </c>
      <c r="M1418" s="3" t="s">
        <v>1307</v>
      </c>
      <c r="N1418" s="3" t="s">
        <v>1393</v>
      </c>
      <c r="O1418" s="3" t="s">
        <v>1237</v>
      </c>
      <c r="P1418" s="3" t="str">
        <f>"2170815382                    "</f>
        <v xml:space="preserve">2170815382                    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52.56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0</v>
      </c>
      <c r="AZ1418" s="3">
        <v>0</v>
      </c>
      <c r="BA1418" s="3">
        <v>0</v>
      </c>
      <c r="BB1418" s="3">
        <v>0</v>
      </c>
      <c r="BC1418" s="3">
        <v>0</v>
      </c>
      <c r="BD1418" s="3">
        <v>0</v>
      </c>
      <c r="BE1418" s="3">
        <v>0</v>
      </c>
      <c r="BF1418" s="3">
        <v>0</v>
      </c>
      <c r="BG1418" s="3">
        <v>0</v>
      </c>
      <c r="BH1418" s="3">
        <v>1</v>
      </c>
      <c r="BI1418" s="3">
        <v>8</v>
      </c>
      <c r="BJ1418" s="3">
        <v>4.0999999999999996</v>
      </c>
      <c r="BK1418" s="3">
        <v>8</v>
      </c>
      <c r="BL1418" s="3">
        <v>187.32</v>
      </c>
      <c r="BM1418" s="3">
        <v>28.1</v>
      </c>
      <c r="BN1418" s="3">
        <v>215.42</v>
      </c>
      <c r="BO1418" s="3">
        <v>215.42</v>
      </c>
      <c r="BQ1418" s="3" t="s">
        <v>83</v>
      </c>
      <c r="BR1418" s="3" t="s">
        <v>308</v>
      </c>
      <c r="BS1418" s="4">
        <v>44565</v>
      </c>
      <c r="BT1418" s="5">
        <v>0.43888888888888888</v>
      </c>
      <c r="BU1418" s="3" t="s">
        <v>1740</v>
      </c>
      <c r="BV1418" s="3" t="s">
        <v>105</v>
      </c>
      <c r="BY1418" s="3">
        <v>20358</v>
      </c>
      <c r="BZ1418" s="3" t="s">
        <v>1076</v>
      </c>
      <c r="CA1418" s="3" t="s">
        <v>1051</v>
      </c>
      <c r="CC1418" s="3" t="s">
        <v>1307</v>
      </c>
      <c r="CD1418" s="3">
        <v>1491</v>
      </c>
      <c r="CE1418" s="3" t="s">
        <v>86</v>
      </c>
      <c r="CF1418" s="4">
        <v>44565</v>
      </c>
      <c r="CI1418" s="3">
        <v>1</v>
      </c>
      <c r="CJ1418" s="3">
        <v>1</v>
      </c>
      <c r="CK1418" s="3">
        <v>34</v>
      </c>
      <c r="CL1418" s="3" t="s">
        <v>87</v>
      </c>
    </row>
    <row r="1419" spans="1:90" x14ac:dyDescent="0.2">
      <c r="A1419" s="3" t="s">
        <v>72</v>
      </c>
      <c r="B1419" s="3" t="s">
        <v>73</v>
      </c>
      <c r="C1419" s="3" t="s">
        <v>74</v>
      </c>
      <c r="E1419" s="3" t="str">
        <f>"FES1162843117"</f>
        <v>FES1162843117</v>
      </c>
      <c r="F1419" s="4">
        <v>44564</v>
      </c>
      <c r="G1419" s="3">
        <v>202207</v>
      </c>
      <c r="H1419" s="3" t="s">
        <v>75</v>
      </c>
      <c r="I1419" s="3" t="s">
        <v>76</v>
      </c>
      <c r="J1419" s="3" t="s">
        <v>966</v>
      </c>
      <c r="K1419" s="3" t="s">
        <v>78</v>
      </c>
      <c r="L1419" s="3" t="s">
        <v>244</v>
      </c>
      <c r="M1419" s="3" t="s">
        <v>245</v>
      </c>
      <c r="N1419" s="3" t="s">
        <v>400</v>
      </c>
      <c r="O1419" s="3" t="s">
        <v>148</v>
      </c>
      <c r="P1419" s="3" t="str">
        <f>"2170814010                    "</f>
        <v xml:space="preserve">2170814010                    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46.31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0</v>
      </c>
      <c r="AZ1419" s="3">
        <v>0</v>
      </c>
      <c r="BA1419" s="3">
        <v>0</v>
      </c>
      <c r="BB1419" s="3">
        <v>0</v>
      </c>
      <c r="BC1419" s="3">
        <v>0</v>
      </c>
      <c r="BD1419" s="3">
        <v>0</v>
      </c>
      <c r="BE1419" s="3">
        <v>0</v>
      </c>
      <c r="BF1419" s="3">
        <v>0</v>
      </c>
      <c r="BG1419" s="3">
        <v>0</v>
      </c>
      <c r="BH1419" s="3">
        <v>1</v>
      </c>
      <c r="BI1419" s="3">
        <v>2</v>
      </c>
      <c r="BJ1419" s="3">
        <v>3.6</v>
      </c>
      <c r="BK1419" s="3">
        <v>4</v>
      </c>
      <c r="BL1419" s="3">
        <v>170.31</v>
      </c>
      <c r="BM1419" s="3">
        <v>25.55</v>
      </c>
      <c r="BN1419" s="3">
        <v>195.86</v>
      </c>
      <c r="BO1419" s="3">
        <v>195.86</v>
      </c>
      <c r="BQ1419" s="3" t="s">
        <v>83</v>
      </c>
      <c r="BR1419" s="3" t="s">
        <v>308</v>
      </c>
      <c r="BS1419" s="4">
        <v>44565</v>
      </c>
      <c r="BT1419" s="5">
        <v>0.39305555555555555</v>
      </c>
      <c r="BU1419" s="3" t="s">
        <v>1739</v>
      </c>
      <c r="BV1419" s="3" t="s">
        <v>105</v>
      </c>
      <c r="BY1419" s="3">
        <v>18000</v>
      </c>
      <c r="BZ1419" s="3" t="s">
        <v>1076</v>
      </c>
      <c r="CA1419" s="3" t="s">
        <v>402</v>
      </c>
      <c r="CC1419" s="3" t="s">
        <v>245</v>
      </c>
      <c r="CD1419" s="3">
        <v>1947</v>
      </c>
      <c r="CE1419" s="3" t="s">
        <v>86</v>
      </c>
      <c r="CF1419" s="4">
        <v>44565</v>
      </c>
      <c r="CI1419" s="3">
        <v>1</v>
      </c>
      <c r="CJ1419" s="3">
        <v>1</v>
      </c>
      <c r="CK1419" s="3">
        <v>43</v>
      </c>
      <c r="CL1419" s="3" t="s">
        <v>87</v>
      </c>
    </row>
    <row r="1420" spans="1:90" x14ac:dyDescent="0.2">
      <c r="A1420" s="3" t="s">
        <v>72</v>
      </c>
      <c r="B1420" s="3" t="s">
        <v>73</v>
      </c>
      <c r="C1420" s="3" t="s">
        <v>74</v>
      </c>
      <c r="E1420" s="3" t="str">
        <f>"FES1162844210"</f>
        <v>FES1162844210</v>
      </c>
      <c r="F1420" s="4">
        <v>44568</v>
      </c>
      <c r="G1420" s="3">
        <v>202207</v>
      </c>
      <c r="H1420" s="3" t="s">
        <v>75</v>
      </c>
      <c r="I1420" s="3" t="s">
        <v>76</v>
      </c>
      <c r="J1420" s="3" t="s">
        <v>966</v>
      </c>
      <c r="K1420" s="3" t="s">
        <v>78</v>
      </c>
      <c r="L1420" s="3" t="s">
        <v>948</v>
      </c>
      <c r="M1420" s="3" t="s">
        <v>949</v>
      </c>
      <c r="N1420" s="3" t="s">
        <v>1294</v>
      </c>
      <c r="O1420" s="3" t="s">
        <v>1237</v>
      </c>
      <c r="P1420" s="3" t="str">
        <f>"2170815966                    "</f>
        <v xml:space="preserve">2170815966                    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34.79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0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0</v>
      </c>
      <c r="BG1420" s="3">
        <v>0</v>
      </c>
      <c r="BH1420" s="3">
        <v>1</v>
      </c>
      <c r="BI1420" s="3">
        <v>6</v>
      </c>
      <c r="BJ1420" s="3">
        <v>4.0999999999999996</v>
      </c>
      <c r="BK1420" s="3">
        <v>6</v>
      </c>
      <c r="BL1420" s="3">
        <v>132.79</v>
      </c>
      <c r="BM1420" s="3">
        <v>19.920000000000002</v>
      </c>
      <c r="BN1420" s="3">
        <v>152.71</v>
      </c>
      <c r="BO1420" s="3">
        <v>152.71</v>
      </c>
      <c r="BR1420" s="3" t="s">
        <v>364</v>
      </c>
      <c r="BS1420" s="4">
        <v>44571</v>
      </c>
      <c r="BT1420" s="5">
        <v>0.57708333333333328</v>
      </c>
      <c r="BU1420" s="3" t="s">
        <v>1186</v>
      </c>
      <c r="BV1420" s="3" t="s">
        <v>105</v>
      </c>
      <c r="BY1420" s="3">
        <v>20358</v>
      </c>
      <c r="BZ1420" s="3" t="s">
        <v>1076</v>
      </c>
      <c r="CA1420" s="3" t="s">
        <v>952</v>
      </c>
      <c r="CC1420" s="3" t="s">
        <v>949</v>
      </c>
      <c r="CD1420" s="3">
        <v>1759</v>
      </c>
      <c r="CE1420" s="3" t="s">
        <v>86</v>
      </c>
      <c r="CF1420" s="4">
        <v>44572</v>
      </c>
      <c r="CI1420" s="3">
        <v>1</v>
      </c>
      <c r="CJ1420" s="3">
        <v>1</v>
      </c>
      <c r="CK1420" s="3">
        <v>34</v>
      </c>
      <c r="CL1420" s="3" t="s">
        <v>87</v>
      </c>
    </row>
    <row r="1421" spans="1:90" x14ac:dyDescent="0.2">
      <c r="A1421" s="3" t="s">
        <v>72</v>
      </c>
      <c r="B1421" s="3" t="s">
        <v>73</v>
      </c>
      <c r="C1421" s="3" t="s">
        <v>74</v>
      </c>
      <c r="E1421" s="3" t="str">
        <f>"FES1162844164"</f>
        <v>FES1162844164</v>
      </c>
      <c r="F1421" s="4">
        <v>44568</v>
      </c>
      <c r="G1421" s="3">
        <v>202207</v>
      </c>
      <c r="H1421" s="3" t="s">
        <v>75</v>
      </c>
      <c r="I1421" s="3" t="s">
        <v>76</v>
      </c>
      <c r="J1421" s="3" t="s">
        <v>966</v>
      </c>
      <c r="K1421" s="3" t="s">
        <v>78</v>
      </c>
      <c r="L1421" s="3" t="s">
        <v>79</v>
      </c>
      <c r="M1421" s="3" t="s">
        <v>80</v>
      </c>
      <c r="N1421" s="3" t="s">
        <v>1741</v>
      </c>
      <c r="O1421" s="3" t="s">
        <v>148</v>
      </c>
      <c r="P1421" s="3" t="str">
        <f>"2170809555                    "</f>
        <v xml:space="preserve">2170809555                    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29.89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0</v>
      </c>
      <c r="BE1421" s="3">
        <v>0</v>
      </c>
      <c r="BF1421" s="3">
        <v>0</v>
      </c>
      <c r="BG1421" s="3">
        <v>0</v>
      </c>
      <c r="BH1421" s="3">
        <v>1</v>
      </c>
      <c r="BI1421" s="3">
        <v>1</v>
      </c>
      <c r="BJ1421" s="3">
        <v>4.0999999999999996</v>
      </c>
      <c r="BK1421" s="3">
        <v>5</v>
      </c>
      <c r="BL1421" s="3">
        <v>119.34</v>
      </c>
      <c r="BM1421" s="3">
        <v>17.899999999999999</v>
      </c>
      <c r="BN1421" s="3">
        <v>137.24</v>
      </c>
      <c r="BO1421" s="3">
        <v>137.24</v>
      </c>
      <c r="BQ1421" s="3" t="s">
        <v>1742</v>
      </c>
      <c r="BR1421" s="3" t="s">
        <v>364</v>
      </c>
      <c r="BS1421" s="4">
        <v>44571</v>
      </c>
      <c r="BT1421" s="5">
        <v>0.625</v>
      </c>
      <c r="BU1421" s="3" t="s">
        <v>1743</v>
      </c>
      <c r="BV1421" s="3" t="s">
        <v>105</v>
      </c>
      <c r="BY1421" s="3">
        <v>20358</v>
      </c>
      <c r="BZ1421" s="3" t="s">
        <v>1076</v>
      </c>
      <c r="CC1421" s="3" t="s">
        <v>80</v>
      </c>
      <c r="CD1421" s="3">
        <v>8</v>
      </c>
      <c r="CE1421" s="3" t="s">
        <v>86</v>
      </c>
      <c r="CF1421" s="4">
        <v>44571</v>
      </c>
      <c r="CI1421" s="3">
        <v>1</v>
      </c>
      <c r="CJ1421" s="3">
        <v>1</v>
      </c>
      <c r="CK1421" s="3">
        <v>41</v>
      </c>
      <c r="CL1421" s="3" t="s">
        <v>87</v>
      </c>
    </row>
    <row r="1422" spans="1:90" x14ac:dyDescent="0.2">
      <c r="A1422" s="3" t="s">
        <v>72</v>
      </c>
      <c r="B1422" s="3" t="s">
        <v>73</v>
      </c>
      <c r="C1422" s="3" t="s">
        <v>74</v>
      </c>
      <c r="E1422" s="3" t="str">
        <f>"FES1162844370"</f>
        <v>FES1162844370</v>
      </c>
      <c r="F1422" s="4">
        <v>44571</v>
      </c>
      <c r="G1422" s="3">
        <v>202207</v>
      </c>
      <c r="H1422" s="3" t="s">
        <v>75</v>
      </c>
      <c r="I1422" s="3" t="s">
        <v>76</v>
      </c>
      <c r="J1422" s="3" t="s">
        <v>966</v>
      </c>
      <c r="K1422" s="3" t="s">
        <v>78</v>
      </c>
      <c r="L1422" s="3" t="s">
        <v>75</v>
      </c>
      <c r="M1422" s="3" t="s">
        <v>76</v>
      </c>
      <c r="N1422" s="3" t="s">
        <v>147</v>
      </c>
      <c r="O1422" s="3" t="s">
        <v>1237</v>
      </c>
      <c r="P1422" s="3" t="str">
        <f>"2170814911                    "</f>
        <v xml:space="preserve">2170814911                    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18.86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0</v>
      </c>
      <c r="BF1422" s="3">
        <v>0</v>
      </c>
      <c r="BG1422" s="3">
        <v>0</v>
      </c>
      <c r="BH1422" s="3">
        <v>1</v>
      </c>
      <c r="BI1422" s="3">
        <v>13</v>
      </c>
      <c r="BJ1422" s="3">
        <v>9.1</v>
      </c>
      <c r="BK1422" s="3">
        <v>13</v>
      </c>
      <c r="BL1422" s="3">
        <v>71.98</v>
      </c>
      <c r="BM1422" s="3">
        <v>10.8</v>
      </c>
      <c r="BN1422" s="3">
        <v>82.78</v>
      </c>
      <c r="BO1422" s="3">
        <v>82.78</v>
      </c>
      <c r="BQ1422" s="3" t="s">
        <v>83</v>
      </c>
      <c r="BR1422" s="3" t="s">
        <v>1268</v>
      </c>
      <c r="BS1422" s="4">
        <v>44572</v>
      </c>
      <c r="BT1422" s="5">
        <v>0.42430555555555555</v>
      </c>
      <c r="BU1422" s="3" t="s">
        <v>656</v>
      </c>
      <c r="BV1422" s="3" t="s">
        <v>105</v>
      </c>
      <c r="BY1422" s="3">
        <v>45632</v>
      </c>
      <c r="BZ1422" s="3" t="s">
        <v>1076</v>
      </c>
      <c r="CA1422" s="3" t="s">
        <v>477</v>
      </c>
      <c r="CC1422" s="3" t="s">
        <v>76</v>
      </c>
      <c r="CD1422" s="3">
        <v>1645</v>
      </c>
      <c r="CE1422" s="3" t="s">
        <v>86</v>
      </c>
      <c r="CF1422" s="4">
        <v>44573</v>
      </c>
      <c r="CI1422" s="3">
        <v>1</v>
      </c>
      <c r="CJ1422" s="3">
        <v>1</v>
      </c>
      <c r="CK1422" s="3">
        <v>32</v>
      </c>
      <c r="CL1422" s="3" t="s">
        <v>87</v>
      </c>
    </row>
    <row r="1423" spans="1:90" x14ac:dyDescent="0.2">
      <c r="A1423" s="3" t="s">
        <v>72</v>
      </c>
      <c r="B1423" s="3" t="s">
        <v>73</v>
      </c>
      <c r="C1423" s="3" t="s">
        <v>74</v>
      </c>
      <c r="E1423" s="3" t="str">
        <f>"FES1162844222"</f>
        <v>FES1162844222</v>
      </c>
      <c r="F1423" s="4">
        <v>44571</v>
      </c>
      <c r="G1423" s="3">
        <v>202207</v>
      </c>
      <c r="H1423" s="3" t="s">
        <v>75</v>
      </c>
      <c r="I1423" s="3" t="s">
        <v>76</v>
      </c>
      <c r="J1423" s="3" t="s">
        <v>966</v>
      </c>
      <c r="K1423" s="3" t="s">
        <v>78</v>
      </c>
      <c r="L1423" s="3" t="s">
        <v>142</v>
      </c>
      <c r="M1423" s="3" t="s">
        <v>143</v>
      </c>
      <c r="N1423" s="3" t="s">
        <v>337</v>
      </c>
      <c r="O1423" s="3" t="s">
        <v>82</v>
      </c>
      <c r="P1423" s="3" t="str">
        <f>"2170815964                    "</f>
        <v xml:space="preserve">2170815964                    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12.07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0</v>
      </c>
      <c r="AZ1423" s="3">
        <v>0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1</v>
      </c>
      <c r="BI1423" s="3">
        <v>5</v>
      </c>
      <c r="BJ1423" s="3">
        <v>2.5</v>
      </c>
      <c r="BK1423" s="3">
        <v>5</v>
      </c>
      <c r="BL1423" s="3">
        <v>46.08</v>
      </c>
      <c r="BM1423" s="3">
        <v>6.91</v>
      </c>
      <c r="BN1423" s="3">
        <v>52.99</v>
      </c>
      <c r="BO1423" s="3">
        <v>52.99</v>
      </c>
      <c r="BQ1423" s="3" t="s">
        <v>83</v>
      </c>
      <c r="BR1423" s="3" t="s">
        <v>364</v>
      </c>
      <c r="BS1423" s="4">
        <v>44572</v>
      </c>
      <c r="BT1423" s="5">
        <v>0.33402777777777781</v>
      </c>
      <c r="BU1423" s="3" t="s">
        <v>470</v>
      </c>
      <c r="BV1423" s="3" t="s">
        <v>105</v>
      </c>
      <c r="BY1423" s="3">
        <v>12673</v>
      </c>
      <c r="BZ1423" s="3" t="s">
        <v>1076</v>
      </c>
      <c r="CA1423" s="3" t="s">
        <v>471</v>
      </c>
      <c r="CC1423" s="3" t="s">
        <v>143</v>
      </c>
      <c r="CD1423" s="3">
        <v>1451</v>
      </c>
      <c r="CE1423" s="3" t="s">
        <v>86</v>
      </c>
      <c r="CF1423" s="4">
        <v>44572</v>
      </c>
      <c r="CI1423" s="3">
        <v>1</v>
      </c>
      <c r="CJ1423" s="3">
        <v>1</v>
      </c>
      <c r="CK1423" s="3">
        <v>22</v>
      </c>
      <c r="CL1423" s="3" t="s">
        <v>87</v>
      </c>
    </row>
    <row r="1424" spans="1:90" x14ac:dyDescent="0.2">
      <c r="A1424" s="3" t="s">
        <v>72</v>
      </c>
      <c r="B1424" s="3" t="s">
        <v>73</v>
      </c>
      <c r="C1424" s="3" t="s">
        <v>74</v>
      </c>
      <c r="E1424" s="3" t="str">
        <f>"FES1162843254"</f>
        <v>FES1162843254</v>
      </c>
      <c r="F1424" s="4">
        <v>44564</v>
      </c>
      <c r="G1424" s="3">
        <v>202207</v>
      </c>
      <c r="H1424" s="3" t="s">
        <v>75</v>
      </c>
      <c r="I1424" s="3" t="s">
        <v>76</v>
      </c>
      <c r="J1424" s="3" t="s">
        <v>966</v>
      </c>
      <c r="K1424" s="3" t="s">
        <v>78</v>
      </c>
      <c r="L1424" s="3" t="s">
        <v>1179</v>
      </c>
      <c r="M1424" s="3" t="s">
        <v>1180</v>
      </c>
      <c r="N1424" s="3" t="s">
        <v>1181</v>
      </c>
      <c r="O1424" s="3" t="s">
        <v>148</v>
      </c>
      <c r="P1424" s="3" t="str">
        <f>"2170815494                    "</f>
        <v xml:space="preserve">2170815494                    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46.31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0</v>
      </c>
      <c r="BC1424" s="3">
        <v>0</v>
      </c>
      <c r="BD1424" s="3">
        <v>0</v>
      </c>
      <c r="BE1424" s="3">
        <v>0</v>
      </c>
      <c r="BF1424" s="3">
        <v>0</v>
      </c>
      <c r="BG1424" s="3">
        <v>0</v>
      </c>
      <c r="BH1424" s="3">
        <v>1</v>
      </c>
      <c r="BI1424" s="3">
        <v>12</v>
      </c>
      <c r="BJ1424" s="3">
        <v>9.1</v>
      </c>
      <c r="BK1424" s="3">
        <v>12</v>
      </c>
      <c r="BL1424" s="3">
        <v>170.31</v>
      </c>
      <c r="BM1424" s="3">
        <v>25.55</v>
      </c>
      <c r="BN1424" s="3">
        <v>195.86</v>
      </c>
      <c r="BO1424" s="3">
        <v>195.86</v>
      </c>
      <c r="BQ1424" s="3" t="s">
        <v>83</v>
      </c>
      <c r="BR1424" s="3" t="s">
        <v>308</v>
      </c>
      <c r="BS1424" s="4">
        <v>44568</v>
      </c>
      <c r="BT1424" s="5">
        <v>0.63888888888888895</v>
      </c>
      <c r="BU1424" s="3" t="s">
        <v>1744</v>
      </c>
      <c r="BV1424" s="3" t="s">
        <v>87</v>
      </c>
      <c r="BW1424" s="3" t="s">
        <v>353</v>
      </c>
      <c r="BX1424" s="3" t="s">
        <v>758</v>
      </c>
      <c r="BY1424" s="3">
        <v>45632</v>
      </c>
      <c r="BZ1424" s="3" t="s">
        <v>1076</v>
      </c>
      <c r="CC1424" s="3" t="s">
        <v>1180</v>
      </c>
      <c r="CD1424" s="3">
        <v>208</v>
      </c>
      <c r="CE1424" s="3" t="s">
        <v>86</v>
      </c>
      <c r="CF1424" s="4">
        <v>44568</v>
      </c>
      <c r="CI1424" s="3">
        <v>1</v>
      </c>
      <c r="CJ1424" s="3">
        <v>4</v>
      </c>
      <c r="CK1424" s="3">
        <v>43</v>
      </c>
      <c r="CL1424" s="3" t="s">
        <v>87</v>
      </c>
    </row>
    <row r="1425" spans="1:90" x14ac:dyDescent="0.2">
      <c r="A1425" s="3" t="s">
        <v>72</v>
      </c>
      <c r="B1425" s="3" t="s">
        <v>73</v>
      </c>
      <c r="C1425" s="3" t="s">
        <v>74</v>
      </c>
      <c r="E1425" s="3" t="str">
        <f>"FES162843416"</f>
        <v>FES162843416</v>
      </c>
      <c r="F1425" s="4">
        <v>44565</v>
      </c>
      <c r="G1425" s="3">
        <v>202207</v>
      </c>
      <c r="H1425" s="3" t="s">
        <v>75</v>
      </c>
      <c r="I1425" s="3" t="s">
        <v>76</v>
      </c>
      <c r="J1425" s="3" t="s">
        <v>966</v>
      </c>
      <c r="K1425" s="3" t="s">
        <v>78</v>
      </c>
      <c r="L1425" s="3" t="s">
        <v>244</v>
      </c>
      <c r="M1425" s="3" t="s">
        <v>245</v>
      </c>
      <c r="N1425" s="3" t="s">
        <v>400</v>
      </c>
      <c r="O1425" s="3" t="s">
        <v>148</v>
      </c>
      <c r="P1425" s="3" t="str">
        <f>"2170810050                    "</f>
        <v xml:space="preserve">2170810050                    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46.31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0</v>
      </c>
      <c r="BH1425" s="3">
        <v>1</v>
      </c>
      <c r="BI1425" s="3">
        <v>3</v>
      </c>
      <c r="BJ1425" s="3">
        <v>4.0999999999999996</v>
      </c>
      <c r="BK1425" s="3">
        <v>5</v>
      </c>
      <c r="BL1425" s="3">
        <v>170.31</v>
      </c>
      <c r="BM1425" s="3">
        <v>25.55</v>
      </c>
      <c r="BN1425" s="3">
        <v>195.86</v>
      </c>
      <c r="BO1425" s="3">
        <v>195.86</v>
      </c>
      <c r="BQ1425" s="3" t="s">
        <v>83</v>
      </c>
      <c r="BR1425" s="3" t="s">
        <v>308</v>
      </c>
      <c r="BS1425" s="4">
        <v>44566</v>
      </c>
      <c r="BT1425" s="5">
        <v>0.67638888888888893</v>
      </c>
      <c r="BU1425" s="3" t="s">
        <v>401</v>
      </c>
      <c r="BV1425" s="3" t="s">
        <v>105</v>
      </c>
      <c r="BY1425" s="3">
        <v>20358</v>
      </c>
      <c r="BZ1425" s="3" t="s">
        <v>1076</v>
      </c>
      <c r="CA1425" s="3" t="s">
        <v>402</v>
      </c>
      <c r="CC1425" s="3" t="s">
        <v>245</v>
      </c>
      <c r="CD1425" s="3">
        <v>1947</v>
      </c>
      <c r="CE1425" s="3" t="s">
        <v>86</v>
      </c>
      <c r="CF1425" s="4">
        <v>44567</v>
      </c>
      <c r="CI1425" s="3">
        <v>1</v>
      </c>
      <c r="CJ1425" s="3">
        <v>1</v>
      </c>
      <c r="CK1425" s="3">
        <v>43</v>
      </c>
      <c r="CL1425" s="3" t="s">
        <v>87</v>
      </c>
    </row>
    <row r="1426" spans="1:90" x14ac:dyDescent="0.2">
      <c r="A1426" s="3" t="s">
        <v>72</v>
      </c>
      <c r="B1426" s="3" t="s">
        <v>73</v>
      </c>
      <c r="C1426" s="3" t="s">
        <v>74</v>
      </c>
      <c r="E1426" s="3" t="str">
        <f>"FES1162843335"</f>
        <v>FES1162843335</v>
      </c>
      <c r="F1426" s="4">
        <v>44565</v>
      </c>
      <c r="G1426" s="3">
        <v>202207</v>
      </c>
      <c r="H1426" s="3" t="s">
        <v>75</v>
      </c>
      <c r="I1426" s="3" t="s">
        <v>76</v>
      </c>
      <c r="J1426" s="3" t="s">
        <v>966</v>
      </c>
      <c r="K1426" s="3" t="s">
        <v>78</v>
      </c>
      <c r="L1426" s="3" t="s">
        <v>218</v>
      </c>
      <c r="M1426" s="3" t="s">
        <v>219</v>
      </c>
      <c r="N1426" s="3" t="s">
        <v>1745</v>
      </c>
      <c r="O1426" s="3" t="s">
        <v>148</v>
      </c>
      <c r="P1426" s="3" t="str">
        <f>"2170814720                    "</f>
        <v xml:space="preserve">2170814720                    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32.840000000000003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0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G1426" s="3">
        <v>0</v>
      </c>
      <c r="BH1426" s="3">
        <v>1</v>
      </c>
      <c r="BI1426" s="3">
        <v>8</v>
      </c>
      <c r="BJ1426" s="3">
        <v>9.1</v>
      </c>
      <c r="BK1426" s="3">
        <v>10</v>
      </c>
      <c r="BL1426" s="3">
        <v>122.29</v>
      </c>
      <c r="BM1426" s="3">
        <v>18.34</v>
      </c>
      <c r="BN1426" s="3">
        <v>140.63</v>
      </c>
      <c r="BO1426" s="3">
        <v>140.63</v>
      </c>
      <c r="BQ1426" s="3" t="s">
        <v>83</v>
      </c>
      <c r="BR1426" s="3" t="s">
        <v>308</v>
      </c>
      <c r="BS1426" s="4">
        <v>44571</v>
      </c>
      <c r="BT1426" s="5">
        <v>0.375</v>
      </c>
      <c r="BU1426" s="3" t="s">
        <v>1746</v>
      </c>
      <c r="BV1426" s="3" t="s">
        <v>87</v>
      </c>
      <c r="BW1426" s="3" t="s">
        <v>1747</v>
      </c>
      <c r="BX1426" s="3" t="s">
        <v>1748</v>
      </c>
      <c r="BY1426" s="3">
        <v>45632</v>
      </c>
      <c r="BZ1426" s="3" t="s">
        <v>1076</v>
      </c>
      <c r="CA1426" s="3" t="s">
        <v>1749</v>
      </c>
      <c r="CC1426" s="3" t="s">
        <v>219</v>
      </c>
      <c r="CD1426" s="3">
        <v>157</v>
      </c>
      <c r="CE1426" s="3" t="s">
        <v>86</v>
      </c>
      <c r="CF1426" s="4">
        <v>44571</v>
      </c>
      <c r="CI1426" s="3">
        <v>1</v>
      </c>
      <c r="CJ1426" s="3">
        <v>4</v>
      </c>
      <c r="CK1426" s="3">
        <v>41</v>
      </c>
      <c r="CL1426" s="3" t="s">
        <v>87</v>
      </c>
    </row>
    <row r="1427" spans="1:90" x14ac:dyDescent="0.2">
      <c r="A1427" s="3" t="s">
        <v>72</v>
      </c>
      <c r="B1427" s="3" t="s">
        <v>73</v>
      </c>
      <c r="C1427" s="3" t="s">
        <v>74</v>
      </c>
      <c r="E1427" s="3" t="str">
        <f>"FES1162845940"</f>
        <v>FES1162845940</v>
      </c>
      <c r="F1427" s="4">
        <v>44580</v>
      </c>
      <c r="G1427" s="3">
        <v>202207</v>
      </c>
      <c r="H1427" s="3" t="s">
        <v>75</v>
      </c>
      <c r="I1427" s="3" t="s">
        <v>76</v>
      </c>
      <c r="J1427" s="3" t="s">
        <v>77</v>
      </c>
      <c r="K1427" s="3" t="s">
        <v>78</v>
      </c>
      <c r="L1427" s="3" t="s">
        <v>94</v>
      </c>
      <c r="M1427" s="3" t="s">
        <v>95</v>
      </c>
      <c r="N1427" s="3" t="s">
        <v>179</v>
      </c>
      <c r="O1427" s="3" t="s">
        <v>82</v>
      </c>
      <c r="P1427" s="3" t="str">
        <f>"2170817388                    "</f>
        <v xml:space="preserve">2170817388                    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15.46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0</v>
      </c>
      <c r="AZ1427" s="3">
        <v>0</v>
      </c>
      <c r="BA1427" s="3">
        <v>0</v>
      </c>
      <c r="BB1427" s="3">
        <v>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1</v>
      </c>
      <c r="BI1427" s="3">
        <v>1</v>
      </c>
      <c r="BJ1427" s="3">
        <v>0.2</v>
      </c>
      <c r="BK1427" s="3">
        <v>1</v>
      </c>
      <c r="BL1427" s="3">
        <v>59</v>
      </c>
      <c r="BM1427" s="3">
        <v>8.85</v>
      </c>
      <c r="BN1427" s="3">
        <v>67.849999999999994</v>
      </c>
      <c r="BO1427" s="3">
        <v>67.849999999999994</v>
      </c>
      <c r="BQ1427" s="3" t="s">
        <v>83</v>
      </c>
      <c r="BR1427" s="3" t="s">
        <v>84</v>
      </c>
      <c r="BS1427" s="4">
        <v>44582</v>
      </c>
      <c r="BT1427" s="5">
        <v>0.44444444444444442</v>
      </c>
      <c r="BU1427" s="3" t="s">
        <v>1647</v>
      </c>
      <c r="BV1427" s="3" t="s">
        <v>87</v>
      </c>
      <c r="BW1427" s="3" t="s">
        <v>453</v>
      </c>
      <c r="BX1427" s="3" t="s">
        <v>279</v>
      </c>
      <c r="BY1427" s="3">
        <v>1200</v>
      </c>
      <c r="CC1427" s="3" t="s">
        <v>95</v>
      </c>
      <c r="CD1427" s="3">
        <v>3201</v>
      </c>
      <c r="CE1427" s="3" t="s">
        <v>93</v>
      </c>
      <c r="CF1427" s="4">
        <v>44587</v>
      </c>
      <c r="CI1427" s="3">
        <v>1</v>
      </c>
      <c r="CJ1427" s="3">
        <v>2</v>
      </c>
      <c r="CK1427" s="3">
        <v>21</v>
      </c>
      <c r="CL1427" s="3" t="s">
        <v>87</v>
      </c>
    </row>
    <row r="1428" spans="1:90" x14ac:dyDescent="0.2">
      <c r="A1428" s="3" t="s">
        <v>72</v>
      </c>
      <c r="B1428" s="3" t="s">
        <v>73</v>
      </c>
      <c r="C1428" s="3" t="s">
        <v>74</v>
      </c>
      <c r="E1428" s="3" t="str">
        <f>"RFES1162845165"</f>
        <v>RFES1162845165</v>
      </c>
      <c r="F1428" s="4">
        <v>44580</v>
      </c>
      <c r="G1428" s="3">
        <v>202207</v>
      </c>
      <c r="H1428" s="3" t="s">
        <v>206</v>
      </c>
      <c r="I1428" s="3" t="s">
        <v>207</v>
      </c>
      <c r="J1428" s="3" t="s">
        <v>1126</v>
      </c>
      <c r="K1428" s="3" t="s">
        <v>78</v>
      </c>
      <c r="L1428" s="3" t="s">
        <v>75</v>
      </c>
      <c r="M1428" s="3" t="s">
        <v>76</v>
      </c>
      <c r="N1428" s="3" t="s">
        <v>77</v>
      </c>
      <c r="O1428" s="3" t="s">
        <v>82</v>
      </c>
      <c r="P1428" s="3" t="str">
        <f>"2170815451                    "</f>
        <v xml:space="preserve">2170815451                    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15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106.43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  <c r="BH1428" s="3">
        <v>1</v>
      </c>
      <c r="BI1428" s="3">
        <v>10</v>
      </c>
      <c r="BJ1428" s="3">
        <v>4.0999999999999996</v>
      </c>
      <c r="BK1428" s="3">
        <v>10</v>
      </c>
      <c r="BL1428" s="3">
        <v>421.23</v>
      </c>
      <c r="BM1428" s="3">
        <v>63.18</v>
      </c>
      <c r="BN1428" s="3">
        <v>484.41</v>
      </c>
      <c r="BO1428" s="3">
        <v>484.41</v>
      </c>
      <c r="BQ1428" s="3" t="s">
        <v>84</v>
      </c>
      <c r="BR1428" s="3" t="s">
        <v>1127</v>
      </c>
      <c r="BS1428" s="4">
        <v>44585</v>
      </c>
      <c r="BT1428" s="5">
        <v>0.43055555555555558</v>
      </c>
      <c r="BU1428" s="3" t="s">
        <v>1750</v>
      </c>
      <c r="BV1428" s="3" t="s">
        <v>87</v>
      </c>
      <c r="BW1428" s="3" t="s">
        <v>757</v>
      </c>
      <c r="BX1428" s="3" t="s">
        <v>1722</v>
      </c>
      <c r="BY1428" s="3">
        <v>20358</v>
      </c>
      <c r="BZ1428" s="3" t="s">
        <v>21</v>
      </c>
      <c r="CA1428" s="3" t="s">
        <v>1751</v>
      </c>
      <c r="CC1428" s="3" t="s">
        <v>76</v>
      </c>
      <c r="CD1428" s="3">
        <v>1601</v>
      </c>
      <c r="CE1428" s="3" t="s">
        <v>86</v>
      </c>
      <c r="CF1428" s="4">
        <v>44586</v>
      </c>
      <c r="CI1428" s="3">
        <v>1</v>
      </c>
      <c r="CJ1428" s="3">
        <v>3</v>
      </c>
      <c r="CK1428" s="3">
        <v>24</v>
      </c>
      <c r="CL1428" s="3" t="s">
        <v>87</v>
      </c>
    </row>
    <row r="1429" spans="1:90" x14ac:dyDescent="0.2">
      <c r="A1429" s="3" t="s">
        <v>72</v>
      </c>
      <c r="B1429" s="3" t="s">
        <v>73</v>
      </c>
      <c r="C1429" s="3" t="s">
        <v>74</v>
      </c>
      <c r="E1429" s="3" t="str">
        <f>"R009942045021"</f>
        <v>R009942045021</v>
      </c>
      <c r="F1429" s="4">
        <v>44580</v>
      </c>
      <c r="G1429" s="3">
        <v>202207</v>
      </c>
      <c r="H1429" s="3" t="s">
        <v>464</v>
      </c>
      <c r="I1429" s="3" t="s">
        <v>465</v>
      </c>
      <c r="J1429" s="3" t="s">
        <v>815</v>
      </c>
      <c r="K1429" s="3" t="s">
        <v>78</v>
      </c>
      <c r="L1429" s="3" t="s">
        <v>75</v>
      </c>
      <c r="M1429" s="3" t="s">
        <v>76</v>
      </c>
      <c r="N1429" s="3" t="s">
        <v>77</v>
      </c>
      <c r="O1429" s="3" t="s">
        <v>82</v>
      </c>
      <c r="P1429" s="3" t="str">
        <f>"1162840393                    "</f>
        <v xml:space="preserve">1162840393                    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12.07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0</v>
      </c>
      <c r="BA1429" s="3">
        <v>0</v>
      </c>
      <c r="BB1429" s="3">
        <v>0</v>
      </c>
      <c r="BC1429" s="3">
        <v>0</v>
      </c>
      <c r="BD1429" s="3">
        <v>0</v>
      </c>
      <c r="BE1429" s="3">
        <v>0</v>
      </c>
      <c r="BF1429" s="3">
        <v>0</v>
      </c>
      <c r="BG1429" s="3">
        <v>0</v>
      </c>
      <c r="BH1429" s="3">
        <v>1</v>
      </c>
      <c r="BI1429" s="3">
        <v>8</v>
      </c>
      <c r="BJ1429" s="3">
        <v>1.6</v>
      </c>
      <c r="BK1429" s="3">
        <v>8</v>
      </c>
      <c r="BL1429" s="3">
        <v>46.08</v>
      </c>
      <c r="BM1429" s="3">
        <v>6.91</v>
      </c>
      <c r="BN1429" s="3">
        <v>52.99</v>
      </c>
      <c r="BO1429" s="3">
        <v>52.99</v>
      </c>
      <c r="BQ1429" s="3" t="s">
        <v>84</v>
      </c>
      <c r="BS1429" s="4">
        <v>44585</v>
      </c>
      <c r="BT1429" s="5">
        <v>0.43055555555555558</v>
      </c>
      <c r="BU1429" s="3" t="s">
        <v>1752</v>
      </c>
      <c r="BV1429" s="3" t="s">
        <v>87</v>
      </c>
      <c r="BW1429" s="3" t="s">
        <v>376</v>
      </c>
      <c r="BX1429" s="3" t="s">
        <v>377</v>
      </c>
      <c r="BY1429" s="3">
        <v>7875</v>
      </c>
      <c r="CA1429" s="3" t="s">
        <v>378</v>
      </c>
      <c r="CC1429" s="3" t="s">
        <v>76</v>
      </c>
      <c r="CD1429" s="3">
        <v>1601</v>
      </c>
      <c r="CE1429" s="3" t="s">
        <v>86</v>
      </c>
      <c r="CF1429" s="4">
        <v>44585</v>
      </c>
      <c r="CI1429" s="3">
        <v>1</v>
      </c>
      <c r="CJ1429" s="3">
        <v>3</v>
      </c>
      <c r="CK1429" s="3">
        <v>22</v>
      </c>
      <c r="CL1429" s="3" t="s">
        <v>87</v>
      </c>
    </row>
    <row r="1430" spans="1:90" x14ac:dyDescent="0.2">
      <c r="A1430" s="3" t="s">
        <v>72</v>
      </c>
      <c r="B1430" s="3" t="s">
        <v>73</v>
      </c>
      <c r="C1430" s="3" t="s">
        <v>74</v>
      </c>
      <c r="E1430" s="3" t="str">
        <f>"FES1162845945"</f>
        <v>FES1162845945</v>
      </c>
      <c r="F1430" s="4">
        <v>44580</v>
      </c>
      <c r="G1430" s="3">
        <v>202207</v>
      </c>
      <c r="H1430" s="3" t="s">
        <v>75</v>
      </c>
      <c r="I1430" s="3" t="s">
        <v>76</v>
      </c>
      <c r="J1430" s="3" t="s">
        <v>77</v>
      </c>
      <c r="K1430" s="3" t="s">
        <v>78</v>
      </c>
      <c r="L1430" s="3" t="s">
        <v>427</v>
      </c>
      <c r="M1430" s="3" t="s">
        <v>428</v>
      </c>
      <c r="N1430" s="3" t="s">
        <v>429</v>
      </c>
      <c r="O1430" s="3" t="s">
        <v>82</v>
      </c>
      <c r="P1430" s="3" t="str">
        <f>"2170817395                    "</f>
        <v xml:space="preserve">2170817395                    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29.95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0</v>
      </c>
      <c r="AZ1430" s="3">
        <v>0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  <c r="BH1430" s="3">
        <v>1</v>
      </c>
      <c r="BI1430" s="3">
        <v>1</v>
      </c>
      <c r="BJ1430" s="3">
        <v>0.2</v>
      </c>
      <c r="BK1430" s="3">
        <v>1</v>
      </c>
      <c r="BL1430" s="3">
        <v>114.31</v>
      </c>
      <c r="BM1430" s="3">
        <v>17.149999999999999</v>
      </c>
      <c r="BN1430" s="3">
        <v>131.46</v>
      </c>
      <c r="BO1430" s="3">
        <v>131.46</v>
      </c>
      <c r="BQ1430" s="3" t="s">
        <v>83</v>
      </c>
      <c r="BR1430" s="3" t="s">
        <v>84</v>
      </c>
      <c r="BS1430" s="4">
        <v>44581</v>
      </c>
      <c r="BT1430" s="5">
        <v>0.41666666666666669</v>
      </c>
      <c r="BU1430" s="3" t="s">
        <v>1753</v>
      </c>
      <c r="BV1430" s="3" t="s">
        <v>105</v>
      </c>
      <c r="BY1430" s="3">
        <v>1200</v>
      </c>
      <c r="CA1430" s="3" t="s">
        <v>328</v>
      </c>
      <c r="CC1430" s="3" t="s">
        <v>428</v>
      </c>
      <c r="CD1430" s="3">
        <v>7130</v>
      </c>
      <c r="CE1430" s="3" t="s">
        <v>93</v>
      </c>
      <c r="CF1430" s="4">
        <v>44582</v>
      </c>
      <c r="CI1430" s="3">
        <v>1</v>
      </c>
      <c r="CJ1430" s="3">
        <v>1</v>
      </c>
      <c r="CK1430" s="3">
        <v>23</v>
      </c>
      <c r="CL1430" s="3" t="s">
        <v>87</v>
      </c>
    </row>
    <row r="1431" spans="1:90" x14ac:dyDescent="0.2">
      <c r="A1431" s="3" t="s">
        <v>72</v>
      </c>
      <c r="B1431" s="3" t="s">
        <v>73</v>
      </c>
      <c r="C1431" s="3" t="s">
        <v>74</v>
      </c>
      <c r="E1431" s="3" t="str">
        <f>"FES1162845968"</f>
        <v>FES1162845968</v>
      </c>
      <c r="F1431" s="4">
        <v>44580</v>
      </c>
      <c r="G1431" s="3">
        <v>202207</v>
      </c>
      <c r="H1431" s="3" t="s">
        <v>75</v>
      </c>
      <c r="I1431" s="3" t="s">
        <v>76</v>
      </c>
      <c r="J1431" s="3" t="s">
        <v>77</v>
      </c>
      <c r="K1431" s="3" t="s">
        <v>78</v>
      </c>
      <c r="L1431" s="3" t="s">
        <v>138</v>
      </c>
      <c r="M1431" s="3" t="s">
        <v>139</v>
      </c>
      <c r="N1431" s="3" t="s">
        <v>1206</v>
      </c>
      <c r="O1431" s="3" t="s">
        <v>82</v>
      </c>
      <c r="P1431" s="3" t="str">
        <f>"2170817409                    "</f>
        <v xml:space="preserve">2170817409                    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15.46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  <c r="BH1431" s="3">
        <v>1</v>
      </c>
      <c r="BI1431" s="3">
        <v>1</v>
      </c>
      <c r="BJ1431" s="3">
        <v>0.2</v>
      </c>
      <c r="BK1431" s="3">
        <v>1</v>
      </c>
      <c r="BL1431" s="3">
        <v>59</v>
      </c>
      <c r="BM1431" s="3">
        <v>8.85</v>
      </c>
      <c r="BN1431" s="3">
        <v>67.849999999999994</v>
      </c>
      <c r="BO1431" s="3">
        <v>67.849999999999994</v>
      </c>
      <c r="BR1431" s="3" t="s">
        <v>84</v>
      </c>
      <c r="BS1431" s="4">
        <v>44581</v>
      </c>
      <c r="BT1431" s="5">
        <v>0.4513888888888889</v>
      </c>
      <c r="BU1431" s="3" t="s">
        <v>1754</v>
      </c>
      <c r="BV1431" s="3" t="s">
        <v>105</v>
      </c>
      <c r="BY1431" s="3">
        <v>1200</v>
      </c>
      <c r="CA1431" s="3" t="s">
        <v>303</v>
      </c>
      <c r="CC1431" s="3" t="s">
        <v>139</v>
      </c>
      <c r="CD1431" s="3">
        <v>3610</v>
      </c>
      <c r="CE1431" s="3" t="s">
        <v>93</v>
      </c>
      <c r="CF1431" s="4">
        <v>44582</v>
      </c>
      <c r="CI1431" s="3">
        <v>1</v>
      </c>
      <c r="CJ1431" s="3">
        <v>1</v>
      </c>
      <c r="CK1431" s="3">
        <v>21</v>
      </c>
      <c r="CL1431" s="3" t="s">
        <v>87</v>
      </c>
    </row>
    <row r="1432" spans="1:90" x14ac:dyDescent="0.2">
      <c r="A1432" s="3" t="s">
        <v>72</v>
      </c>
      <c r="B1432" s="3" t="s">
        <v>73</v>
      </c>
      <c r="C1432" s="3" t="s">
        <v>74</v>
      </c>
      <c r="E1432" s="3" t="str">
        <f>"FES1162845909"</f>
        <v>FES1162845909</v>
      </c>
      <c r="F1432" s="4">
        <v>44580</v>
      </c>
      <c r="G1432" s="3">
        <v>202207</v>
      </c>
      <c r="H1432" s="3" t="s">
        <v>75</v>
      </c>
      <c r="I1432" s="3" t="s">
        <v>76</v>
      </c>
      <c r="J1432" s="3" t="s">
        <v>77</v>
      </c>
      <c r="K1432" s="3" t="s">
        <v>78</v>
      </c>
      <c r="L1432" s="3" t="s">
        <v>187</v>
      </c>
      <c r="M1432" s="3" t="s">
        <v>188</v>
      </c>
      <c r="N1432" s="3" t="s">
        <v>189</v>
      </c>
      <c r="O1432" s="3" t="s">
        <v>82</v>
      </c>
      <c r="P1432" s="3" t="str">
        <f>"2170817350                    "</f>
        <v xml:space="preserve">2170817350                    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29.95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v>0</v>
      </c>
      <c r="BA1432" s="3">
        <v>0</v>
      </c>
      <c r="BB1432" s="3">
        <v>0</v>
      </c>
      <c r="BC1432" s="3">
        <v>0</v>
      </c>
      <c r="BD1432" s="3">
        <v>0</v>
      </c>
      <c r="BE1432" s="3">
        <v>0</v>
      </c>
      <c r="BF1432" s="3">
        <v>0</v>
      </c>
      <c r="BG1432" s="3">
        <v>0</v>
      </c>
      <c r="BH1432" s="3">
        <v>1</v>
      </c>
      <c r="BI1432" s="3">
        <v>1</v>
      </c>
      <c r="BJ1432" s="3">
        <v>0.2</v>
      </c>
      <c r="BK1432" s="3">
        <v>1</v>
      </c>
      <c r="BL1432" s="3">
        <v>114.31</v>
      </c>
      <c r="BM1432" s="3">
        <v>17.149999999999999</v>
      </c>
      <c r="BN1432" s="3">
        <v>131.46</v>
      </c>
      <c r="BO1432" s="3">
        <v>131.46</v>
      </c>
      <c r="BQ1432" s="3" t="s">
        <v>83</v>
      </c>
      <c r="BR1432" s="3" t="s">
        <v>84</v>
      </c>
      <c r="BS1432" s="4">
        <v>44581</v>
      </c>
      <c r="BT1432" s="5">
        <v>0.52777777777777779</v>
      </c>
      <c r="BU1432" s="3" t="s">
        <v>267</v>
      </c>
      <c r="BV1432" s="3" t="s">
        <v>105</v>
      </c>
      <c r="BY1432" s="3">
        <v>1200</v>
      </c>
      <c r="CA1432" s="3" t="s">
        <v>268</v>
      </c>
      <c r="CC1432" s="3" t="s">
        <v>188</v>
      </c>
      <c r="CD1432" s="3">
        <v>7300</v>
      </c>
      <c r="CE1432" s="3" t="s">
        <v>93</v>
      </c>
      <c r="CF1432" s="4">
        <v>44582</v>
      </c>
      <c r="CI1432" s="3">
        <v>1</v>
      </c>
      <c r="CJ1432" s="3">
        <v>1</v>
      </c>
      <c r="CK1432" s="3">
        <v>23</v>
      </c>
      <c r="CL1432" s="3" t="s">
        <v>87</v>
      </c>
    </row>
    <row r="1433" spans="1:90" x14ac:dyDescent="0.2">
      <c r="A1433" s="3" t="s">
        <v>72</v>
      </c>
      <c r="B1433" s="3" t="s">
        <v>73</v>
      </c>
      <c r="C1433" s="3" t="s">
        <v>74</v>
      </c>
      <c r="E1433" s="3" t="str">
        <f>"FES1162845982"</f>
        <v>FES1162845982</v>
      </c>
      <c r="F1433" s="4">
        <v>44580</v>
      </c>
      <c r="G1433" s="3">
        <v>202207</v>
      </c>
      <c r="H1433" s="3" t="s">
        <v>75</v>
      </c>
      <c r="I1433" s="3" t="s">
        <v>76</v>
      </c>
      <c r="J1433" s="3" t="s">
        <v>77</v>
      </c>
      <c r="K1433" s="3" t="s">
        <v>78</v>
      </c>
      <c r="L1433" s="3" t="s">
        <v>90</v>
      </c>
      <c r="M1433" s="3" t="s">
        <v>91</v>
      </c>
      <c r="N1433" s="3" t="s">
        <v>1755</v>
      </c>
      <c r="O1433" s="3" t="s">
        <v>82</v>
      </c>
      <c r="P1433" s="3" t="str">
        <f>"2170817423                    "</f>
        <v xml:space="preserve">2170817423                    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15.46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0</v>
      </c>
      <c r="AV1433" s="3">
        <v>0</v>
      </c>
      <c r="AW1433" s="3">
        <v>0</v>
      </c>
      <c r="AX1433" s="3">
        <v>0</v>
      </c>
      <c r="AY1433" s="3">
        <v>0</v>
      </c>
      <c r="AZ1433" s="3">
        <v>0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0</v>
      </c>
      <c r="BH1433" s="3">
        <v>1</v>
      </c>
      <c r="BI1433" s="3">
        <v>1</v>
      </c>
      <c r="BJ1433" s="3">
        <v>0.2</v>
      </c>
      <c r="BK1433" s="3">
        <v>1</v>
      </c>
      <c r="BL1433" s="3">
        <v>59</v>
      </c>
      <c r="BM1433" s="3">
        <v>8.85</v>
      </c>
      <c r="BN1433" s="3">
        <v>67.849999999999994</v>
      </c>
      <c r="BO1433" s="3">
        <v>67.849999999999994</v>
      </c>
      <c r="BR1433" s="3" t="s">
        <v>84</v>
      </c>
      <c r="BS1433" s="4">
        <v>44581</v>
      </c>
      <c r="BT1433" s="5">
        <v>0.32430555555555557</v>
      </c>
      <c r="BU1433" s="3" t="s">
        <v>1756</v>
      </c>
      <c r="BV1433" s="3" t="s">
        <v>105</v>
      </c>
      <c r="BY1433" s="3">
        <v>1200</v>
      </c>
      <c r="CA1433" s="3" t="s">
        <v>543</v>
      </c>
      <c r="CC1433" s="3" t="s">
        <v>91</v>
      </c>
      <c r="CD1433" s="3">
        <v>7530</v>
      </c>
      <c r="CE1433" s="3" t="s">
        <v>93</v>
      </c>
      <c r="CF1433" s="4">
        <v>44582</v>
      </c>
      <c r="CI1433" s="3">
        <v>1</v>
      </c>
      <c r="CJ1433" s="3">
        <v>1</v>
      </c>
      <c r="CK1433" s="3">
        <v>21</v>
      </c>
      <c r="CL1433" s="3" t="s">
        <v>87</v>
      </c>
    </row>
    <row r="1434" spans="1:90" x14ac:dyDescent="0.2">
      <c r="A1434" s="3" t="s">
        <v>72</v>
      </c>
      <c r="B1434" s="3" t="s">
        <v>73</v>
      </c>
      <c r="C1434" s="3" t="s">
        <v>74</v>
      </c>
      <c r="E1434" s="3" t="str">
        <f>"009942045027"</f>
        <v>009942045027</v>
      </c>
      <c r="F1434" s="4">
        <v>44580</v>
      </c>
      <c r="G1434" s="3">
        <v>202207</v>
      </c>
      <c r="H1434" s="3" t="s">
        <v>75</v>
      </c>
      <c r="I1434" s="3" t="s">
        <v>76</v>
      </c>
      <c r="J1434" s="3" t="s">
        <v>77</v>
      </c>
      <c r="K1434" s="3" t="s">
        <v>78</v>
      </c>
      <c r="L1434" s="3" t="s">
        <v>94</v>
      </c>
      <c r="M1434" s="3" t="s">
        <v>95</v>
      </c>
      <c r="N1434" s="3" t="s">
        <v>96</v>
      </c>
      <c r="O1434" s="3" t="s">
        <v>82</v>
      </c>
      <c r="P1434" s="3" t="str">
        <f>"1162844955                    "</f>
        <v xml:space="preserve">1162844955                    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15.46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0</v>
      </c>
      <c r="AZ1434" s="3">
        <v>0</v>
      </c>
      <c r="BA1434" s="3">
        <v>0</v>
      </c>
      <c r="BB1434" s="3">
        <v>0</v>
      </c>
      <c r="BC1434" s="3">
        <v>0</v>
      </c>
      <c r="BD1434" s="3">
        <v>0</v>
      </c>
      <c r="BE1434" s="3">
        <v>0</v>
      </c>
      <c r="BF1434" s="3">
        <v>0</v>
      </c>
      <c r="BG1434" s="3">
        <v>0</v>
      </c>
      <c r="BH1434" s="3">
        <v>1</v>
      </c>
      <c r="BI1434" s="3">
        <v>1</v>
      </c>
      <c r="BJ1434" s="3">
        <v>0.2</v>
      </c>
      <c r="BK1434" s="3">
        <v>1</v>
      </c>
      <c r="BL1434" s="3">
        <v>59</v>
      </c>
      <c r="BM1434" s="3">
        <v>8.85</v>
      </c>
      <c r="BN1434" s="3">
        <v>67.849999999999994</v>
      </c>
      <c r="BO1434" s="3">
        <v>67.849999999999994</v>
      </c>
      <c r="BQ1434" s="3" t="s">
        <v>89</v>
      </c>
      <c r="BR1434" s="3" t="s">
        <v>84</v>
      </c>
      <c r="BS1434" s="4">
        <v>44581</v>
      </c>
      <c r="BT1434" s="5">
        <v>0.71805555555555556</v>
      </c>
      <c r="BU1434" s="3" t="s">
        <v>1757</v>
      </c>
      <c r="BV1434" s="3" t="s">
        <v>87</v>
      </c>
      <c r="BY1434" s="3">
        <v>1200</v>
      </c>
      <c r="CA1434" s="3" t="s">
        <v>1758</v>
      </c>
      <c r="CC1434" s="3" t="s">
        <v>95</v>
      </c>
      <c r="CD1434" s="3">
        <v>3201</v>
      </c>
      <c r="CE1434" s="3" t="s">
        <v>93</v>
      </c>
      <c r="CF1434" s="4">
        <v>44585</v>
      </c>
      <c r="CI1434" s="3">
        <v>1</v>
      </c>
      <c r="CJ1434" s="3">
        <v>1</v>
      </c>
      <c r="CK1434" s="3">
        <v>21</v>
      </c>
      <c r="CL1434" s="3" t="s">
        <v>87</v>
      </c>
    </row>
    <row r="1435" spans="1:90" x14ac:dyDescent="0.2">
      <c r="A1435" s="3" t="s">
        <v>72</v>
      </c>
      <c r="B1435" s="3" t="s">
        <v>73</v>
      </c>
      <c r="C1435" s="3" t="s">
        <v>74</v>
      </c>
      <c r="E1435" s="3" t="str">
        <f>"FES1162845895"</f>
        <v>FES1162845895</v>
      </c>
      <c r="F1435" s="4">
        <v>44580</v>
      </c>
      <c r="G1435" s="3">
        <v>202207</v>
      </c>
      <c r="H1435" s="3" t="s">
        <v>75</v>
      </c>
      <c r="I1435" s="3" t="s">
        <v>76</v>
      </c>
      <c r="J1435" s="3" t="s">
        <v>77</v>
      </c>
      <c r="K1435" s="3" t="s">
        <v>78</v>
      </c>
      <c r="L1435" s="3" t="s">
        <v>90</v>
      </c>
      <c r="M1435" s="3" t="s">
        <v>91</v>
      </c>
      <c r="N1435" s="3" t="s">
        <v>600</v>
      </c>
      <c r="O1435" s="3" t="s">
        <v>82</v>
      </c>
      <c r="P1435" s="3" t="str">
        <f>"2170817335                    "</f>
        <v xml:space="preserve">2170817335                    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15.46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v>0</v>
      </c>
      <c r="BA1435" s="3">
        <v>0</v>
      </c>
      <c r="BB1435" s="3">
        <v>0</v>
      </c>
      <c r="BC1435" s="3">
        <v>0</v>
      </c>
      <c r="BD1435" s="3">
        <v>0</v>
      </c>
      <c r="BE1435" s="3">
        <v>0</v>
      </c>
      <c r="BF1435" s="3">
        <v>0</v>
      </c>
      <c r="BG1435" s="3">
        <v>0</v>
      </c>
      <c r="BH1435" s="3">
        <v>1</v>
      </c>
      <c r="BI1435" s="3">
        <v>1</v>
      </c>
      <c r="BJ1435" s="3">
        <v>0.2</v>
      </c>
      <c r="BK1435" s="3">
        <v>1</v>
      </c>
      <c r="BL1435" s="3">
        <v>59</v>
      </c>
      <c r="BM1435" s="3">
        <v>8.85</v>
      </c>
      <c r="BN1435" s="3">
        <v>67.849999999999994</v>
      </c>
      <c r="BO1435" s="3">
        <v>67.849999999999994</v>
      </c>
      <c r="BQ1435" s="3" t="s">
        <v>89</v>
      </c>
      <c r="BR1435" s="3" t="s">
        <v>84</v>
      </c>
      <c r="BS1435" s="4">
        <v>44581</v>
      </c>
      <c r="BT1435" s="5">
        <v>0.34236111111111112</v>
      </c>
      <c r="BU1435" s="3" t="s">
        <v>1759</v>
      </c>
      <c r="BV1435" s="3" t="s">
        <v>105</v>
      </c>
      <c r="BY1435" s="3">
        <v>1200</v>
      </c>
      <c r="CA1435" s="3" t="s">
        <v>603</v>
      </c>
      <c r="CC1435" s="3" t="s">
        <v>91</v>
      </c>
      <c r="CD1435" s="3">
        <v>7945</v>
      </c>
      <c r="CE1435" s="3" t="s">
        <v>93</v>
      </c>
      <c r="CF1435" s="4">
        <v>44582</v>
      </c>
      <c r="CI1435" s="3">
        <v>1</v>
      </c>
      <c r="CJ1435" s="3">
        <v>1</v>
      </c>
      <c r="CK1435" s="3">
        <v>21</v>
      </c>
      <c r="CL1435" s="3" t="s">
        <v>87</v>
      </c>
    </row>
    <row r="1436" spans="1:90" x14ac:dyDescent="0.2">
      <c r="A1436" s="3" t="s">
        <v>72</v>
      </c>
      <c r="B1436" s="3" t="s">
        <v>73</v>
      </c>
      <c r="C1436" s="3" t="s">
        <v>74</v>
      </c>
      <c r="E1436" s="3" t="str">
        <f>"RFES1162843430"</f>
        <v>RFES1162843430</v>
      </c>
      <c r="F1436" s="4">
        <v>44580</v>
      </c>
      <c r="G1436" s="3">
        <v>202207</v>
      </c>
      <c r="H1436" s="3" t="s">
        <v>142</v>
      </c>
      <c r="I1436" s="3" t="s">
        <v>143</v>
      </c>
      <c r="J1436" s="3" t="s">
        <v>337</v>
      </c>
      <c r="K1436" s="3" t="s">
        <v>78</v>
      </c>
      <c r="L1436" s="3" t="s">
        <v>75</v>
      </c>
      <c r="M1436" s="3" t="s">
        <v>76</v>
      </c>
      <c r="N1436" s="3" t="s">
        <v>77</v>
      </c>
      <c r="O1436" s="3" t="s">
        <v>82</v>
      </c>
      <c r="P1436" s="3" t="str">
        <f>"2170813529                    "</f>
        <v xml:space="preserve">2170813529                    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12.07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  <c r="BH1436" s="3">
        <v>1</v>
      </c>
      <c r="BI1436" s="3">
        <v>1</v>
      </c>
      <c r="BJ1436" s="3">
        <v>0.2</v>
      </c>
      <c r="BK1436" s="3">
        <v>1</v>
      </c>
      <c r="BL1436" s="3">
        <v>46.08</v>
      </c>
      <c r="BM1436" s="3">
        <v>6.91</v>
      </c>
      <c r="BN1436" s="3">
        <v>52.99</v>
      </c>
      <c r="BO1436" s="3">
        <v>52.99</v>
      </c>
      <c r="BQ1436" s="3" t="s">
        <v>308</v>
      </c>
      <c r="BR1436" s="3" t="s">
        <v>89</v>
      </c>
      <c r="BS1436" s="4">
        <v>44585</v>
      </c>
      <c r="BT1436" s="5">
        <v>0.46875</v>
      </c>
      <c r="BU1436" s="3" t="s">
        <v>1760</v>
      </c>
      <c r="BV1436" s="3" t="s">
        <v>87</v>
      </c>
      <c r="BW1436" s="3" t="s">
        <v>757</v>
      </c>
      <c r="BX1436" s="3" t="s">
        <v>377</v>
      </c>
      <c r="BY1436" s="3">
        <v>1200</v>
      </c>
      <c r="CC1436" s="3" t="s">
        <v>76</v>
      </c>
      <c r="CD1436" s="3">
        <v>1601</v>
      </c>
      <c r="CE1436" s="3" t="s">
        <v>93</v>
      </c>
      <c r="CF1436" s="4">
        <v>44585</v>
      </c>
      <c r="CI1436" s="3">
        <v>1</v>
      </c>
      <c r="CJ1436" s="3">
        <v>3</v>
      </c>
      <c r="CK1436" s="3">
        <v>22</v>
      </c>
      <c r="CL1436" s="3" t="s">
        <v>87</v>
      </c>
    </row>
    <row r="1437" spans="1:90" x14ac:dyDescent="0.2">
      <c r="A1437" s="3" t="s">
        <v>72</v>
      </c>
      <c r="B1437" s="3" t="s">
        <v>73</v>
      </c>
      <c r="C1437" s="3" t="s">
        <v>74</v>
      </c>
      <c r="E1437" s="3" t="str">
        <f>"FES1162845893"</f>
        <v>FES1162845893</v>
      </c>
      <c r="F1437" s="4">
        <v>44580</v>
      </c>
      <c r="G1437" s="3">
        <v>202207</v>
      </c>
      <c r="H1437" s="3" t="s">
        <v>75</v>
      </c>
      <c r="I1437" s="3" t="s">
        <v>76</v>
      </c>
      <c r="J1437" s="3" t="s">
        <v>77</v>
      </c>
      <c r="K1437" s="3" t="s">
        <v>78</v>
      </c>
      <c r="L1437" s="3" t="s">
        <v>1761</v>
      </c>
      <c r="M1437" s="3" t="s">
        <v>1762</v>
      </c>
      <c r="N1437" s="3" t="s">
        <v>1763</v>
      </c>
      <c r="O1437" s="3" t="s">
        <v>82</v>
      </c>
      <c r="P1437" s="3" t="str">
        <f>"2170817333                    "</f>
        <v xml:space="preserve">2170817333                    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29.95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15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v>0</v>
      </c>
      <c r="BA1437" s="3">
        <v>0</v>
      </c>
      <c r="BB1437" s="3">
        <v>0</v>
      </c>
      <c r="BC1437" s="3">
        <v>0</v>
      </c>
      <c r="BD1437" s="3">
        <v>0</v>
      </c>
      <c r="BE1437" s="3">
        <v>0</v>
      </c>
      <c r="BF1437" s="3">
        <v>0</v>
      </c>
      <c r="BG1437" s="3">
        <v>0</v>
      </c>
      <c r="BH1437" s="3">
        <v>1</v>
      </c>
      <c r="BI1437" s="3">
        <v>1</v>
      </c>
      <c r="BJ1437" s="3">
        <v>0.2</v>
      </c>
      <c r="BK1437" s="3">
        <v>1</v>
      </c>
      <c r="BL1437" s="3">
        <v>129.31</v>
      </c>
      <c r="BM1437" s="3">
        <v>19.399999999999999</v>
      </c>
      <c r="BN1437" s="3">
        <v>148.71</v>
      </c>
      <c r="BO1437" s="3">
        <v>148.71</v>
      </c>
      <c r="BQ1437" s="3" t="s">
        <v>83</v>
      </c>
      <c r="BR1437" s="3" t="s">
        <v>84</v>
      </c>
      <c r="BS1437" s="4">
        <v>44582</v>
      </c>
      <c r="BT1437" s="5">
        <v>0.41666666666666669</v>
      </c>
      <c r="BU1437" s="3" t="s">
        <v>1764</v>
      </c>
      <c r="BV1437" s="3" t="s">
        <v>105</v>
      </c>
      <c r="BY1437" s="3">
        <v>1200</v>
      </c>
      <c r="BZ1437" s="3" t="s">
        <v>30</v>
      </c>
      <c r="CA1437" s="3" t="s">
        <v>328</v>
      </c>
      <c r="CC1437" s="3" t="s">
        <v>1762</v>
      </c>
      <c r="CD1437" s="3">
        <v>4930</v>
      </c>
      <c r="CE1437" s="3" t="s">
        <v>93</v>
      </c>
      <c r="CF1437" s="4">
        <v>44585</v>
      </c>
      <c r="CI1437" s="3">
        <v>2</v>
      </c>
      <c r="CJ1437" s="3">
        <v>2</v>
      </c>
      <c r="CK1437" s="3">
        <v>23</v>
      </c>
      <c r="CL1437" s="3" t="s">
        <v>87</v>
      </c>
    </row>
    <row r="1438" spans="1:90" x14ac:dyDescent="0.2">
      <c r="A1438" s="3" t="s">
        <v>72</v>
      </c>
      <c r="B1438" s="3" t="s">
        <v>73</v>
      </c>
      <c r="C1438" s="3" t="s">
        <v>74</v>
      </c>
      <c r="E1438" s="3" t="str">
        <f>"FES1162845903"</f>
        <v>FES1162845903</v>
      </c>
      <c r="F1438" s="4">
        <v>44580</v>
      </c>
      <c r="G1438" s="3">
        <v>202207</v>
      </c>
      <c r="H1438" s="3" t="s">
        <v>75</v>
      </c>
      <c r="I1438" s="3" t="s">
        <v>76</v>
      </c>
      <c r="J1438" s="3" t="s">
        <v>77</v>
      </c>
      <c r="K1438" s="3" t="s">
        <v>78</v>
      </c>
      <c r="L1438" s="3" t="s">
        <v>79</v>
      </c>
      <c r="M1438" s="3" t="s">
        <v>80</v>
      </c>
      <c r="N1438" s="3" t="s">
        <v>1765</v>
      </c>
      <c r="O1438" s="3" t="s">
        <v>82</v>
      </c>
      <c r="P1438" s="3" t="str">
        <f>"2170817336                    "</f>
        <v xml:space="preserve">2170817336                    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15.46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1</v>
      </c>
      <c r="BI1438" s="3">
        <v>1</v>
      </c>
      <c r="BJ1438" s="3">
        <v>0.2</v>
      </c>
      <c r="BK1438" s="3">
        <v>1</v>
      </c>
      <c r="BL1438" s="3">
        <v>59</v>
      </c>
      <c r="BM1438" s="3">
        <v>8.85</v>
      </c>
      <c r="BN1438" s="3">
        <v>67.849999999999994</v>
      </c>
      <c r="BO1438" s="3">
        <v>67.849999999999994</v>
      </c>
      <c r="BR1438" s="3" t="s">
        <v>84</v>
      </c>
      <c r="BS1438" s="4">
        <v>44581</v>
      </c>
      <c r="BT1438" s="5">
        <v>0.56805555555555554</v>
      </c>
      <c r="BU1438" s="3" t="s">
        <v>1766</v>
      </c>
      <c r="BV1438" s="3" t="s">
        <v>87</v>
      </c>
      <c r="BY1438" s="3">
        <v>1200</v>
      </c>
      <c r="CA1438" s="3" t="s">
        <v>557</v>
      </c>
      <c r="CC1438" s="3" t="s">
        <v>80</v>
      </c>
      <c r="CD1438" s="3">
        <v>183</v>
      </c>
      <c r="CE1438" s="3" t="s">
        <v>93</v>
      </c>
      <c r="CF1438" s="4">
        <v>44581</v>
      </c>
      <c r="CI1438" s="3">
        <v>1</v>
      </c>
      <c r="CJ1438" s="3">
        <v>1</v>
      </c>
      <c r="CK1438" s="3">
        <v>21</v>
      </c>
      <c r="CL1438" s="3" t="s">
        <v>87</v>
      </c>
    </row>
    <row r="1439" spans="1:90" x14ac:dyDescent="0.2">
      <c r="A1439" s="3" t="s">
        <v>72</v>
      </c>
      <c r="B1439" s="3" t="s">
        <v>73</v>
      </c>
      <c r="C1439" s="3" t="s">
        <v>74</v>
      </c>
      <c r="E1439" s="3" t="str">
        <f>"FES1162845923"</f>
        <v>FES1162845923</v>
      </c>
      <c r="F1439" s="4">
        <v>44580</v>
      </c>
      <c r="G1439" s="3">
        <v>202207</v>
      </c>
      <c r="H1439" s="3" t="s">
        <v>75</v>
      </c>
      <c r="I1439" s="3" t="s">
        <v>76</v>
      </c>
      <c r="J1439" s="3" t="s">
        <v>77</v>
      </c>
      <c r="K1439" s="3" t="s">
        <v>78</v>
      </c>
      <c r="L1439" s="3" t="s">
        <v>142</v>
      </c>
      <c r="M1439" s="3" t="s">
        <v>143</v>
      </c>
      <c r="N1439" s="3" t="s">
        <v>1767</v>
      </c>
      <c r="O1439" s="3" t="s">
        <v>82</v>
      </c>
      <c r="P1439" s="3" t="str">
        <f>"2170817369                    "</f>
        <v xml:space="preserve">2170817369                    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12.07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0</v>
      </c>
      <c r="AZ1439" s="3">
        <v>0</v>
      </c>
      <c r="BA1439" s="3">
        <v>0</v>
      </c>
      <c r="BB1439" s="3">
        <v>0</v>
      </c>
      <c r="BC1439" s="3">
        <v>0</v>
      </c>
      <c r="BD1439" s="3">
        <v>0</v>
      </c>
      <c r="BE1439" s="3">
        <v>0</v>
      </c>
      <c r="BF1439" s="3">
        <v>0</v>
      </c>
      <c r="BG1439" s="3">
        <v>0</v>
      </c>
      <c r="BH1439" s="3">
        <v>1</v>
      </c>
      <c r="BI1439" s="3">
        <v>1</v>
      </c>
      <c r="BJ1439" s="3">
        <v>0.2</v>
      </c>
      <c r="BK1439" s="3">
        <v>1</v>
      </c>
      <c r="BL1439" s="3">
        <v>46.08</v>
      </c>
      <c r="BM1439" s="3">
        <v>6.91</v>
      </c>
      <c r="BN1439" s="3">
        <v>52.99</v>
      </c>
      <c r="BO1439" s="3">
        <v>52.99</v>
      </c>
      <c r="BQ1439" s="3" t="s">
        <v>83</v>
      </c>
      <c r="BR1439" s="3" t="s">
        <v>84</v>
      </c>
      <c r="BS1439" s="4">
        <v>44581</v>
      </c>
      <c r="BT1439" s="5">
        <v>0.36319444444444443</v>
      </c>
      <c r="BU1439" s="3" t="s">
        <v>1768</v>
      </c>
      <c r="BV1439" s="3" t="s">
        <v>105</v>
      </c>
      <c r="BY1439" s="3">
        <v>1200</v>
      </c>
      <c r="CA1439" s="3" t="s">
        <v>1624</v>
      </c>
      <c r="CC1439" s="3" t="s">
        <v>143</v>
      </c>
      <c r="CD1439" s="3">
        <v>1451</v>
      </c>
      <c r="CE1439" s="3" t="s">
        <v>93</v>
      </c>
      <c r="CF1439" s="4">
        <v>44582</v>
      </c>
      <c r="CI1439" s="3">
        <v>1</v>
      </c>
      <c r="CJ1439" s="3">
        <v>1</v>
      </c>
      <c r="CK1439" s="3">
        <v>22</v>
      </c>
      <c r="CL1439" s="3" t="s">
        <v>87</v>
      </c>
    </row>
    <row r="1440" spans="1:90" x14ac:dyDescent="0.2">
      <c r="A1440" s="3" t="s">
        <v>72</v>
      </c>
      <c r="B1440" s="3" t="s">
        <v>73</v>
      </c>
      <c r="C1440" s="3" t="s">
        <v>74</v>
      </c>
      <c r="E1440" s="3" t="str">
        <f>"FES1162845916"</f>
        <v>FES1162845916</v>
      </c>
      <c r="F1440" s="4">
        <v>44580</v>
      </c>
      <c r="G1440" s="3">
        <v>202207</v>
      </c>
      <c r="H1440" s="3" t="s">
        <v>75</v>
      </c>
      <c r="I1440" s="3" t="s">
        <v>76</v>
      </c>
      <c r="J1440" s="3" t="s">
        <v>77</v>
      </c>
      <c r="K1440" s="3" t="s">
        <v>78</v>
      </c>
      <c r="L1440" s="3" t="s">
        <v>110</v>
      </c>
      <c r="M1440" s="3" t="s">
        <v>110</v>
      </c>
      <c r="N1440" s="3" t="s">
        <v>111</v>
      </c>
      <c r="O1440" s="3" t="s">
        <v>82</v>
      </c>
      <c r="P1440" s="3" t="str">
        <f>"2170817359                    "</f>
        <v xml:space="preserve">2170817359                    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29.95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0</v>
      </c>
      <c r="AZ1440" s="3">
        <v>0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1</v>
      </c>
      <c r="BI1440" s="3">
        <v>1</v>
      </c>
      <c r="BJ1440" s="3">
        <v>0.2</v>
      </c>
      <c r="BK1440" s="3">
        <v>1</v>
      </c>
      <c r="BL1440" s="3">
        <v>114.31</v>
      </c>
      <c r="BM1440" s="3">
        <v>17.149999999999999</v>
      </c>
      <c r="BN1440" s="3">
        <v>131.46</v>
      </c>
      <c r="BO1440" s="3">
        <v>131.46</v>
      </c>
      <c r="BQ1440" s="3" t="s">
        <v>89</v>
      </c>
      <c r="BR1440" s="3" t="s">
        <v>84</v>
      </c>
      <c r="BS1440" s="4">
        <v>44581</v>
      </c>
      <c r="BT1440" s="5">
        <v>0.53819444444444442</v>
      </c>
      <c r="BU1440" s="3" t="s">
        <v>1675</v>
      </c>
      <c r="BV1440" s="3" t="s">
        <v>105</v>
      </c>
      <c r="BY1440" s="3">
        <v>1200</v>
      </c>
      <c r="CA1440" s="3" t="s">
        <v>563</v>
      </c>
      <c r="CC1440" s="3" t="s">
        <v>110</v>
      </c>
      <c r="CD1440" s="3">
        <v>7646</v>
      </c>
      <c r="CE1440" s="3" t="s">
        <v>93</v>
      </c>
      <c r="CF1440" s="4">
        <v>44582</v>
      </c>
      <c r="CI1440" s="3">
        <v>1</v>
      </c>
      <c r="CJ1440" s="3">
        <v>1</v>
      </c>
      <c r="CK1440" s="3">
        <v>23</v>
      </c>
      <c r="CL1440" s="3" t="s">
        <v>87</v>
      </c>
    </row>
    <row r="1441" spans="1:90" x14ac:dyDescent="0.2">
      <c r="A1441" s="3" t="s">
        <v>72</v>
      </c>
      <c r="B1441" s="3" t="s">
        <v>73</v>
      </c>
      <c r="C1441" s="3" t="s">
        <v>74</v>
      </c>
      <c r="E1441" s="3" t="str">
        <f>"FES1162845896"</f>
        <v>FES1162845896</v>
      </c>
      <c r="F1441" s="4">
        <v>44580</v>
      </c>
      <c r="G1441" s="3">
        <v>202207</v>
      </c>
      <c r="H1441" s="3" t="s">
        <v>75</v>
      </c>
      <c r="I1441" s="3" t="s">
        <v>76</v>
      </c>
      <c r="J1441" s="3" t="s">
        <v>77</v>
      </c>
      <c r="K1441" s="3" t="s">
        <v>78</v>
      </c>
      <c r="L1441" s="3" t="s">
        <v>107</v>
      </c>
      <c r="M1441" s="3" t="s">
        <v>108</v>
      </c>
      <c r="N1441" s="3" t="s">
        <v>392</v>
      </c>
      <c r="O1441" s="3" t="s">
        <v>82</v>
      </c>
      <c r="P1441" s="3" t="str">
        <f>"2170817337                    "</f>
        <v xml:space="preserve">2170817337                    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29.95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  <c r="BH1441" s="3">
        <v>1</v>
      </c>
      <c r="BI1441" s="3">
        <v>1</v>
      </c>
      <c r="BJ1441" s="3">
        <v>0.2</v>
      </c>
      <c r="BK1441" s="3">
        <v>1</v>
      </c>
      <c r="BL1441" s="3">
        <v>114.31</v>
      </c>
      <c r="BM1441" s="3">
        <v>17.149999999999999</v>
      </c>
      <c r="BN1441" s="3">
        <v>131.46</v>
      </c>
      <c r="BO1441" s="3">
        <v>131.46</v>
      </c>
      <c r="BQ1441" s="3" t="s">
        <v>83</v>
      </c>
      <c r="BR1441" s="3" t="s">
        <v>84</v>
      </c>
      <c r="BS1441" s="4">
        <v>44581</v>
      </c>
      <c r="BT1441" s="5">
        <v>0.51874999999999993</v>
      </c>
      <c r="BU1441" s="3" t="s">
        <v>1769</v>
      </c>
      <c r="BV1441" s="3" t="s">
        <v>105</v>
      </c>
      <c r="BY1441" s="3">
        <v>1200</v>
      </c>
      <c r="CA1441" s="3" t="s">
        <v>394</v>
      </c>
      <c r="CC1441" s="3" t="s">
        <v>108</v>
      </c>
      <c r="CD1441" s="3">
        <v>6849</v>
      </c>
      <c r="CE1441" s="3" t="s">
        <v>93</v>
      </c>
      <c r="CF1441" s="4">
        <v>44585</v>
      </c>
      <c r="CI1441" s="3">
        <v>2</v>
      </c>
      <c r="CJ1441" s="3">
        <v>1</v>
      </c>
      <c r="CK1441" s="3">
        <v>23</v>
      </c>
      <c r="CL1441" s="3" t="s">
        <v>87</v>
      </c>
    </row>
    <row r="1442" spans="1:90" x14ac:dyDescent="0.2">
      <c r="A1442" s="3" t="s">
        <v>72</v>
      </c>
      <c r="B1442" s="3" t="s">
        <v>73</v>
      </c>
      <c r="C1442" s="3" t="s">
        <v>74</v>
      </c>
      <c r="E1442" s="3" t="str">
        <f>"FES1162845961"</f>
        <v>FES1162845961</v>
      </c>
      <c r="F1442" s="4">
        <v>44580</v>
      </c>
      <c r="G1442" s="3">
        <v>202207</v>
      </c>
      <c r="H1442" s="3" t="s">
        <v>75</v>
      </c>
      <c r="I1442" s="3" t="s">
        <v>76</v>
      </c>
      <c r="J1442" s="3" t="s">
        <v>77</v>
      </c>
      <c r="K1442" s="3" t="s">
        <v>78</v>
      </c>
      <c r="L1442" s="3" t="s">
        <v>184</v>
      </c>
      <c r="M1442" s="3" t="s">
        <v>185</v>
      </c>
      <c r="N1442" s="3" t="s">
        <v>186</v>
      </c>
      <c r="O1442" s="3" t="s">
        <v>82</v>
      </c>
      <c r="P1442" s="3" t="str">
        <f>"2170817401                    "</f>
        <v xml:space="preserve">2170817401                    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15.46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  <c r="BH1442" s="3">
        <v>1</v>
      </c>
      <c r="BI1442" s="3">
        <v>1</v>
      </c>
      <c r="BJ1442" s="3">
        <v>0.2</v>
      </c>
      <c r="BK1442" s="3">
        <v>1</v>
      </c>
      <c r="BL1442" s="3">
        <v>59</v>
      </c>
      <c r="BM1442" s="3">
        <v>8.85</v>
      </c>
      <c r="BN1442" s="3">
        <v>67.849999999999994</v>
      </c>
      <c r="BO1442" s="3">
        <v>67.849999999999994</v>
      </c>
      <c r="BQ1442" s="3" t="s">
        <v>83</v>
      </c>
      <c r="BR1442" s="3" t="s">
        <v>84</v>
      </c>
      <c r="BS1442" s="4">
        <v>44582</v>
      </c>
      <c r="BT1442" s="5">
        <v>0.56666666666666665</v>
      </c>
      <c r="BU1442" s="3" t="s">
        <v>1680</v>
      </c>
      <c r="BV1442" s="3" t="s">
        <v>87</v>
      </c>
      <c r="BW1442" s="3" t="s">
        <v>457</v>
      </c>
      <c r="BX1442" s="3" t="s">
        <v>605</v>
      </c>
      <c r="BY1442" s="3">
        <v>1200</v>
      </c>
      <c r="CA1442" s="3" t="s">
        <v>1681</v>
      </c>
      <c r="CC1442" s="3" t="s">
        <v>185</v>
      </c>
      <c r="CD1442" s="3">
        <v>5201</v>
      </c>
      <c r="CE1442" s="3" t="s">
        <v>93</v>
      </c>
      <c r="CF1442" s="4">
        <v>44582</v>
      </c>
      <c r="CI1442" s="3">
        <v>1</v>
      </c>
      <c r="CJ1442" s="3">
        <v>2</v>
      </c>
      <c r="CK1442" s="3">
        <v>21</v>
      </c>
      <c r="CL1442" s="3" t="s">
        <v>87</v>
      </c>
    </row>
    <row r="1443" spans="1:90" x14ac:dyDescent="0.2">
      <c r="A1443" s="3" t="s">
        <v>72</v>
      </c>
      <c r="B1443" s="3" t="s">
        <v>73</v>
      </c>
      <c r="C1443" s="3" t="s">
        <v>74</v>
      </c>
      <c r="E1443" s="3" t="str">
        <f>"009942045025"</f>
        <v>009942045025</v>
      </c>
      <c r="F1443" s="4">
        <v>44580</v>
      </c>
      <c r="G1443" s="3">
        <v>202207</v>
      </c>
      <c r="H1443" s="3" t="s">
        <v>75</v>
      </c>
      <c r="I1443" s="3" t="s">
        <v>76</v>
      </c>
      <c r="J1443" s="3" t="s">
        <v>77</v>
      </c>
      <c r="K1443" s="3" t="s">
        <v>78</v>
      </c>
      <c r="L1443" s="3" t="s">
        <v>90</v>
      </c>
      <c r="M1443" s="3" t="s">
        <v>91</v>
      </c>
      <c r="N1443" s="3" t="s">
        <v>776</v>
      </c>
      <c r="O1443" s="3" t="s">
        <v>82</v>
      </c>
      <c r="P1443" s="3" t="str">
        <f>"1162845887                    "</f>
        <v xml:space="preserve">1162845887                    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15.46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v>0</v>
      </c>
      <c r="BA1443" s="3">
        <v>0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0</v>
      </c>
      <c r="BH1443" s="3">
        <v>1</v>
      </c>
      <c r="BI1443" s="3">
        <v>1</v>
      </c>
      <c r="BJ1443" s="3">
        <v>0.2</v>
      </c>
      <c r="BK1443" s="3">
        <v>1</v>
      </c>
      <c r="BL1443" s="3">
        <v>59</v>
      </c>
      <c r="BM1443" s="3">
        <v>8.85</v>
      </c>
      <c r="BN1443" s="3">
        <v>67.849999999999994</v>
      </c>
      <c r="BO1443" s="3">
        <v>67.849999999999994</v>
      </c>
      <c r="BQ1443" s="3" t="s">
        <v>83</v>
      </c>
      <c r="BR1443" s="3" t="s">
        <v>84</v>
      </c>
      <c r="BS1443" s="4">
        <v>44581</v>
      </c>
      <c r="BT1443" s="5">
        <v>0.50416666666666665</v>
      </c>
      <c r="BU1443" s="3" t="s">
        <v>1628</v>
      </c>
      <c r="BV1443" s="3" t="s">
        <v>105</v>
      </c>
      <c r="BY1443" s="3">
        <v>1200</v>
      </c>
      <c r="CA1443" s="3" t="s">
        <v>603</v>
      </c>
      <c r="CC1443" s="3" t="s">
        <v>91</v>
      </c>
      <c r="CD1443" s="3">
        <v>7975</v>
      </c>
      <c r="CE1443" s="3" t="s">
        <v>93</v>
      </c>
      <c r="CF1443" s="4">
        <v>44582</v>
      </c>
      <c r="CI1443" s="3">
        <v>1</v>
      </c>
      <c r="CJ1443" s="3">
        <v>1</v>
      </c>
      <c r="CK1443" s="3">
        <v>21</v>
      </c>
      <c r="CL1443" s="3" t="s">
        <v>87</v>
      </c>
    </row>
    <row r="1444" spans="1:90" x14ac:dyDescent="0.2">
      <c r="A1444" s="3" t="s">
        <v>72</v>
      </c>
      <c r="B1444" s="3" t="s">
        <v>73</v>
      </c>
      <c r="C1444" s="3" t="s">
        <v>74</v>
      </c>
      <c r="E1444" s="3" t="str">
        <f>"FES1162845892"</f>
        <v>FES1162845892</v>
      </c>
      <c r="F1444" s="4">
        <v>44580</v>
      </c>
      <c r="G1444" s="3">
        <v>202207</v>
      </c>
      <c r="H1444" s="3" t="s">
        <v>75</v>
      </c>
      <c r="I1444" s="3" t="s">
        <v>76</v>
      </c>
      <c r="J1444" s="3" t="s">
        <v>77</v>
      </c>
      <c r="K1444" s="3" t="s">
        <v>78</v>
      </c>
      <c r="L1444" s="3" t="s">
        <v>171</v>
      </c>
      <c r="M1444" s="3" t="s">
        <v>172</v>
      </c>
      <c r="N1444" s="3" t="s">
        <v>200</v>
      </c>
      <c r="O1444" s="3" t="s">
        <v>82</v>
      </c>
      <c r="P1444" s="3" t="str">
        <f>"2170815008                    "</f>
        <v xml:space="preserve">2170815008                    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30.91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0</v>
      </c>
      <c r="AZ1444" s="3">
        <v>0</v>
      </c>
      <c r="BA1444" s="3">
        <v>0</v>
      </c>
      <c r="BB1444" s="3">
        <v>0</v>
      </c>
      <c r="BC1444" s="3">
        <v>0</v>
      </c>
      <c r="BD1444" s="3">
        <v>0</v>
      </c>
      <c r="BE1444" s="3">
        <v>0</v>
      </c>
      <c r="BF1444" s="3">
        <v>0</v>
      </c>
      <c r="BG1444" s="3">
        <v>0</v>
      </c>
      <c r="BH1444" s="3">
        <v>1</v>
      </c>
      <c r="BI1444" s="3">
        <v>4</v>
      </c>
      <c r="BJ1444" s="3">
        <v>2</v>
      </c>
      <c r="BK1444" s="3">
        <v>4</v>
      </c>
      <c r="BL1444" s="3">
        <v>117.97</v>
      </c>
      <c r="BM1444" s="3">
        <v>17.7</v>
      </c>
      <c r="BN1444" s="3">
        <v>135.66999999999999</v>
      </c>
      <c r="BO1444" s="3">
        <v>135.66999999999999</v>
      </c>
      <c r="BQ1444" s="3" t="s">
        <v>89</v>
      </c>
      <c r="BR1444" s="3" t="s">
        <v>84</v>
      </c>
      <c r="BS1444" s="4">
        <v>44581</v>
      </c>
      <c r="BT1444" s="5">
        <v>0.3527777777777778</v>
      </c>
      <c r="BU1444" s="3" t="s">
        <v>813</v>
      </c>
      <c r="BV1444" s="3" t="s">
        <v>105</v>
      </c>
      <c r="BY1444" s="3">
        <v>9918</v>
      </c>
      <c r="CA1444" s="3" t="s">
        <v>814</v>
      </c>
      <c r="CC1444" s="3" t="s">
        <v>172</v>
      </c>
      <c r="CD1444" s="3">
        <v>6001</v>
      </c>
      <c r="CE1444" s="3" t="s">
        <v>86</v>
      </c>
      <c r="CF1444" s="4">
        <v>44582</v>
      </c>
      <c r="CI1444" s="3">
        <v>1</v>
      </c>
      <c r="CJ1444" s="3">
        <v>1</v>
      </c>
      <c r="CK1444" s="3">
        <v>21</v>
      </c>
      <c r="CL1444" s="3" t="s">
        <v>87</v>
      </c>
    </row>
    <row r="1445" spans="1:90" x14ac:dyDescent="0.2">
      <c r="A1445" s="3" t="s">
        <v>72</v>
      </c>
      <c r="B1445" s="3" t="s">
        <v>73</v>
      </c>
      <c r="C1445" s="3" t="s">
        <v>74</v>
      </c>
      <c r="E1445" s="3" t="str">
        <f>"FES1162845833"</f>
        <v>FES1162845833</v>
      </c>
      <c r="F1445" s="4">
        <v>44580</v>
      </c>
      <c r="G1445" s="3">
        <v>202207</v>
      </c>
      <c r="H1445" s="3" t="s">
        <v>75</v>
      </c>
      <c r="I1445" s="3" t="s">
        <v>76</v>
      </c>
      <c r="J1445" s="3" t="s">
        <v>77</v>
      </c>
      <c r="K1445" s="3" t="s">
        <v>78</v>
      </c>
      <c r="L1445" s="3" t="s">
        <v>162</v>
      </c>
      <c r="M1445" s="3" t="s">
        <v>163</v>
      </c>
      <c r="N1445" s="3" t="s">
        <v>1770</v>
      </c>
      <c r="O1445" s="3" t="s">
        <v>82</v>
      </c>
      <c r="P1445" s="3" t="str">
        <f>"2170815069                    "</f>
        <v xml:space="preserve">2170815069                    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12.07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  <c r="BH1445" s="3">
        <v>1</v>
      </c>
      <c r="BI1445" s="3">
        <v>1</v>
      </c>
      <c r="BJ1445" s="3">
        <v>1.5</v>
      </c>
      <c r="BK1445" s="3">
        <v>1.5</v>
      </c>
      <c r="BL1445" s="3">
        <v>46.08</v>
      </c>
      <c r="BM1445" s="3">
        <v>6.91</v>
      </c>
      <c r="BN1445" s="3">
        <v>52.99</v>
      </c>
      <c r="BO1445" s="3">
        <v>52.99</v>
      </c>
      <c r="BQ1445" s="3" t="s">
        <v>83</v>
      </c>
      <c r="BR1445" s="3" t="s">
        <v>84</v>
      </c>
      <c r="BS1445" s="4">
        <v>44581</v>
      </c>
      <c r="BT1445" s="5">
        <v>0.45763888888888887</v>
      </c>
      <c r="BU1445" s="3" t="s">
        <v>1771</v>
      </c>
      <c r="BV1445" s="3" t="s">
        <v>87</v>
      </c>
      <c r="BW1445" s="3" t="s">
        <v>353</v>
      </c>
      <c r="BX1445" s="3" t="s">
        <v>377</v>
      </c>
      <c r="BY1445" s="3">
        <v>7540</v>
      </c>
      <c r="CA1445" s="3" t="s">
        <v>591</v>
      </c>
      <c r="CC1445" s="3" t="s">
        <v>163</v>
      </c>
      <c r="CD1445" s="3">
        <v>1422</v>
      </c>
      <c r="CE1445" s="3" t="s">
        <v>86</v>
      </c>
      <c r="CF1445" s="4">
        <v>44582</v>
      </c>
      <c r="CI1445" s="3">
        <v>1</v>
      </c>
      <c r="CJ1445" s="3">
        <v>1</v>
      </c>
      <c r="CK1445" s="3">
        <v>22</v>
      </c>
      <c r="CL1445" s="3" t="s">
        <v>87</v>
      </c>
    </row>
    <row r="1446" spans="1:90" x14ac:dyDescent="0.2">
      <c r="A1446" s="3" t="s">
        <v>72</v>
      </c>
      <c r="B1446" s="3" t="s">
        <v>73</v>
      </c>
      <c r="C1446" s="3" t="s">
        <v>74</v>
      </c>
      <c r="E1446" s="3" t="str">
        <f>"FES1162845949"</f>
        <v>FES1162845949</v>
      </c>
      <c r="F1446" s="4">
        <v>44580</v>
      </c>
      <c r="G1446" s="3">
        <v>202207</v>
      </c>
      <c r="H1446" s="3" t="s">
        <v>75</v>
      </c>
      <c r="I1446" s="3" t="s">
        <v>76</v>
      </c>
      <c r="J1446" s="3" t="s">
        <v>77</v>
      </c>
      <c r="K1446" s="3" t="s">
        <v>78</v>
      </c>
      <c r="L1446" s="3" t="s">
        <v>138</v>
      </c>
      <c r="M1446" s="3" t="s">
        <v>139</v>
      </c>
      <c r="N1446" s="3" t="s">
        <v>1772</v>
      </c>
      <c r="O1446" s="3" t="s">
        <v>148</v>
      </c>
      <c r="P1446" s="3" t="str">
        <f>"2170809957                    "</f>
        <v xml:space="preserve">2170809957                    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29.89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0</v>
      </c>
      <c r="BB1446" s="3">
        <v>0</v>
      </c>
      <c r="BC1446" s="3">
        <v>0</v>
      </c>
      <c r="BD1446" s="3">
        <v>0</v>
      </c>
      <c r="BE1446" s="3">
        <v>0</v>
      </c>
      <c r="BF1446" s="3">
        <v>0</v>
      </c>
      <c r="BG1446" s="3">
        <v>0</v>
      </c>
      <c r="BH1446" s="3">
        <v>1</v>
      </c>
      <c r="BI1446" s="3">
        <v>8</v>
      </c>
      <c r="BJ1446" s="3">
        <v>11.6</v>
      </c>
      <c r="BK1446" s="3">
        <v>12</v>
      </c>
      <c r="BL1446" s="3">
        <v>119.34</v>
      </c>
      <c r="BM1446" s="3">
        <v>17.899999999999999</v>
      </c>
      <c r="BN1446" s="3">
        <v>137.24</v>
      </c>
      <c r="BO1446" s="3">
        <v>137.24</v>
      </c>
      <c r="BR1446" s="3" t="s">
        <v>84</v>
      </c>
      <c r="BS1446" s="4">
        <v>44582</v>
      </c>
      <c r="BT1446" s="5">
        <v>0.40972222222222227</v>
      </c>
      <c r="BU1446" s="3" t="s">
        <v>1773</v>
      </c>
      <c r="BV1446" s="3" t="s">
        <v>87</v>
      </c>
      <c r="BW1446" s="3" t="s">
        <v>278</v>
      </c>
      <c r="BX1446" s="3" t="s">
        <v>279</v>
      </c>
      <c r="BY1446" s="3">
        <v>58016</v>
      </c>
      <c r="CA1446" s="3" t="s">
        <v>334</v>
      </c>
      <c r="CC1446" s="3" t="s">
        <v>139</v>
      </c>
      <c r="CD1446" s="3">
        <v>3610</v>
      </c>
      <c r="CE1446" s="3" t="s">
        <v>86</v>
      </c>
      <c r="CF1446" s="4">
        <v>44585</v>
      </c>
      <c r="CI1446" s="3">
        <v>1</v>
      </c>
      <c r="CJ1446" s="3">
        <v>2</v>
      </c>
      <c r="CK1446" s="3">
        <v>41</v>
      </c>
      <c r="CL1446" s="3" t="s">
        <v>87</v>
      </c>
    </row>
    <row r="1447" spans="1:90" x14ac:dyDescent="0.2">
      <c r="A1447" s="3" t="s">
        <v>72</v>
      </c>
      <c r="B1447" s="3" t="s">
        <v>73</v>
      </c>
      <c r="C1447" s="3" t="s">
        <v>74</v>
      </c>
      <c r="E1447" s="3" t="str">
        <f>"FES1162845870"</f>
        <v>FES1162845870</v>
      </c>
      <c r="F1447" s="4">
        <v>44580</v>
      </c>
      <c r="G1447" s="3">
        <v>202207</v>
      </c>
      <c r="H1447" s="3" t="s">
        <v>75</v>
      </c>
      <c r="I1447" s="3" t="s">
        <v>76</v>
      </c>
      <c r="J1447" s="3" t="s">
        <v>77</v>
      </c>
      <c r="K1447" s="3" t="s">
        <v>78</v>
      </c>
      <c r="L1447" s="3" t="s">
        <v>79</v>
      </c>
      <c r="M1447" s="3" t="s">
        <v>80</v>
      </c>
      <c r="N1447" s="3" t="s">
        <v>416</v>
      </c>
      <c r="O1447" s="3" t="s">
        <v>82</v>
      </c>
      <c r="P1447" s="3" t="str">
        <f>"2170817077                    "</f>
        <v xml:space="preserve">2170817077                    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30.91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0</v>
      </c>
      <c r="BG1447" s="3">
        <v>0</v>
      </c>
      <c r="BH1447" s="3">
        <v>1</v>
      </c>
      <c r="BI1447" s="3">
        <v>4</v>
      </c>
      <c r="BJ1447" s="3">
        <v>1</v>
      </c>
      <c r="BK1447" s="3">
        <v>4</v>
      </c>
      <c r="BL1447" s="3">
        <v>117.97</v>
      </c>
      <c r="BM1447" s="3">
        <v>17.7</v>
      </c>
      <c r="BN1447" s="3">
        <v>135.66999999999999</v>
      </c>
      <c r="BO1447" s="3">
        <v>135.66999999999999</v>
      </c>
      <c r="BQ1447" s="3" t="s">
        <v>126</v>
      </c>
      <c r="BR1447" s="3" t="s">
        <v>84</v>
      </c>
      <c r="BS1447" s="4">
        <v>44581</v>
      </c>
      <c r="BT1447" s="5">
        <v>0.36527777777777781</v>
      </c>
      <c r="BU1447" s="3" t="s">
        <v>1774</v>
      </c>
      <c r="BV1447" s="3" t="s">
        <v>105</v>
      </c>
      <c r="BY1447" s="3">
        <v>4900</v>
      </c>
      <c r="CA1447" s="3" t="s">
        <v>1499</v>
      </c>
      <c r="CC1447" s="3" t="s">
        <v>80</v>
      </c>
      <c r="CD1447" s="3">
        <v>186</v>
      </c>
      <c r="CE1447" s="3" t="s">
        <v>86</v>
      </c>
      <c r="CF1447" s="4">
        <v>44581</v>
      </c>
      <c r="CI1447" s="3">
        <v>1</v>
      </c>
      <c r="CJ1447" s="3">
        <v>1</v>
      </c>
      <c r="CK1447" s="3">
        <v>21</v>
      </c>
      <c r="CL1447" s="3" t="s">
        <v>87</v>
      </c>
    </row>
    <row r="1448" spans="1:90" x14ac:dyDescent="0.2">
      <c r="A1448" s="3" t="s">
        <v>72</v>
      </c>
      <c r="B1448" s="3" t="s">
        <v>73</v>
      </c>
      <c r="C1448" s="3" t="s">
        <v>74</v>
      </c>
      <c r="E1448" s="3" t="str">
        <f>"FES1162845955"</f>
        <v>FES1162845955</v>
      </c>
      <c r="F1448" s="4">
        <v>44580</v>
      </c>
      <c r="G1448" s="3">
        <v>202207</v>
      </c>
      <c r="H1448" s="3" t="s">
        <v>75</v>
      </c>
      <c r="I1448" s="3" t="s">
        <v>76</v>
      </c>
      <c r="J1448" s="3" t="s">
        <v>77</v>
      </c>
      <c r="K1448" s="3" t="s">
        <v>78</v>
      </c>
      <c r="L1448" s="3" t="s">
        <v>90</v>
      </c>
      <c r="M1448" s="3" t="s">
        <v>91</v>
      </c>
      <c r="N1448" s="3" t="s">
        <v>640</v>
      </c>
      <c r="O1448" s="3" t="s">
        <v>82</v>
      </c>
      <c r="P1448" s="3" t="str">
        <f>"2170815043                    "</f>
        <v xml:space="preserve">2170815043                    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30.91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0</v>
      </c>
      <c r="AZ1448" s="3">
        <v>0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  <c r="BH1448" s="3">
        <v>1</v>
      </c>
      <c r="BI1448" s="3">
        <v>1</v>
      </c>
      <c r="BJ1448" s="3">
        <v>3.8</v>
      </c>
      <c r="BK1448" s="3">
        <v>4</v>
      </c>
      <c r="BL1448" s="3">
        <v>117.97</v>
      </c>
      <c r="BM1448" s="3">
        <v>17.7</v>
      </c>
      <c r="BN1448" s="3">
        <v>135.66999999999999</v>
      </c>
      <c r="BO1448" s="3">
        <v>135.66999999999999</v>
      </c>
      <c r="BQ1448" s="3" t="s">
        <v>83</v>
      </c>
      <c r="BR1448" s="3" t="s">
        <v>84</v>
      </c>
      <c r="BS1448" s="4">
        <v>44581</v>
      </c>
      <c r="BT1448" s="5">
        <v>0.44861111111111113</v>
      </c>
      <c r="BU1448" s="3" t="s">
        <v>1775</v>
      </c>
      <c r="BV1448" s="3" t="s">
        <v>87</v>
      </c>
      <c r="BW1448" s="3" t="s">
        <v>457</v>
      </c>
      <c r="BX1448" s="3" t="s">
        <v>354</v>
      </c>
      <c r="BY1448" s="3">
        <v>19200</v>
      </c>
      <c r="CA1448" s="3" t="s">
        <v>641</v>
      </c>
      <c r="CC1448" s="3" t="s">
        <v>91</v>
      </c>
      <c r="CD1448" s="3">
        <v>7580</v>
      </c>
      <c r="CE1448" s="3" t="s">
        <v>86</v>
      </c>
      <c r="CF1448" s="4">
        <v>44582</v>
      </c>
      <c r="CI1448" s="3">
        <v>1</v>
      </c>
      <c r="CJ1448" s="3">
        <v>1</v>
      </c>
      <c r="CK1448" s="3">
        <v>21</v>
      </c>
      <c r="CL1448" s="3" t="s">
        <v>87</v>
      </c>
    </row>
    <row r="1449" spans="1:90" x14ac:dyDescent="0.2">
      <c r="A1449" s="3" t="s">
        <v>72</v>
      </c>
      <c r="B1449" s="3" t="s">
        <v>73</v>
      </c>
      <c r="C1449" s="3" t="s">
        <v>74</v>
      </c>
      <c r="E1449" s="3" t="str">
        <f>"FES1162845862"</f>
        <v>FES1162845862</v>
      </c>
      <c r="F1449" s="4">
        <v>44580</v>
      </c>
      <c r="G1449" s="3">
        <v>202207</v>
      </c>
      <c r="H1449" s="3" t="s">
        <v>75</v>
      </c>
      <c r="I1449" s="3" t="s">
        <v>76</v>
      </c>
      <c r="J1449" s="3" t="s">
        <v>77</v>
      </c>
      <c r="K1449" s="3" t="s">
        <v>78</v>
      </c>
      <c r="L1449" s="3" t="s">
        <v>805</v>
      </c>
      <c r="M1449" s="3" t="s">
        <v>806</v>
      </c>
      <c r="N1449" s="3" t="s">
        <v>807</v>
      </c>
      <c r="O1449" s="3" t="s">
        <v>148</v>
      </c>
      <c r="P1449" s="3" t="str">
        <f>"2170817320                    "</f>
        <v xml:space="preserve">2170817320                    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50.78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0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0</v>
      </c>
      <c r="BF1449" s="3">
        <v>0</v>
      </c>
      <c r="BG1449" s="3">
        <v>0</v>
      </c>
      <c r="BH1449" s="3">
        <v>1</v>
      </c>
      <c r="BI1449" s="3">
        <v>15</v>
      </c>
      <c r="BJ1449" s="3">
        <v>18.3</v>
      </c>
      <c r="BK1449" s="3">
        <v>19</v>
      </c>
      <c r="BL1449" s="3">
        <v>199.06</v>
      </c>
      <c r="BM1449" s="3">
        <v>29.86</v>
      </c>
      <c r="BN1449" s="3">
        <v>228.92</v>
      </c>
      <c r="BO1449" s="3">
        <v>228.92</v>
      </c>
      <c r="BQ1449" s="3" t="s">
        <v>808</v>
      </c>
      <c r="BR1449" s="3" t="s">
        <v>84</v>
      </c>
      <c r="BS1449" s="4">
        <v>44582</v>
      </c>
      <c r="BT1449" s="5">
        <v>0.5756944444444444</v>
      </c>
      <c r="BU1449" s="3" t="s">
        <v>1101</v>
      </c>
      <c r="BV1449" s="3" t="s">
        <v>87</v>
      </c>
      <c r="BW1449" s="3" t="s">
        <v>278</v>
      </c>
      <c r="BX1449" s="3" t="s">
        <v>279</v>
      </c>
      <c r="BY1449" s="3">
        <v>91264</v>
      </c>
      <c r="CA1449" s="3" t="s">
        <v>809</v>
      </c>
      <c r="CC1449" s="3" t="s">
        <v>806</v>
      </c>
      <c r="CD1449" s="3">
        <v>4400</v>
      </c>
      <c r="CE1449" s="3" t="s">
        <v>86</v>
      </c>
      <c r="CF1449" s="4">
        <v>44585</v>
      </c>
      <c r="CI1449" s="3">
        <v>1</v>
      </c>
      <c r="CJ1449" s="3">
        <v>2</v>
      </c>
      <c r="CK1449" s="3">
        <v>43</v>
      </c>
      <c r="CL1449" s="3" t="s">
        <v>87</v>
      </c>
    </row>
    <row r="1450" spans="1:90" x14ac:dyDescent="0.2">
      <c r="A1450" s="3" t="s">
        <v>72</v>
      </c>
      <c r="B1450" s="3" t="s">
        <v>73</v>
      </c>
      <c r="C1450" s="3" t="s">
        <v>74</v>
      </c>
      <c r="E1450" s="3" t="str">
        <f>"FES1162845929"</f>
        <v>FES1162845929</v>
      </c>
      <c r="F1450" s="4">
        <v>44580</v>
      </c>
      <c r="G1450" s="3">
        <v>202207</v>
      </c>
      <c r="H1450" s="3" t="s">
        <v>75</v>
      </c>
      <c r="I1450" s="3" t="s">
        <v>76</v>
      </c>
      <c r="J1450" s="3" t="s">
        <v>77</v>
      </c>
      <c r="K1450" s="3" t="s">
        <v>78</v>
      </c>
      <c r="L1450" s="3" t="s">
        <v>167</v>
      </c>
      <c r="M1450" s="3" t="s">
        <v>168</v>
      </c>
      <c r="N1450" s="3" t="s">
        <v>852</v>
      </c>
      <c r="O1450" s="3" t="s">
        <v>82</v>
      </c>
      <c r="P1450" s="3" t="str">
        <f>"2170817377                    "</f>
        <v xml:space="preserve">2170817377                    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54.08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0</v>
      </c>
      <c r="AZ1450" s="3">
        <v>0</v>
      </c>
      <c r="BA1450" s="3">
        <v>0</v>
      </c>
      <c r="BB1450" s="3">
        <v>0</v>
      </c>
      <c r="BC1450" s="3">
        <v>0</v>
      </c>
      <c r="BD1450" s="3">
        <v>0</v>
      </c>
      <c r="BE1450" s="3">
        <v>0</v>
      </c>
      <c r="BF1450" s="3">
        <v>0</v>
      </c>
      <c r="BG1450" s="3">
        <v>0</v>
      </c>
      <c r="BH1450" s="3">
        <v>1</v>
      </c>
      <c r="BI1450" s="3">
        <v>7</v>
      </c>
      <c r="BJ1450" s="3">
        <v>2</v>
      </c>
      <c r="BK1450" s="3">
        <v>7</v>
      </c>
      <c r="BL1450" s="3">
        <v>206.42</v>
      </c>
      <c r="BM1450" s="3">
        <v>30.96</v>
      </c>
      <c r="BN1450" s="3">
        <v>237.38</v>
      </c>
      <c r="BO1450" s="3">
        <v>237.38</v>
      </c>
      <c r="BQ1450" s="3" t="s">
        <v>83</v>
      </c>
      <c r="BR1450" s="3" t="s">
        <v>84</v>
      </c>
      <c r="BS1450" s="4">
        <v>44581</v>
      </c>
      <c r="BT1450" s="5">
        <v>0.40347222222222223</v>
      </c>
      <c r="BU1450" s="3" t="s">
        <v>1776</v>
      </c>
      <c r="BV1450" s="3" t="s">
        <v>105</v>
      </c>
      <c r="BY1450" s="3">
        <v>9918</v>
      </c>
      <c r="CA1450" s="3" t="s">
        <v>553</v>
      </c>
      <c r="CC1450" s="3" t="s">
        <v>168</v>
      </c>
      <c r="CD1450" s="3">
        <v>6229</v>
      </c>
      <c r="CE1450" s="3" t="s">
        <v>86</v>
      </c>
      <c r="CF1450" s="4">
        <v>44581</v>
      </c>
      <c r="CI1450" s="3">
        <v>1</v>
      </c>
      <c r="CJ1450" s="3">
        <v>1</v>
      </c>
      <c r="CK1450" s="3">
        <v>21</v>
      </c>
      <c r="CL1450" s="3" t="s">
        <v>87</v>
      </c>
    </row>
    <row r="1451" spans="1:90" x14ac:dyDescent="0.2">
      <c r="A1451" s="3" t="s">
        <v>72</v>
      </c>
      <c r="B1451" s="3" t="s">
        <v>73</v>
      </c>
      <c r="C1451" s="3" t="s">
        <v>74</v>
      </c>
      <c r="E1451" s="3" t="str">
        <f>"FES1162845977"</f>
        <v>FES1162845977</v>
      </c>
      <c r="F1451" s="4">
        <v>44580</v>
      </c>
      <c r="G1451" s="3">
        <v>202207</v>
      </c>
      <c r="H1451" s="3" t="s">
        <v>75</v>
      </c>
      <c r="I1451" s="3" t="s">
        <v>76</v>
      </c>
      <c r="J1451" s="3" t="s">
        <v>77</v>
      </c>
      <c r="K1451" s="3" t="s">
        <v>78</v>
      </c>
      <c r="L1451" s="3" t="s">
        <v>142</v>
      </c>
      <c r="M1451" s="3" t="s">
        <v>143</v>
      </c>
      <c r="N1451" s="3" t="s">
        <v>1368</v>
      </c>
      <c r="O1451" s="3" t="s">
        <v>82</v>
      </c>
      <c r="P1451" s="3" t="str">
        <f>"2170817419                    "</f>
        <v xml:space="preserve">2170817419                    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12.07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1</v>
      </c>
      <c r="BI1451" s="3">
        <v>1</v>
      </c>
      <c r="BJ1451" s="3">
        <v>0.2</v>
      </c>
      <c r="BK1451" s="3">
        <v>1</v>
      </c>
      <c r="BL1451" s="3">
        <v>46.08</v>
      </c>
      <c r="BM1451" s="3">
        <v>6.91</v>
      </c>
      <c r="BN1451" s="3">
        <v>52.99</v>
      </c>
      <c r="BO1451" s="3">
        <v>52.99</v>
      </c>
      <c r="BQ1451" s="3" t="s">
        <v>83</v>
      </c>
      <c r="BR1451" s="3" t="s">
        <v>84</v>
      </c>
      <c r="BS1451" s="4">
        <v>44581</v>
      </c>
      <c r="BT1451" s="5">
        <v>0.43055555555555558</v>
      </c>
      <c r="BU1451" s="3" t="s">
        <v>1777</v>
      </c>
      <c r="BV1451" s="3" t="s">
        <v>105</v>
      </c>
      <c r="BY1451" s="3">
        <v>1200</v>
      </c>
      <c r="CC1451" s="3" t="s">
        <v>143</v>
      </c>
      <c r="CD1451" s="3">
        <v>1449</v>
      </c>
      <c r="CE1451" s="3" t="s">
        <v>93</v>
      </c>
      <c r="CF1451" s="4">
        <v>44581</v>
      </c>
      <c r="CI1451" s="3">
        <v>1</v>
      </c>
      <c r="CJ1451" s="3">
        <v>1</v>
      </c>
      <c r="CK1451" s="3">
        <v>22</v>
      </c>
      <c r="CL1451" s="3" t="s">
        <v>87</v>
      </c>
    </row>
    <row r="1452" spans="1:90" x14ac:dyDescent="0.2">
      <c r="A1452" s="3" t="s">
        <v>72</v>
      </c>
      <c r="B1452" s="3" t="s">
        <v>73</v>
      </c>
      <c r="C1452" s="3" t="s">
        <v>74</v>
      </c>
      <c r="E1452" s="3" t="str">
        <f>"FES1162845849"</f>
        <v>FES1162845849</v>
      </c>
      <c r="F1452" s="4">
        <v>44580</v>
      </c>
      <c r="G1452" s="3">
        <v>202207</v>
      </c>
      <c r="H1452" s="3" t="s">
        <v>75</v>
      </c>
      <c r="I1452" s="3" t="s">
        <v>76</v>
      </c>
      <c r="J1452" s="3" t="s">
        <v>77</v>
      </c>
      <c r="K1452" s="3" t="s">
        <v>78</v>
      </c>
      <c r="L1452" s="3" t="s">
        <v>75</v>
      </c>
      <c r="M1452" s="3" t="s">
        <v>76</v>
      </c>
      <c r="N1452" s="3" t="s">
        <v>166</v>
      </c>
      <c r="O1452" s="3" t="s">
        <v>82</v>
      </c>
      <c r="P1452" s="3" t="str">
        <f>"2170816754                    "</f>
        <v xml:space="preserve">2170816754                    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12.07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0</v>
      </c>
      <c r="AZ1452" s="3">
        <v>0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0</v>
      </c>
      <c r="BH1452" s="3">
        <v>1</v>
      </c>
      <c r="BI1452" s="3">
        <v>1</v>
      </c>
      <c r="BJ1452" s="3">
        <v>1.5</v>
      </c>
      <c r="BK1452" s="3">
        <v>1.5</v>
      </c>
      <c r="BL1452" s="3">
        <v>46.08</v>
      </c>
      <c r="BM1452" s="3">
        <v>6.91</v>
      </c>
      <c r="BN1452" s="3">
        <v>52.99</v>
      </c>
      <c r="BO1452" s="3">
        <v>52.99</v>
      </c>
      <c r="BQ1452" s="3" t="s">
        <v>89</v>
      </c>
      <c r="BR1452" s="3" t="s">
        <v>84</v>
      </c>
      <c r="BS1452" s="4">
        <v>44581</v>
      </c>
      <c r="BT1452" s="5">
        <v>0.37638888888888888</v>
      </c>
      <c r="BU1452" s="3" t="s">
        <v>1778</v>
      </c>
      <c r="BV1452" s="3" t="s">
        <v>105</v>
      </c>
      <c r="BY1452" s="3">
        <v>7540</v>
      </c>
      <c r="CA1452" s="3" t="s">
        <v>1779</v>
      </c>
      <c r="CC1452" s="3" t="s">
        <v>76</v>
      </c>
      <c r="CD1452" s="3">
        <v>1665</v>
      </c>
      <c r="CE1452" s="3" t="s">
        <v>86</v>
      </c>
      <c r="CF1452" s="4">
        <v>44582</v>
      </c>
      <c r="CI1452" s="3">
        <v>1</v>
      </c>
      <c r="CJ1452" s="3">
        <v>1</v>
      </c>
      <c r="CK1452" s="3">
        <v>22</v>
      </c>
      <c r="CL1452" s="3" t="s">
        <v>87</v>
      </c>
    </row>
    <row r="1453" spans="1:90" x14ac:dyDescent="0.2">
      <c r="A1453" s="3" t="s">
        <v>72</v>
      </c>
      <c r="B1453" s="3" t="s">
        <v>73</v>
      </c>
      <c r="C1453" s="3" t="s">
        <v>74</v>
      </c>
      <c r="E1453" s="3" t="str">
        <f>"FES1162845958"</f>
        <v>FES1162845958</v>
      </c>
      <c r="F1453" s="4">
        <v>44580</v>
      </c>
      <c r="G1453" s="3">
        <v>202207</v>
      </c>
      <c r="H1453" s="3" t="s">
        <v>75</v>
      </c>
      <c r="I1453" s="3" t="s">
        <v>76</v>
      </c>
      <c r="J1453" s="3" t="s">
        <v>77</v>
      </c>
      <c r="K1453" s="3" t="s">
        <v>78</v>
      </c>
      <c r="L1453" s="3" t="s">
        <v>142</v>
      </c>
      <c r="M1453" s="3" t="s">
        <v>143</v>
      </c>
      <c r="N1453" s="3" t="s">
        <v>1368</v>
      </c>
      <c r="O1453" s="3" t="s">
        <v>82</v>
      </c>
      <c r="P1453" s="3" t="str">
        <f>"2170817398                    "</f>
        <v xml:space="preserve">2170817398                    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12.07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v>0</v>
      </c>
      <c r="BA1453" s="3">
        <v>0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0</v>
      </c>
      <c r="BH1453" s="3">
        <v>1</v>
      </c>
      <c r="BI1453" s="3">
        <v>1</v>
      </c>
      <c r="BJ1453" s="3">
        <v>0.2</v>
      </c>
      <c r="BK1453" s="3">
        <v>1</v>
      </c>
      <c r="BL1453" s="3">
        <v>46.08</v>
      </c>
      <c r="BM1453" s="3">
        <v>6.91</v>
      </c>
      <c r="BN1453" s="3">
        <v>52.99</v>
      </c>
      <c r="BO1453" s="3">
        <v>52.99</v>
      </c>
      <c r="BQ1453" s="3" t="s">
        <v>83</v>
      </c>
      <c r="BR1453" s="3" t="s">
        <v>84</v>
      </c>
      <c r="BS1453" s="4">
        <v>44581</v>
      </c>
      <c r="BT1453" s="5">
        <v>0.43124999999999997</v>
      </c>
      <c r="BU1453" s="3" t="s">
        <v>1777</v>
      </c>
      <c r="BV1453" s="3" t="s">
        <v>105</v>
      </c>
      <c r="BY1453" s="3">
        <v>1200</v>
      </c>
      <c r="CC1453" s="3" t="s">
        <v>143</v>
      </c>
      <c r="CD1453" s="3">
        <v>1449</v>
      </c>
      <c r="CE1453" s="3" t="s">
        <v>93</v>
      </c>
      <c r="CF1453" s="4">
        <v>44581</v>
      </c>
      <c r="CI1453" s="3">
        <v>1</v>
      </c>
      <c r="CJ1453" s="3">
        <v>1</v>
      </c>
      <c r="CK1453" s="3">
        <v>22</v>
      </c>
      <c r="CL1453" s="3" t="s">
        <v>87</v>
      </c>
    </row>
    <row r="1454" spans="1:90" x14ac:dyDescent="0.2">
      <c r="A1454" s="3" t="s">
        <v>72</v>
      </c>
      <c r="B1454" s="3" t="s">
        <v>73</v>
      </c>
      <c r="C1454" s="3" t="s">
        <v>74</v>
      </c>
      <c r="E1454" s="3" t="str">
        <f>"FES1162845962"</f>
        <v>FES1162845962</v>
      </c>
      <c r="F1454" s="4">
        <v>44580</v>
      </c>
      <c r="G1454" s="3">
        <v>202207</v>
      </c>
      <c r="H1454" s="3" t="s">
        <v>75</v>
      </c>
      <c r="I1454" s="3" t="s">
        <v>76</v>
      </c>
      <c r="J1454" s="3" t="s">
        <v>77</v>
      </c>
      <c r="K1454" s="3" t="s">
        <v>78</v>
      </c>
      <c r="L1454" s="3" t="s">
        <v>75</v>
      </c>
      <c r="M1454" s="3" t="s">
        <v>76</v>
      </c>
      <c r="N1454" s="3" t="s">
        <v>153</v>
      </c>
      <c r="O1454" s="3" t="s">
        <v>82</v>
      </c>
      <c r="P1454" s="3" t="str">
        <f>"2170817403                    "</f>
        <v xml:space="preserve">2170817403                    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12.07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  <c r="BH1454" s="3">
        <v>1</v>
      </c>
      <c r="BI1454" s="3">
        <v>3</v>
      </c>
      <c r="BJ1454" s="3">
        <v>6.2</v>
      </c>
      <c r="BK1454" s="3">
        <v>6.5</v>
      </c>
      <c r="BL1454" s="3">
        <v>46.08</v>
      </c>
      <c r="BM1454" s="3">
        <v>6.91</v>
      </c>
      <c r="BN1454" s="3">
        <v>52.99</v>
      </c>
      <c r="BO1454" s="3">
        <v>52.99</v>
      </c>
      <c r="BR1454" s="3" t="s">
        <v>84</v>
      </c>
      <c r="BS1454" s="4">
        <v>44581</v>
      </c>
      <c r="BT1454" s="5">
        <v>0.3888888888888889</v>
      </c>
      <c r="BU1454" s="3" t="s">
        <v>483</v>
      </c>
      <c r="BV1454" s="3" t="s">
        <v>105</v>
      </c>
      <c r="BY1454" s="3">
        <v>31213</v>
      </c>
      <c r="CC1454" s="3" t="s">
        <v>76</v>
      </c>
      <c r="CD1454" s="3">
        <v>1600</v>
      </c>
      <c r="CE1454" s="3" t="s">
        <v>86</v>
      </c>
      <c r="CF1454" s="4">
        <v>44581</v>
      </c>
      <c r="CI1454" s="3">
        <v>1</v>
      </c>
      <c r="CJ1454" s="3">
        <v>1</v>
      </c>
      <c r="CK1454" s="3">
        <v>22</v>
      </c>
      <c r="CL1454" s="3" t="s">
        <v>87</v>
      </c>
    </row>
    <row r="1455" spans="1:90" x14ac:dyDescent="0.2">
      <c r="A1455" s="3" t="s">
        <v>72</v>
      </c>
      <c r="B1455" s="3" t="s">
        <v>73</v>
      </c>
      <c r="C1455" s="3" t="s">
        <v>74</v>
      </c>
      <c r="E1455" s="3" t="str">
        <f>"FES1162845973"</f>
        <v>FES1162845973</v>
      </c>
      <c r="F1455" s="4">
        <v>44580</v>
      </c>
      <c r="G1455" s="3">
        <v>202207</v>
      </c>
      <c r="H1455" s="3" t="s">
        <v>75</v>
      </c>
      <c r="I1455" s="3" t="s">
        <v>76</v>
      </c>
      <c r="J1455" s="3" t="s">
        <v>77</v>
      </c>
      <c r="K1455" s="3" t="s">
        <v>78</v>
      </c>
      <c r="L1455" s="3" t="s">
        <v>79</v>
      </c>
      <c r="M1455" s="3" t="s">
        <v>80</v>
      </c>
      <c r="N1455" s="3" t="s">
        <v>237</v>
      </c>
      <c r="O1455" s="3" t="s">
        <v>82</v>
      </c>
      <c r="P1455" s="3" t="str">
        <f>"2170817416                    "</f>
        <v xml:space="preserve">2170817416                    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15.46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0</v>
      </c>
      <c r="AZ1455" s="3">
        <v>0</v>
      </c>
      <c r="BA1455" s="3">
        <v>0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0</v>
      </c>
      <c r="BH1455" s="3">
        <v>1</v>
      </c>
      <c r="BI1455" s="3">
        <v>1</v>
      </c>
      <c r="BJ1455" s="3">
        <v>0.2</v>
      </c>
      <c r="BK1455" s="3">
        <v>1</v>
      </c>
      <c r="BL1455" s="3">
        <v>59</v>
      </c>
      <c r="BM1455" s="3">
        <v>8.85</v>
      </c>
      <c r="BN1455" s="3">
        <v>67.849999999999994</v>
      </c>
      <c r="BO1455" s="3">
        <v>67.849999999999994</v>
      </c>
      <c r="BQ1455" s="3" t="s">
        <v>83</v>
      </c>
      <c r="BR1455" s="3" t="s">
        <v>84</v>
      </c>
      <c r="BS1455" s="4">
        <v>44581</v>
      </c>
      <c r="BT1455" s="5">
        <v>0.32916666666666666</v>
      </c>
      <c r="BU1455" s="3" t="s">
        <v>1780</v>
      </c>
      <c r="BV1455" s="3" t="s">
        <v>105</v>
      </c>
      <c r="BY1455" s="3">
        <v>1200</v>
      </c>
      <c r="CA1455" s="3" t="s">
        <v>1781</v>
      </c>
      <c r="CC1455" s="3" t="s">
        <v>80</v>
      </c>
      <c r="CD1455" s="3">
        <v>1</v>
      </c>
      <c r="CE1455" s="3" t="s">
        <v>93</v>
      </c>
      <c r="CF1455" s="4">
        <v>44581</v>
      </c>
      <c r="CI1455" s="3">
        <v>1</v>
      </c>
      <c r="CJ1455" s="3">
        <v>1</v>
      </c>
      <c r="CK1455" s="3">
        <v>21</v>
      </c>
      <c r="CL1455" s="3" t="s">
        <v>87</v>
      </c>
    </row>
    <row r="1456" spans="1:90" x14ac:dyDescent="0.2">
      <c r="A1456" s="3" t="s">
        <v>72</v>
      </c>
      <c r="B1456" s="3" t="s">
        <v>73</v>
      </c>
      <c r="C1456" s="3" t="s">
        <v>74</v>
      </c>
      <c r="E1456" s="3" t="str">
        <f>"FES1162845963"</f>
        <v>FES1162845963</v>
      </c>
      <c r="F1456" s="4">
        <v>44580</v>
      </c>
      <c r="G1456" s="3">
        <v>202207</v>
      </c>
      <c r="H1456" s="3" t="s">
        <v>75</v>
      </c>
      <c r="I1456" s="3" t="s">
        <v>76</v>
      </c>
      <c r="J1456" s="3" t="s">
        <v>77</v>
      </c>
      <c r="K1456" s="3" t="s">
        <v>78</v>
      </c>
      <c r="L1456" s="3" t="s">
        <v>90</v>
      </c>
      <c r="M1456" s="3" t="s">
        <v>91</v>
      </c>
      <c r="N1456" s="3" t="s">
        <v>444</v>
      </c>
      <c r="O1456" s="3" t="s">
        <v>82</v>
      </c>
      <c r="P1456" s="3" t="str">
        <f>"2170817406                    "</f>
        <v xml:space="preserve">2170817406                    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15.46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0</v>
      </c>
      <c r="AZ1456" s="3">
        <v>0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0</v>
      </c>
      <c r="BH1456" s="3">
        <v>1</v>
      </c>
      <c r="BI1456" s="3">
        <v>1</v>
      </c>
      <c r="BJ1456" s="3">
        <v>0.2</v>
      </c>
      <c r="BK1456" s="3">
        <v>1</v>
      </c>
      <c r="BL1456" s="3">
        <v>59</v>
      </c>
      <c r="BM1456" s="3">
        <v>8.85</v>
      </c>
      <c r="BN1456" s="3">
        <v>67.849999999999994</v>
      </c>
      <c r="BO1456" s="3">
        <v>67.849999999999994</v>
      </c>
      <c r="BQ1456" s="3" t="s">
        <v>145</v>
      </c>
      <c r="BR1456" s="3" t="s">
        <v>84</v>
      </c>
      <c r="BS1456" s="4">
        <v>44581</v>
      </c>
      <c r="BT1456" s="5">
        <v>0.48680555555555555</v>
      </c>
      <c r="BU1456" s="3" t="s">
        <v>1487</v>
      </c>
      <c r="BV1456" s="3" t="s">
        <v>87</v>
      </c>
      <c r="BW1456" s="3" t="s">
        <v>457</v>
      </c>
      <c r="BX1456" s="3" t="s">
        <v>354</v>
      </c>
      <c r="BY1456" s="3">
        <v>1200</v>
      </c>
      <c r="CA1456" s="3" t="s">
        <v>748</v>
      </c>
      <c r="CC1456" s="3" t="s">
        <v>91</v>
      </c>
      <c r="CD1456" s="3">
        <v>7500</v>
      </c>
      <c r="CE1456" s="3" t="s">
        <v>93</v>
      </c>
      <c r="CF1456" s="4">
        <v>44582</v>
      </c>
      <c r="CI1456" s="3">
        <v>1</v>
      </c>
      <c r="CJ1456" s="3">
        <v>1</v>
      </c>
      <c r="CK1456" s="3">
        <v>21</v>
      </c>
      <c r="CL1456" s="3" t="s">
        <v>87</v>
      </c>
    </row>
    <row r="1457" spans="1:90" x14ac:dyDescent="0.2">
      <c r="A1457" s="3" t="s">
        <v>72</v>
      </c>
      <c r="B1457" s="3" t="s">
        <v>73</v>
      </c>
      <c r="C1457" s="3" t="s">
        <v>74</v>
      </c>
      <c r="E1457" s="3" t="str">
        <f>"FES1162845964"</f>
        <v>FES1162845964</v>
      </c>
      <c r="F1457" s="4">
        <v>44580</v>
      </c>
      <c r="G1457" s="3">
        <v>202207</v>
      </c>
      <c r="H1457" s="3" t="s">
        <v>75</v>
      </c>
      <c r="I1457" s="3" t="s">
        <v>76</v>
      </c>
      <c r="J1457" s="3" t="s">
        <v>77</v>
      </c>
      <c r="K1457" s="3" t="s">
        <v>78</v>
      </c>
      <c r="L1457" s="3" t="s">
        <v>75</v>
      </c>
      <c r="M1457" s="3" t="s">
        <v>76</v>
      </c>
      <c r="N1457" s="3" t="s">
        <v>153</v>
      </c>
      <c r="O1457" s="3" t="s">
        <v>82</v>
      </c>
      <c r="P1457" s="3" t="str">
        <f>"2170817407                    "</f>
        <v xml:space="preserve">2170817407                    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12.07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  <c r="BH1457" s="3">
        <v>1</v>
      </c>
      <c r="BI1457" s="3">
        <v>1</v>
      </c>
      <c r="BJ1457" s="3">
        <v>0.2</v>
      </c>
      <c r="BK1457" s="3">
        <v>1</v>
      </c>
      <c r="BL1457" s="3">
        <v>46.08</v>
      </c>
      <c r="BM1457" s="3">
        <v>6.91</v>
      </c>
      <c r="BN1457" s="3">
        <v>52.99</v>
      </c>
      <c r="BO1457" s="3">
        <v>52.99</v>
      </c>
      <c r="BR1457" s="3" t="s">
        <v>84</v>
      </c>
      <c r="BS1457" s="4">
        <v>44581</v>
      </c>
      <c r="BT1457" s="5">
        <v>0.3888888888888889</v>
      </c>
      <c r="BU1457" s="3" t="s">
        <v>483</v>
      </c>
      <c r="BV1457" s="3" t="s">
        <v>105</v>
      </c>
      <c r="BY1457" s="3">
        <v>1200</v>
      </c>
      <c r="CC1457" s="3" t="s">
        <v>76</v>
      </c>
      <c r="CD1457" s="3">
        <v>1600</v>
      </c>
      <c r="CE1457" s="3" t="s">
        <v>93</v>
      </c>
      <c r="CF1457" s="4">
        <v>44581</v>
      </c>
      <c r="CI1457" s="3">
        <v>1</v>
      </c>
      <c r="CJ1457" s="3">
        <v>1</v>
      </c>
      <c r="CK1457" s="3">
        <v>22</v>
      </c>
      <c r="CL1457" s="3" t="s">
        <v>87</v>
      </c>
    </row>
    <row r="1458" spans="1:90" x14ac:dyDescent="0.2">
      <c r="A1458" s="3" t="s">
        <v>72</v>
      </c>
      <c r="B1458" s="3" t="s">
        <v>73</v>
      </c>
      <c r="C1458" s="3" t="s">
        <v>74</v>
      </c>
      <c r="E1458" s="3" t="str">
        <f>"FES1162845960"</f>
        <v>FES1162845960</v>
      </c>
      <c r="F1458" s="4">
        <v>44580</v>
      </c>
      <c r="G1458" s="3">
        <v>202207</v>
      </c>
      <c r="H1458" s="3" t="s">
        <v>75</v>
      </c>
      <c r="I1458" s="3" t="s">
        <v>76</v>
      </c>
      <c r="J1458" s="3" t="s">
        <v>77</v>
      </c>
      <c r="K1458" s="3" t="s">
        <v>78</v>
      </c>
      <c r="L1458" s="3" t="s">
        <v>75</v>
      </c>
      <c r="M1458" s="3" t="s">
        <v>76</v>
      </c>
      <c r="N1458" s="3" t="s">
        <v>153</v>
      </c>
      <c r="O1458" s="3" t="s">
        <v>82</v>
      </c>
      <c r="P1458" s="3" t="str">
        <f>"2170817400                    "</f>
        <v xml:space="preserve">2170817400                    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12.07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0</v>
      </c>
      <c r="AZ1458" s="3">
        <v>0</v>
      </c>
      <c r="BA1458" s="3">
        <v>0</v>
      </c>
      <c r="BB1458" s="3">
        <v>0</v>
      </c>
      <c r="BC1458" s="3">
        <v>0</v>
      </c>
      <c r="BD1458" s="3">
        <v>0</v>
      </c>
      <c r="BE1458" s="3">
        <v>0</v>
      </c>
      <c r="BF1458" s="3">
        <v>0</v>
      </c>
      <c r="BG1458" s="3">
        <v>0</v>
      </c>
      <c r="BH1458" s="3">
        <v>1</v>
      </c>
      <c r="BI1458" s="3">
        <v>1</v>
      </c>
      <c r="BJ1458" s="3">
        <v>0.2</v>
      </c>
      <c r="BK1458" s="3">
        <v>1</v>
      </c>
      <c r="BL1458" s="3">
        <v>46.08</v>
      </c>
      <c r="BM1458" s="3">
        <v>6.91</v>
      </c>
      <c r="BN1458" s="3">
        <v>52.99</v>
      </c>
      <c r="BO1458" s="3">
        <v>52.99</v>
      </c>
      <c r="BR1458" s="3" t="s">
        <v>84</v>
      </c>
      <c r="BS1458" s="4">
        <v>44581</v>
      </c>
      <c r="BT1458" s="5">
        <v>0.3888888888888889</v>
      </c>
      <c r="BU1458" s="3" t="s">
        <v>483</v>
      </c>
      <c r="BV1458" s="3" t="s">
        <v>105</v>
      </c>
      <c r="BY1458" s="3">
        <v>1200</v>
      </c>
      <c r="CC1458" s="3" t="s">
        <v>76</v>
      </c>
      <c r="CD1458" s="3">
        <v>1600</v>
      </c>
      <c r="CE1458" s="3" t="s">
        <v>93</v>
      </c>
      <c r="CF1458" s="4">
        <v>44581</v>
      </c>
      <c r="CI1458" s="3">
        <v>1</v>
      </c>
      <c r="CJ1458" s="3">
        <v>1</v>
      </c>
      <c r="CK1458" s="3">
        <v>22</v>
      </c>
      <c r="CL1458" s="3" t="s">
        <v>87</v>
      </c>
    </row>
    <row r="1459" spans="1:90" x14ac:dyDescent="0.2">
      <c r="A1459" s="3" t="s">
        <v>72</v>
      </c>
      <c r="B1459" s="3" t="s">
        <v>73</v>
      </c>
      <c r="C1459" s="3" t="s">
        <v>74</v>
      </c>
      <c r="E1459" s="3" t="str">
        <f>"RFES1162844526"</f>
        <v>RFES1162844526</v>
      </c>
      <c r="F1459" s="4">
        <v>44580</v>
      </c>
      <c r="G1459" s="3">
        <v>202207</v>
      </c>
      <c r="H1459" s="3" t="s">
        <v>464</v>
      </c>
      <c r="I1459" s="3" t="s">
        <v>465</v>
      </c>
      <c r="J1459" s="3" t="s">
        <v>985</v>
      </c>
      <c r="K1459" s="3" t="s">
        <v>78</v>
      </c>
      <c r="L1459" s="3" t="s">
        <v>75</v>
      </c>
      <c r="M1459" s="3" t="s">
        <v>76</v>
      </c>
      <c r="N1459" s="3" t="s">
        <v>77</v>
      </c>
      <c r="O1459" s="3" t="s">
        <v>82</v>
      </c>
      <c r="P1459" s="3" t="str">
        <f>"2170816178                    "</f>
        <v xml:space="preserve">2170816178                    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12.07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0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0</v>
      </c>
      <c r="BG1459" s="3">
        <v>0</v>
      </c>
      <c r="BH1459" s="3">
        <v>1</v>
      </c>
      <c r="BI1459" s="3">
        <v>1</v>
      </c>
      <c r="BJ1459" s="3">
        <v>0.2</v>
      </c>
      <c r="BK1459" s="3">
        <v>1</v>
      </c>
      <c r="BL1459" s="3">
        <v>46.08</v>
      </c>
      <c r="BM1459" s="3">
        <v>6.91</v>
      </c>
      <c r="BN1459" s="3">
        <v>52.99</v>
      </c>
      <c r="BO1459" s="3">
        <v>52.99</v>
      </c>
      <c r="BQ1459" s="3" t="s">
        <v>84</v>
      </c>
      <c r="BR1459" s="3" t="s">
        <v>89</v>
      </c>
      <c r="BS1459" s="4">
        <v>44585</v>
      </c>
      <c r="BT1459" s="5">
        <v>0.4375</v>
      </c>
      <c r="BU1459" s="3" t="s">
        <v>1782</v>
      </c>
      <c r="BV1459" s="3" t="s">
        <v>87</v>
      </c>
      <c r="BW1459" s="3" t="s">
        <v>376</v>
      </c>
      <c r="BX1459" s="3" t="s">
        <v>618</v>
      </c>
      <c r="BY1459" s="3">
        <v>1200</v>
      </c>
      <c r="CA1459" s="3" t="s">
        <v>345</v>
      </c>
      <c r="CC1459" s="3" t="s">
        <v>76</v>
      </c>
      <c r="CD1459" s="3">
        <v>1601</v>
      </c>
      <c r="CE1459" s="3" t="s">
        <v>93</v>
      </c>
      <c r="CF1459" s="4">
        <v>44585</v>
      </c>
      <c r="CI1459" s="3">
        <v>1</v>
      </c>
      <c r="CJ1459" s="3">
        <v>3</v>
      </c>
      <c r="CK1459" s="3">
        <v>22</v>
      </c>
      <c r="CL1459" s="3" t="s">
        <v>87</v>
      </c>
    </row>
    <row r="1460" spans="1:90" x14ac:dyDescent="0.2">
      <c r="A1460" s="3" t="s">
        <v>72</v>
      </c>
      <c r="B1460" s="3" t="s">
        <v>73</v>
      </c>
      <c r="C1460" s="3" t="s">
        <v>74</v>
      </c>
      <c r="E1460" s="3" t="str">
        <f>"R009942045051"</f>
        <v>R009942045051</v>
      </c>
      <c r="F1460" s="4">
        <v>44580</v>
      </c>
      <c r="G1460" s="3">
        <v>202207</v>
      </c>
      <c r="H1460" s="3" t="s">
        <v>464</v>
      </c>
      <c r="I1460" s="3" t="s">
        <v>465</v>
      </c>
      <c r="J1460" s="3" t="s">
        <v>815</v>
      </c>
      <c r="K1460" s="3" t="s">
        <v>78</v>
      </c>
      <c r="L1460" s="3" t="s">
        <v>75</v>
      </c>
      <c r="M1460" s="3" t="s">
        <v>76</v>
      </c>
      <c r="N1460" s="3" t="s">
        <v>77</v>
      </c>
      <c r="O1460" s="3" t="s">
        <v>82</v>
      </c>
      <c r="P1460" s="3" t="str">
        <f>"1162839856                    "</f>
        <v xml:space="preserve">1162839856                    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12.07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0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  <c r="BH1460" s="3">
        <v>1</v>
      </c>
      <c r="BI1460" s="3">
        <v>1</v>
      </c>
      <c r="BJ1460" s="3">
        <v>0.2</v>
      </c>
      <c r="BK1460" s="3">
        <v>1</v>
      </c>
      <c r="BL1460" s="3">
        <v>46.08</v>
      </c>
      <c r="BM1460" s="3">
        <v>6.91</v>
      </c>
      <c r="BN1460" s="3">
        <v>52.99</v>
      </c>
      <c r="BO1460" s="3">
        <v>52.99</v>
      </c>
      <c r="BP1460" s="3" t="s">
        <v>899</v>
      </c>
      <c r="BQ1460" s="3" t="s">
        <v>84</v>
      </c>
      <c r="BS1460" s="4">
        <v>44588</v>
      </c>
      <c r="BT1460" s="5">
        <v>0.3833333333333333</v>
      </c>
      <c r="BU1460" s="3" t="s">
        <v>1517</v>
      </c>
      <c r="BV1460" s="3" t="s">
        <v>87</v>
      </c>
      <c r="BW1460" s="3" t="s">
        <v>617</v>
      </c>
      <c r="BX1460" s="3" t="s">
        <v>1118</v>
      </c>
      <c r="BY1460" s="3">
        <v>1200</v>
      </c>
      <c r="CA1460" s="3" t="s">
        <v>378</v>
      </c>
      <c r="CC1460" s="3" t="s">
        <v>76</v>
      </c>
      <c r="CD1460" s="3">
        <v>1601</v>
      </c>
      <c r="CE1460" s="3" t="s">
        <v>93</v>
      </c>
      <c r="CF1460" s="4">
        <v>44588</v>
      </c>
      <c r="CI1460" s="3">
        <v>1</v>
      </c>
      <c r="CJ1460" s="3">
        <v>6</v>
      </c>
      <c r="CK1460" s="3">
        <v>22</v>
      </c>
      <c r="CL1460" s="3" t="s">
        <v>87</v>
      </c>
    </row>
    <row r="1461" spans="1:90" x14ac:dyDescent="0.2">
      <c r="A1461" s="3" t="s">
        <v>72</v>
      </c>
      <c r="B1461" s="3" t="s">
        <v>73</v>
      </c>
      <c r="C1461" s="3" t="s">
        <v>74</v>
      </c>
      <c r="E1461" s="3" t="str">
        <f>"FES1162845746"</f>
        <v>FES1162845746</v>
      </c>
      <c r="F1461" s="4">
        <v>44580</v>
      </c>
      <c r="G1461" s="3">
        <v>202207</v>
      </c>
      <c r="H1461" s="3" t="s">
        <v>75</v>
      </c>
      <c r="I1461" s="3" t="s">
        <v>76</v>
      </c>
      <c r="J1461" s="3" t="s">
        <v>77</v>
      </c>
      <c r="K1461" s="3" t="s">
        <v>78</v>
      </c>
      <c r="L1461" s="3" t="s">
        <v>79</v>
      </c>
      <c r="M1461" s="3" t="s">
        <v>80</v>
      </c>
      <c r="N1461" s="3" t="s">
        <v>1783</v>
      </c>
      <c r="O1461" s="3" t="s">
        <v>82</v>
      </c>
      <c r="P1461" s="3" t="str">
        <f>"2170817244                    "</f>
        <v xml:space="preserve">2170817244                    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15.46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0</v>
      </c>
      <c r="BC1461" s="3">
        <v>0</v>
      </c>
      <c r="BD1461" s="3">
        <v>0</v>
      </c>
      <c r="BE1461" s="3">
        <v>0</v>
      </c>
      <c r="BF1461" s="3">
        <v>0</v>
      </c>
      <c r="BG1461" s="3">
        <v>0</v>
      </c>
      <c r="BH1461" s="3">
        <v>1</v>
      </c>
      <c r="BI1461" s="3">
        <v>1</v>
      </c>
      <c r="BJ1461" s="3">
        <v>0.2</v>
      </c>
      <c r="BK1461" s="3">
        <v>1</v>
      </c>
      <c r="BL1461" s="3">
        <v>59</v>
      </c>
      <c r="BM1461" s="3">
        <v>8.85</v>
      </c>
      <c r="BN1461" s="3">
        <v>67.849999999999994</v>
      </c>
      <c r="BO1461" s="3">
        <v>67.849999999999994</v>
      </c>
      <c r="BQ1461" s="3" t="s">
        <v>83</v>
      </c>
      <c r="BR1461" s="3" t="s">
        <v>84</v>
      </c>
      <c r="BS1461" s="4">
        <v>44581</v>
      </c>
      <c r="BT1461" s="5">
        <v>0.39166666666666666</v>
      </c>
      <c r="BU1461" s="3" t="s">
        <v>527</v>
      </c>
      <c r="BV1461" s="3" t="s">
        <v>105</v>
      </c>
      <c r="BY1461" s="3">
        <v>1200</v>
      </c>
      <c r="CA1461" s="3" t="s">
        <v>720</v>
      </c>
      <c r="CC1461" s="3" t="s">
        <v>80</v>
      </c>
      <c r="CD1461" s="3">
        <v>184</v>
      </c>
      <c r="CE1461" s="3" t="s">
        <v>93</v>
      </c>
      <c r="CF1461" s="4">
        <v>44581</v>
      </c>
      <c r="CI1461" s="3">
        <v>1</v>
      </c>
      <c r="CJ1461" s="3">
        <v>1</v>
      </c>
      <c r="CK1461" s="3">
        <v>21</v>
      </c>
      <c r="CL1461" s="3" t="s">
        <v>87</v>
      </c>
    </row>
    <row r="1462" spans="1:90" x14ac:dyDescent="0.2">
      <c r="A1462" s="3" t="s">
        <v>72</v>
      </c>
      <c r="B1462" s="3" t="s">
        <v>73</v>
      </c>
      <c r="C1462" s="3" t="s">
        <v>74</v>
      </c>
      <c r="E1462" s="3" t="str">
        <f>"FES1162845838"</f>
        <v>FES1162845838</v>
      </c>
      <c r="F1462" s="4">
        <v>44580</v>
      </c>
      <c r="G1462" s="3">
        <v>202207</v>
      </c>
      <c r="H1462" s="3" t="s">
        <v>75</v>
      </c>
      <c r="I1462" s="3" t="s">
        <v>76</v>
      </c>
      <c r="J1462" s="3" t="s">
        <v>77</v>
      </c>
      <c r="K1462" s="3" t="s">
        <v>78</v>
      </c>
      <c r="L1462" s="3" t="s">
        <v>184</v>
      </c>
      <c r="M1462" s="3" t="s">
        <v>185</v>
      </c>
      <c r="N1462" s="3" t="s">
        <v>621</v>
      </c>
      <c r="O1462" s="3" t="s">
        <v>82</v>
      </c>
      <c r="P1462" s="3" t="str">
        <f>"2170815905                    "</f>
        <v xml:space="preserve">2170815905                    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15.46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  <c r="BH1462" s="3">
        <v>1</v>
      </c>
      <c r="BI1462" s="3">
        <v>1</v>
      </c>
      <c r="BJ1462" s="3">
        <v>0.2</v>
      </c>
      <c r="BK1462" s="3">
        <v>1</v>
      </c>
      <c r="BL1462" s="3">
        <v>59</v>
      </c>
      <c r="BM1462" s="3">
        <v>8.85</v>
      </c>
      <c r="BN1462" s="3">
        <v>67.849999999999994</v>
      </c>
      <c r="BO1462" s="3">
        <v>67.849999999999994</v>
      </c>
      <c r="BQ1462" s="3" t="s">
        <v>83</v>
      </c>
      <c r="BR1462" s="3" t="s">
        <v>84</v>
      </c>
      <c r="BS1462" s="4">
        <v>44582</v>
      </c>
      <c r="BT1462" s="5">
        <v>0.37777777777777777</v>
      </c>
      <c r="BU1462" s="3" t="s">
        <v>1784</v>
      </c>
      <c r="BV1462" s="3" t="s">
        <v>87</v>
      </c>
      <c r="BW1462" s="3" t="s">
        <v>457</v>
      </c>
      <c r="BX1462" s="3" t="s">
        <v>605</v>
      </c>
      <c r="BY1462" s="3">
        <v>1200</v>
      </c>
      <c r="CA1462" s="3" t="s">
        <v>1785</v>
      </c>
      <c r="CC1462" s="3" t="s">
        <v>185</v>
      </c>
      <c r="CD1462" s="3">
        <v>5201</v>
      </c>
      <c r="CE1462" s="3" t="s">
        <v>93</v>
      </c>
      <c r="CF1462" s="4">
        <v>44582</v>
      </c>
      <c r="CI1462" s="3">
        <v>1</v>
      </c>
      <c r="CJ1462" s="3">
        <v>2</v>
      </c>
      <c r="CK1462" s="3">
        <v>21</v>
      </c>
      <c r="CL1462" s="3" t="s">
        <v>87</v>
      </c>
    </row>
    <row r="1463" spans="1:90" x14ac:dyDescent="0.2">
      <c r="A1463" s="3" t="s">
        <v>72</v>
      </c>
      <c r="B1463" s="3" t="s">
        <v>73</v>
      </c>
      <c r="C1463" s="3" t="s">
        <v>74</v>
      </c>
      <c r="E1463" s="3" t="str">
        <f>"FES1162846120"</f>
        <v>FES1162846120</v>
      </c>
      <c r="F1463" s="4">
        <v>44581</v>
      </c>
      <c r="G1463" s="3">
        <v>202207</v>
      </c>
      <c r="H1463" s="3" t="s">
        <v>75</v>
      </c>
      <c r="I1463" s="3" t="s">
        <v>76</v>
      </c>
      <c r="J1463" s="3" t="s">
        <v>77</v>
      </c>
      <c r="K1463" s="3" t="s">
        <v>78</v>
      </c>
      <c r="L1463" s="3" t="s">
        <v>241</v>
      </c>
      <c r="M1463" s="3" t="s">
        <v>242</v>
      </c>
      <c r="N1463" s="3" t="s">
        <v>910</v>
      </c>
      <c r="O1463" s="3" t="s">
        <v>82</v>
      </c>
      <c r="P1463" s="3" t="str">
        <f>"2170817605                    "</f>
        <v xml:space="preserve">2170817605                    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23.18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0</v>
      </c>
      <c r="BG1463" s="3">
        <v>0</v>
      </c>
      <c r="BH1463" s="3">
        <v>1</v>
      </c>
      <c r="BI1463" s="3">
        <v>2</v>
      </c>
      <c r="BJ1463" s="3">
        <v>2.9</v>
      </c>
      <c r="BK1463" s="3">
        <v>3</v>
      </c>
      <c r="BL1463" s="3">
        <v>88.48</v>
      </c>
      <c r="BM1463" s="3">
        <v>13.27</v>
      </c>
      <c r="BN1463" s="3">
        <v>101.75</v>
      </c>
      <c r="BO1463" s="3">
        <v>101.75</v>
      </c>
      <c r="BQ1463" s="3" t="s">
        <v>83</v>
      </c>
      <c r="BR1463" s="3" t="s">
        <v>84</v>
      </c>
      <c r="BS1463" s="4">
        <v>44582</v>
      </c>
      <c r="BT1463" s="5">
        <v>0.42777777777777781</v>
      </c>
      <c r="BU1463" s="3" t="s">
        <v>1786</v>
      </c>
      <c r="BV1463" s="3" t="s">
        <v>105</v>
      </c>
      <c r="BY1463" s="3">
        <v>14336</v>
      </c>
      <c r="CA1463" s="3" t="s">
        <v>675</v>
      </c>
      <c r="CC1463" s="3" t="s">
        <v>242</v>
      </c>
      <c r="CD1463" s="3">
        <v>7599</v>
      </c>
      <c r="CE1463" s="3" t="s">
        <v>86</v>
      </c>
      <c r="CF1463" s="4">
        <v>44585</v>
      </c>
      <c r="CI1463" s="3">
        <v>1</v>
      </c>
      <c r="CJ1463" s="3">
        <v>1</v>
      </c>
      <c r="CK1463" s="3">
        <v>21</v>
      </c>
      <c r="CL1463" s="3" t="s">
        <v>87</v>
      </c>
    </row>
    <row r="1464" spans="1:90" x14ac:dyDescent="0.2">
      <c r="A1464" s="3" t="s">
        <v>72</v>
      </c>
      <c r="B1464" s="3" t="s">
        <v>73</v>
      </c>
      <c r="C1464" s="3" t="s">
        <v>74</v>
      </c>
      <c r="E1464" s="3" t="str">
        <f>"FES1162846118"</f>
        <v>FES1162846118</v>
      </c>
      <c r="F1464" s="4">
        <v>44581</v>
      </c>
      <c r="G1464" s="3">
        <v>202207</v>
      </c>
      <c r="H1464" s="3" t="s">
        <v>75</v>
      </c>
      <c r="I1464" s="3" t="s">
        <v>76</v>
      </c>
      <c r="J1464" s="3" t="s">
        <v>77</v>
      </c>
      <c r="K1464" s="3" t="s">
        <v>78</v>
      </c>
      <c r="L1464" s="3" t="s">
        <v>180</v>
      </c>
      <c r="M1464" s="3" t="s">
        <v>181</v>
      </c>
      <c r="N1464" s="3" t="s">
        <v>1264</v>
      </c>
      <c r="O1464" s="3" t="s">
        <v>82</v>
      </c>
      <c r="P1464" s="3" t="str">
        <f>"2170817600                    "</f>
        <v xml:space="preserve">2170817600                    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21.74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0</v>
      </c>
      <c r="BH1464" s="3">
        <v>1</v>
      </c>
      <c r="BI1464" s="3">
        <v>1</v>
      </c>
      <c r="BJ1464" s="3">
        <v>0.2</v>
      </c>
      <c r="BK1464" s="3">
        <v>1</v>
      </c>
      <c r="BL1464" s="3">
        <v>82.98</v>
      </c>
      <c r="BM1464" s="3">
        <v>12.45</v>
      </c>
      <c r="BN1464" s="3">
        <v>95.43</v>
      </c>
      <c r="BO1464" s="3">
        <v>95.43</v>
      </c>
      <c r="BQ1464" s="3" t="s">
        <v>83</v>
      </c>
      <c r="BR1464" s="3" t="s">
        <v>84</v>
      </c>
      <c r="BS1464" s="4">
        <v>44582</v>
      </c>
      <c r="BT1464" s="5">
        <v>0.41666666666666669</v>
      </c>
      <c r="BU1464" s="3" t="s">
        <v>1787</v>
      </c>
      <c r="BV1464" s="3" t="s">
        <v>105</v>
      </c>
      <c r="BY1464" s="3">
        <v>1200</v>
      </c>
      <c r="CC1464" s="3" t="s">
        <v>181</v>
      </c>
      <c r="CD1464" s="3">
        <v>1960</v>
      </c>
      <c r="CE1464" s="3" t="s">
        <v>93</v>
      </c>
      <c r="CF1464" s="4">
        <v>44583</v>
      </c>
      <c r="CI1464" s="3">
        <v>1</v>
      </c>
      <c r="CJ1464" s="3">
        <v>1</v>
      </c>
      <c r="CK1464" s="3">
        <v>24</v>
      </c>
      <c r="CL1464" s="3" t="s">
        <v>87</v>
      </c>
    </row>
    <row r="1465" spans="1:90" x14ac:dyDescent="0.2">
      <c r="A1465" s="3" t="s">
        <v>72</v>
      </c>
      <c r="B1465" s="3" t="s">
        <v>73</v>
      </c>
      <c r="C1465" s="3" t="s">
        <v>74</v>
      </c>
      <c r="E1465" s="3" t="str">
        <f>"FES1162846108"</f>
        <v>FES1162846108</v>
      </c>
      <c r="F1465" s="4">
        <v>44581</v>
      </c>
      <c r="G1465" s="3">
        <v>202207</v>
      </c>
      <c r="H1465" s="3" t="s">
        <v>75</v>
      </c>
      <c r="I1465" s="3" t="s">
        <v>76</v>
      </c>
      <c r="J1465" s="3" t="s">
        <v>77</v>
      </c>
      <c r="K1465" s="3" t="s">
        <v>78</v>
      </c>
      <c r="L1465" s="3" t="s">
        <v>90</v>
      </c>
      <c r="M1465" s="3" t="s">
        <v>91</v>
      </c>
      <c r="N1465" s="3" t="s">
        <v>597</v>
      </c>
      <c r="O1465" s="3" t="s">
        <v>82</v>
      </c>
      <c r="P1465" s="3" t="str">
        <f>"2170817589                    "</f>
        <v xml:space="preserve">2170817589                    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15.46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0</v>
      </c>
      <c r="BB1465" s="3">
        <v>0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  <c r="BH1465" s="3">
        <v>1</v>
      </c>
      <c r="BI1465" s="3">
        <v>1</v>
      </c>
      <c r="BJ1465" s="3">
        <v>0.2</v>
      </c>
      <c r="BK1465" s="3">
        <v>1</v>
      </c>
      <c r="BL1465" s="3">
        <v>59</v>
      </c>
      <c r="BM1465" s="3">
        <v>8.85</v>
      </c>
      <c r="BN1465" s="3">
        <v>67.849999999999994</v>
      </c>
      <c r="BO1465" s="3">
        <v>67.849999999999994</v>
      </c>
      <c r="BQ1465" s="3" t="s">
        <v>598</v>
      </c>
      <c r="BR1465" s="3" t="s">
        <v>84</v>
      </c>
      <c r="BS1465" s="4">
        <v>44585</v>
      </c>
      <c r="BT1465" s="5">
        <v>0.34930555555555554</v>
      </c>
      <c r="BU1465" s="3" t="s">
        <v>1788</v>
      </c>
      <c r="BV1465" s="3" t="s">
        <v>87</v>
      </c>
      <c r="BW1465" s="3" t="s">
        <v>376</v>
      </c>
      <c r="BX1465" s="3" t="s">
        <v>354</v>
      </c>
      <c r="BY1465" s="3">
        <v>1200</v>
      </c>
      <c r="CA1465" s="3" t="s">
        <v>603</v>
      </c>
      <c r="CC1465" s="3" t="s">
        <v>91</v>
      </c>
      <c r="CD1465" s="3">
        <v>8000</v>
      </c>
      <c r="CE1465" s="3" t="s">
        <v>93</v>
      </c>
      <c r="CF1465" s="4">
        <v>44586</v>
      </c>
      <c r="CI1465" s="3">
        <v>1</v>
      </c>
      <c r="CJ1465" s="3">
        <v>2</v>
      </c>
      <c r="CK1465" s="3">
        <v>21</v>
      </c>
      <c r="CL1465" s="3" t="s">
        <v>87</v>
      </c>
    </row>
    <row r="1466" spans="1:90" x14ac:dyDescent="0.2">
      <c r="A1466" s="3" t="s">
        <v>72</v>
      </c>
      <c r="B1466" s="3" t="s">
        <v>73</v>
      </c>
      <c r="C1466" s="3" t="s">
        <v>74</v>
      </c>
      <c r="E1466" s="3" t="str">
        <f>"FES1162846122"</f>
        <v>FES1162846122</v>
      </c>
      <c r="F1466" s="4">
        <v>44581</v>
      </c>
      <c r="G1466" s="3">
        <v>202207</v>
      </c>
      <c r="H1466" s="3" t="s">
        <v>75</v>
      </c>
      <c r="I1466" s="3" t="s">
        <v>76</v>
      </c>
      <c r="J1466" s="3" t="s">
        <v>77</v>
      </c>
      <c r="K1466" s="3" t="s">
        <v>78</v>
      </c>
      <c r="L1466" s="3" t="s">
        <v>97</v>
      </c>
      <c r="M1466" s="3" t="s">
        <v>98</v>
      </c>
      <c r="N1466" s="3" t="s">
        <v>1068</v>
      </c>
      <c r="O1466" s="3" t="s">
        <v>82</v>
      </c>
      <c r="P1466" s="3" t="str">
        <f>"2170817606                    "</f>
        <v xml:space="preserve">2170817606                    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0</v>
      </c>
      <c r="AJ1466" s="3">
        <v>0</v>
      </c>
      <c r="AK1466" s="3">
        <v>12.07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0</v>
      </c>
      <c r="AZ1466" s="3">
        <v>0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  <c r="BH1466" s="3">
        <v>1</v>
      </c>
      <c r="BI1466" s="3">
        <v>2</v>
      </c>
      <c r="BJ1466" s="3">
        <v>0.8</v>
      </c>
      <c r="BK1466" s="3">
        <v>2</v>
      </c>
      <c r="BL1466" s="3">
        <v>46.08</v>
      </c>
      <c r="BM1466" s="3">
        <v>6.91</v>
      </c>
      <c r="BN1466" s="3">
        <v>52.99</v>
      </c>
      <c r="BO1466" s="3">
        <v>52.99</v>
      </c>
      <c r="BR1466" s="3" t="s">
        <v>84</v>
      </c>
      <c r="BS1466" s="4">
        <v>44582</v>
      </c>
      <c r="BT1466" s="5">
        <v>0.31805555555555554</v>
      </c>
      <c r="BU1466" s="3" t="s">
        <v>1789</v>
      </c>
      <c r="BV1466" s="3" t="s">
        <v>105</v>
      </c>
      <c r="BY1466" s="3">
        <v>3968</v>
      </c>
      <c r="CA1466" s="3" t="s">
        <v>297</v>
      </c>
      <c r="CC1466" s="3" t="s">
        <v>98</v>
      </c>
      <c r="CD1466" s="3">
        <v>2013</v>
      </c>
      <c r="CE1466" s="3" t="s">
        <v>86</v>
      </c>
      <c r="CF1466" s="4">
        <v>44582</v>
      </c>
      <c r="CI1466" s="3">
        <v>1</v>
      </c>
      <c r="CJ1466" s="3">
        <v>1</v>
      </c>
      <c r="CK1466" s="3">
        <v>22</v>
      </c>
      <c r="CL1466" s="3" t="s">
        <v>87</v>
      </c>
    </row>
    <row r="1467" spans="1:90" x14ac:dyDescent="0.2">
      <c r="A1467" s="3" t="s">
        <v>72</v>
      </c>
      <c r="B1467" s="3" t="s">
        <v>73</v>
      </c>
      <c r="C1467" s="3" t="s">
        <v>74</v>
      </c>
      <c r="E1467" s="3" t="str">
        <f>"FES1162846020"</f>
        <v>FES1162846020</v>
      </c>
      <c r="F1467" s="4">
        <v>44581</v>
      </c>
      <c r="G1467" s="3">
        <v>202207</v>
      </c>
      <c r="H1467" s="3" t="s">
        <v>75</v>
      </c>
      <c r="I1467" s="3" t="s">
        <v>76</v>
      </c>
      <c r="J1467" s="3" t="s">
        <v>77</v>
      </c>
      <c r="K1467" s="3" t="s">
        <v>78</v>
      </c>
      <c r="L1467" s="3" t="s">
        <v>97</v>
      </c>
      <c r="M1467" s="3" t="s">
        <v>98</v>
      </c>
      <c r="N1467" s="3" t="s">
        <v>845</v>
      </c>
      <c r="O1467" s="3" t="s">
        <v>82</v>
      </c>
      <c r="P1467" s="3" t="str">
        <f>"2170817462                    "</f>
        <v xml:space="preserve">2170817462                    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12.07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0</v>
      </c>
      <c r="AZ1467" s="3">
        <v>0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  <c r="BH1467" s="3">
        <v>1</v>
      </c>
      <c r="BI1467" s="3">
        <v>2</v>
      </c>
      <c r="BJ1467" s="3">
        <v>7.4</v>
      </c>
      <c r="BK1467" s="3">
        <v>7.5</v>
      </c>
      <c r="BL1467" s="3">
        <v>46.08</v>
      </c>
      <c r="BM1467" s="3">
        <v>6.91</v>
      </c>
      <c r="BN1467" s="3">
        <v>52.99</v>
      </c>
      <c r="BO1467" s="3">
        <v>52.99</v>
      </c>
      <c r="BQ1467" s="3" t="s">
        <v>83</v>
      </c>
      <c r="BR1467" s="3" t="s">
        <v>84</v>
      </c>
      <c r="BS1467" s="4">
        <v>44582</v>
      </c>
      <c r="BT1467" s="5">
        <v>0.37361111111111112</v>
      </c>
      <c r="BU1467" s="3" t="s">
        <v>1790</v>
      </c>
      <c r="BV1467" s="3" t="s">
        <v>105</v>
      </c>
      <c r="BY1467" s="3">
        <v>36822</v>
      </c>
      <c r="CA1467" s="3" t="s">
        <v>847</v>
      </c>
      <c r="CC1467" s="3" t="s">
        <v>98</v>
      </c>
      <c r="CD1467" s="3">
        <v>2091</v>
      </c>
      <c r="CE1467" s="3" t="s">
        <v>86</v>
      </c>
      <c r="CF1467" s="4">
        <v>44582</v>
      </c>
      <c r="CI1467" s="3">
        <v>1</v>
      </c>
      <c r="CJ1467" s="3">
        <v>1</v>
      </c>
      <c r="CK1467" s="3">
        <v>22</v>
      </c>
      <c r="CL1467" s="3" t="s">
        <v>87</v>
      </c>
    </row>
    <row r="1468" spans="1:90" x14ac:dyDescent="0.2">
      <c r="A1468" s="3" t="s">
        <v>72</v>
      </c>
      <c r="B1468" s="3" t="s">
        <v>73</v>
      </c>
      <c r="C1468" s="3" t="s">
        <v>74</v>
      </c>
      <c r="E1468" s="3" t="str">
        <f>"FES1162846101"</f>
        <v>FES1162846101</v>
      </c>
      <c r="F1468" s="4">
        <v>44581</v>
      </c>
      <c r="G1468" s="3">
        <v>202207</v>
      </c>
      <c r="H1468" s="3" t="s">
        <v>75</v>
      </c>
      <c r="I1468" s="3" t="s">
        <v>76</v>
      </c>
      <c r="J1468" s="3" t="s">
        <v>77</v>
      </c>
      <c r="K1468" s="3" t="s">
        <v>78</v>
      </c>
      <c r="L1468" s="3" t="s">
        <v>167</v>
      </c>
      <c r="M1468" s="3" t="s">
        <v>168</v>
      </c>
      <c r="N1468" s="3" t="s">
        <v>169</v>
      </c>
      <c r="O1468" s="3" t="s">
        <v>82</v>
      </c>
      <c r="P1468" s="3" t="str">
        <f>"2170817580                    "</f>
        <v xml:space="preserve">2170817580                    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15.46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  <c r="BH1468" s="3">
        <v>1</v>
      </c>
      <c r="BI1468" s="3">
        <v>1</v>
      </c>
      <c r="BJ1468" s="3">
        <v>0.2</v>
      </c>
      <c r="BK1468" s="3">
        <v>1</v>
      </c>
      <c r="BL1468" s="3">
        <v>59</v>
      </c>
      <c r="BM1468" s="3">
        <v>8.85</v>
      </c>
      <c r="BN1468" s="3">
        <v>67.849999999999994</v>
      </c>
      <c r="BO1468" s="3">
        <v>67.849999999999994</v>
      </c>
      <c r="BQ1468" s="3" t="s">
        <v>83</v>
      </c>
      <c r="BR1468" s="3" t="s">
        <v>84</v>
      </c>
      <c r="BS1468" s="4">
        <v>44582</v>
      </c>
      <c r="BT1468" s="5">
        <v>0.39166666666666666</v>
      </c>
      <c r="BU1468" s="3" t="s">
        <v>262</v>
      </c>
      <c r="BV1468" s="3" t="s">
        <v>105</v>
      </c>
      <c r="BY1468" s="3">
        <v>1200</v>
      </c>
      <c r="CA1468" s="3" t="s">
        <v>1580</v>
      </c>
      <c r="CC1468" s="3" t="s">
        <v>168</v>
      </c>
      <c r="CD1468" s="3">
        <v>6220</v>
      </c>
      <c r="CE1468" s="3" t="s">
        <v>93</v>
      </c>
      <c r="CF1468" s="4">
        <v>44582</v>
      </c>
      <c r="CI1468" s="3">
        <v>1</v>
      </c>
      <c r="CJ1468" s="3">
        <v>1</v>
      </c>
      <c r="CK1468" s="3">
        <v>21</v>
      </c>
      <c r="CL1468" s="3" t="s">
        <v>87</v>
      </c>
    </row>
    <row r="1469" spans="1:90" x14ac:dyDescent="0.2">
      <c r="A1469" s="3" t="s">
        <v>72</v>
      </c>
      <c r="B1469" s="3" t="s">
        <v>73</v>
      </c>
      <c r="C1469" s="3" t="s">
        <v>74</v>
      </c>
      <c r="E1469" s="3" t="str">
        <f>"FES1162846011"</f>
        <v>FES1162846011</v>
      </c>
      <c r="F1469" s="4">
        <v>44581</v>
      </c>
      <c r="G1469" s="3">
        <v>202207</v>
      </c>
      <c r="H1469" s="3" t="s">
        <v>75</v>
      </c>
      <c r="I1469" s="3" t="s">
        <v>76</v>
      </c>
      <c r="J1469" s="3" t="s">
        <v>77</v>
      </c>
      <c r="K1469" s="3" t="s">
        <v>78</v>
      </c>
      <c r="L1469" s="3" t="s">
        <v>281</v>
      </c>
      <c r="M1469" s="3" t="s">
        <v>282</v>
      </c>
      <c r="N1469" s="3" t="s">
        <v>283</v>
      </c>
      <c r="O1469" s="3" t="s">
        <v>82</v>
      </c>
      <c r="P1469" s="3" t="str">
        <f>"2170817442                    "</f>
        <v xml:space="preserve">2170817442                    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29.95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0</v>
      </c>
      <c r="BA1469" s="3">
        <v>0</v>
      </c>
      <c r="BB1469" s="3">
        <v>0</v>
      </c>
      <c r="BC1469" s="3">
        <v>0</v>
      </c>
      <c r="BD1469" s="3">
        <v>0</v>
      </c>
      <c r="BE1469" s="3">
        <v>0</v>
      </c>
      <c r="BF1469" s="3">
        <v>0</v>
      </c>
      <c r="BG1469" s="3">
        <v>0</v>
      </c>
      <c r="BH1469" s="3">
        <v>1</v>
      </c>
      <c r="BI1469" s="3">
        <v>1</v>
      </c>
      <c r="BJ1469" s="3">
        <v>0.2</v>
      </c>
      <c r="BK1469" s="3">
        <v>1</v>
      </c>
      <c r="BL1469" s="3">
        <v>114.31</v>
      </c>
      <c r="BM1469" s="3">
        <v>17.149999999999999</v>
      </c>
      <c r="BN1469" s="3">
        <v>131.46</v>
      </c>
      <c r="BO1469" s="3">
        <v>131.46</v>
      </c>
      <c r="BQ1469" s="3" t="s">
        <v>83</v>
      </c>
      <c r="BR1469" s="3" t="s">
        <v>84</v>
      </c>
      <c r="BS1469" s="4">
        <v>44585</v>
      </c>
      <c r="BT1469" s="5">
        <v>0.58750000000000002</v>
      </c>
      <c r="BU1469" s="3" t="s">
        <v>1791</v>
      </c>
      <c r="BV1469" s="3" t="s">
        <v>105</v>
      </c>
      <c r="BY1469" s="3">
        <v>1200</v>
      </c>
      <c r="CC1469" s="3" t="s">
        <v>282</v>
      </c>
      <c r="CD1469" s="3">
        <v>3236</v>
      </c>
      <c r="CE1469" s="3" t="s">
        <v>93</v>
      </c>
      <c r="CF1469" s="4">
        <v>44589</v>
      </c>
      <c r="CI1469" s="3">
        <v>5</v>
      </c>
      <c r="CJ1469" s="3">
        <v>2</v>
      </c>
      <c r="CK1469" s="3">
        <v>23</v>
      </c>
      <c r="CL1469" s="3" t="s">
        <v>87</v>
      </c>
    </row>
    <row r="1470" spans="1:90" x14ac:dyDescent="0.2">
      <c r="A1470" s="3" t="s">
        <v>72</v>
      </c>
      <c r="B1470" s="3" t="s">
        <v>73</v>
      </c>
      <c r="C1470" s="3" t="s">
        <v>74</v>
      </c>
      <c r="E1470" s="3" t="str">
        <f>"FES1162846049"</f>
        <v>FES1162846049</v>
      </c>
      <c r="F1470" s="4">
        <v>44581</v>
      </c>
      <c r="G1470" s="3">
        <v>202207</v>
      </c>
      <c r="H1470" s="3" t="s">
        <v>75</v>
      </c>
      <c r="I1470" s="3" t="s">
        <v>76</v>
      </c>
      <c r="J1470" s="3" t="s">
        <v>77</v>
      </c>
      <c r="K1470" s="3" t="s">
        <v>78</v>
      </c>
      <c r="L1470" s="3" t="s">
        <v>90</v>
      </c>
      <c r="M1470" s="3" t="s">
        <v>91</v>
      </c>
      <c r="N1470" s="3" t="s">
        <v>1174</v>
      </c>
      <c r="O1470" s="3" t="s">
        <v>82</v>
      </c>
      <c r="P1470" s="3" t="str">
        <f>"2170817503                    "</f>
        <v xml:space="preserve">2170817503                    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19.32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v>0</v>
      </c>
      <c r="BA1470" s="3">
        <v>0</v>
      </c>
      <c r="BB1470" s="3">
        <v>0</v>
      </c>
      <c r="BC1470" s="3">
        <v>0</v>
      </c>
      <c r="BD1470" s="3">
        <v>0</v>
      </c>
      <c r="BE1470" s="3">
        <v>0</v>
      </c>
      <c r="BF1470" s="3">
        <v>0</v>
      </c>
      <c r="BG1470" s="3">
        <v>0</v>
      </c>
      <c r="BH1470" s="3">
        <v>1</v>
      </c>
      <c r="BI1470" s="3">
        <v>2</v>
      </c>
      <c r="BJ1470" s="3">
        <v>2.2000000000000002</v>
      </c>
      <c r="BK1470" s="3">
        <v>2.5</v>
      </c>
      <c r="BL1470" s="3">
        <v>73.739999999999995</v>
      </c>
      <c r="BM1470" s="3">
        <v>11.06</v>
      </c>
      <c r="BN1470" s="3">
        <v>84.8</v>
      </c>
      <c r="BO1470" s="3">
        <v>84.8</v>
      </c>
      <c r="BR1470" s="3" t="s">
        <v>84</v>
      </c>
      <c r="BS1470" s="4">
        <v>44582</v>
      </c>
      <c r="BT1470" s="5">
        <v>0.42083333333333334</v>
      </c>
      <c r="BU1470" s="3" t="s">
        <v>1792</v>
      </c>
      <c r="BV1470" s="3" t="s">
        <v>105</v>
      </c>
      <c r="BY1470" s="3">
        <v>11220</v>
      </c>
      <c r="CA1470" s="3" t="s">
        <v>1633</v>
      </c>
      <c r="CC1470" s="3" t="s">
        <v>91</v>
      </c>
      <c r="CD1470" s="3">
        <v>7535</v>
      </c>
      <c r="CE1470" s="3" t="s">
        <v>86</v>
      </c>
      <c r="CF1470" s="4">
        <v>44585</v>
      </c>
      <c r="CI1470" s="3">
        <v>1</v>
      </c>
      <c r="CJ1470" s="3">
        <v>1</v>
      </c>
      <c r="CK1470" s="3">
        <v>21</v>
      </c>
      <c r="CL1470" s="3" t="s">
        <v>87</v>
      </c>
    </row>
    <row r="1471" spans="1:90" x14ac:dyDescent="0.2">
      <c r="A1471" s="3" t="s">
        <v>72</v>
      </c>
      <c r="B1471" s="3" t="s">
        <v>73</v>
      </c>
      <c r="C1471" s="3" t="s">
        <v>74</v>
      </c>
      <c r="E1471" s="3" t="str">
        <f>"RFES1162845594"</f>
        <v>RFES1162845594</v>
      </c>
      <c r="F1471" s="4">
        <v>44581</v>
      </c>
      <c r="G1471" s="3">
        <v>202207</v>
      </c>
      <c r="H1471" s="3" t="s">
        <v>97</v>
      </c>
      <c r="I1471" s="3" t="s">
        <v>98</v>
      </c>
      <c r="J1471" s="3" t="s">
        <v>894</v>
      </c>
      <c r="K1471" s="3" t="s">
        <v>78</v>
      </c>
      <c r="L1471" s="3" t="s">
        <v>75</v>
      </c>
      <c r="M1471" s="3" t="s">
        <v>76</v>
      </c>
      <c r="N1471" s="3" t="s">
        <v>77</v>
      </c>
      <c r="O1471" s="3" t="s">
        <v>82</v>
      </c>
      <c r="P1471" s="3" t="str">
        <f>"2170809327                    "</f>
        <v xml:space="preserve">2170809327                    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12.07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0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  <c r="BH1471" s="3">
        <v>1</v>
      </c>
      <c r="BI1471" s="3">
        <v>1</v>
      </c>
      <c r="BJ1471" s="3">
        <v>0.2</v>
      </c>
      <c r="BK1471" s="3">
        <v>1</v>
      </c>
      <c r="BL1471" s="3">
        <v>46.08</v>
      </c>
      <c r="BM1471" s="3">
        <v>6.91</v>
      </c>
      <c r="BN1471" s="3">
        <v>52.99</v>
      </c>
      <c r="BO1471" s="3">
        <v>52.99</v>
      </c>
      <c r="BQ1471" s="3" t="s">
        <v>84</v>
      </c>
      <c r="BR1471" s="3" t="s">
        <v>83</v>
      </c>
      <c r="BS1471" s="4">
        <v>44585</v>
      </c>
      <c r="BT1471" s="5">
        <v>0.43402777777777773</v>
      </c>
      <c r="BU1471" s="3" t="s">
        <v>1793</v>
      </c>
      <c r="BV1471" s="3" t="s">
        <v>87</v>
      </c>
      <c r="BW1471" s="3" t="s">
        <v>617</v>
      </c>
      <c r="BX1471" s="3" t="s">
        <v>1118</v>
      </c>
      <c r="BY1471" s="3">
        <v>1200</v>
      </c>
      <c r="CA1471" s="3" t="s">
        <v>227</v>
      </c>
      <c r="CC1471" s="3" t="s">
        <v>76</v>
      </c>
      <c r="CD1471" s="3">
        <v>1601</v>
      </c>
      <c r="CE1471" s="3" t="s">
        <v>93</v>
      </c>
      <c r="CI1471" s="3">
        <v>1</v>
      </c>
      <c r="CJ1471" s="3">
        <v>2</v>
      </c>
      <c r="CK1471" s="3">
        <v>22</v>
      </c>
      <c r="CL1471" s="3" t="s">
        <v>87</v>
      </c>
    </row>
    <row r="1472" spans="1:90" x14ac:dyDescent="0.2">
      <c r="A1472" s="3" t="s">
        <v>72</v>
      </c>
      <c r="B1472" s="3" t="s">
        <v>73</v>
      </c>
      <c r="C1472" s="3" t="s">
        <v>74</v>
      </c>
      <c r="E1472" s="3" t="str">
        <f>"FES1162846100"</f>
        <v>FES1162846100</v>
      </c>
      <c r="F1472" s="4">
        <v>44581</v>
      </c>
      <c r="G1472" s="3">
        <v>202207</v>
      </c>
      <c r="H1472" s="3" t="s">
        <v>75</v>
      </c>
      <c r="I1472" s="3" t="s">
        <v>76</v>
      </c>
      <c r="J1472" s="3" t="s">
        <v>77</v>
      </c>
      <c r="K1472" s="3" t="s">
        <v>78</v>
      </c>
      <c r="L1472" s="3" t="s">
        <v>218</v>
      </c>
      <c r="M1472" s="3" t="s">
        <v>219</v>
      </c>
      <c r="N1472" s="3" t="s">
        <v>1174</v>
      </c>
      <c r="O1472" s="3" t="s">
        <v>82</v>
      </c>
      <c r="P1472" s="3" t="str">
        <f>"2170817579                    "</f>
        <v xml:space="preserve">2170817579                    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15.46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0</v>
      </c>
      <c r="BC1472" s="3">
        <v>0</v>
      </c>
      <c r="BD1472" s="3">
        <v>0</v>
      </c>
      <c r="BE1472" s="3">
        <v>0</v>
      </c>
      <c r="BF1472" s="3">
        <v>0</v>
      </c>
      <c r="BG1472" s="3">
        <v>0</v>
      </c>
      <c r="BH1472" s="3">
        <v>1</v>
      </c>
      <c r="BI1472" s="3">
        <v>1</v>
      </c>
      <c r="BJ1472" s="3">
        <v>0.2</v>
      </c>
      <c r="BK1472" s="3">
        <v>1</v>
      </c>
      <c r="BL1472" s="3">
        <v>59</v>
      </c>
      <c r="BM1472" s="3">
        <v>8.85</v>
      </c>
      <c r="BN1472" s="3">
        <v>67.849999999999994</v>
      </c>
      <c r="BO1472" s="3">
        <v>67.849999999999994</v>
      </c>
      <c r="BQ1472" s="3" t="s">
        <v>273</v>
      </c>
      <c r="BR1472" s="3" t="s">
        <v>84</v>
      </c>
      <c r="BS1472" s="4">
        <v>44582</v>
      </c>
      <c r="BT1472" s="5">
        <v>0.38472222222222219</v>
      </c>
      <c r="BU1472" s="3" t="s">
        <v>1794</v>
      </c>
      <c r="BV1472" s="3" t="s">
        <v>105</v>
      </c>
      <c r="BY1472" s="3">
        <v>1200</v>
      </c>
      <c r="CA1472" s="3" t="s">
        <v>362</v>
      </c>
      <c r="CC1472" s="3" t="s">
        <v>219</v>
      </c>
      <c r="CD1472" s="3">
        <v>157</v>
      </c>
      <c r="CE1472" s="3" t="s">
        <v>93</v>
      </c>
      <c r="CF1472" s="4">
        <v>44587</v>
      </c>
      <c r="CI1472" s="3">
        <v>1</v>
      </c>
      <c r="CJ1472" s="3">
        <v>1</v>
      </c>
      <c r="CK1472" s="3">
        <v>21</v>
      </c>
      <c r="CL1472" s="3" t="s">
        <v>87</v>
      </c>
    </row>
    <row r="1473" spans="1:90" x14ac:dyDescent="0.2">
      <c r="A1473" s="3" t="s">
        <v>72</v>
      </c>
      <c r="B1473" s="3" t="s">
        <v>73</v>
      </c>
      <c r="C1473" s="3" t="s">
        <v>74</v>
      </c>
      <c r="E1473" s="3" t="str">
        <f>"FES1162845979"</f>
        <v>FES1162845979</v>
      </c>
      <c r="F1473" s="4">
        <v>44581</v>
      </c>
      <c r="G1473" s="3">
        <v>202207</v>
      </c>
      <c r="H1473" s="3" t="s">
        <v>75</v>
      </c>
      <c r="I1473" s="3" t="s">
        <v>76</v>
      </c>
      <c r="J1473" s="3" t="s">
        <v>77</v>
      </c>
      <c r="K1473" s="3" t="s">
        <v>78</v>
      </c>
      <c r="L1473" s="3" t="s">
        <v>158</v>
      </c>
      <c r="M1473" s="3" t="s">
        <v>159</v>
      </c>
      <c r="N1473" s="3" t="s">
        <v>768</v>
      </c>
      <c r="O1473" s="3" t="s">
        <v>82</v>
      </c>
      <c r="P1473" s="3" t="str">
        <f>"2170817421                    "</f>
        <v xml:space="preserve">2170817421                    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12.07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1</v>
      </c>
      <c r="BI1473" s="3">
        <v>1</v>
      </c>
      <c r="BJ1473" s="3">
        <v>1.5</v>
      </c>
      <c r="BK1473" s="3">
        <v>1.5</v>
      </c>
      <c r="BL1473" s="3">
        <v>46.08</v>
      </c>
      <c r="BM1473" s="3">
        <v>6.91</v>
      </c>
      <c r="BN1473" s="3">
        <v>52.99</v>
      </c>
      <c r="BO1473" s="3">
        <v>52.99</v>
      </c>
      <c r="BQ1473" s="3" t="s">
        <v>83</v>
      </c>
      <c r="BR1473" s="3" t="s">
        <v>84</v>
      </c>
      <c r="BS1473" s="4">
        <v>44582</v>
      </c>
      <c r="BT1473" s="5">
        <v>0.36874999999999997</v>
      </c>
      <c r="BU1473" s="3" t="s">
        <v>1795</v>
      </c>
      <c r="BV1473" s="3" t="s">
        <v>105</v>
      </c>
      <c r="BY1473" s="3">
        <v>7540</v>
      </c>
      <c r="CA1473" s="3" t="s">
        <v>825</v>
      </c>
      <c r="CC1473" s="3" t="s">
        <v>159</v>
      </c>
      <c r="CD1473" s="3">
        <v>1459</v>
      </c>
      <c r="CE1473" s="3" t="s">
        <v>86</v>
      </c>
      <c r="CF1473" s="4">
        <v>44582</v>
      </c>
      <c r="CI1473" s="3">
        <v>1</v>
      </c>
      <c r="CJ1473" s="3">
        <v>1</v>
      </c>
      <c r="CK1473" s="3">
        <v>22</v>
      </c>
      <c r="CL1473" s="3" t="s">
        <v>87</v>
      </c>
    </row>
    <row r="1474" spans="1:90" x14ac:dyDescent="0.2">
      <c r="A1474" s="3" t="s">
        <v>72</v>
      </c>
      <c r="B1474" s="3" t="s">
        <v>73</v>
      </c>
      <c r="C1474" s="3" t="s">
        <v>74</v>
      </c>
      <c r="E1474" s="3" t="str">
        <f>"FES1162846040"</f>
        <v>FES1162846040</v>
      </c>
      <c r="F1474" s="4">
        <v>44581</v>
      </c>
      <c r="G1474" s="3">
        <v>202207</v>
      </c>
      <c r="H1474" s="3" t="s">
        <v>75</v>
      </c>
      <c r="I1474" s="3" t="s">
        <v>76</v>
      </c>
      <c r="J1474" s="3" t="s">
        <v>77</v>
      </c>
      <c r="K1474" s="3" t="s">
        <v>78</v>
      </c>
      <c r="L1474" s="3" t="s">
        <v>206</v>
      </c>
      <c r="M1474" s="3" t="s">
        <v>207</v>
      </c>
      <c r="N1474" s="3" t="s">
        <v>445</v>
      </c>
      <c r="O1474" s="3" t="s">
        <v>82</v>
      </c>
      <c r="P1474" s="3" t="str">
        <f>"2170817492                    "</f>
        <v xml:space="preserve">2170817492                    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32.33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15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0</v>
      </c>
      <c r="BC1474" s="3">
        <v>0</v>
      </c>
      <c r="BD1474" s="3">
        <v>0</v>
      </c>
      <c r="BE1474" s="3">
        <v>0</v>
      </c>
      <c r="BF1474" s="3">
        <v>0</v>
      </c>
      <c r="BG1474" s="3">
        <v>0</v>
      </c>
      <c r="BH1474" s="3">
        <v>1</v>
      </c>
      <c r="BI1474" s="3">
        <v>3</v>
      </c>
      <c r="BJ1474" s="3">
        <v>2</v>
      </c>
      <c r="BK1474" s="3">
        <v>3</v>
      </c>
      <c r="BL1474" s="3">
        <v>138.38999999999999</v>
      </c>
      <c r="BM1474" s="3">
        <v>20.76</v>
      </c>
      <c r="BN1474" s="3">
        <v>159.15</v>
      </c>
      <c r="BO1474" s="3">
        <v>159.15</v>
      </c>
      <c r="BQ1474" s="3" t="s">
        <v>83</v>
      </c>
      <c r="BR1474" s="3" t="s">
        <v>84</v>
      </c>
      <c r="BS1474" s="4">
        <v>44582</v>
      </c>
      <c r="BT1474" s="5">
        <v>0.52708333333333335</v>
      </c>
      <c r="BU1474" s="3" t="s">
        <v>1188</v>
      </c>
      <c r="BV1474" s="3" t="s">
        <v>105</v>
      </c>
      <c r="BY1474" s="3">
        <v>9900</v>
      </c>
      <c r="BZ1474" s="3" t="s">
        <v>30</v>
      </c>
      <c r="CA1474" s="3" t="s">
        <v>1751</v>
      </c>
      <c r="CC1474" s="3" t="s">
        <v>207</v>
      </c>
      <c r="CD1474" s="3">
        <v>1754</v>
      </c>
      <c r="CE1474" s="3" t="s">
        <v>86</v>
      </c>
      <c r="CF1474" s="4">
        <v>44582</v>
      </c>
      <c r="CI1474" s="3">
        <v>1</v>
      </c>
      <c r="CJ1474" s="3">
        <v>1</v>
      </c>
      <c r="CK1474" s="3">
        <v>24</v>
      </c>
      <c r="CL1474" s="3" t="s">
        <v>87</v>
      </c>
    </row>
    <row r="1475" spans="1:90" x14ac:dyDescent="0.2">
      <c r="A1475" s="3" t="s">
        <v>72</v>
      </c>
      <c r="B1475" s="3" t="s">
        <v>73</v>
      </c>
      <c r="C1475" s="3" t="s">
        <v>74</v>
      </c>
      <c r="E1475" s="3" t="str">
        <f>"FES1162845992"</f>
        <v>FES1162845992</v>
      </c>
      <c r="F1475" s="4">
        <v>44581</v>
      </c>
      <c r="G1475" s="3">
        <v>202207</v>
      </c>
      <c r="H1475" s="3" t="s">
        <v>75</v>
      </c>
      <c r="I1475" s="3" t="s">
        <v>76</v>
      </c>
      <c r="J1475" s="3" t="s">
        <v>77</v>
      </c>
      <c r="K1475" s="3" t="s">
        <v>78</v>
      </c>
      <c r="L1475" s="3" t="s">
        <v>90</v>
      </c>
      <c r="M1475" s="3" t="s">
        <v>91</v>
      </c>
      <c r="N1475" s="3" t="s">
        <v>1796</v>
      </c>
      <c r="O1475" s="3" t="s">
        <v>82</v>
      </c>
      <c r="P1475" s="3" t="str">
        <f>"2170817435                    "</f>
        <v xml:space="preserve">2170817435                    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15.46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0</v>
      </c>
      <c r="BF1475" s="3">
        <v>0</v>
      </c>
      <c r="BG1475" s="3">
        <v>0</v>
      </c>
      <c r="BH1475" s="3">
        <v>1</v>
      </c>
      <c r="BI1475" s="3">
        <v>1</v>
      </c>
      <c r="BJ1475" s="3">
        <v>0.2</v>
      </c>
      <c r="BK1475" s="3">
        <v>1</v>
      </c>
      <c r="BL1475" s="3">
        <v>59</v>
      </c>
      <c r="BM1475" s="3">
        <v>8.85</v>
      </c>
      <c r="BN1475" s="3">
        <v>67.849999999999994</v>
      </c>
      <c r="BO1475" s="3">
        <v>67.849999999999994</v>
      </c>
      <c r="BQ1475" s="3" t="s">
        <v>83</v>
      </c>
      <c r="BR1475" s="3" t="s">
        <v>84</v>
      </c>
      <c r="BS1475" s="4">
        <v>44582</v>
      </c>
      <c r="BT1475" s="5">
        <v>0.54999999999999993</v>
      </c>
      <c r="BU1475" s="3" t="s">
        <v>1534</v>
      </c>
      <c r="BV1475" s="3" t="s">
        <v>87</v>
      </c>
      <c r="BW1475" s="3" t="s">
        <v>457</v>
      </c>
      <c r="BX1475" s="3" t="s">
        <v>602</v>
      </c>
      <c r="BY1475" s="3">
        <v>1200</v>
      </c>
      <c r="CA1475" s="3" t="s">
        <v>623</v>
      </c>
      <c r="CC1475" s="3" t="s">
        <v>91</v>
      </c>
      <c r="CD1475" s="3">
        <v>7945</v>
      </c>
      <c r="CE1475" s="3" t="s">
        <v>93</v>
      </c>
      <c r="CF1475" s="4">
        <v>44585</v>
      </c>
      <c r="CI1475" s="3">
        <v>1</v>
      </c>
      <c r="CJ1475" s="3">
        <v>1</v>
      </c>
      <c r="CK1475" s="3">
        <v>21</v>
      </c>
      <c r="CL1475" s="3" t="s">
        <v>87</v>
      </c>
    </row>
    <row r="1476" spans="1:90" x14ac:dyDescent="0.2">
      <c r="A1476" s="3" t="s">
        <v>72</v>
      </c>
      <c r="B1476" s="3" t="s">
        <v>73</v>
      </c>
      <c r="C1476" s="3" t="s">
        <v>74</v>
      </c>
      <c r="E1476" s="3" t="str">
        <f>"FES1162845970"</f>
        <v>FES1162845970</v>
      </c>
      <c r="F1476" s="4">
        <v>44581</v>
      </c>
      <c r="G1476" s="3">
        <v>202207</v>
      </c>
      <c r="H1476" s="3" t="s">
        <v>75</v>
      </c>
      <c r="I1476" s="3" t="s">
        <v>76</v>
      </c>
      <c r="J1476" s="3" t="s">
        <v>77</v>
      </c>
      <c r="K1476" s="3" t="s">
        <v>78</v>
      </c>
      <c r="L1476" s="3" t="s">
        <v>244</v>
      </c>
      <c r="M1476" s="3" t="s">
        <v>245</v>
      </c>
      <c r="N1476" s="3" t="s">
        <v>246</v>
      </c>
      <c r="O1476" s="3" t="s">
        <v>82</v>
      </c>
      <c r="P1476" s="3" t="str">
        <f>"2170817411                    "</f>
        <v xml:space="preserve">2170817411                    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29.95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0</v>
      </c>
      <c r="BD1476" s="3">
        <v>0</v>
      </c>
      <c r="BE1476" s="3">
        <v>0</v>
      </c>
      <c r="BF1476" s="3">
        <v>0</v>
      </c>
      <c r="BG1476" s="3">
        <v>0</v>
      </c>
      <c r="BH1476" s="3">
        <v>1</v>
      </c>
      <c r="BI1476" s="3">
        <v>1</v>
      </c>
      <c r="BJ1476" s="3">
        <v>0.2</v>
      </c>
      <c r="BK1476" s="3">
        <v>1</v>
      </c>
      <c r="BL1476" s="3">
        <v>114.31</v>
      </c>
      <c r="BM1476" s="3">
        <v>17.149999999999999</v>
      </c>
      <c r="BN1476" s="3">
        <v>131.46</v>
      </c>
      <c r="BO1476" s="3">
        <v>131.46</v>
      </c>
      <c r="BQ1476" s="3" t="s">
        <v>89</v>
      </c>
      <c r="BR1476" s="3" t="s">
        <v>84</v>
      </c>
      <c r="BS1476" s="4">
        <v>44582</v>
      </c>
      <c r="BT1476" s="5">
        <v>0.41666666666666669</v>
      </c>
      <c r="BU1476" s="3" t="s">
        <v>1797</v>
      </c>
      <c r="BV1476" s="3" t="s">
        <v>105</v>
      </c>
      <c r="BY1476" s="3">
        <v>1200</v>
      </c>
      <c r="CC1476" s="3" t="s">
        <v>245</v>
      </c>
      <c r="CD1476" s="3">
        <v>1947</v>
      </c>
      <c r="CE1476" s="3" t="s">
        <v>93</v>
      </c>
      <c r="CF1476" s="4">
        <v>44583</v>
      </c>
      <c r="CI1476" s="3">
        <v>1</v>
      </c>
      <c r="CJ1476" s="3">
        <v>1</v>
      </c>
      <c r="CK1476" s="3">
        <v>23</v>
      </c>
      <c r="CL1476" s="3" t="s">
        <v>87</v>
      </c>
    </row>
    <row r="1477" spans="1:90" x14ac:dyDescent="0.2">
      <c r="A1477" s="3" t="s">
        <v>72</v>
      </c>
      <c r="B1477" s="3" t="s">
        <v>73</v>
      </c>
      <c r="C1477" s="3" t="s">
        <v>74</v>
      </c>
      <c r="E1477" s="3" t="str">
        <f>"FES1162845938"</f>
        <v>FES1162845938</v>
      </c>
      <c r="F1477" s="4">
        <v>44581</v>
      </c>
      <c r="G1477" s="3">
        <v>202207</v>
      </c>
      <c r="H1477" s="3" t="s">
        <v>75</v>
      </c>
      <c r="I1477" s="3" t="s">
        <v>76</v>
      </c>
      <c r="J1477" s="3" t="s">
        <v>77</v>
      </c>
      <c r="K1477" s="3" t="s">
        <v>78</v>
      </c>
      <c r="L1477" s="3" t="s">
        <v>90</v>
      </c>
      <c r="M1477" s="3" t="s">
        <v>91</v>
      </c>
      <c r="N1477" s="3" t="s">
        <v>114</v>
      </c>
      <c r="O1477" s="3" t="s">
        <v>82</v>
      </c>
      <c r="P1477" s="3" t="str">
        <f>"2170817386                    "</f>
        <v xml:space="preserve">2170817386                    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0</v>
      </c>
      <c r="AJ1477" s="3">
        <v>0</v>
      </c>
      <c r="AK1477" s="3">
        <v>15.46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0</v>
      </c>
      <c r="BF1477" s="3">
        <v>0</v>
      </c>
      <c r="BG1477" s="3">
        <v>0</v>
      </c>
      <c r="BH1477" s="3">
        <v>1</v>
      </c>
      <c r="BI1477" s="3">
        <v>1</v>
      </c>
      <c r="BJ1477" s="3">
        <v>0.2</v>
      </c>
      <c r="BK1477" s="3">
        <v>1</v>
      </c>
      <c r="BL1477" s="3">
        <v>59</v>
      </c>
      <c r="BM1477" s="3">
        <v>8.85</v>
      </c>
      <c r="BN1477" s="3">
        <v>67.849999999999994</v>
      </c>
      <c r="BO1477" s="3">
        <v>67.849999999999994</v>
      </c>
      <c r="BQ1477" s="3" t="s">
        <v>89</v>
      </c>
      <c r="BR1477" s="3" t="s">
        <v>84</v>
      </c>
      <c r="BS1477" s="4">
        <v>44582</v>
      </c>
      <c r="BT1477" s="5">
        <v>0.40277777777777773</v>
      </c>
      <c r="BU1477" s="3" t="s">
        <v>1205</v>
      </c>
      <c r="BV1477" s="3" t="s">
        <v>105</v>
      </c>
      <c r="BY1477" s="3">
        <v>1200</v>
      </c>
      <c r="CA1477" s="3" t="s">
        <v>289</v>
      </c>
      <c r="CC1477" s="3" t="s">
        <v>91</v>
      </c>
      <c r="CD1477" s="3">
        <v>7441</v>
      </c>
      <c r="CE1477" s="3" t="s">
        <v>93</v>
      </c>
      <c r="CF1477" s="4">
        <v>44585</v>
      </c>
      <c r="CI1477" s="3">
        <v>1</v>
      </c>
      <c r="CJ1477" s="3">
        <v>1</v>
      </c>
      <c r="CK1477" s="3">
        <v>21</v>
      </c>
      <c r="CL1477" s="3" t="s">
        <v>87</v>
      </c>
    </row>
    <row r="1478" spans="1:90" x14ac:dyDescent="0.2">
      <c r="A1478" s="3" t="s">
        <v>72</v>
      </c>
      <c r="B1478" s="3" t="s">
        <v>73</v>
      </c>
      <c r="C1478" s="3" t="s">
        <v>74</v>
      </c>
      <c r="E1478" s="3" t="str">
        <f>"FES1162845936"</f>
        <v>FES1162845936</v>
      </c>
      <c r="F1478" s="4">
        <v>44581</v>
      </c>
      <c r="G1478" s="3">
        <v>202207</v>
      </c>
      <c r="H1478" s="3" t="s">
        <v>75</v>
      </c>
      <c r="I1478" s="3" t="s">
        <v>76</v>
      </c>
      <c r="J1478" s="3" t="s">
        <v>77</v>
      </c>
      <c r="K1478" s="3" t="s">
        <v>78</v>
      </c>
      <c r="L1478" s="3" t="s">
        <v>90</v>
      </c>
      <c r="M1478" s="3" t="s">
        <v>91</v>
      </c>
      <c r="N1478" s="3" t="s">
        <v>584</v>
      </c>
      <c r="O1478" s="3" t="s">
        <v>82</v>
      </c>
      <c r="P1478" s="3" t="str">
        <f>"2170817253                    "</f>
        <v xml:space="preserve">2170817253                    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0</v>
      </c>
      <c r="AJ1478" s="3">
        <v>0</v>
      </c>
      <c r="AK1478" s="3">
        <v>61.81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0</v>
      </c>
      <c r="AV1478" s="3">
        <v>0</v>
      </c>
      <c r="AW1478" s="3">
        <v>0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  <c r="BH1478" s="3">
        <v>1</v>
      </c>
      <c r="BI1478" s="3">
        <v>8</v>
      </c>
      <c r="BJ1478" s="3">
        <v>2.4</v>
      </c>
      <c r="BK1478" s="3">
        <v>8</v>
      </c>
      <c r="BL1478" s="3">
        <v>235.91</v>
      </c>
      <c r="BM1478" s="3">
        <v>35.39</v>
      </c>
      <c r="BN1478" s="3">
        <v>271.3</v>
      </c>
      <c r="BO1478" s="3">
        <v>271.3</v>
      </c>
      <c r="BQ1478" s="3" t="s">
        <v>83</v>
      </c>
      <c r="BR1478" s="3" t="s">
        <v>84</v>
      </c>
      <c r="BS1478" s="4">
        <v>44582</v>
      </c>
      <c r="BT1478" s="5">
        <v>0.35416666666666669</v>
      </c>
      <c r="BU1478" s="3" t="s">
        <v>1067</v>
      </c>
      <c r="BV1478" s="3" t="s">
        <v>105</v>
      </c>
      <c r="BY1478" s="3">
        <v>11808</v>
      </c>
      <c r="CA1478" s="3" t="s">
        <v>543</v>
      </c>
      <c r="CC1478" s="3" t="s">
        <v>91</v>
      </c>
      <c r="CD1478" s="3">
        <v>7530</v>
      </c>
      <c r="CE1478" s="3" t="s">
        <v>86</v>
      </c>
      <c r="CF1478" s="4">
        <v>44585</v>
      </c>
      <c r="CI1478" s="3">
        <v>1</v>
      </c>
      <c r="CJ1478" s="3">
        <v>1</v>
      </c>
      <c r="CK1478" s="3">
        <v>21</v>
      </c>
      <c r="CL1478" s="3" t="s">
        <v>87</v>
      </c>
    </row>
    <row r="1479" spans="1:90" x14ac:dyDescent="0.2">
      <c r="A1479" s="3" t="s">
        <v>72</v>
      </c>
      <c r="B1479" s="3" t="s">
        <v>73</v>
      </c>
      <c r="C1479" s="3" t="s">
        <v>74</v>
      </c>
      <c r="E1479" s="3" t="str">
        <f>"FES1162846017"</f>
        <v>FES1162846017</v>
      </c>
      <c r="F1479" s="4">
        <v>44581</v>
      </c>
      <c r="G1479" s="3">
        <v>202207</v>
      </c>
      <c r="H1479" s="3" t="s">
        <v>75</v>
      </c>
      <c r="I1479" s="3" t="s">
        <v>76</v>
      </c>
      <c r="J1479" s="3" t="s">
        <v>77</v>
      </c>
      <c r="K1479" s="3" t="s">
        <v>78</v>
      </c>
      <c r="L1479" s="3" t="s">
        <v>948</v>
      </c>
      <c r="M1479" s="3" t="s">
        <v>949</v>
      </c>
      <c r="N1479" s="3" t="s">
        <v>1798</v>
      </c>
      <c r="O1479" s="3" t="s">
        <v>148</v>
      </c>
      <c r="P1479" s="3" t="str">
        <f>"2170817453                    "</f>
        <v xml:space="preserve">2170817453                    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0</v>
      </c>
      <c r="AJ1479" s="3">
        <v>0</v>
      </c>
      <c r="AK1479" s="3">
        <v>36.450000000000003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0</v>
      </c>
      <c r="BF1479" s="3">
        <v>0</v>
      </c>
      <c r="BG1479" s="3">
        <v>0</v>
      </c>
      <c r="BH1479" s="3">
        <v>1</v>
      </c>
      <c r="BI1479" s="3">
        <v>11</v>
      </c>
      <c r="BJ1479" s="3">
        <v>18.3</v>
      </c>
      <c r="BK1479" s="3">
        <v>19</v>
      </c>
      <c r="BL1479" s="3">
        <v>144.37</v>
      </c>
      <c r="BM1479" s="3">
        <v>21.66</v>
      </c>
      <c r="BN1479" s="3">
        <v>166.03</v>
      </c>
      <c r="BO1479" s="3">
        <v>166.03</v>
      </c>
      <c r="BQ1479" s="3" t="s">
        <v>83</v>
      </c>
      <c r="BR1479" s="3" t="s">
        <v>84</v>
      </c>
      <c r="BS1479" s="4">
        <v>44582</v>
      </c>
      <c r="BT1479" s="5">
        <v>0.4826388888888889</v>
      </c>
      <c r="BU1479" s="3" t="s">
        <v>1799</v>
      </c>
      <c r="BV1479" s="3" t="s">
        <v>105</v>
      </c>
      <c r="BY1479" s="3">
        <v>91264</v>
      </c>
      <c r="CA1479" s="3" t="s">
        <v>952</v>
      </c>
      <c r="CC1479" s="3" t="s">
        <v>949</v>
      </c>
      <c r="CD1479" s="3">
        <v>1759</v>
      </c>
      <c r="CE1479" s="3" t="s">
        <v>86</v>
      </c>
      <c r="CF1479" s="4">
        <v>44582</v>
      </c>
      <c r="CI1479" s="3">
        <v>1</v>
      </c>
      <c r="CJ1479" s="3">
        <v>1</v>
      </c>
      <c r="CK1479" s="3">
        <v>44</v>
      </c>
      <c r="CL1479" s="3" t="s">
        <v>87</v>
      </c>
    </row>
    <row r="1480" spans="1:90" x14ac:dyDescent="0.2">
      <c r="A1480" s="3" t="s">
        <v>72</v>
      </c>
      <c r="B1480" s="3" t="s">
        <v>73</v>
      </c>
      <c r="C1480" s="3" t="s">
        <v>74</v>
      </c>
      <c r="E1480" s="3" t="str">
        <f>"FES1162845770"</f>
        <v>FES1162845770</v>
      </c>
      <c r="F1480" s="4">
        <v>44581</v>
      </c>
      <c r="G1480" s="3">
        <v>202207</v>
      </c>
      <c r="H1480" s="3" t="s">
        <v>75</v>
      </c>
      <c r="I1480" s="3" t="s">
        <v>76</v>
      </c>
      <c r="J1480" s="3" t="s">
        <v>77</v>
      </c>
      <c r="K1480" s="3" t="s">
        <v>78</v>
      </c>
      <c r="L1480" s="3" t="s">
        <v>79</v>
      </c>
      <c r="M1480" s="3" t="s">
        <v>80</v>
      </c>
      <c r="N1480" s="3" t="s">
        <v>237</v>
      </c>
      <c r="O1480" s="3" t="s">
        <v>82</v>
      </c>
      <c r="P1480" s="3" t="str">
        <f>"2170817262                    "</f>
        <v xml:space="preserve">2170817262                    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15.46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1</v>
      </c>
      <c r="BI1480" s="3">
        <v>1</v>
      </c>
      <c r="BJ1480" s="3">
        <v>0.2</v>
      </c>
      <c r="BK1480" s="3">
        <v>1</v>
      </c>
      <c r="BL1480" s="3">
        <v>59</v>
      </c>
      <c r="BM1480" s="3">
        <v>8.85</v>
      </c>
      <c r="BN1480" s="3">
        <v>67.849999999999994</v>
      </c>
      <c r="BO1480" s="3">
        <v>67.849999999999994</v>
      </c>
      <c r="BQ1480" s="3" t="s">
        <v>83</v>
      </c>
      <c r="BR1480" s="3" t="s">
        <v>84</v>
      </c>
      <c r="BS1480" s="4">
        <v>44582</v>
      </c>
      <c r="BT1480" s="5">
        <v>0.33819444444444446</v>
      </c>
      <c r="BU1480" s="3" t="s">
        <v>1154</v>
      </c>
      <c r="BV1480" s="3" t="s">
        <v>105</v>
      </c>
      <c r="BY1480" s="3">
        <v>1200</v>
      </c>
      <c r="CA1480" s="3" t="s">
        <v>481</v>
      </c>
      <c r="CC1480" s="3" t="s">
        <v>80</v>
      </c>
      <c r="CD1480" s="3">
        <v>1</v>
      </c>
      <c r="CE1480" s="3" t="s">
        <v>93</v>
      </c>
      <c r="CF1480" s="4">
        <v>44587</v>
      </c>
      <c r="CI1480" s="3">
        <v>1</v>
      </c>
      <c r="CJ1480" s="3">
        <v>1</v>
      </c>
      <c r="CK1480" s="3">
        <v>21</v>
      </c>
      <c r="CL1480" s="3" t="s">
        <v>87</v>
      </c>
    </row>
    <row r="1481" spans="1:90" x14ac:dyDescent="0.2">
      <c r="A1481" s="3" t="s">
        <v>72</v>
      </c>
      <c r="B1481" s="3" t="s">
        <v>73</v>
      </c>
      <c r="C1481" s="3" t="s">
        <v>74</v>
      </c>
      <c r="E1481" s="3" t="str">
        <f>"FES1162845786"</f>
        <v>FES1162845786</v>
      </c>
      <c r="F1481" s="4">
        <v>44581</v>
      </c>
      <c r="G1481" s="3">
        <v>202207</v>
      </c>
      <c r="H1481" s="3" t="s">
        <v>75</v>
      </c>
      <c r="I1481" s="3" t="s">
        <v>76</v>
      </c>
      <c r="J1481" s="3" t="s">
        <v>77</v>
      </c>
      <c r="K1481" s="3" t="s">
        <v>78</v>
      </c>
      <c r="L1481" s="3" t="s">
        <v>110</v>
      </c>
      <c r="M1481" s="3" t="s">
        <v>110</v>
      </c>
      <c r="N1481" s="3" t="s">
        <v>961</v>
      </c>
      <c r="O1481" s="3" t="s">
        <v>82</v>
      </c>
      <c r="P1481" s="3" t="str">
        <f>"2170817277                    "</f>
        <v xml:space="preserve">2170817277                    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50.24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  <c r="BH1481" s="3">
        <v>1</v>
      </c>
      <c r="BI1481" s="3">
        <v>1</v>
      </c>
      <c r="BJ1481" s="3">
        <v>3.5</v>
      </c>
      <c r="BK1481" s="3">
        <v>3.5</v>
      </c>
      <c r="BL1481" s="3">
        <v>191.75</v>
      </c>
      <c r="BM1481" s="3">
        <v>28.76</v>
      </c>
      <c r="BN1481" s="3">
        <v>220.51</v>
      </c>
      <c r="BO1481" s="3">
        <v>220.51</v>
      </c>
      <c r="BQ1481" s="3" t="s">
        <v>83</v>
      </c>
      <c r="BR1481" s="3" t="s">
        <v>84</v>
      </c>
      <c r="BS1481" s="4">
        <v>44582</v>
      </c>
      <c r="BT1481" s="5">
        <v>0.50416666666666665</v>
      </c>
      <c r="BU1481" s="3" t="s">
        <v>1800</v>
      </c>
      <c r="BV1481" s="3" t="s">
        <v>105</v>
      </c>
      <c r="BY1481" s="3">
        <v>17424</v>
      </c>
      <c r="CA1481" s="3" t="s">
        <v>563</v>
      </c>
      <c r="CC1481" s="3" t="s">
        <v>110</v>
      </c>
      <c r="CD1481" s="3">
        <v>7646</v>
      </c>
      <c r="CE1481" s="3" t="s">
        <v>86</v>
      </c>
      <c r="CF1481" s="4">
        <v>44585</v>
      </c>
      <c r="CI1481" s="3">
        <v>1</v>
      </c>
      <c r="CJ1481" s="3">
        <v>1</v>
      </c>
      <c r="CK1481" s="3">
        <v>23</v>
      </c>
      <c r="CL1481" s="3" t="s">
        <v>87</v>
      </c>
    </row>
    <row r="1482" spans="1:90" x14ac:dyDescent="0.2">
      <c r="A1482" s="3" t="s">
        <v>72</v>
      </c>
      <c r="B1482" s="3" t="s">
        <v>73</v>
      </c>
      <c r="C1482" s="3" t="s">
        <v>74</v>
      </c>
      <c r="E1482" s="3" t="str">
        <f>"FES1162845969"</f>
        <v>FES1162845969</v>
      </c>
      <c r="F1482" s="4">
        <v>44581</v>
      </c>
      <c r="G1482" s="3">
        <v>202207</v>
      </c>
      <c r="H1482" s="3" t="s">
        <v>75</v>
      </c>
      <c r="I1482" s="3" t="s">
        <v>76</v>
      </c>
      <c r="J1482" s="3" t="s">
        <v>77</v>
      </c>
      <c r="K1482" s="3" t="s">
        <v>78</v>
      </c>
      <c r="L1482" s="3" t="s">
        <v>90</v>
      </c>
      <c r="M1482" s="3" t="s">
        <v>91</v>
      </c>
      <c r="N1482" s="3" t="s">
        <v>114</v>
      </c>
      <c r="O1482" s="3" t="s">
        <v>82</v>
      </c>
      <c r="P1482" s="3" t="str">
        <f>"2170817410                    "</f>
        <v xml:space="preserve">2170817410                    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15.46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  <c r="BH1482" s="3">
        <v>1</v>
      </c>
      <c r="BI1482" s="3">
        <v>1</v>
      </c>
      <c r="BJ1482" s="3">
        <v>0.2</v>
      </c>
      <c r="BK1482" s="3">
        <v>1</v>
      </c>
      <c r="BL1482" s="3">
        <v>59</v>
      </c>
      <c r="BM1482" s="3">
        <v>8.85</v>
      </c>
      <c r="BN1482" s="3">
        <v>67.849999999999994</v>
      </c>
      <c r="BO1482" s="3">
        <v>67.849999999999994</v>
      </c>
      <c r="BQ1482" s="3" t="s">
        <v>89</v>
      </c>
      <c r="BR1482" s="3" t="s">
        <v>84</v>
      </c>
      <c r="BS1482" s="4">
        <v>44582</v>
      </c>
      <c r="BT1482" s="5">
        <v>0.40277777777777773</v>
      </c>
      <c r="BU1482" s="3" t="s">
        <v>1205</v>
      </c>
      <c r="BV1482" s="3" t="s">
        <v>105</v>
      </c>
      <c r="BY1482" s="3">
        <v>1200</v>
      </c>
      <c r="CA1482" s="3" t="s">
        <v>289</v>
      </c>
      <c r="CC1482" s="3" t="s">
        <v>91</v>
      </c>
      <c r="CD1482" s="3">
        <v>7441</v>
      </c>
      <c r="CE1482" s="3" t="s">
        <v>93</v>
      </c>
      <c r="CF1482" s="4">
        <v>44585</v>
      </c>
      <c r="CI1482" s="3">
        <v>1</v>
      </c>
      <c r="CJ1482" s="3">
        <v>1</v>
      </c>
      <c r="CK1482" s="3">
        <v>21</v>
      </c>
      <c r="CL1482" s="3" t="s">
        <v>87</v>
      </c>
    </row>
    <row r="1483" spans="1:90" x14ac:dyDescent="0.2">
      <c r="A1483" s="3" t="s">
        <v>72</v>
      </c>
      <c r="B1483" s="3" t="s">
        <v>73</v>
      </c>
      <c r="C1483" s="3" t="s">
        <v>74</v>
      </c>
      <c r="E1483" s="3" t="str">
        <f>"FES1162845978"</f>
        <v>FES1162845978</v>
      </c>
      <c r="F1483" s="4">
        <v>44581</v>
      </c>
      <c r="G1483" s="3">
        <v>202207</v>
      </c>
      <c r="H1483" s="3" t="s">
        <v>75</v>
      </c>
      <c r="I1483" s="3" t="s">
        <v>76</v>
      </c>
      <c r="J1483" s="3" t="s">
        <v>77</v>
      </c>
      <c r="K1483" s="3" t="s">
        <v>78</v>
      </c>
      <c r="L1483" s="3" t="s">
        <v>489</v>
      </c>
      <c r="M1483" s="3" t="s">
        <v>490</v>
      </c>
      <c r="N1483" s="3" t="s">
        <v>1460</v>
      </c>
      <c r="O1483" s="3" t="s">
        <v>82</v>
      </c>
      <c r="P1483" s="3" t="str">
        <f>"2170817420                    "</f>
        <v xml:space="preserve">2170817420                    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29.95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15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  <c r="BH1483" s="3">
        <v>1</v>
      </c>
      <c r="BI1483" s="3">
        <v>2</v>
      </c>
      <c r="BJ1483" s="3">
        <v>1.5</v>
      </c>
      <c r="BK1483" s="3">
        <v>2</v>
      </c>
      <c r="BL1483" s="3">
        <v>129.31</v>
      </c>
      <c r="BM1483" s="3">
        <v>19.399999999999999</v>
      </c>
      <c r="BN1483" s="3">
        <v>148.71</v>
      </c>
      <c r="BO1483" s="3">
        <v>148.71</v>
      </c>
      <c r="BQ1483" s="3" t="s">
        <v>89</v>
      </c>
      <c r="BR1483" s="3" t="s">
        <v>84</v>
      </c>
      <c r="BS1483" s="4">
        <v>44582</v>
      </c>
      <c r="BT1483" s="5">
        <v>0.4993055555555555</v>
      </c>
      <c r="BU1483" s="3" t="s">
        <v>1801</v>
      </c>
      <c r="BV1483" s="3" t="s">
        <v>105</v>
      </c>
      <c r="BY1483" s="3">
        <v>7500</v>
      </c>
      <c r="BZ1483" s="3" t="s">
        <v>30</v>
      </c>
      <c r="CA1483" s="3" t="s">
        <v>495</v>
      </c>
      <c r="CC1483" s="3" t="s">
        <v>490</v>
      </c>
      <c r="CD1483" s="3">
        <v>250</v>
      </c>
      <c r="CE1483" s="3" t="s">
        <v>86</v>
      </c>
      <c r="CF1483" s="4">
        <v>44582</v>
      </c>
      <c r="CI1483" s="3">
        <v>1</v>
      </c>
      <c r="CJ1483" s="3">
        <v>1</v>
      </c>
      <c r="CK1483" s="3">
        <v>23</v>
      </c>
      <c r="CL1483" s="3" t="s">
        <v>87</v>
      </c>
    </row>
    <row r="1484" spans="1:90" x14ac:dyDescent="0.2">
      <c r="A1484" s="3" t="s">
        <v>72</v>
      </c>
      <c r="B1484" s="3" t="s">
        <v>73</v>
      </c>
      <c r="C1484" s="3" t="s">
        <v>74</v>
      </c>
      <c r="E1484" s="3" t="str">
        <f>"FES1162845922"</f>
        <v>FES1162845922</v>
      </c>
      <c r="F1484" s="4">
        <v>44581</v>
      </c>
      <c r="G1484" s="3">
        <v>202207</v>
      </c>
      <c r="H1484" s="3" t="s">
        <v>75</v>
      </c>
      <c r="I1484" s="3" t="s">
        <v>76</v>
      </c>
      <c r="J1484" s="3" t="s">
        <v>77</v>
      </c>
      <c r="K1484" s="3" t="s">
        <v>78</v>
      </c>
      <c r="L1484" s="3" t="s">
        <v>75</v>
      </c>
      <c r="M1484" s="3" t="s">
        <v>76</v>
      </c>
      <c r="N1484" s="3" t="s">
        <v>147</v>
      </c>
      <c r="O1484" s="3" t="s">
        <v>82</v>
      </c>
      <c r="P1484" s="3" t="str">
        <f>"2170817366                    "</f>
        <v xml:space="preserve">2170817366                    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12.07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0</v>
      </c>
      <c r="BE1484" s="3">
        <v>0</v>
      </c>
      <c r="BF1484" s="3">
        <v>0</v>
      </c>
      <c r="BG1484" s="3">
        <v>0</v>
      </c>
      <c r="BH1484" s="3">
        <v>1</v>
      </c>
      <c r="BI1484" s="3">
        <v>2</v>
      </c>
      <c r="BJ1484" s="3">
        <v>0.2</v>
      </c>
      <c r="BK1484" s="3">
        <v>2</v>
      </c>
      <c r="BL1484" s="3">
        <v>46.08</v>
      </c>
      <c r="BM1484" s="3">
        <v>6.91</v>
      </c>
      <c r="BN1484" s="3">
        <v>52.99</v>
      </c>
      <c r="BO1484" s="3">
        <v>52.99</v>
      </c>
      <c r="BQ1484" s="3" t="s">
        <v>89</v>
      </c>
      <c r="BR1484" s="3" t="s">
        <v>84</v>
      </c>
      <c r="BS1484" s="4">
        <v>44582</v>
      </c>
      <c r="BT1484" s="5">
        <v>0.34166666666666662</v>
      </c>
      <c r="BU1484" s="3" t="s">
        <v>849</v>
      </c>
      <c r="BV1484" s="3" t="s">
        <v>105</v>
      </c>
      <c r="BY1484" s="3">
        <v>1200</v>
      </c>
      <c r="CA1484" s="3" t="s">
        <v>477</v>
      </c>
      <c r="CC1484" s="3" t="s">
        <v>76</v>
      </c>
      <c r="CD1484" s="3">
        <v>1645</v>
      </c>
      <c r="CE1484" s="3" t="s">
        <v>93</v>
      </c>
      <c r="CF1484" s="4">
        <v>44582</v>
      </c>
      <c r="CI1484" s="3">
        <v>1</v>
      </c>
      <c r="CJ1484" s="3">
        <v>1</v>
      </c>
      <c r="CK1484" s="3">
        <v>22</v>
      </c>
      <c r="CL1484" s="3" t="s">
        <v>87</v>
      </c>
    </row>
    <row r="1485" spans="1:90" x14ac:dyDescent="0.2">
      <c r="A1485" s="3" t="s">
        <v>72</v>
      </c>
      <c r="B1485" s="3" t="s">
        <v>73</v>
      </c>
      <c r="C1485" s="3" t="s">
        <v>74</v>
      </c>
      <c r="E1485" s="3" t="str">
        <f>"FES1162846060"</f>
        <v>FES1162846060</v>
      </c>
      <c r="F1485" s="4">
        <v>44581</v>
      </c>
      <c r="G1485" s="3">
        <v>202207</v>
      </c>
      <c r="H1485" s="3" t="s">
        <v>75</v>
      </c>
      <c r="I1485" s="3" t="s">
        <v>76</v>
      </c>
      <c r="J1485" s="3" t="s">
        <v>77</v>
      </c>
      <c r="K1485" s="3" t="s">
        <v>78</v>
      </c>
      <c r="L1485" s="3" t="s">
        <v>110</v>
      </c>
      <c r="M1485" s="3" t="s">
        <v>110</v>
      </c>
      <c r="N1485" s="3" t="s">
        <v>111</v>
      </c>
      <c r="O1485" s="3" t="s">
        <v>82</v>
      </c>
      <c r="P1485" s="3" t="str">
        <f>"2170817519                    "</f>
        <v xml:space="preserve">2170817519                    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29.95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0</v>
      </c>
      <c r="BB1485" s="3">
        <v>0</v>
      </c>
      <c r="BC1485" s="3">
        <v>0</v>
      </c>
      <c r="BD1485" s="3">
        <v>0</v>
      </c>
      <c r="BE1485" s="3">
        <v>0</v>
      </c>
      <c r="BF1485" s="3">
        <v>0</v>
      </c>
      <c r="BG1485" s="3">
        <v>0</v>
      </c>
      <c r="BH1485" s="3">
        <v>1</v>
      </c>
      <c r="BI1485" s="3">
        <v>1</v>
      </c>
      <c r="BJ1485" s="3">
        <v>0.2</v>
      </c>
      <c r="BK1485" s="3">
        <v>1</v>
      </c>
      <c r="BL1485" s="3">
        <v>114.31</v>
      </c>
      <c r="BM1485" s="3">
        <v>17.149999999999999</v>
      </c>
      <c r="BN1485" s="3">
        <v>131.46</v>
      </c>
      <c r="BO1485" s="3">
        <v>131.46</v>
      </c>
      <c r="BQ1485" s="3" t="s">
        <v>89</v>
      </c>
      <c r="BR1485" s="3" t="s">
        <v>84</v>
      </c>
      <c r="BS1485" s="4">
        <v>44582</v>
      </c>
      <c r="BT1485" s="5">
        <v>0.49305555555555558</v>
      </c>
      <c r="BU1485" s="3" t="s">
        <v>1675</v>
      </c>
      <c r="BV1485" s="3" t="s">
        <v>105</v>
      </c>
      <c r="BY1485" s="3">
        <v>1200</v>
      </c>
      <c r="CA1485" s="3" t="s">
        <v>563</v>
      </c>
      <c r="CC1485" s="3" t="s">
        <v>110</v>
      </c>
      <c r="CD1485" s="3">
        <v>7646</v>
      </c>
      <c r="CE1485" s="3" t="s">
        <v>93</v>
      </c>
      <c r="CF1485" s="4">
        <v>44585</v>
      </c>
      <c r="CI1485" s="3">
        <v>1</v>
      </c>
      <c r="CJ1485" s="3">
        <v>1</v>
      </c>
      <c r="CK1485" s="3">
        <v>23</v>
      </c>
      <c r="CL1485" s="3" t="s">
        <v>87</v>
      </c>
    </row>
    <row r="1486" spans="1:90" x14ac:dyDescent="0.2">
      <c r="A1486" s="3" t="s">
        <v>72</v>
      </c>
      <c r="B1486" s="3" t="s">
        <v>73</v>
      </c>
      <c r="C1486" s="3" t="s">
        <v>74</v>
      </c>
      <c r="E1486" s="3" t="str">
        <f>"FES1162845942"</f>
        <v>FES1162845942</v>
      </c>
      <c r="F1486" s="4">
        <v>44581</v>
      </c>
      <c r="G1486" s="3">
        <v>202207</v>
      </c>
      <c r="H1486" s="3" t="s">
        <v>75</v>
      </c>
      <c r="I1486" s="3" t="s">
        <v>76</v>
      </c>
      <c r="J1486" s="3" t="s">
        <v>77</v>
      </c>
      <c r="K1486" s="3" t="s">
        <v>78</v>
      </c>
      <c r="L1486" s="3" t="s">
        <v>97</v>
      </c>
      <c r="M1486" s="3" t="s">
        <v>98</v>
      </c>
      <c r="N1486" s="3" t="s">
        <v>1568</v>
      </c>
      <c r="O1486" s="3" t="s">
        <v>82</v>
      </c>
      <c r="P1486" s="3" t="str">
        <f>"2170817391                    "</f>
        <v xml:space="preserve">2170817391                    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12.07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15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0</v>
      </c>
      <c r="AZ1486" s="3">
        <v>0</v>
      </c>
      <c r="BA1486" s="3">
        <v>0</v>
      </c>
      <c r="BB1486" s="3">
        <v>0</v>
      </c>
      <c r="BC1486" s="3">
        <v>0</v>
      </c>
      <c r="BD1486" s="3">
        <v>0</v>
      </c>
      <c r="BE1486" s="3">
        <v>0</v>
      </c>
      <c r="BF1486" s="3">
        <v>0</v>
      </c>
      <c r="BG1486" s="3">
        <v>0</v>
      </c>
      <c r="BH1486" s="3">
        <v>1</v>
      </c>
      <c r="BI1486" s="3">
        <v>1</v>
      </c>
      <c r="BJ1486" s="3">
        <v>0.2</v>
      </c>
      <c r="BK1486" s="3">
        <v>1</v>
      </c>
      <c r="BL1486" s="3">
        <v>61.08</v>
      </c>
      <c r="BM1486" s="3">
        <v>9.16</v>
      </c>
      <c r="BN1486" s="3">
        <v>70.239999999999995</v>
      </c>
      <c r="BO1486" s="3">
        <v>70.239999999999995</v>
      </c>
      <c r="BQ1486" s="3" t="s">
        <v>89</v>
      </c>
      <c r="BR1486" s="3" t="s">
        <v>84</v>
      </c>
      <c r="BS1486" s="4">
        <v>44585</v>
      </c>
      <c r="BT1486" s="5">
        <v>0.43055555555555558</v>
      </c>
      <c r="BU1486" s="3" t="s">
        <v>1802</v>
      </c>
      <c r="BV1486" s="3" t="s">
        <v>87</v>
      </c>
      <c r="BW1486" s="3" t="s">
        <v>278</v>
      </c>
      <c r="BX1486" s="3" t="s">
        <v>1722</v>
      </c>
      <c r="BY1486" s="3">
        <v>1200</v>
      </c>
      <c r="BZ1486" s="3" t="s">
        <v>30</v>
      </c>
      <c r="CA1486" s="3" t="s">
        <v>1751</v>
      </c>
      <c r="CC1486" s="3" t="s">
        <v>98</v>
      </c>
      <c r="CD1486" s="3">
        <v>1723</v>
      </c>
      <c r="CE1486" s="3" t="s">
        <v>93</v>
      </c>
      <c r="CF1486" s="4">
        <v>44586</v>
      </c>
      <c r="CI1486" s="3">
        <v>1</v>
      </c>
      <c r="CJ1486" s="3">
        <v>2</v>
      </c>
      <c r="CK1486" s="3">
        <v>22</v>
      </c>
      <c r="CL1486" s="3" t="s">
        <v>87</v>
      </c>
    </row>
    <row r="1487" spans="1:90" x14ac:dyDescent="0.2">
      <c r="A1487" s="3" t="s">
        <v>72</v>
      </c>
      <c r="B1487" s="3" t="s">
        <v>73</v>
      </c>
      <c r="C1487" s="3" t="s">
        <v>74</v>
      </c>
      <c r="E1487" s="3" t="str">
        <f>"FES1162845526"</f>
        <v>FES1162845526</v>
      </c>
      <c r="F1487" s="4">
        <v>44581</v>
      </c>
      <c r="G1487" s="3">
        <v>202207</v>
      </c>
      <c r="H1487" s="3" t="s">
        <v>75</v>
      </c>
      <c r="I1487" s="3" t="s">
        <v>76</v>
      </c>
      <c r="J1487" s="3" t="s">
        <v>77</v>
      </c>
      <c r="K1487" s="3" t="s">
        <v>78</v>
      </c>
      <c r="L1487" s="3" t="s">
        <v>244</v>
      </c>
      <c r="M1487" s="3" t="s">
        <v>245</v>
      </c>
      <c r="N1487" s="3" t="s">
        <v>400</v>
      </c>
      <c r="O1487" s="3" t="s">
        <v>82</v>
      </c>
      <c r="P1487" s="3" t="str">
        <f>"2170817060                    "</f>
        <v xml:space="preserve">2170817060                    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0</v>
      </c>
      <c r="AJ1487" s="3">
        <v>0</v>
      </c>
      <c r="AK1487" s="3">
        <v>63.76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0</v>
      </c>
      <c r="AZ1487" s="3">
        <v>0</v>
      </c>
      <c r="BA1487" s="3">
        <v>0</v>
      </c>
      <c r="BB1487" s="3">
        <v>0</v>
      </c>
      <c r="BC1487" s="3">
        <v>0</v>
      </c>
      <c r="BD1487" s="3">
        <v>0</v>
      </c>
      <c r="BE1487" s="3">
        <v>0</v>
      </c>
      <c r="BF1487" s="3">
        <v>0</v>
      </c>
      <c r="BG1487" s="3">
        <v>0</v>
      </c>
      <c r="BH1487" s="3">
        <v>1</v>
      </c>
      <c r="BI1487" s="3">
        <v>2</v>
      </c>
      <c r="BJ1487" s="3">
        <v>4.0999999999999996</v>
      </c>
      <c r="BK1487" s="3">
        <v>4.5</v>
      </c>
      <c r="BL1487" s="3">
        <v>243.37</v>
      </c>
      <c r="BM1487" s="3">
        <v>36.51</v>
      </c>
      <c r="BN1487" s="3">
        <v>279.88</v>
      </c>
      <c r="BO1487" s="3">
        <v>279.88</v>
      </c>
      <c r="BQ1487" s="3" t="s">
        <v>83</v>
      </c>
      <c r="BR1487" s="3" t="s">
        <v>84</v>
      </c>
      <c r="BS1487" s="4">
        <v>44582</v>
      </c>
      <c r="BT1487" s="5">
        <v>0.41666666666666669</v>
      </c>
      <c r="BU1487" s="3" t="s">
        <v>1739</v>
      </c>
      <c r="BV1487" s="3" t="s">
        <v>105</v>
      </c>
      <c r="BY1487" s="3">
        <v>20358</v>
      </c>
      <c r="CC1487" s="3" t="s">
        <v>245</v>
      </c>
      <c r="CD1487" s="3">
        <v>1947</v>
      </c>
      <c r="CE1487" s="3" t="s">
        <v>86</v>
      </c>
      <c r="CF1487" s="4">
        <v>44583</v>
      </c>
      <c r="CI1487" s="3">
        <v>1</v>
      </c>
      <c r="CJ1487" s="3">
        <v>1</v>
      </c>
      <c r="CK1487" s="3">
        <v>23</v>
      </c>
      <c r="CL1487" s="3" t="s">
        <v>87</v>
      </c>
    </row>
    <row r="1488" spans="1:90" x14ac:dyDescent="0.2">
      <c r="A1488" s="3" t="s">
        <v>72</v>
      </c>
      <c r="B1488" s="3" t="s">
        <v>73</v>
      </c>
      <c r="C1488" s="3" t="s">
        <v>74</v>
      </c>
      <c r="E1488" s="3" t="str">
        <f>"FES1162845836"</f>
        <v>FES1162845836</v>
      </c>
      <c r="F1488" s="4">
        <v>44581</v>
      </c>
      <c r="G1488" s="3">
        <v>202207</v>
      </c>
      <c r="H1488" s="3" t="s">
        <v>75</v>
      </c>
      <c r="I1488" s="3" t="s">
        <v>76</v>
      </c>
      <c r="J1488" s="3" t="s">
        <v>77</v>
      </c>
      <c r="K1488" s="3" t="s">
        <v>78</v>
      </c>
      <c r="L1488" s="3" t="s">
        <v>75</v>
      </c>
      <c r="M1488" s="3" t="s">
        <v>76</v>
      </c>
      <c r="N1488" s="3" t="s">
        <v>147</v>
      </c>
      <c r="O1488" s="3" t="s">
        <v>82</v>
      </c>
      <c r="P1488" s="3" t="str">
        <f>"2170815828                    "</f>
        <v xml:space="preserve">2170815828                    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12.07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0</v>
      </c>
      <c r="AZ1488" s="3">
        <v>0</v>
      </c>
      <c r="BA1488" s="3">
        <v>0</v>
      </c>
      <c r="BB1488" s="3">
        <v>0</v>
      </c>
      <c r="BC1488" s="3">
        <v>0</v>
      </c>
      <c r="BD1488" s="3">
        <v>0</v>
      </c>
      <c r="BE1488" s="3">
        <v>0</v>
      </c>
      <c r="BF1488" s="3">
        <v>0</v>
      </c>
      <c r="BG1488" s="3">
        <v>0</v>
      </c>
      <c r="BH1488" s="3">
        <v>1</v>
      </c>
      <c r="BI1488" s="3">
        <v>1</v>
      </c>
      <c r="BJ1488" s="3">
        <v>0.2</v>
      </c>
      <c r="BK1488" s="3">
        <v>1</v>
      </c>
      <c r="BL1488" s="3">
        <v>46.08</v>
      </c>
      <c r="BM1488" s="3">
        <v>6.91</v>
      </c>
      <c r="BN1488" s="3">
        <v>52.99</v>
      </c>
      <c r="BO1488" s="3">
        <v>52.99</v>
      </c>
      <c r="BQ1488" s="3" t="s">
        <v>89</v>
      </c>
      <c r="BR1488" s="3" t="s">
        <v>84</v>
      </c>
      <c r="BS1488" s="4">
        <v>44582</v>
      </c>
      <c r="BT1488" s="5">
        <v>0.34097222222222223</v>
      </c>
      <c r="BU1488" s="3" t="s">
        <v>656</v>
      </c>
      <c r="BV1488" s="3" t="s">
        <v>105</v>
      </c>
      <c r="BY1488" s="3">
        <v>1200</v>
      </c>
      <c r="CA1488" s="3" t="s">
        <v>477</v>
      </c>
      <c r="CC1488" s="3" t="s">
        <v>76</v>
      </c>
      <c r="CD1488" s="3">
        <v>1645</v>
      </c>
      <c r="CE1488" s="3" t="s">
        <v>93</v>
      </c>
      <c r="CF1488" s="4">
        <v>44582</v>
      </c>
      <c r="CI1488" s="3">
        <v>1</v>
      </c>
      <c r="CJ1488" s="3">
        <v>1</v>
      </c>
      <c r="CK1488" s="3">
        <v>22</v>
      </c>
      <c r="CL1488" s="3" t="s">
        <v>87</v>
      </c>
    </row>
    <row r="1489" spans="1:90" x14ac:dyDescent="0.2">
      <c r="A1489" s="3" t="s">
        <v>72</v>
      </c>
      <c r="B1489" s="3" t="s">
        <v>73</v>
      </c>
      <c r="C1489" s="3" t="s">
        <v>74</v>
      </c>
      <c r="E1489" s="3" t="str">
        <f>"FES1162846022"</f>
        <v>FES1162846022</v>
      </c>
      <c r="F1489" s="4">
        <v>44581</v>
      </c>
      <c r="G1489" s="3">
        <v>202207</v>
      </c>
      <c r="H1489" s="3" t="s">
        <v>75</v>
      </c>
      <c r="I1489" s="3" t="s">
        <v>76</v>
      </c>
      <c r="J1489" s="3" t="s">
        <v>77</v>
      </c>
      <c r="K1489" s="3" t="s">
        <v>78</v>
      </c>
      <c r="L1489" s="3" t="s">
        <v>184</v>
      </c>
      <c r="M1489" s="3" t="s">
        <v>185</v>
      </c>
      <c r="N1489" s="3" t="s">
        <v>186</v>
      </c>
      <c r="O1489" s="3" t="s">
        <v>82</v>
      </c>
      <c r="P1489" s="3" t="str">
        <f>"2170817464                    "</f>
        <v xml:space="preserve">2170817464                    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38.630000000000003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0</v>
      </c>
      <c r="BC1489" s="3">
        <v>0</v>
      </c>
      <c r="BD1489" s="3">
        <v>0</v>
      </c>
      <c r="BE1489" s="3">
        <v>0</v>
      </c>
      <c r="BF1489" s="3">
        <v>0</v>
      </c>
      <c r="BG1489" s="3">
        <v>0</v>
      </c>
      <c r="BH1489" s="3">
        <v>1</v>
      </c>
      <c r="BI1489" s="3">
        <v>3</v>
      </c>
      <c r="BJ1489" s="3">
        <v>5</v>
      </c>
      <c r="BK1489" s="3">
        <v>5</v>
      </c>
      <c r="BL1489" s="3">
        <v>147.44999999999999</v>
      </c>
      <c r="BM1489" s="3">
        <v>22.12</v>
      </c>
      <c r="BN1489" s="3">
        <v>169.57</v>
      </c>
      <c r="BO1489" s="3">
        <v>169.57</v>
      </c>
      <c r="BQ1489" s="3" t="s">
        <v>83</v>
      </c>
      <c r="BR1489" s="3" t="s">
        <v>84</v>
      </c>
      <c r="BS1489" s="4">
        <v>44582</v>
      </c>
      <c r="BT1489" s="5">
        <v>0.56527777777777777</v>
      </c>
      <c r="BU1489" s="3" t="s">
        <v>1803</v>
      </c>
      <c r="BV1489" s="3" t="s">
        <v>87</v>
      </c>
      <c r="BW1489" s="3" t="s">
        <v>457</v>
      </c>
      <c r="BX1489" s="3" t="s">
        <v>605</v>
      </c>
      <c r="BY1489" s="3">
        <v>25200</v>
      </c>
      <c r="CA1489" s="3" t="s">
        <v>1681</v>
      </c>
      <c r="CC1489" s="3" t="s">
        <v>185</v>
      </c>
      <c r="CD1489" s="3">
        <v>5201</v>
      </c>
      <c r="CE1489" s="3" t="s">
        <v>86</v>
      </c>
      <c r="CF1489" s="4">
        <v>44582</v>
      </c>
      <c r="CI1489" s="3">
        <v>1</v>
      </c>
      <c r="CJ1489" s="3">
        <v>1</v>
      </c>
      <c r="CK1489" s="3">
        <v>21</v>
      </c>
      <c r="CL1489" s="3" t="s">
        <v>87</v>
      </c>
    </row>
    <row r="1490" spans="1:90" x14ac:dyDescent="0.2">
      <c r="A1490" s="3" t="s">
        <v>72</v>
      </c>
      <c r="B1490" s="3" t="s">
        <v>73</v>
      </c>
      <c r="C1490" s="3" t="s">
        <v>74</v>
      </c>
      <c r="E1490" s="3" t="str">
        <f>"FES1162845898"</f>
        <v>FES1162845898</v>
      </c>
      <c r="F1490" s="4">
        <v>44581</v>
      </c>
      <c r="G1490" s="3">
        <v>202207</v>
      </c>
      <c r="H1490" s="3" t="s">
        <v>75</v>
      </c>
      <c r="I1490" s="3" t="s">
        <v>76</v>
      </c>
      <c r="J1490" s="3" t="s">
        <v>77</v>
      </c>
      <c r="K1490" s="3" t="s">
        <v>78</v>
      </c>
      <c r="L1490" s="3" t="s">
        <v>1331</v>
      </c>
      <c r="M1490" s="3" t="s">
        <v>1332</v>
      </c>
      <c r="N1490" s="3" t="s">
        <v>1333</v>
      </c>
      <c r="O1490" s="3" t="s">
        <v>82</v>
      </c>
      <c r="P1490" s="3" t="str">
        <f>"2170817341                    "</f>
        <v xml:space="preserve">2170817341                    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29.95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0</v>
      </c>
      <c r="AZ1490" s="3">
        <v>0</v>
      </c>
      <c r="BA1490" s="3">
        <v>0</v>
      </c>
      <c r="BB1490" s="3">
        <v>0</v>
      </c>
      <c r="BC1490" s="3">
        <v>0</v>
      </c>
      <c r="BD1490" s="3">
        <v>0</v>
      </c>
      <c r="BE1490" s="3">
        <v>0</v>
      </c>
      <c r="BF1490" s="3">
        <v>0</v>
      </c>
      <c r="BG1490" s="3">
        <v>0</v>
      </c>
      <c r="BH1490" s="3">
        <v>1</v>
      </c>
      <c r="BI1490" s="3">
        <v>1</v>
      </c>
      <c r="BJ1490" s="3">
        <v>0.2</v>
      </c>
      <c r="BK1490" s="3">
        <v>1</v>
      </c>
      <c r="BL1490" s="3">
        <v>114.31</v>
      </c>
      <c r="BM1490" s="3">
        <v>17.149999999999999</v>
      </c>
      <c r="BN1490" s="3">
        <v>131.46</v>
      </c>
      <c r="BO1490" s="3">
        <v>131.46</v>
      </c>
      <c r="BQ1490" s="3" t="s">
        <v>128</v>
      </c>
      <c r="BR1490" s="3" t="s">
        <v>84</v>
      </c>
      <c r="BS1490" s="4">
        <v>44586</v>
      </c>
      <c r="BT1490" s="5">
        <v>0.3659722222222222</v>
      </c>
      <c r="BU1490" s="3" t="s">
        <v>1804</v>
      </c>
      <c r="BV1490" s="3" t="s">
        <v>87</v>
      </c>
      <c r="BW1490" s="3" t="s">
        <v>453</v>
      </c>
      <c r="BX1490" s="3" t="s">
        <v>1335</v>
      </c>
      <c r="BY1490" s="3">
        <v>1200</v>
      </c>
      <c r="CA1490" s="3" t="s">
        <v>1805</v>
      </c>
      <c r="CC1490" s="3" t="s">
        <v>1332</v>
      </c>
      <c r="CD1490" s="3">
        <v>2940</v>
      </c>
      <c r="CE1490" s="3" t="s">
        <v>93</v>
      </c>
      <c r="CF1490" s="4">
        <v>44587</v>
      </c>
      <c r="CI1490" s="3">
        <v>1</v>
      </c>
      <c r="CJ1490" s="3">
        <v>3</v>
      </c>
      <c r="CK1490" s="3">
        <v>23</v>
      </c>
      <c r="CL1490" s="3" t="s">
        <v>87</v>
      </c>
    </row>
    <row r="1491" spans="1:90" x14ac:dyDescent="0.2">
      <c r="A1491" s="3" t="s">
        <v>72</v>
      </c>
      <c r="B1491" s="3" t="s">
        <v>73</v>
      </c>
      <c r="C1491" s="3" t="s">
        <v>74</v>
      </c>
      <c r="E1491" s="3" t="str">
        <f>"FES1162846102"</f>
        <v>FES1162846102</v>
      </c>
      <c r="F1491" s="4">
        <v>44581</v>
      </c>
      <c r="G1491" s="3">
        <v>202207</v>
      </c>
      <c r="H1491" s="3" t="s">
        <v>75</v>
      </c>
      <c r="I1491" s="3" t="s">
        <v>76</v>
      </c>
      <c r="J1491" s="3" t="s">
        <v>77</v>
      </c>
      <c r="K1491" s="3" t="s">
        <v>78</v>
      </c>
      <c r="L1491" s="3" t="s">
        <v>90</v>
      </c>
      <c r="M1491" s="3" t="s">
        <v>91</v>
      </c>
      <c r="N1491" s="3" t="s">
        <v>444</v>
      </c>
      <c r="O1491" s="3" t="s">
        <v>82</v>
      </c>
      <c r="P1491" s="3" t="str">
        <f>"2170817581                    "</f>
        <v xml:space="preserve">2170817581                    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0</v>
      </c>
      <c r="AJ1491" s="3">
        <v>0</v>
      </c>
      <c r="AK1491" s="3">
        <v>15.46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0</v>
      </c>
      <c r="BB1491" s="3">
        <v>0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  <c r="BH1491" s="3">
        <v>1</v>
      </c>
      <c r="BI1491" s="3">
        <v>1</v>
      </c>
      <c r="BJ1491" s="3">
        <v>0.2</v>
      </c>
      <c r="BK1491" s="3">
        <v>1</v>
      </c>
      <c r="BL1491" s="3">
        <v>59</v>
      </c>
      <c r="BM1491" s="3">
        <v>8.85</v>
      </c>
      <c r="BN1491" s="3">
        <v>67.849999999999994</v>
      </c>
      <c r="BO1491" s="3">
        <v>67.849999999999994</v>
      </c>
      <c r="BQ1491" s="3" t="s">
        <v>145</v>
      </c>
      <c r="BR1491" s="3" t="s">
        <v>84</v>
      </c>
      <c r="BS1491" s="4">
        <v>44582</v>
      </c>
      <c r="BT1491" s="5">
        <v>0.45902777777777781</v>
      </c>
      <c r="BU1491" s="3" t="s">
        <v>1806</v>
      </c>
      <c r="BV1491" s="3" t="s">
        <v>87</v>
      </c>
      <c r="BW1491" s="3" t="s">
        <v>457</v>
      </c>
      <c r="BX1491" s="3" t="s">
        <v>354</v>
      </c>
      <c r="BY1491" s="3">
        <v>1200</v>
      </c>
      <c r="CA1491" s="3" t="s">
        <v>829</v>
      </c>
      <c r="CC1491" s="3" t="s">
        <v>91</v>
      </c>
      <c r="CD1491" s="3">
        <v>7500</v>
      </c>
      <c r="CE1491" s="3" t="s">
        <v>93</v>
      </c>
      <c r="CF1491" s="4">
        <v>44585</v>
      </c>
      <c r="CI1491" s="3">
        <v>1</v>
      </c>
      <c r="CJ1491" s="3">
        <v>1</v>
      </c>
      <c r="CK1491" s="3">
        <v>21</v>
      </c>
      <c r="CL1491" s="3" t="s">
        <v>87</v>
      </c>
    </row>
    <row r="1492" spans="1:90" x14ac:dyDescent="0.2">
      <c r="A1492" s="3" t="s">
        <v>72</v>
      </c>
      <c r="B1492" s="3" t="s">
        <v>73</v>
      </c>
      <c r="C1492" s="3" t="s">
        <v>74</v>
      </c>
      <c r="E1492" s="3" t="str">
        <f>"FES1162846044"</f>
        <v>FES1162846044</v>
      </c>
      <c r="F1492" s="4">
        <v>44581</v>
      </c>
      <c r="G1492" s="3">
        <v>202207</v>
      </c>
      <c r="H1492" s="3" t="s">
        <v>75</v>
      </c>
      <c r="I1492" s="3" t="s">
        <v>76</v>
      </c>
      <c r="J1492" s="3" t="s">
        <v>77</v>
      </c>
      <c r="K1492" s="3" t="s">
        <v>78</v>
      </c>
      <c r="L1492" s="3" t="s">
        <v>138</v>
      </c>
      <c r="M1492" s="3" t="s">
        <v>139</v>
      </c>
      <c r="N1492" s="3" t="s">
        <v>214</v>
      </c>
      <c r="O1492" s="3" t="s">
        <v>82</v>
      </c>
      <c r="P1492" s="3" t="str">
        <f>"2170817495                    "</f>
        <v xml:space="preserve">2170817495                    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15.46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0</v>
      </c>
      <c r="AZ1492" s="3">
        <v>0</v>
      </c>
      <c r="BA1492" s="3">
        <v>0</v>
      </c>
      <c r="BB1492" s="3">
        <v>0</v>
      </c>
      <c r="BC1492" s="3">
        <v>0</v>
      </c>
      <c r="BD1492" s="3">
        <v>0</v>
      </c>
      <c r="BE1492" s="3">
        <v>0</v>
      </c>
      <c r="BF1492" s="3">
        <v>0</v>
      </c>
      <c r="BG1492" s="3">
        <v>0</v>
      </c>
      <c r="BH1492" s="3">
        <v>1</v>
      </c>
      <c r="BI1492" s="3">
        <v>1</v>
      </c>
      <c r="BJ1492" s="3">
        <v>0.2</v>
      </c>
      <c r="BK1492" s="3">
        <v>1</v>
      </c>
      <c r="BL1492" s="3">
        <v>59</v>
      </c>
      <c r="BM1492" s="3">
        <v>8.85</v>
      </c>
      <c r="BN1492" s="3">
        <v>67.849999999999994</v>
      </c>
      <c r="BO1492" s="3">
        <v>67.849999999999994</v>
      </c>
      <c r="BQ1492" s="3" t="s">
        <v>126</v>
      </c>
      <c r="BR1492" s="3" t="s">
        <v>84</v>
      </c>
      <c r="BS1492" s="4">
        <v>44582</v>
      </c>
      <c r="BT1492" s="5">
        <v>0.43888888888888888</v>
      </c>
      <c r="BU1492" s="3" t="s">
        <v>1807</v>
      </c>
      <c r="BV1492" s="3" t="s">
        <v>105</v>
      </c>
      <c r="BY1492" s="3">
        <v>1200</v>
      </c>
      <c r="CA1492" s="3" t="s">
        <v>303</v>
      </c>
      <c r="CC1492" s="3" t="s">
        <v>139</v>
      </c>
      <c r="CD1492" s="3">
        <v>3610</v>
      </c>
      <c r="CE1492" s="3" t="s">
        <v>93</v>
      </c>
      <c r="CF1492" s="4">
        <v>44585</v>
      </c>
      <c r="CI1492" s="3">
        <v>1</v>
      </c>
      <c r="CJ1492" s="3">
        <v>1</v>
      </c>
      <c r="CK1492" s="3">
        <v>21</v>
      </c>
      <c r="CL1492" s="3" t="s">
        <v>87</v>
      </c>
    </row>
    <row r="1493" spans="1:90" x14ac:dyDescent="0.2">
      <c r="A1493" s="3" t="s">
        <v>72</v>
      </c>
      <c r="B1493" s="3" t="s">
        <v>73</v>
      </c>
      <c r="C1493" s="3" t="s">
        <v>74</v>
      </c>
      <c r="E1493" s="3" t="str">
        <f>"FES1162845999"</f>
        <v>FES1162845999</v>
      </c>
      <c r="F1493" s="4">
        <v>44581</v>
      </c>
      <c r="G1493" s="3">
        <v>202207</v>
      </c>
      <c r="H1493" s="3" t="s">
        <v>75</v>
      </c>
      <c r="I1493" s="3" t="s">
        <v>76</v>
      </c>
      <c r="J1493" s="3" t="s">
        <v>77</v>
      </c>
      <c r="K1493" s="3" t="s">
        <v>78</v>
      </c>
      <c r="L1493" s="3" t="s">
        <v>138</v>
      </c>
      <c r="M1493" s="3" t="s">
        <v>139</v>
      </c>
      <c r="N1493" s="3" t="s">
        <v>304</v>
      </c>
      <c r="O1493" s="3" t="s">
        <v>82</v>
      </c>
      <c r="P1493" s="3" t="str">
        <f>"2170816024                    "</f>
        <v xml:space="preserve">2170816024                    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15.46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0</v>
      </c>
      <c r="AZ1493" s="3">
        <v>0</v>
      </c>
      <c r="BA1493" s="3">
        <v>0</v>
      </c>
      <c r="BB1493" s="3">
        <v>0</v>
      </c>
      <c r="BC1493" s="3">
        <v>0</v>
      </c>
      <c r="BD1493" s="3">
        <v>0</v>
      </c>
      <c r="BE1493" s="3">
        <v>0</v>
      </c>
      <c r="BF1493" s="3">
        <v>0</v>
      </c>
      <c r="BG1493" s="3">
        <v>0</v>
      </c>
      <c r="BH1493" s="3">
        <v>1</v>
      </c>
      <c r="BI1493" s="3">
        <v>1</v>
      </c>
      <c r="BJ1493" s="3">
        <v>0.2</v>
      </c>
      <c r="BK1493" s="3">
        <v>1</v>
      </c>
      <c r="BL1493" s="3">
        <v>59</v>
      </c>
      <c r="BM1493" s="3">
        <v>8.85</v>
      </c>
      <c r="BN1493" s="3">
        <v>67.849999999999994</v>
      </c>
      <c r="BO1493" s="3">
        <v>67.849999999999994</v>
      </c>
      <c r="BQ1493" s="3" t="s">
        <v>89</v>
      </c>
      <c r="BR1493" s="3" t="s">
        <v>84</v>
      </c>
      <c r="BS1493" s="4">
        <v>44582</v>
      </c>
      <c r="BT1493" s="5">
        <v>0.44027777777777777</v>
      </c>
      <c r="BU1493" s="3" t="s">
        <v>305</v>
      </c>
      <c r="BV1493" s="3" t="s">
        <v>105</v>
      </c>
      <c r="BY1493" s="3">
        <v>1200</v>
      </c>
      <c r="CA1493" s="3" t="s">
        <v>303</v>
      </c>
      <c r="CC1493" s="3" t="s">
        <v>139</v>
      </c>
      <c r="CD1493" s="3">
        <v>3610</v>
      </c>
      <c r="CE1493" s="3" t="s">
        <v>93</v>
      </c>
      <c r="CF1493" s="4">
        <v>44585</v>
      </c>
      <c r="CI1493" s="3">
        <v>1</v>
      </c>
      <c r="CJ1493" s="3">
        <v>1</v>
      </c>
      <c r="CK1493" s="3">
        <v>21</v>
      </c>
      <c r="CL1493" s="3" t="s">
        <v>87</v>
      </c>
    </row>
    <row r="1494" spans="1:90" x14ac:dyDescent="0.2">
      <c r="A1494" s="3" t="s">
        <v>72</v>
      </c>
      <c r="B1494" s="3" t="s">
        <v>73</v>
      </c>
      <c r="C1494" s="3" t="s">
        <v>74</v>
      </c>
      <c r="E1494" s="3" t="str">
        <f>"FES1162846010"</f>
        <v>FES1162846010</v>
      </c>
      <c r="F1494" s="4">
        <v>44581</v>
      </c>
      <c r="G1494" s="3">
        <v>202207</v>
      </c>
      <c r="H1494" s="3" t="s">
        <v>75</v>
      </c>
      <c r="I1494" s="3" t="s">
        <v>76</v>
      </c>
      <c r="J1494" s="3" t="s">
        <v>77</v>
      </c>
      <c r="K1494" s="3" t="s">
        <v>78</v>
      </c>
      <c r="L1494" s="3" t="s">
        <v>101</v>
      </c>
      <c r="M1494" s="3" t="s">
        <v>102</v>
      </c>
      <c r="N1494" s="3" t="s">
        <v>1689</v>
      </c>
      <c r="O1494" s="3" t="s">
        <v>82</v>
      </c>
      <c r="P1494" s="3" t="str">
        <f>"2170817354                    "</f>
        <v xml:space="preserve">2170817354                    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15.46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0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  <c r="BH1494" s="3">
        <v>1</v>
      </c>
      <c r="BI1494" s="3">
        <v>1</v>
      </c>
      <c r="BJ1494" s="3">
        <v>1.1000000000000001</v>
      </c>
      <c r="BK1494" s="3">
        <v>1.5</v>
      </c>
      <c r="BL1494" s="3">
        <v>59</v>
      </c>
      <c r="BM1494" s="3">
        <v>8.85</v>
      </c>
      <c r="BN1494" s="3">
        <v>67.849999999999994</v>
      </c>
      <c r="BO1494" s="3">
        <v>67.849999999999994</v>
      </c>
      <c r="BQ1494" s="3" t="s">
        <v>83</v>
      </c>
      <c r="BR1494" s="3" t="s">
        <v>84</v>
      </c>
      <c r="BS1494" s="4">
        <v>44582</v>
      </c>
      <c r="BT1494" s="5">
        <v>0.3743055555555555</v>
      </c>
      <c r="BU1494" s="3" t="s">
        <v>1690</v>
      </c>
      <c r="BV1494" s="3" t="s">
        <v>105</v>
      </c>
      <c r="BY1494" s="3">
        <v>5320</v>
      </c>
      <c r="CA1494" s="3" t="s">
        <v>528</v>
      </c>
      <c r="CC1494" s="3" t="s">
        <v>102</v>
      </c>
      <c r="CD1494" s="3">
        <v>4052</v>
      </c>
      <c r="CE1494" s="3" t="s">
        <v>86</v>
      </c>
      <c r="CF1494" s="4">
        <v>44585</v>
      </c>
      <c r="CI1494" s="3">
        <v>1</v>
      </c>
      <c r="CJ1494" s="3">
        <v>1</v>
      </c>
      <c r="CK1494" s="3">
        <v>21</v>
      </c>
      <c r="CL1494" s="3" t="s">
        <v>87</v>
      </c>
    </row>
    <row r="1495" spans="1:90" x14ac:dyDescent="0.2">
      <c r="A1495" s="3" t="s">
        <v>72</v>
      </c>
      <c r="B1495" s="3" t="s">
        <v>73</v>
      </c>
      <c r="C1495" s="3" t="s">
        <v>74</v>
      </c>
      <c r="E1495" s="3" t="str">
        <f>"FES1162846042"</f>
        <v>FES1162846042</v>
      </c>
      <c r="F1495" s="4">
        <v>44581</v>
      </c>
      <c r="G1495" s="3">
        <v>202207</v>
      </c>
      <c r="H1495" s="3" t="s">
        <v>75</v>
      </c>
      <c r="I1495" s="3" t="s">
        <v>76</v>
      </c>
      <c r="J1495" s="3" t="s">
        <v>77</v>
      </c>
      <c r="K1495" s="3" t="s">
        <v>78</v>
      </c>
      <c r="L1495" s="3" t="s">
        <v>335</v>
      </c>
      <c r="M1495" s="3" t="s">
        <v>336</v>
      </c>
      <c r="N1495" s="3" t="s">
        <v>784</v>
      </c>
      <c r="O1495" s="3" t="s">
        <v>82</v>
      </c>
      <c r="P1495" s="3" t="str">
        <f>"2170817486                    "</f>
        <v xml:space="preserve">2170817486                    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46.36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  <c r="BH1495" s="3">
        <v>1</v>
      </c>
      <c r="BI1495" s="3">
        <v>3</v>
      </c>
      <c r="BJ1495" s="3">
        <v>5.8</v>
      </c>
      <c r="BK1495" s="3">
        <v>6</v>
      </c>
      <c r="BL1495" s="3">
        <v>176.94</v>
      </c>
      <c r="BM1495" s="3">
        <v>26.54</v>
      </c>
      <c r="BN1495" s="3">
        <v>203.48</v>
      </c>
      <c r="BO1495" s="3">
        <v>203.48</v>
      </c>
      <c r="BQ1495" s="3" t="s">
        <v>89</v>
      </c>
      <c r="BR1495" s="3" t="s">
        <v>84</v>
      </c>
      <c r="BS1495" s="4">
        <v>44582</v>
      </c>
      <c r="BT1495" s="5">
        <v>0.41111111111111115</v>
      </c>
      <c r="BU1495" s="3" t="s">
        <v>1808</v>
      </c>
      <c r="BV1495" s="3" t="s">
        <v>105</v>
      </c>
      <c r="BY1495" s="3">
        <v>28900</v>
      </c>
      <c r="CA1495" s="3" t="s">
        <v>528</v>
      </c>
      <c r="CC1495" s="3" t="s">
        <v>336</v>
      </c>
      <c r="CD1495" s="3">
        <v>4133</v>
      </c>
      <c r="CE1495" s="3" t="s">
        <v>86</v>
      </c>
      <c r="CF1495" s="4">
        <v>44585</v>
      </c>
      <c r="CI1495" s="3">
        <v>1</v>
      </c>
      <c r="CJ1495" s="3">
        <v>1</v>
      </c>
      <c r="CK1495" s="3">
        <v>21</v>
      </c>
      <c r="CL1495" s="3" t="s">
        <v>87</v>
      </c>
    </row>
    <row r="1496" spans="1:90" x14ac:dyDescent="0.2">
      <c r="A1496" s="3" t="s">
        <v>72</v>
      </c>
      <c r="B1496" s="3" t="s">
        <v>73</v>
      </c>
      <c r="C1496" s="3" t="s">
        <v>74</v>
      </c>
      <c r="E1496" s="3" t="str">
        <f>"FES1162846105"</f>
        <v>FES1162846105</v>
      </c>
      <c r="F1496" s="4">
        <v>44581</v>
      </c>
      <c r="G1496" s="3">
        <v>202207</v>
      </c>
      <c r="H1496" s="3" t="s">
        <v>75</v>
      </c>
      <c r="I1496" s="3" t="s">
        <v>76</v>
      </c>
      <c r="J1496" s="3" t="s">
        <v>77</v>
      </c>
      <c r="K1496" s="3" t="s">
        <v>78</v>
      </c>
      <c r="L1496" s="3" t="s">
        <v>1119</v>
      </c>
      <c r="M1496" s="3" t="s">
        <v>1120</v>
      </c>
      <c r="N1496" s="3" t="s">
        <v>1809</v>
      </c>
      <c r="O1496" s="3" t="s">
        <v>82</v>
      </c>
      <c r="P1496" s="3" t="str">
        <f>"2170817585                    "</f>
        <v xml:space="preserve">2170817585                    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29.95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0</v>
      </c>
      <c r="BC1496" s="3">
        <v>0</v>
      </c>
      <c r="BD1496" s="3">
        <v>0</v>
      </c>
      <c r="BE1496" s="3">
        <v>0</v>
      </c>
      <c r="BF1496" s="3">
        <v>0</v>
      </c>
      <c r="BG1496" s="3">
        <v>0</v>
      </c>
      <c r="BH1496" s="3">
        <v>1</v>
      </c>
      <c r="BI1496" s="3">
        <v>1</v>
      </c>
      <c r="BJ1496" s="3">
        <v>0.2</v>
      </c>
      <c r="BK1496" s="3">
        <v>1</v>
      </c>
      <c r="BL1496" s="3">
        <v>114.31</v>
      </c>
      <c r="BM1496" s="3">
        <v>17.149999999999999</v>
      </c>
      <c r="BN1496" s="3">
        <v>131.46</v>
      </c>
      <c r="BO1496" s="3">
        <v>131.46</v>
      </c>
      <c r="BR1496" s="3" t="s">
        <v>84</v>
      </c>
      <c r="BS1496" s="4">
        <v>44582</v>
      </c>
      <c r="BT1496" s="5">
        <v>0.5756944444444444</v>
      </c>
      <c r="BU1496" s="3" t="s">
        <v>1101</v>
      </c>
      <c r="BV1496" s="3" t="s">
        <v>105</v>
      </c>
      <c r="BY1496" s="3">
        <v>1200</v>
      </c>
      <c r="CA1496" s="3" t="s">
        <v>809</v>
      </c>
      <c r="CC1496" s="3" t="s">
        <v>1120</v>
      </c>
      <c r="CD1496" s="3">
        <v>4380</v>
      </c>
      <c r="CE1496" s="3" t="s">
        <v>93</v>
      </c>
      <c r="CF1496" s="4">
        <v>44585</v>
      </c>
      <c r="CI1496" s="3">
        <v>1</v>
      </c>
      <c r="CJ1496" s="3">
        <v>1</v>
      </c>
      <c r="CK1496" s="3">
        <v>23</v>
      </c>
      <c r="CL1496" s="3" t="s">
        <v>87</v>
      </c>
    </row>
    <row r="1497" spans="1:90" x14ac:dyDescent="0.2">
      <c r="A1497" s="3" t="s">
        <v>72</v>
      </c>
      <c r="B1497" s="3" t="s">
        <v>73</v>
      </c>
      <c r="C1497" s="3" t="s">
        <v>74</v>
      </c>
      <c r="E1497" s="3" t="str">
        <f>"FES1162846000"</f>
        <v>FES1162846000</v>
      </c>
      <c r="F1497" s="4">
        <v>44581</v>
      </c>
      <c r="G1497" s="3">
        <v>202207</v>
      </c>
      <c r="H1497" s="3" t="s">
        <v>75</v>
      </c>
      <c r="I1497" s="3" t="s">
        <v>76</v>
      </c>
      <c r="J1497" s="3" t="s">
        <v>77</v>
      </c>
      <c r="K1497" s="3" t="s">
        <v>78</v>
      </c>
      <c r="L1497" s="3" t="s">
        <v>90</v>
      </c>
      <c r="M1497" s="3" t="s">
        <v>91</v>
      </c>
      <c r="N1497" s="3" t="s">
        <v>132</v>
      </c>
      <c r="O1497" s="3" t="s">
        <v>82</v>
      </c>
      <c r="P1497" s="3" t="str">
        <f>"2170816151                    "</f>
        <v xml:space="preserve">2170816151                    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15.46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0</v>
      </c>
      <c r="AZ1497" s="3">
        <v>0</v>
      </c>
      <c r="BA1497" s="3">
        <v>0</v>
      </c>
      <c r="BB1497" s="3">
        <v>0</v>
      </c>
      <c r="BC1497" s="3">
        <v>0</v>
      </c>
      <c r="BD1497" s="3">
        <v>0</v>
      </c>
      <c r="BE1497" s="3">
        <v>0</v>
      </c>
      <c r="BF1497" s="3">
        <v>0</v>
      </c>
      <c r="BG1497" s="3">
        <v>0</v>
      </c>
      <c r="BH1497" s="3">
        <v>1</v>
      </c>
      <c r="BI1497" s="3">
        <v>1</v>
      </c>
      <c r="BJ1497" s="3">
        <v>0.2</v>
      </c>
      <c r="BK1497" s="3">
        <v>1</v>
      </c>
      <c r="BL1497" s="3">
        <v>59</v>
      </c>
      <c r="BM1497" s="3">
        <v>8.85</v>
      </c>
      <c r="BN1497" s="3">
        <v>67.849999999999994</v>
      </c>
      <c r="BO1497" s="3">
        <v>67.849999999999994</v>
      </c>
      <c r="BQ1497" s="3" t="s">
        <v>83</v>
      </c>
      <c r="BR1497" s="3" t="s">
        <v>84</v>
      </c>
      <c r="BS1497" s="4">
        <v>44582</v>
      </c>
      <c r="BT1497" s="5">
        <v>0.41319444444444442</v>
      </c>
      <c r="BU1497" s="3" t="s">
        <v>1810</v>
      </c>
      <c r="BV1497" s="3" t="s">
        <v>105</v>
      </c>
      <c r="BY1497" s="3">
        <v>1200</v>
      </c>
      <c r="CA1497" s="3" t="s">
        <v>641</v>
      </c>
      <c r="CC1497" s="3" t="s">
        <v>91</v>
      </c>
      <c r="CD1497" s="3">
        <v>7530</v>
      </c>
      <c r="CE1497" s="3" t="s">
        <v>93</v>
      </c>
      <c r="CF1497" s="4">
        <v>44585</v>
      </c>
      <c r="CI1497" s="3">
        <v>1</v>
      </c>
      <c r="CJ1497" s="3">
        <v>1</v>
      </c>
      <c r="CK1497" s="3">
        <v>21</v>
      </c>
      <c r="CL1497" s="3" t="s">
        <v>87</v>
      </c>
    </row>
    <row r="1498" spans="1:90" x14ac:dyDescent="0.2">
      <c r="A1498" s="3" t="s">
        <v>72</v>
      </c>
      <c r="B1498" s="3" t="s">
        <v>73</v>
      </c>
      <c r="C1498" s="3" t="s">
        <v>74</v>
      </c>
      <c r="E1498" s="3" t="str">
        <f>"FES1162846061"</f>
        <v>FES1162846061</v>
      </c>
      <c r="F1498" s="4">
        <v>44581</v>
      </c>
      <c r="G1498" s="3">
        <v>202207</v>
      </c>
      <c r="H1498" s="3" t="s">
        <v>75</v>
      </c>
      <c r="I1498" s="3" t="s">
        <v>76</v>
      </c>
      <c r="J1498" s="3" t="s">
        <v>77</v>
      </c>
      <c r="K1498" s="3" t="s">
        <v>78</v>
      </c>
      <c r="L1498" s="3" t="s">
        <v>244</v>
      </c>
      <c r="M1498" s="3" t="s">
        <v>245</v>
      </c>
      <c r="N1498" s="3" t="s">
        <v>400</v>
      </c>
      <c r="O1498" s="3" t="s">
        <v>82</v>
      </c>
      <c r="P1498" s="3" t="str">
        <f>"2170817522                    "</f>
        <v xml:space="preserve">2170817522                    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29.95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  <c r="BH1498" s="3">
        <v>1</v>
      </c>
      <c r="BI1498" s="3">
        <v>1</v>
      </c>
      <c r="BJ1498" s="3">
        <v>0.2</v>
      </c>
      <c r="BK1498" s="3">
        <v>1</v>
      </c>
      <c r="BL1498" s="3">
        <v>114.31</v>
      </c>
      <c r="BM1498" s="3">
        <v>17.149999999999999</v>
      </c>
      <c r="BN1498" s="3">
        <v>131.46</v>
      </c>
      <c r="BO1498" s="3">
        <v>131.46</v>
      </c>
      <c r="BQ1498" s="3" t="s">
        <v>83</v>
      </c>
      <c r="BR1498" s="3" t="s">
        <v>84</v>
      </c>
      <c r="BS1498" s="4">
        <v>44582</v>
      </c>
      <c r="BT1498" s="5">
        <v>0.41666666666666669</v>
      </c>
      <c r="BU1498" s="3" t="s">
        <v>1739</v>
      </c>
      <c r="BV1498" s="3" t="s">
        <v>105</v>
      </c>
      <c r="BY1498" s="3">
        <v>1200</v>
      </c>
      <c r="CC1498" s="3" t="s">
        <v>245</v>
      </c>
      <c r="CD1498" s="3">
        <v>1947</v>
      </c>
      <c r="CE1498" s="3" t="s">
        <v>93</v>
      </c>
      <c r="CF1498" s="4">
        <v>44583</v>
      </c>
      <c r="CI1498" s="3">
        <v>1</v>
      </c>
      <c r="CJ1498" s="3">
        <v>1</v>
      </c>
      <c r="CK1498" s="3">
        <v>23</v>
      </c>
      <c r="CL1498" s="3" t="s">
        <v>87</v>
      </c>
    </row>
    <row r="1499" spans="1:90" x14ac:dyDescent="0.2">
      <c r="A1499" s="3" t="s">
        <v>72</v>
      </c>
      <c r="B1499" s="3" t="s">
        <v>73</v>
      </c>
      <c r="C1499" s="3" t="s">
        <v>74</v>
      </c>
      <c r="E1499" s="3" t="str">
        <f>"FES1162845980"</f>
        <v>FES1162845980</v>
      </c>
      <c r="F1499" s="4">
        <v>44581</v>
      </c>
      <c r="G1499" s="3">
        <v>202207</v>
      </c>
      <c r="H1499" s="3" t="s">
        <v>75</v>
      </c>
      <c r="I1499" s="3" t="s">
        <v>76</v>
      </c>
      <c r="J1499" s="3" t="s">
        <v>77</v>
      </c>
      <c r="K1499" s="3" t="s">
        <v>78</v>
      </c>
      <c r="L1499" s="3" t="s">
        <v>90</v>
      </c>
      <c r="M1499" s="3" t="s">
        <v>91</v>
      </c>
      <c r="N1499" s="3" t="s">
        <v>584</v>
      </c>
      <c r="O1499" s="3" t="s">
        <v>82</v>
      </c>
      <c r="P1499" s="3" t="str">
        <f>"2170816902                    "</f>
        <v xml:space="preserve">2170816902                    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23.18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0</v>
      </c>
      <c r="AZ1499" s="3">
        <v>0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  <c r="BH1499" s="3">
        <v>1</v>
      </c>
      <c r="BI1499" s="3">
        <v>3</v>
      </c>
      <c r="BJ1499" s="3">
        <v>2.2999999999999998</v>
      </c>
      <c r="BK1499" s="3">
        <v>3</v>
      </c>
      <c r="BL1499" s="3">
        <v>88.48</v>
      </c>
      <c r="BM1499" s="3">
        <v>13.27</v>
      </c>
      <c r="BN1499" s="3">
        <v>101.75</v>
      </c>
      <c r="BO1499" s="3">
        <v>101.75</v>
      </c>
      <c r="BQ1499" s="3" t="s">
        <v>83</v>
      </c>
      <c r="BR1499" s="3" t="s">
        <v>84</v>
      </c>
      <c r="BS1499" s="4">
        <v>44582</v>
      </c>
      <c r="BT1499" s="5">
        <v>0.35416666666666669</v>
      </c>
      <c r="BU1499" s="3" t="s">
        <v>1067</v>
      </c>
      <c r="BV1499" s="3" t="s">
        <v>105</v>
      </c>
      <c r="BY1499" s="3">
        <v>11520</v>
      </c>
      <c r="CA1499" s="3" t="s">
        <v>543</v>
      </c>
      <c r="CC1499" s="3" t="s">
        <v>91</v>
      </c>
      <c r="CD1499" s="3">
        <v>7530</v>
      </c>
      <c r="CE1499" s="3" t="s">
        <v>86</v>
      </c>
      <c r="CF1499" s="4">
        <v>44585</v>
      </c>
      <c r="CI1499" s="3">
        <v>1</v>
      </c>
      <c r="CJ1499" s="3">
        <v>1</v>
      </c>
      <c r="CK1499" s="3">
        <v>21</v>
      </c>
      <c r="CL1499" s="3" t="s">
        <v>87</v>
      </c>
    </row>
    <row r="1500" spans="1:90" x14ac:dyDescent="0.2">
      <c r="A1500" s="3" t="s">
        <v>72</v>
      </c>
      <c r="B1500" s="3" t="s">
        <v>73</v>
      </c>
      <c r="C1500" s="3" t="s">
        <v>74</v>
      </c>
      <c r="E1500" s="3" t="str">
        <f>"FES1162846062"</f>
        <v>FES1162846062</v>
      </c>
      <c r="F1500" s="4">
        <v>44581</v>
      </c>
      <c r="G1500" s="3">
        <v>202207</v>
      </c>
      <c r="H1500" s="3" t="s">
        <v>75</v>
      </c>
      <c r="I1500" s="3" t="s">
        <v>76</v>
      </c>
      <c r="J1500" s="3" t="s">
        <v>77</v>
      </c>
      <c r="K1500" s="3" t="s">
        <v>78</v>
      </c>
      <c r="L1500" s="3" t="s">
        <v>244</v>
      </c>
      <c r="M1500" s="3" t="s">
        <v>245</v>
      </c>
      <c r="N1500" s="3" t="s">
        <v>400</v>
      </c>
      <c r="O1500" s="3" t="s">
        <v>82</v>
      </c>
      <c r="P1500" s="3" t="str">
        <f>"2170817523                    "</f>
        <v xml:space="preserve">2170817523                    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29.95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0</v>
      </c>
      <c r="BB1500" s="3">
        <v>0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  <c r="BH1500" s="3">
        <v>1</v>
      </c>
      <c r="BI1500" s="3">
        <v>1</v>
      </c>
      <c r="BJ1500" s="3">
        <v>0.2</v>
      </c>
      <c r="BK1500" s="3">
        <v>1</v>
      </c>
      <c r="BL1500" s="3">
        <v>114.31</v>
      </c>
      <c r="BM1500" s="3">
        <v>17.149999999999999</v>
      </c>
      <c r="BN1500" s="3">
        <v>131.46</v>
      </c>
      <c r="BO1500" s="3">
        <v>131.46</v>
      </c>
      <c r="BQ1500" s="3" t="s">
        <v>83</v>
      </c>
      <c r="BR1500" s="3" t="s">
        <v>84</v>
      </c>
      <c r="BS1500" s="4">
        <v>44582</v>
      </c>
      <c r="BT1500" s="5">
        <v>0.41666666666666669</v>
      </c>
      <c r="BU1500" s="3" t="s">
        <v>1739</v>
      </c>
      <c r="BV1500" s="3" t="s">
        <v>105</v>
      </c>
      <c r="BY1500" s="3">
        <v>1200</v>
      </c>
      <c r="CC1500" s="3" t="s">
        <v>245</v>
      </c>
      <c r="CD1500" s="3">
        <v>1947</v>
      </c>
      <c r="CE1500" s="3" t="s">
        <v>93</v>
      </c>
      <c r="CF1500" s="4">
        <v>44583</v>
      </c>
      <c r="CI1500" s="3">
        <v>1</v>
      </c>
      <c r="CJ1500" s="3">
        <v>1</v>
      </c>
      <c r="CK1500" s="3">
        <v>23</v>
      </c>
      <c r="CL1500" s="3" t="s">
        <v>87</v>
      </c>
    </row>
    <row r="1501" spans="1:90" x14ac:dyDescent="0.2">
      <c r="A1501" s="3" t="s">
        <v>72</v>
      </c>
      <c r="B1501" s="3" t="s">
        <v>73</v>
      </c>
      <c r="C1501" s="3" t="s">
        <v>74</v>
      </c>
      <c r="E1501" s="3" t="str">
        <f>"FES1162846096"</f>
        <v>FES1162846096</v>
      </c>
      <c r="F1501" s="4">
        <v>44581</v>
      </c>
      <c r="G1501" s="3">
        <v>202207</v>
      </c>
      <c r="H1501" s="3" t="s">
        <v>75</v>
      </c>
      <c r="I1501" s="3" t="s">
        <v>76</v>
      </c>
      <c r="J1501" s="3" t="s">
        <v>77</v>
      </c>
      <c r="K1501" s="3" t="s">
        <v>78</v>
      </c>
      <c r="L1501" s="3" t="s">
        <v>805</v>
      </c>
      <c r="M1501" s="3" t="s">
        <v>806</v>
      </c>
      <c r="N1501" s="3" t="s">
        <v>807</v>
      </c>
      <c r="O1501" s="3" t="s">
        <v>82</v>
      </c>
      <c r="P1501" s="3" t="str">
        <f>"2170817574                    "</f>
        <v xml:space="preserve">2170817574                    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43.47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0</v>
      </c>
      <c r="AZ1501" s="3">
        <v>0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  <c r="BH1501" s="3">
        <v>1</v>
      </c>
      <c r="BI1501" s="3">
        <v>3</v>
      </c>
      <c r="BJ1501" s="3">
        <v>2</v>
      </c>
      <c r="BK1501" s="3">
        <v>3</v>
      </c>
      <c r="BL1501" s="3">
        <v>165.93</v>
      </c>
      <c r="BM1501" s="3">
        <v>24.89</v>
      </c>
      <c r="BN1501" s="3">
        <v>190.82</v>
      </c>
      <c r="BO1501" s="3">
        <v>190.82</v>
      </c>
      <c r="BQ1501" s="3" t="s">
        <v>808</v>
      </c>
      <c r="BR1501" s="3" t="s">
        <v>84</v>
      </c>
      <c r="BS1501" s="4">
        <v>44582</v>
      </c>
      <c r="BT1501" s="5">
        <v>0.57500000000000007</v>
      </c>
      <c r="BU1501" s="3" t="s">
        <v>1101</v>
      </c>
      <c r="BV1501" s="3" t="s">
        <v>105</v>
      </c>
      <c r="BY1501" s="3">
        <v>9918</v>
      </c>
      <c r="CA1501" s="3" t="s">
        <v>809</v>
      </c>
      <c r="CC1501" s="3" t="s">
        <v>806</v>
      </c>
      <c r="CD1501" s="3">
        <v>4400</v>
      </c>
      <c r="CE1501" s="3" t="s">
        <v>86</v>
      </c>
      <c r="CF1501" s="4">
        <v>44585</v>
      </c>
      <c r="CI1501" s="3">
        <v>1</v>
      </c>
      <c r="CJ1501" s="3">
        <v>1</v>
      </c>
      <c r="CK1501" s="3">
        <v>23</v>
      </c>
      <c r="CL1501" s="3" t="s">
        <v>87</v>
      </c>
    </row>
    <row r="1502" spans="1:90" x14ac:dyDescent="0.2">
      <c r="A1502" s="3" t="s">
        <v>72</v>
      </c>
      <c r="B1502" s="3" t="s">
        <v>73</v>
      </c>
      <c r="C1502" s="3" t="s">
        <v>74</v>
      </c>
      <c r="E1502" s="3" t="str">
        <f>"FES1162845966"</f>
        <v>FES1162845966</v>
      </c>
      <c r="F1502" s="4">
        <v>44581</v>
      </c>
      <c r="G1502" s="3">
        <v>202207</v>
      </c>
      <c r="H1502" s="3" t="s">
        <v>75</v>
      </c>
      <c r="I1502" s="3" t="s">
        <v>76</v>
      </c>
      <c r="J1502" s="3" t="s">
        <v>77</v>
      </c>
      <c r="K1502" s="3" t="s">
        <v>78</v>
      </c>
      <c r="L1502" s="3" t="s">
        <v>1201</v>
      </c>
      <c r="M1502" s="3" t="s">
        <v>1202</v>
      </c>
      <c r="N1502" s="3" t="s">
        <v>321</v>
      </c>
      <c r="O1502" s="3" t="s">
        <v>82</v>
      </c>
      <c r="P1502" s="3" t="str">
        <f>"2170817404                    "</f>
        <v xml:space="preserve">2170817404                    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29.95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0</v>
      </c>
      <c r="AZ1502" s="3">
        <v>0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  <c r="BH1502" s="3">
        <v>1</v>
      </c>
      <c r="BI1502" s="3">
        <v>1</v>
      </c>
      <c r="BJ1502" s="3">
        <v>0.2</v>
      </c>
      <c r="BK1502" s="3">
        <v>1</v>
      </c>
      <c r="BL1502" s="3">
        <v>114.31</v>
      </c>
      <c r="BM1502" s="3">
        <v>17.149999999999999</v>
      </c>
      <c r="BN1502" s="3">
        <v>131.46</v>
      </c>
      <c r="BO1502" s="3">
        <v>131.46</v>
      </c>
      <c r="BQ1502" s="3" t="s">
        <v>83</v>
      </c>
      <c r="BR1502" s="3" t="s">
        <v>84</v>
      </c>
      <c r="BS1502" s="4">
        <v>44582</v>
      </c>
      <c r="BT1502" s="5">
        <v>0.58680555555555558</v>
      </c>
      <c r="BU1502" s="3" t="s">
        <v>1203</v>
      </c>
      <c r="BV1502" s="3" t="s">
        <v>105</v>
      </c>
      <c r="BY1502" s="3">
        <v>1200</v>
      </c>
      <c r="CA1502" s="3" t="s">
        <v>1204</v>
      </c>
      <c r="CC1502" s="3" t="s">
        <v>1202</v>
      </c>
      <c r="CD1502" s="3">
        <v>9880</v>
      </c>
      <c r="CE1502" s="3" t="s">
        <v>93</v>
      </c>
      <c r="CF1502" s="4">
        <v>44585</v>
      </c>
      <c r="CI1502" s="3">
        <v>1</v>
      </c>
      <c r="CJ1502" s="3">
        <v>1</v>
      </c>
      <c r="CK1502" s="3">
        <v>23</v>
      </c>
      <c r="CL1502" s="3" t="s">
        <v>87</v>
      </c>
    </row>
    <row r="1503" spans="1:90" x14ac:dyDescent="0.2">
      <c r="A1503" s="3" t="s">
        <v>72</v>
      </c>
      <c r="B1503" s="3" t="s">
        <v>73</v>
      </c>
      <c r="C1503" s="3" t="s">
        <v>74</v>
      </c>
      <c r="E1503" s="3" t="str">
        <f>"FES1162845925"</f>
        <v>FES1162845925</v>
      </c>
      <c r="F1503" s="4">
        <v>44581</v>
      </c>
      <c r="G1503" s="3">
        <v>202207</v>
      </c>
      <c r="H1503" s="3" t="s">
        <v>75</v>
      </c>
      <c r="I1503" s="3" t="s">
        <v>76</v>
      </c>
      <c r="J1503" s="3" t="s">
        <v>77</v>
      </c>
      <c r="K1503" s="3" t="s">
        <v>78</v>
      </c>
      <c r="L1503" s="3" t="s">
        <v>171</v>
      </c>
      <c r="M1503" s="3" t="s">
        <v>172</v>
      </c>
      <c r="N1503" s="3" t="s">
        <v>454</v>
      </c>
      <c r="O1503" s="3" t="s">
        <v>82</v>
      </c>
      <c r="P1503" s="3" t="str">
        <f>"2170817371                    "</f>
        <v xml:space="preserve">2170817371                    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23.18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0</v>
      </c>
      <c r="BF1503" s="3">
        <v>0</v>
      </c>
      <c r="BG1503" s="3">
        <v>0</v>
      </c>
      <c r="BH1503" s="3">
        <v>1</v>
      </c>
      <c r="BI1503" s="3">
        <v>3</v>
      </c>
      <c r="BJ1503" s="3">
        <v>3</v>
      </c>
      <c r="BK1503" s="3">
        <v>3</v>
      </c>
      <c r="BL1503" s="3">
        <v>88.48</v>
      </c>
      <c r="BM1503" s="3">
        <v>13.27</v>
      </c>
      <c r="BN1503" s="3">
        <v>101.75</v>
      </c>
      <c r="BO1503" s="3">
        <v>101.75</v>
      </c>
      <c r="BQ1503" s="3" t="s">
        <v>89</v>
      </c>
      <c r="BR1503" s="3" t="s">
        <v>84</v>
      </c>
      <c r="BS1503" s="4">
        <v>44582</v>
      </c>
      <c r="BT1503" s="5">
        <v>0.38055555555555554</v>
      </c>
      <c r="BU1503" s="3" t="s">
        <v>1811</v>
      </c>
      <c r="BV1503" s="3" t="s">
        <v>105</v>
      </c>
      <c r="BY1503" s="3">
        <v>15246</v>
      </c>
      <c r="CA1503" s="3" t="s">
        <v>509</v>
      </c>
      <c r="CC1503" s="3" t="s">
        <v>172</v>
      </c>
      <c r="CD1503" s="3">
        <v>6001</v>
      </c>
      <c r="CE1503" s="3" t="s">
        <v>86</v>
      </c>
      <c r="CF1503" s="4">
        <v>44582</v>
      </c>
      <c r="CI1503" s="3">
        <v>1</v>
      </c>
      <c r="CJ1503" s="3">
        <v>1</v>
      </c>
      <c r="CK1503" s="3">
        <v>21</v>
      </c>
      <c r="CL1503" s="3" t="s">
        <v>87</v>
      </c>
    </row>
    <row r="1504" spans="1:90" x14ac:dyDescent="0.2">
      <c r="A1504" s="3" t="s">
        <v>72</v>
      </c>
      <c r="B1504" s="3" t="s">
        <v>73</v>
      </c>
      <c r="C1504" s="3" t="s">
        <v>74</v>
      </c>
      <c r="E1504" s="3" t="str">
        <f>"FES1162845974"</f>
        <v>FES1162845974</v>
      </c>
      <c r="F1504" s="4">
        <v>44581</v>
      </c>
      <c r="G1504" s="3">
        <v>202207</v>
      </c>
      <c r="H1504" s="3" t="s">
        <v>75</v>
      </c>
      <c r="I1504" s="3" t="s">
        <v>76</v>
      </c>
      <c r="J1504" s="3" t="s">
        <v>77</v>
      </c>
      <c r="K1504" s="3" t="s">
        <v>78</v>
      </c>
      <c r="L1504" s="3" t="s">
        <v>799</v>
      </c>
      <c r="M1504" s="3" t="s">
        <v>800</v>
      </c>
      <c r="N1504" s="3" t="s">
        <v>801</v>
      </c>
      <c r="O1504" s="3" t="s">
        <v>82</v>
      </c>
      <c r="P1504" s="3" t="str">
        <f>"2170817417                    "</f>
        <v xml:space="preserve">2170817417                    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64.08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  <c r="BH1504" s="3">
        <v>1</v>
      </c>
      <c r="BI1504" s="3">
        <v>2</v>
      </c>
      <c r="BJ1504" s="3">
        <v>5.7</v>
      </c>
      <c r="BK1504" s="3">
        <v>6</v>
      </c>
      <c r="BL1504" s="3">
        <v>244.6</v>
      </c>
      <c r="BM1504" s="3">
        <v>36.69</v>
      </c>
      <c r="BN1504" s="3">
        <v>281.29000000000002</v>
      </c>
      <c r="BO1504" s="3">
        <v>281.29000000000002</v>
      </c>
      <c r="BQ1504" s="3" t="s">
        <v>89</v>
      </c>
      <c r="BR1504" s="3" t="s">
        <v>84</v>
      </c>
      <c r="BS1504" s="4">
        <v>44582</v>
      </c>
      <c r="BT1504" s="5">
        <v>0.40972222222222227</v>
      </c>
      <c r="BU1504" s="3" t="s">
        <v>1184</v>
      </c>
      <c r="BV1504" s="3" t="s">
        <v>105</v>
      </c>
      <c r="BY1504" s="3">
        <v>28717</v>
      </c>
      <c r="CA1504" s="3" t="s">
        <v>803</v>
      </c>
      <c r="CC1504" s="3" t="s">
        <v>800</v>
      </c>
      <c r="CD1504" s="3">
        <v>2210</v>
      </c>
      <c r="CE1504" s="3" t="s">
        <v>86</v>
      </c>
      <c r="CF1504" s="4">
        <v>44586</v>
      </c>
      <c r="CI1504" s="3">
        <v>1</v>
      </c>
      <c r="CJ1504" s="3">
        <v>1</v>
      </c>
      <c r="CK1504" s="3">
        <v>24</v>
      </c>
      <c r="CL1504" s="3" t="s">
        <v>87</v>
      </c>
    </row>
    <row r="1505" spans="1:90" x14ac:dyDescent="0.2">
      <c r="A1505" s="3" t="s">
        <v>72</v>
      </c>
      <c r="B1505" s="3" t="s">
        <v>73</v>
      </c>
      <c r="C1505" s="3" t="s">
        <v>74</v>
      </c>
      <c r="E1505" s="3" t="str">
        <f>"FES1162846019"</f>
        <v>FES1162846019</v>
      </c>
      <c r="F1505" s="4">
        <v>44581</v>
      </c>
      <c r="G1505" s="3">
        <v>202207</v>
      </c>
      <c r="H1505" s="3" t="s">
        <v>75</v>
      </c>
      <c r="I1505" s="3" t="s">
        <v>76</v>
      </c>
      <c r="J1505" s="3" t="s">
        <v>77</v>
      </c>
      <c r="K1505" s="3" t="s">
        <v>78</v>
      </c>
      <c r="L1505" s="3" t="s">
        <v>75</v>
      </c>
      <c r="M1505" s="3" t="s">
        <v>76</v>
      </c>
      <c r="N1505" s="3" t="s">
        <v>688</v>
      </c>
      <c r="O1505" s="3" t="s">
        <v>82</v>
      </c>
      <c r="P1505" s="3" t="str">
        <f>"2170817461                    "</f>
        <v xml:space="preserve">2170817461                    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12.07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0</v>
      </c>
      <c r="AZ1505" s="3">
        <v>0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0</v>
      </c>
      <c r="BH1505" s="3">
        <v>1</v>
      </c>
      <c r="BI1505" s="3">
        <v>1</v>
      </c>
      <c r="BJ1505" s="3">
        <v>0.2</v>
      </c>
      <c r="BK1505" s="3">
        <v>1</v>
      </c>
      <c r="BL1505" s="3">
        <v>46.08</v>
      </c>
      <c r="BM1505" s="3">
        <v>6.91</v>
      </c>
      <c r="BN1505" s="3">
        <v>52.99</v>
      </c>
      <c r="BO1505" s="3">
        <v>52.99</v>
      </c>
      <c r="BQ1505" s="3" t="s">
        <v>83</v>
      </c>
      <c r="BR1505" s="3" t="s">
        <v>84</v>
      </c>
      <c r="BS1505" s="4">
        <v>44582</v>
      </c>
      <c r="BT1505" s="5">
        <v>0.30208333333333331</v>
      </c>
      <c r="BU1505" s="3" t="s">
        <v>1173</v>
      </c>
      <c r="BV1505" s="3" t="s">
        <v>105</v>
      </c>
      <c r="BY1505" s="3">
        <v>1200</v>
      </c>
      <c r="CA1505" s="3" t="s">
        <v>227</v>
      </c>
      <c r="CC1505" s="3" t="s">
        <v>76</v>
      </c>
      <c r="CD1505" s="3">
        <v>1620</v>
      </c>
      <c r="CE1505" s="3" t="s">
        <v>93</v>
      </c>
      <c r="CF1505" s="4">
        <v>44582</v>
      </c>
      <c r="CI1505" s="3">
        <v>1</v>
      </c>
      <c r="CJ1505" s="3">
        <v>1</v>
      </c>
      <c r="CK1505" s="3">
        <v>22</v>
      </c>
      <c r="CL1505" s="3" t="s">
        <v>87</v>
      </c>
    </row>
    <row r="1506" spans="1:90" x14ac:dyDescent="0.2">
      <c r="A1506" s="3" t="s">
        <v>72</v>
      </c>
      <c r="B1506" s="3" t="s">
        <v>73</v>
      </c>
      <c r="C1506" s="3" t="s">
        <v>74</v>
      </c>
      <c r="E1506" s="3" t="str">
        <f>"FES1162846080"</f>
        <v>FES1162846080</v>
      </c>
      <c r="F1506" s="4">
        <v>44581</v>
      </c>
      <c r="G1506" s="3">
        <v>202207</v>
      </c>
      <c r="H1506" s="3" t="s">
        <v>75</v>
      </c>
      <c r="I1506" s="3" t="s">
        <v>76</v>
      </c>
      <c r="J1506" s="3" t="s">
        <v>77</v>
      </c>
      <c r="K1506" s="3" t="s">
        <v>78</v>
      </c>
      <c r="L1506" s="3" t="s">
        <v>90</v>
      </c>
      <c r="M1506" s="3" t="s">
        <v>91</v>
      </c>
      <c r="N1506" s="3" t="s">
        <v>577</v>
      </c>
      <c r="O1506" s="3" t="s">
        <v>82</v>
      </c>
      <c r="P1506" s="3" t="str">
        <f>"2170817552                    "</f>
        <v xml:space="preserve">2170817552                    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15.46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0</v>
      </c>
      <c r="BE1506" s="3">
        <v>0</v>
      </c>
      <c r="BF1506" s="3">
        <v>0</v>
      </c>
      <c r="BG1506" s="3">
        <v>0</v>
      </c>
      <c r="BH1506" s="3">
        <v>1</v>
      </c>
      <c r="BI1506" s="3">
        <v>1</v>
      </c>
      <c r="BJ1506" s="3">
        <v>0.2</v>
      </c>
      <c r="BK1506" s="3">
        <v>1</v>
      </c>
      <c r="BL1506" s="3">
        <v>59</v>
      </c>
      <c r="BM1506" s="3">
        <v>8.85</v>
      </c>
      <c r="BN1506" s="3">
        <v>67.849999999999994</v>
      </c>
      <c r="BO1506" s="3">
        <v>67.849999999999994</v>
      </c>
      <c r="BQ1506" s="3" t="s">
        <v>126</v>
      </c>
      <c r="BR1506" s="3" t="s">
        <v>84</v>
      </c>
      <c r="BS1506" s="4">
        <v>44582</v>
      </c>
      <c r="BT1506" s="5">
        <v>0.36944444444444446</v>
      </c>
      <c r="BU1506" s="3" t="s">
        <v>1812</v>
      </c>
      <c r="BV1506" s="3" t="s">
        <v>105</v>
      </c>
      <c r="BY1506" s="3">
        <v>1200</v>
      </c>
      <c r="CA1506" s="3" t="s">
        <v>271</v>
      </c>
      <c r="CC1506" s="3" t="s">
        <v>91</v>
      </c>
      <c r="CD1506" s="3">
        <v>7441</v>
      </c>
      <c r="CE1506" s="3" t="s">
        <v>93</v>
      </c>
      <c r="CF1506" s="4">
        <v>44585</v>
      </c>
      <c r="CI1506" s="3">
        <v>1</v>
      </c>
      <c r="CJ1506" s="3">
        <v>1</v>
      </c>
      <c r="CK1506" s="3">
        <v>21</v>
      </c>
      <c r="CL1506" s="3" t="s">
        <v>87</v>
      </c>
    </row>
    <row r="1507" spans="1:90" x14ac:dyDescent="0.2">
      <c r="A1507" s="3" t="s">
        <v>72</v>
      </c>
      <c r="B1507" s="3" t="s">
        <v>73</v>
      </c>
      <c r="C1507" s="3" t="s">
        <v>74</v>
      </c>
      <c r="E1507" s="3" t="str">
        <f>"FES1162846089"</f>
        <v>FES1162846089</v>
      </c>
      <c r="F1507" s="4">
        <v>44581</v>
      </c>
      <c r="G1507" s="3">
        <v>202207</v>
      </c>
      <c r="H1507" s="3" t="s">
        <v>75</v>
      </c>
      <c r="I1507" s="3" t="s">
        <v>76</v>
      </c>
      <c r="J1507" s="3" t="s">
        <v>77</v>
      </c>
      <c r="K1507" s="3" t="s">
        <v>78</v>
      </c>
      <c r="L1507" s="3" t="s">
        <v>97</v>
      </c>
      <c r="M1507" s="3" t="s">
        <v>98</v>
      </c>
      <c r="N1507" s="3" t="s">
        <v>1813</v>
      </c>
      <c r="O1507" s="3" t="s">
        <v>82</v>
      </c>
      <c r="P1507" s="3" t="str">
        <f>"2170817569                    "</f>
        <v xml:space="preserve">2170817569                    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12.07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  <c r="BH1507" s="3">
        <v>1</v>
      </c>
      <c r="BI1507" s="3">
        <v>1</v>
      </c>
      <c r="BJ1507" s="3">
        <v>0.2</v>
      </c>
      <c r="BK1507" s="3">
        <v>1</v>
      </c>
      <c r="BL1507" s="3">
        <v>46.08</v>
      </c>
      <c r="BM1507" s="3">
        <v>6.91</v>
      </c>
      <c r="BN1507" s="3">
        <v>52.99</v>
      </c>
      <c r="BO1507" s="3">
        <v>52.99</v>
      </c>
      <c r="BR1507" s="3" t="s">
        <v>84</v>
      </c>
      <c r="BS1507" s="4">
        <v>44582</v>
      </c>
      <c r="BT1507" s="5">
        <v>0.49444444444444446</v>
      </c>
      <c r="BU1507" s="3" t="s">
        <v>1814</v>
      </c>
      <c r="BV1507" s="3" t="s">
        <v>87</v>
      </c>
      <c r="BW1507" s="3" t="s">
        <v>278</v>
      </c>
      <c r="BX1507" s="3" t="s">
        <v>1722</v>
      </c>
      <c r="BY1507" s="3">
        <v>1200</v>
      </c>
      <c r="CC1507" s="3" t="s">
        <v>98</v>
      </c>
      <c r="CD1507" s="3">
        <v>2049</v>
      </c>
      <c r="CE1507" s="3" t="s">
        <v>93</v>
      </c>
      <c r="CF1507" s="4">
        <v>44582</v>
      </c>
      <c r="CI1507" s="3">
        <v>1</v>
      </c>
      <c r="CJ1507" s="3">
        <v>1</v>
      </c>
      <c r="CK1507" s="3">
        <v>22</v>
      </c>
      <c r="CL1507" s="3" t="s">
        <v>87</v>
      </c>
    </row>
    <row r="1508" spans="1:90" x14ac:dyDescent="0.2">
      <c r="A1508" s="3" t="s">
        <v>72</v>
      </c>
      <c r="B1508" s="3" t="s">
        <v>73</v>
      </c>
      <c r="C1508" s="3" t="s">
        <v>74</v>
      </c>
      <c r="E1508" s="3" t="str">
        <f>"FES1162846103"</f>
        <v>FES1162846103</v>
      </c>
      <c r="F1508" s="4">
        <v>44581</v>
      </c>
      <c r="G1508" s="3">
        <v>202207</v>
      </c>
      <c r="H1508" s="3" t="s">
        <v>75</v>
      </c>
      <c r="I1508" s="3" t="s">
        <v>76</v>
      </c>
      <c r="J1508" s="3" t="s">
        <v>77</v>
      </c>
      <c r="K1508" s="3" t="s">
        <v>78</v>
      </c>
      <c r="L1508" s="3" t="s">
        <v>79</v>
      </c>
      <c r="M1508" s="3" t="s">
        <v>80</v>
      </c>
      <c r="N1508" s="3" t="s">
        <v>1719</v>
      </c>
      <c r="O1508" s="3" t="s">
        <v>82</v>
      </c>
      <c r="P1508" s="3" t="str">
        <f>"2170817582                    "</f>
        <v xml:space="preserve">2170817582                    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34.770000000000003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  <c r="BH1508" s="3">
        <v>1</v>
      </c>
      <c r="BI1508" s="3">
        <v>3</v>
      </c>
      <c r="BJ1508" s="3">
        <v>4.0999999999999996</v>
      </c>
      <c r="BK1508" s="3">
        <v>4.5</v>
      </c>
      <c r="BL1508" s="3">
        <v>132.71</v>
      </c>
      <c r="BM1508" s="3">
        <v>19.91</v>
      </c>
      <c r="BN1508" s="3">
        <v>152.62</v>
      </c>
      <c r="BO1508" s="3">
        <v>152.62</v>
      </c>
      <c r="BQ1508" s="3" t="s">
        <v>89</v>
      </c>
      <c r="BR1508" s="3" t="s">
        <v>84</v>
      </c>
      <c r="BS1508" s="4">
        <v>44582</v>
      </c>
      <c r="BT1508" s="5">
        <v>0.40208333333333335</v>
      </c>
      <c r="BU1508" s="3" t="s">
        <v>1815</v>
      </c>
      <c r="BV1508" s="3" t="s">
        <v>105</v>
      </c>
      <c r="BY1508" s="3">
        <v>20358</v>
      </c>
      <c r="CA1508" s="3" t="s">
        <v>742</v>
      </c>
      <c r="CC1508" s="3" t="s">
        <v>80</v>
      </c>
      <c r="CD1508" s="3">
        <v>200</v>
      </c>
      <c r="CE1508" s="3" t="s">
        <v>86</v>
      </c>
      <c r="CF1508" s="4">
        <v>44587</v>
      </c>
      <c r="CI1508" s="3">
        <v>1</v>
      </c>
      <c r="CJ1508" s="3">
        <v>1</v>
      </c>
      <c r="CK1508" s="3">
        <v>21</v>
      </c>
      <c r="CL1508" s="3" t="s">
        <v>87</v>
      </c>
    </row>
    <row r="1509" spans="1:90" x14ac:dyDescent="0.2">
      <c r="A1509" s="3" t="s">
        <v>72</v>
      </c>
      <c r="B1509" s="3" t="s">
        <v>73</v>
      </c>
      <c r="C1509" s="3" t="s">
        <v>74</v>
      </c>
      <c r="E1509" s="3" t="str">
        <f>"FES1162845953"</f>
        <v>FES1162845953</v>
      </c>
      <c r="F1509" s="4">
        <v>44581</v>
      </c>
      <c r="G1509" s="3">
        <v>202207</v>
      </c>
      <c r="H1509" s="3" t="s">
        <v>75</v>
      </c>
      <c r="I1509" s="3" t="s">
        <v>76</v>
      </c>
      <c r="J1509" s="3" t="s">
        <v>77</v>
      </c>
      <c r="K1509" s="3" t="s">
        <v>78</v>
      </c>
      <c r="L1509" s="3" t="s">
        <v>1201</v>
      </c>
      <c r="M1509" s="3" t="s">
        <v>1202</v>
      </c>
      <c r="N1509" s="3" t="s">
        <v>321</v>
      </c>
      <c r="O1509" s="3" t="s">
        <v>82</v>
      </c>
      <c r="P1509" s="3" t="str">
        <f>"2170812264                    "</f>
        <v xml:space="preserve">2170812264                    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29.95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  <c r="BH1509" s="3">
        <v>1</v>
      </c>
      <c r="BI1509" s="3">
        <v>1</v>
      </c>
      <c r="BJ1509" s="3">
        <v>1.1000000000000001</v>
      </c>
      <c r="BK1509" s="3">
        <v>1.5</v>
      </c>
      <c r="BL1509" s="3">
        <v>114.31</v>
      </c>
      <c r="BM1509" s="3">
        <v>17.149999999999999</v>
      </c>
      <c r="BN1509" s="3">
        <v>131.46</v>
      </c>
      <c r="BO1509" s="3">
        <v>131.46</v>
      </c>
      <c r="BQ1509" s="3" t="s">
        <v>83</v>
      </c>
      <c r="BR1509" s="3" t="s">
        <v>84</v>
      </c>
      <c r="BS1509" s="4">
        <v>44582</v>
      </c>
      <c r="BT1509" s="5">
        <v>0.58611111111111114</v>
      </c>
      <c r="BU1509" s="3" t="s">
        <v>1203</v>
      </c>
      <c r="BV1509" s="3" t="s">
        <v>105</v>
      </c>
      <c r="BY1509" s="3">
        <v>5320</v>
      </c>
      <c r="CA1509" s="3" t="s">
        <v>1204</v>
      </c>
      <c r="CC1509" s="3" t="s">
        <v>1202</v>
      </c>
      <c r="CD1509" s="3">
        <v>9880</v>
      </c>
      <c r="CE1509" s="3" t="s">
        <v>86</v>
      </c>
      <c r="CF1509" s="4">
        <v>44585</v>
      </c>
      <c r="CI1509" s="3">
        <v>1</v>
      </c>
      <c r="CJ1509" s="3">
        <v>1</v>
      </c>
      <c r="CK1509" s="3">
        <v>23</v>
      </c>
      <c r="CL1509" s="3" t="s">
        <v>87</v>
      </c>
    </row>
    <row r="1510" spans="1:90" x14ac:dyDescent="0.2">
      <c r="A1510" s="3" t="s">
        <v>72</v>
      </c>
      <c r="B1510" s="3" t="s">
        <v>73</v>
      </c>
      <c r="C1510" s="3" t="s">
        <v>74</v>
      </c>
      <c r="E1510" s="3" t="str">
        <f>"FES1162846033"</f>
        <v>FES1162846033</v>
      </c>
      <c r="F1510" s="4">
        <v>44581</v>
      </c>
      <c r="G1510" s="3">
        <v>202207</v>
      </c>
      <c r="H1510" s="3" t="s">
        <v>75</v>
      </c>
      <c r="I1510" s="3" t="s">
        <v>76</v>
      </c>
      <c r="J1510" s="3" t="s">
        <v>77</v>
      </c>
      <c r="K1510" s="3" t="s">
        <v>78</v>
      </c>
      <c r="L1510" s="3" t="s">
        <v>75</v>
      </c>
      <c r="M1510" s="3" t="s">
        <v>76</v>
      </c>
      <c r="N1510" s="3" t="s">
        <v>688</v>
      </c>
      <c r="O1510" s="3" t="s">
        <v>82</v>
      </c>
      <c r="P1510" s="3" t="str">
        <f>"2170817483                    "</f>
        <v xml:space="preserve">2170817483                    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12.07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0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  <c r="BH1510" s="3">
        <v>1</v>
      </c>
      <c r="BI1510" s="3">
        <v>1</v>
      </c>
      <c r="BJ1510" s="3">
        <v>1.1000000000000001</v>
      </c>
      <c r="BK1510" s="3">
        <v>1.5</v>
      </c>
      <c r="BL1510" s="3">
        <v>46.08</v>
      </c>
      <c r="BM1510" s="3">
        <v>6.91</v>
      </c>
      <c r="BN1510" s="3">
        <v>52.99</v>
      </c>
      <c r="BO1510" s="3">
        <v>52.99</v>
      </c>
      <c r="BQ1510" s="3" t="s">
        <v>83</v>
      </c>
      <c r="BR1510" s="3" t="s">
        <v>84</v>
      </c>
      <c r="BS1510" s="4">
        <v>44582</v>
      </c>
      <c r="BT1510" s="5">
        <v>0.30208333333333331</v>
      </c>
      <c r="BU1510" s="3" t="s">
        <v>1173</v>
      </c>
      <c r="BV1510" s="3" t="s">
        <v>105</v>
      </c>
      <c r="BY1510" s="3">
        <v>5320</v>
      </c>
      <c r="CA1510" s="3" t="s">
        <v>227</v>
      </c>
      <c r="CC1510" s="3" t="s">
        <v>76</v>
      </c>
      <c r="CD1510" s="3">
        <v>1620</v>
      </c>
      <c r="CE1510" s="3" t="s">
        <v>86</v>
      </c>
      <c r="CF1510" s="4">
        <v>44582</v>
      </c>
      <c r="CI1510" s="3">
        <v>1</v>
      </c>
      <c r="CJ1510" s="3">
        <v>1</v>
      </c>
      <c r="CK1510" s="3">
        <v>22</v>
      </c>
      <c r="CL1510" s="3" t="s">
        <v>87</v>
      </c>
    </row>
    <row r="1511" spans="1:90" x14ac:dyDescent="0.2">
      <c r="A1511" s="3" t="s">
        <v>72</v>
      </c>
      <c r="B1511" s="3" t="s">
        <v>73</v>
      </c>
      <c r="C1511" s="3" t="s">
        <v>74</v>
      </c>
      <c r="E1511" s="3" t="str">
        <f>"FES1162845988"</f>
        <v>FES1162845988</v>
      </c>
      <c r="F1511" s="4">
        <v>44581</v>
      </c>
      <c r="G1511" s="3">
        <v>202207</v>
      </c>
      <c r="H1511" s="3" t="s">
        <v>75</v>
      </c>
      <c r="I1511" s="3" t="s">
        <v>76</v>
      </c>
      <c r="J1511" s="3" t="s">
        <v>77</v>
      </c>
      <c r="K1511" s="3" t="s">
        <v>78</v>
      </c>
      <c r="L1511" s="3" t="s">
        <v>97</v>
      </c>
      <c r="M1511" s="3" t="s">
        <v>98</v>
      </c>
      <c r="N1511" s="3" t="s">
        <v>1568</v>
      </c>
      <c r="O1511" s="3" t="s">
        <v>82</v>
      </c>
      <c r="P1511" s="3" t="str">
        <f>"2170817391                    "</f>
        <v xml:space="preserve">2170817391                    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12.07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15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  <c r="BH1511" s="3">
        <v>1</v>
      </c>
      <c r="BI1511" s="3">
        <v>1</v>
      </c>
      <c r="BJ1511" s="3">
        <v>0.2</v>
      </c>
      <c r="BK1511" s="3">
        <v>1</v>
      </c>
      <c r="BL1511" s="3">
        <v>61.08</v>
      </c>
      <c r="BM1511" s="3">
        <v>9.16</v>
      </c>
      <c r="BN1511" s="3">
        <v>70.239999999999995</v>
      </c>
      <c r="BO1511" s="3">
        <v>70.239999999999995</v>
      </c>
      <c r="BQ1511" s="3" t="s">
        <v>89</v>
      </c>
      <c r="BR1511" s="3" t="s">
        <v>84</v>
      </c>
      <c r="BS1511" s="4">
        <v>44585</v>
      </c>
      <c r="BT1511" s="5">
        <v>0.43055555555555558</v>
      </c>
      <c r="BU1511" s="3" t="s">
        <v>1802</v>
      </c>
      <c r="BV1511" s="3" t="s">
        <v>87</v>
      </c>
      <c r="BW1511" s="3" t="s">
        <v>278</v>
      </c>
      <c r="BX1511" s="3" t="s">
        <v>1722</v>
      </c>
      <c r="BY1511" s="3">
        <v>1200</v>
      </c>
      <c r="BZ1511" s="3" t="s">
        <v>30</v>
      </c>
      <c r="CA1511" s="3" t="s">
        <v>1751</v>
      </c>
      <c r="CC1511" s="3" t="s">
        <v>98</v>
      </c>
      <c r="CD1511" s="3">
        <v>1723</v>
      </c>
      <c r="CE1511" s="3" t="s">
        <v>93</v>
      </c>
      <c r="CF1511" s="4">
        <v>44586</v>
      </c>
      <c r="CI1511" s="3">
        <v>1</v>
      </c>
      <c r="CJ1511" s="3">
        <v>2</v>
      </c>
      <c r="CK1511" s="3">
        <v>22</v>
      </c>
      <c r="CL1511" s="3" t="s">
        <v>87</v>
      </c>
    </row>
    <row r="1512" spans="1:90" x14ac:dyDescent="0.2">
      <c r="A1512" s="3" t="s">
        <v>72</v>
      </c>
      <c r="B1512" s="3" t="s">
        <v>73</v>
      </c>
      <c r="C1512" s="3" t="s">
        <v>74</v>
      </c>
      <c r="E1512" s="3" t="str">
        <f>"FES1162845932"</f>
        <v>FES1162845932</v>
      </c>
      <c r="F1512" s="4">
        <v>44581</v>
      </c>
      <c r="G1512" s="3">
        <v>202207</v>
      </c>
      <c r="H1512" s="3" t="s">
        <v>75</v>
      </c>
      <c r="I1512" s="3" t="s">
        <v>76</v>
      </c>
      <c r="J1512" s="3" t="s">
        <v>77</v>
      </c>
      <c r="K1512" s="3" t="s">
        <v>78</v>
      </c>
      <c r="L1512" s="3" t="s">
        <v>138</v>
      </c>
      <c r="M1512" s="3" t="s">
        <v>139</v>
      </c>
      <c r="N1512" s="3" t="s">
        <v>621</v>
      </c>
      <c r="O1512" s="3" t="s">
        <v>82</v>
      </c>
      <c r="P1512" s="3" t="str">
        <f>"2170817084                    "</f>
        <v xml:space="preserve">2170817084                    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15.46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  <c r="BH1512" s="3">
        <v>1</v>
      </c>
      <c r="BI1512" s="3">
        <v>1</v>
      </c>
      <c r="BJ1512" s="3">
        <v>0.2</v>
      </c>
      <c r="BK1512" s="3">
        <v>1</v>
      </c>
      <c r="BL1512" s="3">
        <v>59</v>
      </c>
      <c r="BM1512" s="3">
        <v>8.85</v>
      </c>
      <c r="BN1512" s="3">
        <v>67.849999999999994</v>
      </c>
      <c r="BO1512" s="3">
        <v>67.849999999999994</v>
      </c>
      <c r="BQ1512" s="3" t="s">
        <v>83</v>
      </c>
      <c r="BR1512" s="3" t="s">
        <v>84</v>
      </c>
      <c r="BS1512" s="4">
        <v>44582</v>
      </c>
      <c r="BT1512" s="5">
        <v>0.48958333333333331</v>
      </c>
      <c r="BU1512" s="3" t="s">
        <v>1172</v>
      </c>
      <c r="BV1512" s="3" t="s">
        <v>105</v>
      </c>
      <c r="BY1512" s="3">
        <v>1200</v>
      </c>
      <c r="CA1512" s="3" t="s">
        <v>303</v>
      </c>
      <c r="CC1512" s="3" t="s">
        <v>139</v>
      </c>
      <c r="CD1512" s="3">
        <v>3610</v>
      </c>
      <c r="CE1512" s="3" t="s">
        <v>93</v>
      </c>
      <c r="CF1512" s="4">
        <v>44585</v>
      </c>
      <c r="CI1512" s="3">
        <v>1</v>
      </c>
      <c r="CJ1512" s="3">
        <v>1</v>
      </c>
      <c r="CK1512" s="3">
        <v>21</v>
      </c>
      <c r="CL1512" s="3" t="s">
        <v>87</v>
      </c>
    </row>
    <row r="1513" spans="1:90" x14ac:dyDescent="0.2">
      <c r="A1513" s="3" t="s">
        <v>72</v>
      </c>
      <c r="B1513" s="3" t="s">
        <v>73</v>
      </c>
      <c r="C1513" s="3" t="s">
        <v>74</v>
      </c>
      <c r="E1513" s="3" t="str">
        <f>"FES1162846099"</f>
        <v>FES1162846099</v>
      </c>
      <c r="F1513" s="4">
        <v>44581</v>
      </c>
      <c r="G1513" s="3">
        <v>202207</v>
      </c>
      <c r="H1513" s="3" t="s">
        <v>75</v>
      </c>
      <c r="I1513" s="3" t="s">
        <v>76</v>
      </c>
      <c r="J1513" s="3" t="s">
        <v>77</v>
      </c>
      <c r="K1513" s="3" t="s">
        <v>78</v>
      </c>
      <c r="L1513" s="3" t="s">
        <v>90</v>
      </c>
      <c r="M1513" s="3" t="s">
        <v>91</v>
      </c>
      <c r="N1513" s="3" t="s">
        <v>1816</v>
      </c>
      <c r="O1513" s="3" t="s">
        <v>82</v>
      </c>
      <c r="P1513" s="3" t="str">
        <f>"2170817578                    "</f>
        <v xml:space="preserve">2170817578                    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15.46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0</v>
      </c>
      <c r="AZ1513" s="3">
        <v>0</v>
      </c>
      <c r="BA1513" s="3">
        <v>0</v>
      </c>
      <c r="BB1513" s="3">
        <v>0</v>
      </c>
      <c r="BC1513" s="3">
        <v>0</v>
      </c>
      <c r="BD1513" s="3">
        <v>0</v>
      </c>
      <c r="BE1513" s="3">
        <v>0</v>
      </c>
      <c r="BF1513" s="3">
        <v>0</v>
      </c>
      <c r="BG1513" s="3">
        <v>0</v>
      </c>
      <c r="BH1513" s="3">
        <v>1</v>
      </c>
      <c r="BI1513" s="3">
        <v>1</v>
      </c>
      <c r="BJ1513" s="3">
        <v>0.2</v>
      </c>
      <c r="BK1513" s="3">
        <v>1</v>
      </c>
      <c r="BL1513" s="3">
        <v>59</v>
      </c>
      <c r="BM1513" s="3">
        <v>8.85</v>
      </c>
      <c r="BN1513" s="3">
        <v>67.849999999999994</v>
      </c>
      <c r="BO1513" s="3">
        <v>67.849999999999994</v>
      </c>
      <c r="BQ1513" s="3" t="s">
        <v>145</v>
      </c>
      <c r="BR1513" s="3" t="s">
        <v>84</v>
      </c>
      <c r="BS1513" s="4">
        <v>44582</v>
      </c>
      <c r="BT1513" s="5">
        <v>0.36180555555555555</v>
      </c>
      <c r="BU1513" s="3" t="s">
        <v>1817</v>
      </c>
      <c r="BV1513" s="3" t="s">
        <v>105</v>
      </c>
      <c r="BY1513" s="3">
        <v>1200</v>
      </c>
      <c r="CA1513" s="3" t="s">
        <v>566</v>
      </c>
      <c r="CC1513" s="3" t="s">
        <v>91</v>
      </c>
      <c r="CD1513" s="3">
        <v>7460</v>
      </c>
      <c r="CE1513" s="3" t="s">
        <v>93</v>
      </c>
      <c r="CF1513" s="4">
        <v>44585</v>
      </c>
      <c r="CI1513" s="3">
        <v>1</v>
      </c>
      <c r="CJ1513" s="3">
        <v>1</v>
      </c>
      <c r="CK1513" s="3">
        <v>21</v>
      </c>
      <c r="CL1513" s="3" t="s">
        <v>87</v>
      </c>
    </row>
    <row r="1514" spans="1:90" x14ac:dyDescent="0.2">
      <c r="A1514" s="3" t="s">
        <v>72</v>
      </c>
      <c r="B1514" s="3" t="s">
        <v>73</v>
      </c>
      <c r="C1514" s="3" t="s">
        <v>74</v>
      </c>
      <c r="E1514" s="3" t="str">
        <f>"FES1162845995"</f>
        <v>FES1162845995</v>
      </c>
      <c r="F1514" s="4">
        <v>44581</v>
      </c>
      <c r="G1514" s="3">
        <v>202207</v>
      </c>
      <c r="H1514" s="3" t="s">
        <v>75</v>
      </c>
      <c r="I1514" s="3" t="s">
        <v>76</v>
      </c>
      <c r="J1514" s="3" t="s">
        <v>77</v>
      </c>
      <c r="K1514" s="3" t="s">
        <v>78</v>
      </c>
      <c r="L1514" s="3" t="s">
        <v>1818</v>
      </c>
      <c r="M1514" s="3" t="s">
        <v>1819</v>
      </c>
      <c r="N1514" s="3" t="s">
        <v>1820</v>
      </c>
      <c r="O1514" s="3" t="s">
        <v>82</v>
      </c>
      <c r="P1514" s="3" t="str">
        <f>"2170817441                    "</f>
        <v xml:space="preserve">2170817441                    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29.95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  <c r="BH1514" s="3">
        <v>1</v>
      </c>
      <c r="BI1514" s="3">
        <v>1</v>
      </c>
      <c r="BJ1514" s="3">
        <v>0.2</v>
      </c>
      <c r="BK1514" s="3">
        <v>1</v>
      </c>
      <c r="BL1514" s="3">
        <v>114.31</v>
      </c>
      <c r="BM1514" s="3">
        <v>17.149999999999999</v>
      </c>
      <c r="BN1514" s="3">
        <v>131.46</v>
      </c>
      <c r="BO1514" s="3">
        <v>131.46</v>
      </c>
      <c r="BQ1514" s="3" t="s">
        <v>83</v>
      </c>
      <c r="BR1514" s="3" t="s">
        <v>84</v>
      </c>
      <c r="BS1514" s="4">
        <v>44582</v>
      </c>
      <c r="BT1514" s="5">
        <v>0.50138888888888888</v>
      </c>
      <c r="BU1514" s="3" t="s">
        <v>1821</v>
      </c>
      <c r="BV1514" s="3" t="s">
        <v>105</v>
      </c>
      <c r="BY1514" s="3">
        <v>1200</v>
      </c>
      <c r="CA1514" s="3" t="s">
        <v>1822</v>
      </c>
      <c r="CC1514" s="3" t="s">
        <v>1819</v>
      </c>
      <c r="CD1514" s="3">
        <v>2370</v>
      </c>
      <c r="CE1514" s="3" t="s">
        <v>93</v>
      </c>
      <c r="CF1514" s="4">
        <v>44582</v>
      </c>
      <c r="CI1514" s="3">
        <v>5</v>
      </c>
      <c r="CJ1514" s="3">
        <v>1</v>
      </c>
      <c r="CK1514" s="3">
        <v>23</v>
      </c>
      <c r="CL1514" s="3" t="s">
        <v>87</v>
      </c>
    </row>
    <row r="1515" spans="1:90" x14ac:dyDescent="0.2">
      <c r="A1515" s="3" t="s">
        <v>72</v>
      </c>
      <c r="B1515" s="3" t="s">
        <v>73</v>
      </c>
      <c r="C1515" s="3" t="s">
        <v>74</v>
      </c>
      <c r="E1515" s="3" t="str">
        <f>"FES1162845986"</f>
        <v>FES1162845986</v>
      </c>
      <c r="F1515" s="4">
        <v>44581</v>
      </c>
      <c r="G1515" s="3">
        <v>202207</v>
      </c>
      <c r="H1515" s="3" t="s">
        <v>75</v>
      </c>
      <c r="I1515" s="3" t="s">
        <v>76</v>
      </c>
      <c r="J1515" s="3" t="s">
        <v>77</v>
      </c>
      <c r="K1515" s="3" t="s">
        <v>78</v>
      </c>
      <c r="L1515" s="3" t="s">
        <v>187</v>
      </c>
      <c r="M1515" s="3" t="s">
        <v>188</v>
      </c>
      <c r="N1515" s="3" t="s">
        <v>189</v>
      </c>
      <c r="O1515" s="3" t="s">
        <v>82</v>
      </c>
      <c r="P1515" s="3" t="str">
        <f>"2170817431                    "</f>
        <v xml:space="preserve">2170817431                    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43.47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  <c r="BH1515" s="3">
        <v>1</v>
      </c>
      <c r="BI1515" s="3">
        <v>3</v>
      </c>
      <c r="BJ1515" s="3">
        <v>1.5</v>
      </c>
      <c r="BK1515" s="3">
        <v>3</v>
      </c>
      <c r="BL1515" s="3">
        <v>165.93</v>
      </c>
      <c r="BM1515" s="3">
        <v>24.89</v>
      </c>
      <c r="BN1515" s="3">
        <v>190.82</v>
      </c>
      <c r="BO1515" s="3">
        <v>190.82</v>
      </c>
      <c r="BQ1515" s="3" t="s">
        <v>83</v>
      </c>
      <c r="BR1515" s="3" t="s">
        <v>84</v>
      </c>
      <c r="BS1515" s="4">
        <v>44582</v>
      </c>
      <c r="BT1515" s="5">
        <v>0.55833333333333335</v>
      </c>
      <c r="BU1515" s="3" t="s">
        <v>955</v>
      </c>
      <c r="BV1515" s="3" t="s">
        <v>87</v>
      </c>
      <c r="BW1515" s="3" t="s">
        <v>457</v>
      </c>
      <c r="BX1515" s="3" t="s">
        <v>602</v>
      </c>
      <c r="BY1515" s="3">
        <v>7540</v>
      </c>
      <c r="CA1515" s="3" t="s">
        <v>268</v>
      </c>
      <c r="CC1515" s="3" t="s">
        <v>188</v>
      </c>
      <c r="CD1515" s="3">
        <v>7300</v>
      </c>
      <c r="CE1515" s="3" t="s">
        <v>86</v>
      </c>
      <c r="CF1515" s="4">
        <v>44585</v>
      </c>
      <c r="CI1515" s="3">
        <v>1</v>
      </c>
      <c r="CJ1515" s="3">
        <v>1</v>
      </c>
      <c r="CK1515" s="3">
        <v>23</v>
      </c>
      <c r="CL1515" s="3" t="s">
        <v>87</v>
      </c>
    </row>
    <row r="1516" spans="1:90" x14ac:dyDescent="0.2">
      <c r="A1516" s="3" t="s">
        <v>72</v>
      </c>
      <c r="B1516" s="3" t="s">
        <v>73</v>
      </c>
      <c r="C1516" s="3" t="s">
        <v>74</v>
      </c>
      <c r="E1516" s="3" t="str">
        <f>"FES1162845981"</f>
        <v>FES1162845981</v>
      </c>
      <c r="F1516" s="4">
        <v>44581</v>
      </c>
      <c r="G1516" s="3">
        <v>202207</v>
      </c>
      <c r="H1516" s="3" t="s">
        <v>75</v>
      </c>
      <c r="I1516" s="3" t="s">
        <v>76</v>
      </c>
      <c r="J1516" s="3" t="s">
        <v>77</v>
      </c>
      <c r="K1516" s="3" t="s">
        <v>78</v>
      </c>
      <c r="L1516" s="3" t="s">
        <v>184</v>
      </c>
      <c r="M1516" s="3" t="s">
        <v>185</v>
      </c>
      <c r="N1516" s="3" t="s">
        <v>234</v>
      </c>
      <c r="O1516" s="3" t="s">
        <v>82</v>
      </c>
      <c r="P1516" s="3" t="str">
        <f>"2170816976                    "</f>
        <v xml:space="preserve">2170816976                    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54.08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  <c r="BH1516" s="3">
        <v>1</v>
      </c>
      <c r="BI1516" s="3">
        <v>7</v>
      </c>
      <c r="BJ1516" s="3">
        <v>4.3</v>
      </c>
      <c r="BK1516" s="3">
        <v>7</v>
      </c>
      <c r="BL1516" s="3">
        <v>206.42</v>
      </c>
      <c r="BM1516" s="3">
        <v>30.96</v>
      </c>
      <c r="BN1516" s="3">
        <v>237.38</v>
      </c>
      <c r="BO1516" s="3">
        <v>237.38</v>
      </c>
      <c r="BQ1516" s="3" t="s">
        <v>89</v>
      </c>
      <c r="BR1516" s="3" t="s">
        <v>84</v>
      </c>
      <c r="BS1516" s="4">
        <v>44582</v>
      </c>
      <c r="BT1516" s="5">
        <v>0.42291666666666666</v>
      </c>
      <c r="BU1516" s="3" t="s">
        <v>998</v>
      </c>
      <c r="BV1516" s="3" t="s">
        <v>105</v>
      </c>
      <c r="BY1516" s="3">
        <v>21632</v>
      </c>
      <c r="CA1516" s="3" t="s">
        <v>612</v>
      </c>
      <c r="CC1516" s="3" t="s">
        <v>185</v>
      </c>
      <c r="CD1516" s="3">
        <v>5201</v>
      </c>
      <c r="CE1516" s="3" t="s">
        <v>86</v>
      </c>
      <c r="CF1516" s="4">
        <v>44582</v>
      </c>
      <c r="CI1516" s="3">
        <v>1</v>
      </c>
      <c r="CJ1516" s="3">
        <v>1</v>
      </c>
      <c r="CK1516" s="3">
        <v>21</v>
      </c>
      <c r="CL1516" s="3" t="s">
        <v>87</v>
      </c>
    </row>
    <row r="1517" spans="1:90" x14ac:dyDescent="0.2">
      <c r="A1517" s="3" t="s">
        <v>72</v>
      </c>
      <c r="B1517" s="3" t="s">
        <v>73</v>
      </c>
      <c r="C1517" s="3" t="s">
        <v>74</v>
      </c>
      <c r="E1517" s="3" t="str">
        <f>"FES1162845853"</f>
        <v>FES1162845853</v>
      </c>
      <c r="F1517" s="4">
        <v>44581</v>
      </c>
      <c r="G1517" s="3">
        <v>202207</v>
      </c>
      <c r="H1517" s="3" t="s">
        <v>75</v>
      </c>
      <c r="I1517" s="3" t="s">
        <v>76</v>
      </c>
      <c r="J1517" s="3" t="s">
        <v>77</v>
      </c>
      <c r="K1517" s="3" t="s">
        <v>78</v>
      </c>
      <c r="L1517" s="3" t="s">
        <v>75</v>
      </c>
      <c r="M1517" s="3" t="s">
        <v>76</v>
      </c>
      <c r="N1517" s="3" t="s">
        <v>225</v>
      </c>
      <c r="O1517" s="3" t="s">
        <v>82</v>
      </c>
      <c r="P1517" s="3" t="str">
        <f>"2170817178                    "</f>
        <v xml:space="preserve">2170817178                    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12.07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  <c r="BH1517" s="3">
        <v>1</v>
      </c>
      <c r="BI1517" s="3">
        <v>1</v>
      </c>
      <c r="BJ1517" s="3">
        <v>2</v>
      </c>
      <c r="BK1517" s="3">
        <v>2</v>
      </c>
      <c r="BL1517" s="3">
        <v>46.08</v>
      </c>
      <c r="BM1517" s="3">
        <v>6.91</v>
      </c>
      <c r="BN1517" s="3">
        <v>52.99</v>
      </c>
      <c r="BO1517" s="3">
        <v>52.99</v>
      </c>
      <c r="BR1517" s="3" t="s">
        <v>84</v>
      </c>
      <c r="BS1517" s="4">
        <v>44582</v>
      </c>
      <c r="BT1517" s="5">
        <v>0.35694444444444445</v>
      </c>
      <c r="BU1517" s="3" t="s">
        <v>1823</v>
      </c>
      <c r="BV1517" s="3" t="s">
        <v>105</v>
      </c>
      <c r="BY1517" s="3">
        <v>9900</v>
      </c>
      <c r="CA1517" s="3" t="s">
        <v>227</v>
      </c>
      <c r="CC1517" s="3" t="s">
        <v>76</v>
      </c>
      <c r="CD1517" s="3">
        <v>1600</v>
      </c>
      <c r="CE1517" s="3" t="s">
        <v>86</v>
      </c>
      <c r="CF1517" s="4">
        <v>44582</v>
      </c>
      <c r="CI1517" s="3">
        <v>1</v>
      </c>
      <c r="CJ1517" s="3">
        <v>1</v>
      </c>
      <c r="CK1517" s="3">
        <v>22</v>
      </c>
      <c r="CL1517" s="3" t="s">
        <v>87</v>
      </c>
    </row>
    <row r="1518" spans="1:90" x14ac:dyDescent="0.2">
      <c r="A1518" s="3" t="s">
        <v>72</v>
      </c>
      <c r="B1518" s="3" t="s">
        <v>73</v>
      </c>
      <c r="C1518" s="3" t="s">
        <v>74</v>
      </c>
      <c r="E1518" s="3" t="str">
        <f>"FES1162846012"</f>
        <v>FES1162846012</v>
      </c>
      <c r="F1518" s="4">
        <v>44581</v>
      </c>
      <c r="G1518" s="3">
        <v>202207</v>
      </c>
      <c r="H1518" s="3" t="s">
        <v>75</v>
      </c>
      <c r="I1518" s="3" t="s">
        <v>76</v>
      </c>
      <c r="J1518" s="3" t="s">
        <v>77</v>
      </c>
      <c r="K1518" s="3" t="s">
        <v>78</v>
      </c>
      <c r="L1518" s="3" t="s">
        <v>94</v>
      </c>
      <c r="M1518" s="3" t="s">
        <v>95</v>
      </c>
      <c r="N1518" s="3" t="s">
        <v>613</v>
      </c>
      <c r="O1518" s="3" t="s">
        <v>148</v>
      </c>
      <c r="P1518" s="3" t="str">
        <f>"2170817443                    "</f>
        <v xml:space="preserve">2170817443                    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42.21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  <c r="BH1518" s="3">
        <v>1</v>
      </c>
      <c r="BI1518" s="3">
        <v>25</v>
      </c>
      <c r="BJ1518" s="3">
        <v>9.1</v>
      </c>
      <c r="BK1518" s="3">
        <v>25</v>
      </c>
      <c r="BL1518" s="3">
        <v>166.36</v>
      </c>
      <c r="BM1518" s="3">
        <v>24.95</v>
      </c>
      <c r="BN1518" s="3">
        <v>191.31</v>
      </c>
      <c r="BO1518" s="3">
        <v>191.31</v>
      </c>
      <c r="BQ1518" s="3" t="s">
        <v>89</v>
      </c>
      <c r="BR1518" s="3" t="s">
        <v>84</v>
      </c>
      <c r="BS1518" s="4">
        <v>44585</v>
      </c>
      <c r="BT1518" s="5">
        <v>0.44791666666666669</v>
      </c>
      <c r="BU1518" s="3" t="s">
        <v>1824</v>
      </c>
      <c r="BV1518" s="3" t="s">
        <v>87</v>
      </c>
      <c r="BW1518" s="3" t="s">
        <v>453</v>
      </c>
      <c r="BX1518" s="3" t="s">
        <v>279</v>
      </c>
      <c r="BY1518" s="3">
        <v>45632</v>
      </c>
      <c r="CC1518" s="3" t="s">
        <v>95</v>
      </c>
      <c r="CD1518" s="3">
        <v>3212</v>
      </c>
      <c r="CE1518" s="3" t="s">
        <v>86</v>
      </c>
      <c r="CF1518" s="4">
        <v>44589</v>
      </c>
      <c r="CI1518" s="3">
        <v>1</v>
      </c>
      <c r="CJ1518" s="3">
        <v>2</v>
      </c>
      <c r="CK1518" s="3">
        <v>41</v>
      </c>
      <c r="CL1518" s="3" t="s">
        <v>87</v>
      </c>
    </row>
    <row r="1519" spans="1:90" x14ac:dyDescent="0.2">
      <c r="A1519" s="3" t="s">
        <v>72</v>
      </c>
      <c r="B1519" s="3" t="s">
        <v>73</v>
      </c>
      <c r="C1519" s="3" t="s">
        <v>74</v>
      </c>
      <c r="E1519" s="3" t="str">
        <f>"FES1162846106"</f>
        <v>FES1162846106</v>
      </c>
      <c r="F1519" s="4">
        <v>44581</v>
      </c>
      <c r="G1519" s="3">
        <v>202207</v>
      </c>
      <c r="H1519" s="3" t="s">
        <v>75</v>
      </c>
      <c r="I1519" s="3" t="s">
        <v>76</v>
      </c>
      <c r="J1519" s="3" t="s">
        <v>77</v>
      </c>
      <c r="K1519" s="3" t="s">
        <v>78</v>
      </c>
      <c r="L1519" s="3" t="s">
        <v>90</v>
      </c>
      <c r="M1519" s="3" t="s">
        <v>91</v>
      </c>
      <c r="N1519" s="3" t="s">
        <v>157</v>
      </c>
      <c r="O1519" s="3" t="s">
        <v>82</v>
      </c>
      <c r="P1519" s="3" t="str">
        <f>"2170817587                    "</f>
        <v xml:space="preserve">2170817587                    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15.46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  <c r="BH1519" s="3">
        <v>1</v>
      </c>
      <c r="BI1519" s="3">
        <v>1</v>
      </c>
      <c r="BJ1519" s="3">
        <v>0.2</v>
      </c>
      <c r="BK1519" s="3">
        <v>1</v>
      </c>
      <c r="BL1519" s="3">
        <v>59</v>
      </c>
      <c r="BM1519" s="3">
        <v>8.85</v>
      </c>
      <c r="BN1519" s="3">
        <v>67.849999999999994</v>
      </c>
      <c r="BO1519" s="3">
        <v>67.849999999999994</v>
      </c>
      <c r="BQ1519" s="3" t="s">
        <v>89</v>
      </c>
      <c r="BR1519" s="3" t="s">
        <v>84</v>
      </c>
      <c r="BS1519" s="4">
        <v>44582</v>
      </c>
      <c r="BT1519" s="5">
        <v>0.37847222222222227</v>
      </c>
      <c r="BU1519" s="3" t="s">
        <v>1825</v>
      </c>
      <c r="BV1519" s="3" t="s">
        <v>105</v>
      </c>
      <c r="BY1519" s="3">
        <v>1200</v>
      </c>
      <c r="CA1519" s="3" t="s">
        <v>289</v>
      </c>
      <c r="CC1519" s="3" t="s">
        <v>91</v>
      </c>
      <c r="CD1519" s="3">
        <v>7441</v>
      </c>
      <c r="CE1519" s="3" t="s">
        <v>93</v>
      </c>
      <c r="CF1519" s="4">
        <v>44585</v>
      </c>
      <c r="CI1519" s="3">
        <v>1</v>
      </c>
      <c r="CJ1519" s="3">
        <v>1</v>
      </c>
      <c r="CK1519" s="3">
        <v>21</v>
      </c>
      <c r="CL1519" s="3" t="s">
        <v>87</v>
      </c>
    </row>
    <row r="1520" spans="1:90" x14ac:dyDescent="0.2">
      <c r="A1520" s="3" t="s">
        <v>72</v>
      </c>
      <c r="B1520" s="3" t="s">
        <v>73</v>
      </c>
      <c r="C1520" s="3" t="s">
        <v>74</v>
      </c>
      <c r="E1520" s="3" t="str">
        <f>"FES1162846028"</f>
        <v>FES1162846028</v>
      </c>
      <c r="F1520" s="4">
        <v>44581</v>
      </c>
      <c r="G1520" s="3">
        <v>202207</v>
      </c>
      <c r="H1520" s="3" t="s">
        <v>75</v>
      </c>
      <c r="I1520" s="3" t="s">
        <v>76</v>
      </c>
      <c r="J1520" s="3" t="s">
        <v>77</v>
      </c>
      <c r="K1520" s="3" t="s">
        <v>78</v>
      </c>
      <c r="L1520" s="3" t="s">
        <v>190</v>
      </c>
      <c r="M1520" s="3" t="s">
        <v>191</v>
      </c>
      <c r="N1520" s="3" t="s">
        <v>395</v>
      </c>
      <c r="O1520" s="3" t="s">
        <v>82</v>
      </c>
      <c r="P1520" s="3" t="str">
        <f>"2170817473                    "</f>
        <v xml:space="preserve">2170817473                    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111.1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0</v>
      </c>
      <c r="AZ1520" s="3">
        <v>0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  <c r="BH1520" s="3">
        <v>1</v>
      </c>
      <c r="BI1520" s="3">
        <v>4</v>
      </c>
      <c r="BJ1520" s="3">
        <v>7.7</v>
      </c>
      <c r="BK1520" s="3">
        <v>8</v>
      </c>
      <c r="BL1520" s="3">
        <v>424.06</v>
      </c>
      <c r="BM1520" s="3">
        <v>63.61</v>
      </c>
      <c r="BN1520" s="3">
        <v>487.67</v>
      </c>
      <c r="BO1520" s="3">
        <v>487.67</v>
      </c>
      <c r="BR1520" s="3" t="s">
        <v>84</v>
      </c>
      <c r="BS1520" s="4">
        <v>44582</v>
      </c>
      <c r="BT1520" s="5">
        <v>0.3972222222222222</v>
      </c>
      <c r="BU1520" s="3" t="s">
        <v>632</v>
      </c>
      <c r="BV1520" s="3" t="s">
        <v>105</v>
      </c>
      <c r="BY1520" s="3">
        <v>38416</v>
      </c>
      <c r="CA1520" s="3" t="s">
        <v>397</v>
      </c>
      <c r="CC1520" s="3" t="s">
        <v>191</v>
      </c>
      <c r="CD1520" s="3">
        <v>1050</v>
      </c>
      <c r="CE1520" s="3" t="s">
        <v>86</v>
      </c>
      <c r="CF1520" s="4">
        <v>44582</v>
      </c>
      <c r="CI1520" s="3">
        <v>1</v>
      </c>
      <c r="CJ1520" s="3">
        <v>1</v>
      </c>
      <c r="CK1520" s="3">
        <v>23</v>
      </c>
      <c r="CL1520" s="3" t="s">
        <v>87</v>
      </c>
    </row>
    <row r="1521" spans="1:90" x14ac:dyDescent="0.2">
      <c r="A1521" s="3" t="s">
        <v>72</v>
      </c>
      <c r="B1521" s="3" t="s">
        <v>73</v>
      </c>
      <c r="C1521" s="3" t="s">
        <v>74</v>
      </c>
      <c r="E1521" s="3" t="str">
        <f>"FES1162845921"</f>
        <v>FES1162845921</v>
      </c>
      <c r="F1521" s="4">
        <v>44581</v>
      </c>
      <c r="G1521" s="3">
        <v>202207</v>
      </c>
      <c r="H1521" s="3" t="s">
        <v>75</v>
      </c>
      <c r="I1521" s="3" t="s">
        <v>76</v>
      </c>
      <c r="J1521" s="3" t="s">
        <v>77</v>
      </c>
      <c r="K1521" s="3" t="s">
        <v>78</v>
      </c>
      <c r="L1521" s="3" t="s">
        <v>75</v>
      </c>
      <c r="M1521" s="3" t="s">
        <v>76</v>
      </c>
      <c r="N1521" s="3" t="s">
        <v>147</v>
      </c>
      <c r="O1521" s="3" t="s">
        <v>82</v>
      </c>
      <c r="P1521" s="3" t="str">
        <f>"2170817365                    "</f>
        <v xml:space="preserve">2170817365                    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12.07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0</v>
      </c>
      <c r="AZ1521" s="3">
        <v>0</v>
      </c>
      <c r="BA1521" s="3">
        <v>0</v>
      </c>
      <c r="BB1521" s="3">
        <v>0</v>
      </c>
      <c r="BC1521" s="3">
        <v>0</v>
      </c>
      <c r="BD1521" s="3">
        <v>0</v>
      </c>
      <c r="BE1521" s="3">
        <v>0</v>
      </c>
      <c r="BF1521" s="3">
        <v>0</v>
      </c>
      <c r="BG1521" s="3">
        <v>0</v>
      </c>
      <c r="BH1521" s="3">
        <v>1</v>
      </c>
      <c r="BI1521" s="3">
        <v>1</v>
      </c>
      <c r="BJ1521" s="3">
        <v>0.2</v>
      </c>
      <c r="BK1521" s="3">
        <v>1</v>
      </c>
      <c r="BL1521" s="3">
        <v>46.08</v>
      </c>
      <c r="BM1521" s="3">
        <v>6.91</v>
      </c>
      <c r="BN1521" s="3">
        <v>52.99</v>
      </c>
      <c r="BO1521" s="3">
        <v>52.99</v>
      </c>
      <c r="BQ1521" s="3" t="s">
        <v>89</v>
      </c>
      <c r="BR1521" s="3" t="s">
        <v>84</v>
      </c>
      <c r="BS1521" s="4">
        <v>44582</v>
      </c>
      <c r="BT1521" s="5">
        <v>0.34166666666666662</v>
      </c>
      <c r="BU1521" s="3" t="s">
        <v>849</v>
      </c>
      <c r="BV1521" s="3" t="s">
        <v>105</v>
      </c>
      <c r="BY1521" s="3">
        <v>1200</v>
      </c>
      <c r="CA1521" s="3" t="s">
        <v>477</v>
      </c>
      <c r="CC1521" s="3" t="s">
        <v>76</v>
      </c>
      <c r="CD1521" s="3">
        <v>1645</v>
      </c>
      <c r="CE1521" s="3" t="s">
        <v>93</v>
      </c>
      <c r="CF1521" s="4">
        <v>44582</v>
      </c>
      <c r="CI1521" s="3">
        <v>1</v>
      </c>
      <c r="CJ1521" s="3">
        <v>1</v>
      </c>
      <c r="CK1521" s="3">
        <v>22</v>
      </c>
      <c r="CL1521" s="3" t="s">
        <v>87</v>
      </c>
    </row>
    <row r="1522" spans="1:90" x14ac:dyDescent="0.2">
      <c r="A1522" s="3" t="s">
        <v>72</v>
      </c>
      <c r="B1522" s="3" t="s">
        <v>73</v>
      </c>
      <c r="C1522" s="3" t="s">
        <v>74</v>
      </c>
      <c r="E1522" s="3" t="str">
        <f>"FES1162845944"</f>
        <v>FES1162845944</v>
      </c>
      <c r="F1522" s="4">
        <v>44581</v>
      </c>
      <c r="G1522" s="3">
        <v>202207</v>
      </c>
      <c r="H1522" s="3" t="s">
        <v>75</v>
      </c>
      <c r="I1522" s="3" t="s">
        <v>76</v>
      </c>
      <c r="J1522" s="3" t="s">
        <v>77</v>
      </c>
      <c r="K1522" s="3" t="s">
        <v>78</v>
      </c>
      <c r="L1522" s="3" t="s">
        <v>101</v>
      </c>
      <c r="M1522" s="3" t="s">
        <v>102</v>
      </c>
      <c r="N1522" s="3" t="s">
        <v>272</v>
      </c>
      <c r="O1522" s="3" t="s">
        <v>82</v>
      </c>
      <c r="P1522" s="3" t="str">
        <f>"2170817393                    "</f>
        <v xml:space="preserve">2170817393                    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15.46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0</v>
      </c>
      <c r="AZ1522" s="3">
        <v>0</v>
      </c>
      <c r="BA1522" s="3">
        <v>0</v>
      </c>
      <c r="BB1522" s="3">
        <v>0</v>
      </c>
      <c r="BC1522" s="3">
        <v>0</v>
      </c>
      <c r="BD1522" s="3">
        <v>0</v>
      </c>
      <c r="BE1522" s="3">
        <v>0</v>
      </c>
      <c r="BF1522" s="3">
        <v>0</v>
      </c>
      <c r="BG1522" s="3">
        <v>0</v>
      </c>
      <c r="BH1522" s="3">
        <v>1</v>
      </c>
      <c r="BI1522" s="3">
        <v>1</v>
      </c>
      <c r="BJ1522" s="3">
        <v>0.2</v>
      </c>
      <c r="BK1522" s="3">
        <v>1</v>
      </c>
      <c r="BL1522" s="3">
        <v>59</v>
      </c>
      <c r="BM1522" s="3">
        <v>8.85</v>
      </c>
      <c r="BN1522" s="3">
        <v>67.849999999999994</v>
      </c>
      <c r="BO1522" s="3">
        <v>67.849999999999994</v>
      </c>
      <c r="BQ1522" s="3" t="s">
        <v>273</v>
      </c>
      <c r="BR1522" s="3" t="s">
        <v>84</v>
      </c>
      <c r="BS1522" s="4">
        <v>44582</v>
      </c>
      <c r="BT1522" s="5">
        <v>0.39861111111111108</v>
      </c>
      <c r="BU1522" s="3" t="s">
        <v>274</v>
      </c>
      <c r="BV1522" s="3" t="s">
        <v>105</v>
      </c>
      <c r="BY1522" s="3">
        <v>1200</v>
      </c>
      <c r="CA1522" s="3" t="s">
        <v>275</v>
      </c>
      <c r="CC1522" s="3" t="s">
        <v>102</v>
      </c>
      <c r="CD1522" s="3">
        <v>4000</v>
      </c>
      <c r="CE1522" s="3" t="s">
        <v>93</v>
      </c>
      <c r="CF1522" s="4">
        <v>44585</v>
      </c>
      <c r="CI1522" s="3">
        <v>1</v>
      </c>
      <c r="CJ1522" s="3">
        <v>1</v>
      </c>
      <c r="CK1522" s="3">
        <v>21</v>
      </c>
      <c r="CL1522" s="3" t="s">
        <v>87</v>
      </c>
    </row>
    <row r="1523" spans="1:90" x14ac:dyDescent="0.2">
      <c r="A1523" s="3" t="s">
        <v>72</v>
      </c>
      <c r="B1523" s="3" t="s">
        <v>73</v>
      </c>
      <c r="C1523" s="3" t="s">
        <v>74</v>
      </c>
      <c r="E1523" s="3" t="str">
        <f>"FES1162846007"</f>
        <v>FES1162846007</v>
      </c>
      <c r="F1523" s="4">
        <v>44581</v>
      </c>
      <c r="G1523" s="3">
        <v>202207</v>
      </c>
      <c r="H1523" s="3" t="s">
        <v>75</v>
      </c>
      <c r="I1523" s="3" t="s">
        <v>76</v>
      </c>
      <c r="J1523" s="3" t="s">
        <v>77</v>
      </c>
      <c r="K1523" s="3" t="s">
        <v>78</v>
      </c>
      <c r="L1523" s="3" t="s">
        <v>79</v>
      </c>
      <c r="M1523" s="3" t="s">
        <v>80</v>
      </c>
      <c r="N1523" s="3" t="s">
        <v>1619</v>
      </c>
      <c r="O1523" s="3" t="s">
        <v>82</v>
      </c>
      <c r="P1523" s="3" t="str">
        <f>"2170816365                    "</f>
        <v xml:space="preserve">2170816365                    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15.46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0</v>
      </c>
      <c r="AZ1523" s="3">
        <v>0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0</v>
      </c>
      <c r="BH1523" s="3">
        <v>1</v>
      </c>
      <c r="BI1523" s="3">
        <v>1</v>
      </c>
      <c r="BJ1523" s="3">
        <v>2</v>
      </c>
      <c r="BK1523" s="3">
        <v>2</v>
      </c>
      <c r="BL1523" s="3">
        <v>59</v>
      </c>
      <c r="BM1523" s="3">
        <v>8.85</v>
      </c>
      <c r="BN1523" s="3">
        <v>67.849999999999994</v>
      </c>
      <c r="BO1523" s="3">
        <v>67.849999999999994</v>
      </c>
      <c r="BQ1523" s="3" t="s">
        <v>1620</v>
      </c>
      <c r="BR1523" s="3" t="s">
        <v>84</v>
      </c>
      <c r="BS1523" s="4">
        <v>44582</v>
      </c>
      <c r="BT1523" s="5">
        <v>0.42569444444444443</v>
      </c>
      <c r="BU1523" s="3" t="s">
        <v>1826</v>
      </c>
      <c r="BV1523" s="3" t="s">
        <v>105</v>
      </c>
      <c r="BY1523" s="3">
        <v>9900</v>
      </c>
      <c r="CA1523" s="3" t="s">
        <v>1827</v>
      </c>
      <c r="CC1523" s="3" t="s">
        <v>80</v>
      </c>
      <c r="CD1523" s="3">
        <v>182</v>
      </c>
      <c r="CE1523" s="3" t="s">
        <v>86</v>
      </c>
      <c r="CF1523" s="4">
        <v>44585</v>
      </c>
      <c r="CI1523" s="3">
        <v>1</v>
      </c>
      <c r="CJ1523" s="3">
        <v>1</v>
      </c>
      <c r="CK1523" s="3">
        <v>21</v>
      </c>
      <c r="CL1523" s="3" t="s">
        <v>87</v>
      </c>
    </row>
    <row r="1524" spans="1:90" x14ac:dyDescent="0.2">
      <c r="A1524" s="3" t="s">
        <v>72</v>
      </c>
      <c r="B1524" s="3" t="s">
        <v>73</v>
      </c>
      <c r="C1524" s="3" t="s">
        <v>74</v>
      </c>
      <c r="E1524" s="3" t="str">
        <f>"FES1162846090"</f>
        <v>FES1162846090</v>
      </c>
      <c r="F1524" s="4">
        <v>44581</v>
      </c>
      <c r="G1524" s="3">
        <v>202207</v>
      </c>
      <c r="H1524" s="3" t="s">
        <v>75</v>
      </c>
      <c r="I1524" s="3" t="s">
        <v>76</v>
      </c>
      <c r="J1524" s="3" t="s">
        <v>77</v>
      </c>
      <c r="K1524" s="3" t="s">
        <v>78</v>
      </c>
      <c r="L1524" s="3" t="s">
        <v>101</v>
      </c>
      <c r="M1524" s="3" t="s">
        <v>102</v>
      </c>
      <c r="N1524" s="3" t="s">
        <v>807</v>
      </c>
      <c r="O1524" s="3" t="s">
        <v>82</v>
      </c>
      <c r="P1524" s="3" t="str">
        <f>"2170817570                    "</f>
        <v xml:space="preserve">2170817570                    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15.46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  <c r="BH1524" s="3">
        <v>1</v>
      </c>
      <c r="BI1524" s="3">
        <v>1</v>
      </c>
      <c r="BJ1524" s="3">
        <v>0.2</v>
      </c>
      <c r="BK1524" s="3">
        <v>1</v>
      </c>
      <c r="BL1524" s="3">
        <v>59</v>
      </c>
      <c r="BM1524" s="3">
        <v>8.85</v>
      </c>
      <c r="BN1524" s="3">
        <v>67.849999999999994</v>
      </c>
      <c r="BO1524" s="3">
        <v>67.849999999999994</v>
      </c>
      <c r="BQ1524" s="3" t="s">
        <v>83</v>
      </c>
      <c r="BR1524" s="3" t="s">
        <v>84</v>
      </c>
      <c r="BS1524" s="4">
        <v>44582</v>
      </c>
      <c r="BT1524" s="5">
        <v>0.57500000000000007</v>
      </c>
      <c r="BU1524" s="3" t="s">
        <v>1101</v>
      </c>
      <c r="BV1524" s="3" t="s">
        <v>87</v>
      </c>
      <c r="BW1524" s="3" t="s">
        <v>278</v>
      </c>
      <c r="BX1524" s="3" t="s">
        <v>279</v>
      </c>
      <c r="BY1524" s="3">
        <v>1200</v>
      </c>
      <c r="CA1524" s="3" t="s">
        <v>809</v>
      </c>
      <c r="CC1524" s="3" t="s">
        <v>102</v>
      </c>
      <c r="CD1524" s="3">
        <v>4051</v>
      </c>
      <c r="CE1524" s="3" t="s">
        <v>93</v>
      </c>
      <c r="CF1524" s="4">
        <v>44585</v>
      </c>
      <c r="CI1524" s="3">
        <v>1</v>
      </c>
      <c r="CJ1524" s="3">
        <v>1</v>
      </c>
      <c r="CK1524" s="3">
        <v>21</v>
      </c>
      <c r="CL1524" s="3" t="s">
        <v>87</v>
      </c>
    </row>
    <row r="1525" spans="1:90" x14ac:dyDescent="0.2">
      <c r="A1525" s="3" t="s">
        <v>72</v>
      </c>
      <c r="B1525" s="3" t="s">
        <v>73</v>
      </c>
      <c r="C1525" s="3" t="s">
        <v>74</v>
      </c>
      <c r="E1525" s="3" t="str">
        <f>"FES1162846091"</f>
        <v>FES1162846091</v>
      </c>
      <c r="F1525" s="4">
        <v>44581</v>
      </c>
      <c r="G1525" s="3">
        <v>202207</v>
      </c>
      <c r="H1525" s="3" t="s">
        <v>75</v>
      </c>
      <c r="I1525" s="3" t="s">
        <v>76</v>
      </c>
      <c r="J1525" s="3" t="s">
        <v>77</v>
      </c>
      <c r="K1525" s="3" t="s">
        <v>78</v>
      </c>
      <c r="L1525" s="3" t="s">
        <v>94</v>
      </c>
      <c r="M1525" s="3" t="s">
        <v>95</v>
      </c>
      <c r="N1525" s="3" t="s">
        <v>1828</v>
      </c>
      <c r="O1525" s="3" t="s">
        <v>82</v>
      </c>
      <c r="P1525" s="3" t="str">
        <f>"2170817567                    "</f>
        <v xml:space="preserve">2170817567                    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15.46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15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0</v>
      </c>
      <c r="AZ1525" s="3">
        <v>0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  <c r="BH1525" s="3">
        <v>1</v>
      </c>
      <c r="BI1525" s="3">
        <v>1</v>
      </c>
      <c r="BJ1525" s="3">
        <v>0.2</v>
      </c>
      <c r="BK1525" s="3">
        <v>1</v>
      </c>
      <c r="BL1525" s="3">
        <v>74</v>
      </c>
      <c r="BM1525" s="3">
        <v>11.1</v>
      </c>
      <c r="BN1525" s="3">
        <v>85.1</v>
      </c>
      <c r="BO1525" s="3">
        <v>85.1</v>
      </c>
      <c r="BQ1525" s="3" t="s">
        <v>1829</v>
      </c>
      <c r="BR1525" s="3" t="s">
        <v>84</v>
      </c>
      <c r="BS1525" s="4">
        <v>44582</v>
      </c>
      <c r="BT1525" s="5">
        <v>0.5</v>
      </c>
      <c r="BU1525" s="3" t="s">
        <v>1830</v>
      </c>
      <c r="BV1525" s="3" t="s">
        <v>105</v>
      </c>
      <c r="BY1525" s="3">
        <v>1200</v>
      </c>
      <c r="BZ1525" s="3" t="s">
        <v>30</v>
      </c>
      <c r="CC1525" s="3" t="s">
        <v>95</v>
      </c>
      <c r="CD1525" s="3">
        <v>3699</v>
      </c>
      <c r="CE1525" s="3" t="s">
        <v>93</v>
      </c>
      <c r="CF1525" s="4">
        <v>44589</v>
      </c>
      <c r="CI1525" s="3">
        <v>1</v>
      </c>
      <c r="CJ1525" s="3">
        <v>1</v>
      </c>
      <c r="CK1525" s="3">
        <v>21</v>
      </c>
      <c r="CL1525" s="3" t="s">
        <v>87</v>
      </c>
    </row>
    <row r="1526" spans="1:90" x14ac:dyDescent="0.2">
      <c r="A1526" s="3" t="s">
        <v>72</v>
      </c>
      <c r="B1526" s="3" t="s">
        <v>73</v>
      </c>
      <c r="C1526" s="3" t="s">
        <v>74</v>
      </c>
      <c r="E1526" s="3" t="str">
        <f>"FES1162846098"</f>
        <v>FES1162846098</v>
      </c>
      <c r="F1526" s="4">
        <v>44581</v>
      </c>
      <c r="G1526" s="3">
        <v>202207</v>
      </c>
      <c r="H1526" s="3" t="s">
        <v>75</v>
      </c>
      <c r="I1526" s="3" t="s">
        <v>76</v>
      </c>
      <c r="J1526" s="3" t="s">
        <v>77</v>
      </c>
      <c r="K1526" s="3" t="s">
        <v>78</v>
      </c>
      <c r="L1526" s="3" t="s">
        <v>171</v>
      </c>
      <c r="M1526" s="3" t="s">
        <v>172</v>
      </c>
      <c r="N1526" s="3" t="s">
        <v>1831</v>
      </c>
      <c r="O1526" s="3" t="s">
        <v>82</v>
      </c>
      <c r="P1526" s="3" t="str">
        <f>"2170817577                    "</f>
        <v xml:space="preserve">2170817577                    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15.46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0</v>
      </c>
      <c r="AZ1526" s="3">
        <v>0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  <c r="BH1526" s="3">
        <v>1</v>
      </c>
      <c r="BI1526" s="3">
        <v>1</v>
      </c>
      <c r="BJ1526" s="3">
        <v>0.2</v>
      </c>
      <c r="BK1526" s="3">
        <v>1</v>
      </c>
      <c r="BL1526" s="3">
        <v>59</v>
      </c>
      <c r="BM1526" s="3">
        <v>8.85</v>
      </c>
      <c r="BN1526" s="3">
        <v>67.849999999999994</v>
      </c>
      <c r="BO1526" s="3">
        <v>67.849999999999994</v>
      </c>
      <c r="BQ1526" s="3" t="s">
        <v>126</v>
      </c>
      <c r="BR1526" s="3" t="s">
        <v>84</v>
      </c>
      <c r="BS1526" s="4">
        <v>44582</v>
      </c>
      <c r="BT1526" s="5">
        <v>0.4284722222222222</v>
      </c>
      <c r="BU1526" s="3" t="s">
        <v>1832</v>
      </c>
      <c r="BV1526" s="3" t="s">
        <v>105</v>
      </c>
      <c r="BY1526" s="3">
        <v>1200</v>
      </c>
      <c r="CA1526" s="3" t="s">
        <v>1696</v>
      </c>
      <c r="CC1526" s="3" t="s">
        <v>172</v>
      </c>
      <c r="CD1526" s="3">
        <v>6001</v>
      </c>
      <c r="CE1526" s="3" t="s">
        <v>93</v>
      </c>
      <c r="CF1526" s="4">
        <v>44582</v>
      </c>
      <c r="CI1526" s="3">
        <v>1</v>
      </c>
      <c r="CJ1526" s="3">
        <v>1</v>
      </c>
      <c r="CK1526" s="3">
        <v>21</v>
      </c>
      <c r="CL1526" s="3" t="s">
        <v>87</v>
      </c>
    </row>
    <row r="1527" spans="1:90" x14ac:dyDescent="0.2">
      <c r="A1527" s="3" t="s">
        <v>72</v>
      </c>
      <c r="B1527" s="3" t="s">
        <v>73</v>
      </c>
      <c r="C1527" s="3" t="s">
        <v>74</v>
      </c>
      <c r="E1527" s="3" t="str">
        <f>"FES1162846115"</f>
        <v>FES1162846115</v>
      </c>
      <c r="F1527" s="4">
        <v>44581</v>
      </c>
      <c r="G1527" s="3">
        <v>202207</v>
      </c>
      <c r="H1527" s="3" t="s">
        <v>75</v>
      </c>
      <c r="I1527" s="3" t="s">
        <v>76</v>
      </c>
      <c r="J1527" s="3" t="s">
        <v>77</v>
      </c>
      <c r="K1527" s="3" t="s">
        <v>78</v>
      </c>
      <c r="L1527" s="3" t="s">
        <v>167</v>
      </c>
      <c r="M1527" s="3" t="s">
        <v>168</v>
      </c>
      <c r="N1527" s="3" t="s">
        <v>931</v>
      </c>
      <c r="O1527" s="3" t="s">
        <v>82</v>
      </c>
      <c r="P1527" s="3" t="str">
        <f>"2170817596                    "</f>
        <v xml:space="preserve">2170817596                    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15.46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1</v>
      </c>
      <c r="BI1527" s="3">
        <v>1</v>
      </c>
      <c r="BJ1527" s="3">
        <v>1.5</v>
      </c>
      <c r="BK1527" s="3">
        <v>1.5</v>
      </c>
      <c r="BL1527" s="3">
        <v>59</v>
      </c>
      <c r="BM1527" s="3">
        <v>8.85</v>
      </c>
      <c r="BN1527" s="3">
        <v>67.849999999999994</v>
      </c>
      <c r="BO1527" s="3">
        <v>67.849999999999994</v>
      </c>
      <c r="BQ1527" s="3" t="s">
        <v>89</v>
      </c>
      <c r="BR1527" s="3" t="s">
        <v>84</v>
      </c>
      <c r="BS1527" s="4">
        <v>44582</v>
      </c>
      <c r="BT1527" s="5">
        <v>0.39861111111111108</v>
      </c>
      <c r="BU1527" s="3" t="s">
        <v>1833</v>
      </c>
      <c r="BV1527" s="3" t="s">
        <v>105</v>
      </c>
      <c r="BY1527" s="3">
        <v>7540</v>
      </c>
      <c r="CA1527" s="3" t="s">
        <v>553</v>
      </c>
      <c r="CC1527" s="3" t="s">
        <v>168</v>
      </c>
      <c r="CD1527" s="3">
        <v>6229</v>
      </c>
      <c r="CE1527" s="3" t="s">
        <v>86</v>
      </c>
      <c r="CF1527" s="4">
        <v>44582</v>
      </c>
      <c r="CI1527" s="3">
        <v>1</v>
      </c>
      <c r="CJ1527" s="3">
        <v>1</v>
      </c>
      <c r="CK1527" s="3">
        <v>21</v>
      </c>
      <c r="CL1527" s="3" t="s">
        <v>87</v>
      </c>
    </row>
    <row r="1528" spans="1:90" x14ac:dyDescent="0.2">
      <c r="A1528" s="3" t="s">
        <v>72</v>
      </c>
      <c r="B1528" s="3" t="s">
        <v>73</v>
      </c>
      <c r="C1528" s="3" t="s">
        <v>74</v>
      </c>
      <c r="E1528" s="3" t="str">
        <f>"FES1162845947"</f>
        <v>FES1162845947</v>
      </c>
      <c r="F1528" s="4">
        <v>44581</v>
      </c>
      <c r="G1528" s="3">
        <v>202207</v>
      </c>
      <c r="H1528" s="3" t="s">
        <v>75</v>
      </c>
      <c r="I1528" s="3" t="s">
        <v>76</v>
      </c>
      <c r="J1528" s="3" t="s">
        <v>77</v>
      </c>
      <c r="K1528" s="3" t="s">
        <v>78</v>
      </c>
      <c r="L1528" s="3" t="s">
        <v>167</v>
      </c>
      <c r="M1528" s="3" t="s">
        <v>168</v>
      </c>
      <c r="N1528" s="3" t="s">
        <v>247</v>
      </c>
      <c r="O1528" s="3" t="s">
        <v>148</v>
      </c>
      <c r="P1528" s="3" t="str">
        <f>"2170815697                    "</f>
        <v xml:space="preserve">2170815697                    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33.590000000000003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0</v>
      </c>
      <c r="BC1528" s="3">
        <v>0</v>
      </c>
      <c r="BD1528" s="3">
        <v>0</v>
      </c>
      <c r="BE1528" s="3">
        <v>0</v>
      </c>
      <c r="BF1528" s="3">
        <v>0</v>
      </c>
      <c r="BG1528" s="3">
        <v>0</v>
      </c>
      <c r="BH1528" s="3">
        <v>1</v>
      </c>
      <c r="BI1528" s="3">
        <v>18</v>
      </c>
      <c r="BJ1528" s="3">
        <v>9.3000000000000007</v>
      </c>
      <c r="BK1528" s="3">
        <v>18</v>
      </c>
      <c r="BL1528" s="3">
        <v>133.44999999999999</v>
      </c>
      <c r="BM1528" s="3">
        <v>20.02</v>
      </c>
      <c r="BN1528" s="3">
        <v>153.47</v>
      </c>
      <c r="BO1528" s="3">
        <v>153.47</v>
      </c>
      <c r="BQ1528" s="3" t="s">
        <v>89</v>
      </c>
      <c r="BR1528" s="3" t="s">
        <v>84</v>
      </c>
      <c r="BS1528" s="4">
        <v>44585</v>
      </c>
      <c r="BT1528" s="5">
        <v>0.3576388888888889</v>
      </c>
      <c r="BU1528" s="3" t="s">
        <v>1834</v>
      </c>
      <c r="BV1528" s="3" t="s">
        <v>105</v>
      </c>
      <c r="BY1528" s="3">
        <v>46400</v>
      </c>
      <c r="CA1528" s="3" t="s">
        <v>553</v>
      </c>
      <c r="CC1528" s="3" t="s">
        <v>168</v>
      </c>
      <c r="CD1528" s="3">
        <v>6229</v>
      </c>
      <c r="CE1528" s="3" t="s">
        <v>86</v>
      </c>
      <c r="CF1528" s="4">
        <v>44585</v>
      </c>
      <c r="CI1528" s="3">
        <v>2</v>
      </c>
      <c r="CJ1528" s="3">
        <v>2</v>
      </c>
      <c r="CK1528" s="3">
        <v>41</v>
      </c>
      <c r="CL1528" s="3" t="s">
        <v>87</v>
      </c>
    </row>
    <row r="1529" spans="1:90" x14ac:dyDescent="0.2">
      <c r="A1529" s="3" t="s">
        <v>72</v>
      </c>
      <c r="B1529" s="3" t="s">
        <v>73</v>
      </c>
      <c r="C1529" s="3" t="s">
        <v>74</v>
      </c>
      <c r="E1529" s="3" t="str">
        <f>"FES1162846016"</f>
        <v>FES1162846016</v>
      </c>
      <c r="F1529" s="4">
        <v>44581</v>
      </c>
      <c r="G1529" s="3">
        <v>202207</v>
      </c>
      <c r="H1529" s="3" t="s">
        <v>75</v>
      </c>
      <c r="I1529" s="3" t="s">
        <v>76</v>
      </c>
      <c r="J1529" s="3" t="s">
        <v>77</v>
      </c>
      <c r="K1529" s="3" t="s">
        <v>78</v>
      </c>
      <c r="L1529" s="3" t="s">
        <v>101</v>
      </c>
      <c r="M1529" s="3" t="s">
        <v>102</v>
      </c>
      <c r="N1529" s="3" t="s">
        <v>340</v>
      </c>
      <c r="O1529" s="3" t="s">
        <v>82</v>
      </c>
      <c r="P1529" s="3" t="str">
        <f>"2170817450                    "</f>
        <v xml:space="preserve">2170817450                    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15.46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0</v>
      </c>
      <c r="BA1529" s="3">
        <v>0</v>
      </c>
      <c r="BB1529" s="3">
        <v>0</v>
      </c>
      <c r="BC1529" s="3">
        <v>0</v>
      </c>
      <c r="BD1529" s="3">
        <v>0</v>
      </c>
      <c r="BE1529" s="3">
        <v>0</v>
      </c>
      <c r="BF1529" s="3">
        <v>0</v>
      </c>
      <c r="BG1529" s="3">
        <v>0</v>
      </c>
      <c r="BH1529" s="3">
        <v>1</v>
      </c>
      <c r="BI1529" s="3">
        <v>1</v>
      </c>
      <c r="BJ1529" s="3">
        <v>0.2</v>
      </c>
      <c r="BK1529" s="3">
        <v>1</v>
      </c>
      <c r="BL1529" s="3">
        <v>59</v>
      </c>
      <c r="BM1529" s="3">
        <v>8.85</v>
      </c>
      <c r="BN1529" s="3">
        <v>67.849999999999994</v>
      </c>
      <c r="BO1529" s="3">
        <v>67.849999999999994</v>
      </c>
      <c r="BQ1529" s="3" t="s">
        <v>341</v>
      </c>
      <c r="BR1529" s="3" t="s">
        <v>84</v>
      </c>
      <c r="BS1529" s="4">
        <v>44582</v>
      </c>
      <c r="BT1529" s="5">
        <v>0.36319444444444443</v>
      </c>
      <c r="BU1529" s="3" t="s">
        <v>1835</v>
      </c>
      <c r="BV1529" s="3" t="s">
        <v>105</v>
      </c>
      <c r="BY1529" s="3">
        <v>1200</v>
      </c>
      <c r="CA1529" s="3" t="s">
        <v>343</v>
      </c>
      <c r="CC1529" s="3" t="s">
        <v>102</v>
      </c>
      <c r="CD1529" s="3">
        <v>4001</v>
      </c>
      <c r="CE1529" s="3" t="s">
        <v>93</v>
      </c>
      <c r="CF1529" s="4">
        <v>44585</v>
      </c>
      <c r="CI1529" s="3">
        <v>1</v>
      </c>
      <c r="CJ1529" s="3">
        <v>1</v>
      </c>
      <c r="CK1529" s="3">
        <v>21</v>
      </c>
      <c r="CL1529" s="3" t="s">
        <v>87</v>
      </c>
    </row>
    <row r="1530" spans="1:90" x14ac:dyDescent="0.2">
      <c r="A1530" s="3" t="s">
        <v>72</v>
      </c>
      <c r="B1530" s="3" t="s">
        <v>73</v>
      </c>
      <c r="C1530" s="3" t="s">
        <v>74</v>
      </c>
      <c r="E1530" s="3" t="str">
        <f>"FES1162845939"</f>
        <v>FES1162845939</v>
      </c>
      <c r="F1530" s="4">
        <v>44581</v>
      </c>
      <c r="G1530" s="3">
        <v>202207</v>
      </c>
      <c r="H1530" s="3" t="s">
        <v>75</v>
      </c>
      <c r="I1530" s="3" t="s">
        <v>76</v>
      </c>
      <c r="J1530" s="3" t="s">
        <v>77</v>
      </c>
      <c r="K1530" s="3" t="s">
        <v>78</v>
      </c>
      <c r="L1530" s="3" t="s">
        <v>154</v>
      </c>
      <c r="M1530" s="3" t="s">
        <v>155</v>
      </c>
      <c r="N1530" s="3" t="s">
        <v>521</v>
      </c>
      <c r="O1530" s="3" t="s">
        <v>148</v>
      </c>
      <c r="P1530" s="3" t="str">
        <f>"2170817387                    "</f>
        <v xml:space="preserve">2170817387                    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25.76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0</v>
      </c>
      <c r="AZ1530" s="3">
        <v>0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  <c r="BH1530" s="3">
        <v>1</v>
      </c>
      <c r="BI1530" s="3">
        <v>19</v>
      </c>
      <c r="BJ1530" s="3">
        <v>18.3</v>
      </c>
      <c r="BK1530" s="3">
        <v>19</v>
      </c>
      <c r="BL1530" s="3">
        <v>103.58</v>
      </c>
      <c r="BM1530" s="3">
        <v>15.54</v>
      </c>
      <c r="BN1530" s="3">
        <v>119.12</v>
      </c>
      <c r="BO1530" s="3">
        <v>119.12</v>
      </c>
      <c r="BR1530" s="3" t="s">
        <v>84</v>
      </c>
      <c r="BS1530" s="4">
        <v>44582</v>
      </c>
      <c r="BT1530" s="5">
        <v>0.42986111111111108</v>
      </c>
      <c r="BU1530" s="3" t="s">
        <v>522</v>
      </c>
      <c r="BV1530" s="3" t="s">
        <v>105</v>
      </c>
      <c r="BY1530" s="3">
        <v>91264</v>
      </c>
      <c r="CA1530" s="3" t="s">
        <v>523</v>
      </c>
      <c r="CC1530" s="3" t="s">
        <v>155</v>
      </c>
      <c r="CD1530" s="3">
        <v>1682</v>
      </c>
      <c r="CE1530" s="3" t="s">
        <v>86</v>
      </c>
      <c r="CF1530" s="4">
        <v>44582</v>
      </c>
      <c r="CI1530" s="3">
        <v>1</v>
      </c>
      <c r="CJ1530" s="3">
        <v>1</v>
      </c>
      <c r="CK1530" s="3">
        <v>42</v>
      </c>
      <c r="CL1530" s="3" t="s">
        <v>87</v>
      </c>
    </row>
    <row r="1531" spans="1:90" x14ac:dyDescent="0.2">
      <c r="A1531" s="3" t="s">
        <v>72</v>
      </c>
      <c r="B1531" s="3" t="s">
        <v>73</v>
      </c>
      <c r="C1531" s="3" t="s">
        <v>74</v>
      </c>
      <c r="E1531" s="3" t="str">
        <f>"FES1162846071"</f>
        <v>FES1162846071</v>
      </c>
      <c r="F1531" s="4">
        <v>44581</v>
      </c>
      <c r="G1531" s="3">
        <v>202207</v>
      </c>
      <c r="H1531" s="3" t="s">
        <v>75</v>
      </c>
      <c r="I1531" s="3" t="s">
        <v>76</v>
      </c>
      <c r="J1531" s="3" t="s">
        <v>77</v>
      </c>
      <c r="K1531" s="3" t="s">
        <v>78</v>
      </c>
      <c r="L1531" s="3" t="s">
        <v>138</v>
      </c>
      <c r="M1531" s="3" t="s">
        <v>139</v>
      </c>
      <c r="N1531" s="3" t="s">
        <v>238</v>
      </c>
      <c r="O1531" s="3" t="s">
        <v>82</v>
      </c>
      <c r="P1531" s="3" t="str">
        <f>"2170817541                    "</f>
        <v xml:space="preserve">2170817541                    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15.46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0</v>
      </c>
      <c r="AZ1531" s="3">
        <v>0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  <c r="BH1531" s="3">
        <v>1</v>
      </c>
      <c r="BI1531" s="3">
        <v>1</v>
      </c>
      <c r="BJ1531" s="3">
        <v>0.2</v>
      </c>
      <c r="BK1531" s="3">
        <v>1</v>
      </c>
      <c r="BL1531" s="3">
        <v>59</v>
      </c>
      <c r="BM1531" s="3">
        <v>8.85</v>
      </c>
      <c r="BN1531" s="3">
        <v>67.849999999999994</v>
      </c>
      <c r="BO1531" s="3">
        <v>67.849999999999994</v>
      </c>
      <c r="BQ1531" s="3" t="s">
        <v>89</v>
      </c>
      <c r="BR1531" s="3" t="s">
        <v>84</v>
      </c>
      <c r="BS1531" s="4">
        <v>44582</v>
      </c>
      <c r="BT1531" s="5">
        <v>0.36388888888888887</v>
      </c>
      <c r="BU1531" s="3" t="s">
        <v>469</v>
      </c>
      <c r="BV1531" s="3" t="s">
        <v>105</v>
      </c>
      <c r="BY1531" s="3">
        <v>1200</v>
      </c>
      <c r="CA1531" s="3" t="s">
        <v>303</v>
      </c>
      <c r="CC1531" s="3" t="s">
        <v>139</v>
      </c>
      <c r="CD1531" s="3">
        <v>3610</v>
      </c>
      <c r="CE1531" s="3" t="s">
        <v>93</v>
      </c>
      <c r="CF1531" s="4">
        <v>44585</v>
      </c>
      <c r="CI1531" s="3">
        <v>1</v>
      </c>
      <c r="CJ1531" s="3">
        <v>1</v>
      </c>
      <c r="CK1531" s="3">
        <v>21</v>
      </c>
      <c r="CL1531" s="3" t="s">
        <v>87</v>
      </c>
    </row>
    <row r="1532" spans="1:90" x14ac:dyDescent="0.2">
      <c r="A1532" s="3" t="s">
        <v>72</v>
      </c>
      <c r="B1532" s="3" t="s">
        <v>73</v>
      </c>
      <c r="C1532" s="3" t="s">
        <v>74</v>
      </c>
      <c r="E1532" s="3" t="str">
        <f>"FES1162846015"</f>
        <v>FES1162846015</v>
      </c>
      <c r="F1532" s="4">
        <v>44581</v>
      </c>
      <c r="G1532" s="3">
        <v>202207</v>
      </c>
      <c r="H1532" s="3" t="s">
        <v>75</v>
      </c>
      <c r="I1532" s="3" t="s">
        <v>76</v>
      </c>
      <c r="J1532" s="3" t="s">
        <v>77</v>
      </c>
      <c r="K1532" s="3" t="s">
        <v>78</v>
      </c>
      <c r="L1532" s="3" t="s">
        <v>101</v>
      </c>
      <c r="M1532" s="3" t="s">
        <v>102</v>
      </c>
      <c r="N1532" s="3" t="s">
        <v>340</v>
      </c>
      <c r="O1532" s="3" t="s">
        <v>82</v>
      </c>
      <c r="P1532" s="3" t="str">
        <f>"2170817449                    "</f>
        <v xml:space="preserve">2170817449                    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15.46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  <c r="BH1532" s="3">
        <v>1</v>
      </c>
      <c r="BI1532" s="3">
        <v>1</v>
      </c>
      <c r="BJ1532" s="3">
        <v>0.2</v>
      </c>
      <c r="BK1532" s="3">
        <v>1</v>
      </c>
      <c r="BL1532" s="3">
        <v>59</v>
      </c>
      <c r="BM1532" s="3">
        <v>8.85</v>
      </c>
      <c r="BN1532" s="3">
        <v>67.849999999999994</v>
      </c>
      <c r="BO1532" s="3">
        <v>67.849999999999994</v>
      </c>
      <c r="BQ1532" s="3" t="s">
        <v>341</v>
      </c>
      <c r="BR1532" s="3" t="s">
        <v>84</v>
      </c>
      <c r="BS1532" s="4">
        <v>44582</v>
      </c>
      <c r="BT1532" s="5">
        <v>0.36388888888888887</v>
      </c>
      <c r="BU1532" s="3" t="s">
        <v>1835</v>
      </c>
      <c r="BV1532" s="3" t="s">
        <v>105</v>
      </c>
      <c r="BY1532" s="3">
        <v>1200</v>
      </c>
      <c r="CA1532" s="3" t="s">
        <v>343</v>
      </c>
      <c r="CC1532" s="3" t="s">
        <v>102</v>
      </c>
      <c r="CD1532" s="3">
        <v>4001</v>
      </c>
      <c r="CE1532" s="3" t="s">
        <v>93</v>
      </c>
      <c r="CF1532" s="4">
        <v>44585</v>
      </c>
      <c r="CI1532" s="3">
        <v>1</v>
      </c>
      <c r="CJ1532" s="3">
        <v>1</v>
      </c>
      <c r="CK1532" s="3">
        <v>21</v>
      </c>
      <c r="CL1532" s="3" t="s">
        <v>87</v>
      </c>
    </row>
    <row r="1533" spans="1:90" x14ac:dyDescent="0.2">
      <c r="A1533" s="3" t="s">
        <v>72</v>
      </c>
      <c r="B1533" s="3" t="s">
        <v>73</v>
      </c>
      <c r="C1533" s="3" t="s">
        <v>74</v>
      </c>
      <c r="E1533" s="3" t="str">
        <f>"FES1162846021"</f>
        <v>FES1162846021</v>
      </c>
      <c r="F1533" s="4">
        <v>44581</v>
      </c>
      <c r="G1533" s="3">
        <v>202207</v>
      </c>
      <c r="H1533" s="3" t="s">
        <v>75</v>
      </c>
      <c r="I1533" s="3" t="s">
        <v>76</v>
      </c>
      <c r="J1533" s="3" t="s">
        <v>77</v>
      </c>
      <c r="K1533" s="3" t="s">
        <v>78</v>
      </c>
      <c r="L1533" s="3" t="s">
        <v>90</v>
      </c>
      <c r="M1533" s="3" t="s">
        <v>91</v>
      </c>
      <c r="N1533" s="3" t="s">
        <v>735</v>
      </c>
      <c r="O1533" s="3" t="s">
        <v>82</v>
      </c>
      <c r="P1533" s="3" t="str">
        <f>"2170817463                    "</f>
        <v xml:space="preserve">2170817463                    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15.46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0</v>
      </c>
      <c r="BE1533" s="3">
        <v>0</v>
      </c>
      <c r="BF1533" s="3">
        <v>0</v>
      </c>
      <c r="BG1533" s="3">
        <v>0</v>
      </c>
      <c r="BH1533" s="3">
        <v>1</v>
      </c>
      <c r="BI1533" s="3">
        <v>1</v>
      </c>
      <c r="BJ1533" s="3">
        <v>0.2</v>
      </c>
      <c r="BK1533" s="3">
        <v>1</v>
      </c>
      <c r="BL1533" s="3">
        <v>59</v>
      </c>
      <c r="BM1533" s="3">
        <v>8.85</v>
      </c>
      <c r="BN1533" s="3">
        <v>67.849999999999994</v>
      </c>
      <c r="BO1533" s="3">
        <v>67.849999999999994</v>
      </c>
      <c r="BQ1533" s="3" t="s">
        <v>273</v>
      </c>
      <c r="BR1533" s="3" t="s">
        <v>84</v>
      </c>
      <c r="BS1533" s="4">
        <v>44582</v>
      </c>
      <c r="BT1533" s="5">
        <v>0.33611111111111108</v>
      </c>
      <c r="BU1533" s="3" t="s">
        <v>1836</v>
      </c>
      <c r="BV1533" s="3" t="s">
        <v>105</v>
      </c>
      <c r="BY1533" s="3">
        <v>1200</v>
      </c>
      <c r="CA1533" s="3" t="s">
        <v>566</v>
      </c>
      <c r="CC1533" s="3" t="s">
        <v>91</v>
      </c>
      <c r="CD1533" s="3">
        <v>7460</v>
      </c>
      <c r="CE1533" s="3" t="s">
        <v>93</v>
      </c>
      <c r="CF1533" s="4">
        <v>44585</v>
      </c>
      <c r="CI1533" s="3">
        <v>1</v>
      </c>
      <c r="CJ1533" s="3">
        <v>1</v>
      </c>
      <c r="CK1533" s="3">
        <v>21</v>
      </c>
      <c r="CL1533" s="3" t="s">
        <v>87</v>
      </c>
    </row>
    <row r="1534" spans="1:90" x14ac:dyDescent="0.2">
      <c r="A1534" s="3" t="s">
        <v>72</v>
      </c>
      <c r="B1534" s="3" t="s">
        <v>73</v>
      </c>
      <c r="C1534" s="3" t="s">
        <v>74</v>
      </c>
      <c r="E1534" s="3" t="str">
        <f>"FES1162846046"</f>
        <v>FES1162846046</v>
      </c>
      <c r="F1534" s="4">
        <v>44581</v>
      </c>
      <c r="G1534" s="3">
        <v>202207</v>
      </c>
      <c r="H1534" s="3" t="s">
        <v>75</v>
      </c>
      <c r="I1534" s="3" t="s">
        <v>76</v>
      </c>
      <c r="J1534" s="3" t="s">
        <v>77</v>
      </c>
      <c r="K1534" s="3" t="s">
        <v>78</v>
      </c>
      <c r="L1534" s="3" t="s">
        <v>167</v>
      </c>
      <c r="M1534" s="3" t="s">
        <v>168</v>
      </c>
      <c r="N1534" s="3" t="s">
        <v>169</v>
      </c>
      <c r="O1534" s="3" t="s">
        <v>82</v>
      </c>
      <c r="P1534" s="3" t="str">
        <f>"2170817499                    "</f>
        <v xml:space="preserve">2170817499                    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15.46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v>0</v>
      </c>
      <c r="BA1534" s="3">
        <v>0</v>
      </c>
      <c r="BB1534" s="3">
        <v>0</v>
      </c>
      <c r="BC1534" s="3">
        <v>0</v>
      </c>
      <c r="BD1534" s="3">
        <v>0</v>
      </c>
      <c r="BE1534" s="3">
        <v>0</v>
      </c>
      <c r="BF1534" s="3">
        <v>0</v>
      </c>
      <c r="BG1534" s="3">
        <v>0</v>
      </c>
      <c r="BH1534" s="3">
        <v>1</v>
      </c>
      <c r="BI1534" s="3">
        <v>1</v>
      </c>
      <c r="BJ1534" s="3">
        <v>0.2</v>
      </c>
      <c r="BK1534" s="3">
        <v>1</v>
      </c>
      <c r="BL1534" s="3">
        <v>59</v>
      </c>
      <c r="BM1534" s="3">
        <v>8.85</v>
      </c>
      <c r="BN1534" s="3">
        <v>67.849999999999994</v>
      </c>
      <c r="BO1534" s="3">
        <v>67.849999999999994</v>
      </c>
      <c r="BQ1534" s="3" t="s">
        <v>83</v>
      </c>
      <c r="BR1534" s="3" t="s">
        <v>84</v>
      </c>
      <c r="BS1534" s="4">
        <v>44582</v>
      </c>
      <c r="BT1534" s="5">
        <v>0.39097222222222222</v>
      </c>
      <c r="BU1534" s="3" t="s">
        <v>262</v>
      </c>
      <c r="BV1534" s="3" t="s">
        <v>105</v>
      </c>
      <c r="BY1534" s="3">
        <v>1200</v>
      </c>
      <c r="CA1534" s="3" t="s">
        <v>1580</v>
      </c>
      <c r="CC1534" s="3" t="s">
        <v>168</v>
      </c>
      <c r="CD1534" s="3">
        <v>6220</v>
      </c>
      <c r="CE1534" s="3" t="s">
        <v>93</v>
      </c>
      <c r="CF1534" s="4">
        <v>44582</v>
      </c>
      <c r="CI1534" s="3">
        <v>1</v>
      </c>
      <c r="CJ1534" s="3">
        <v>1</v>
      </c>
      <c r="CK1534" s="3">
        <v>21</v>
      </c>
      <c r="CL1534" s="3" t="s">
        <v>87</v>
      </c>
    </row>
    <row r="1535" spans="1:90" x14ac:dyDescent="0.2">
      <c r="A1535" s="3" t="s">
        <v>72</v>
      </c>
      <c r="B1535" s="3" t="s">
        <v>73</v>
      </c>
      <c r="C1535" s="3" t="s">
        <v>74</v>
      </c>
      <c r="E1535" s="3" t="str">
        <f>"FES1162846058"</f>
        <v>FES1162846058</v>
      </c>
      <c r="F1535" s="4">
        <v>44581</v>
      </c>
      <c r="G1535" s="3">
        <v>202207</v>
      </c>
      <c r="H1535" s="3" t="s">
        <v>75</v>
      </c>
      <c r="I1535" s="3" t="s">
        <v>76</v>
      </c>
      <c r="J1535" s="3" t="s">
        <v>77</v>
      </c>
      <c r="K1535" s="3" t="s">
        <v>78</v>
      </c>
      <c r="L1535" s="3" t="s">
        <v>244</v>
      </c>
      <c r="M1535" s="3" t="s">
        <v>245</v>
      </c>
      <c r="N1535" s="3" t="s">
        <v>400</v>
      </c>
      <c r="O1535" s="3" t="s">
        <v>82</v>
      </c>
      <c r="P1535" s="3" t="str">
        <f>"2170817516                    "</f>
        <v xml:space="preserve">2170817516                    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29.95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0</v>
      </c>
      <c r="AZ1535" s="3">
        <v>0</v>
      </c>
      <c r="BA1535" s="3">
        <v>0</v>
      </c>
      <c r="BB1535" s="3">
        <v>0</v>
      </c>
      <c r="BC1535" s="3">
        <v>0</v>
      </c>
      <c r="BD1535" s="3">
        <v>0</v>
      </c>
      <c r="BE1535" s="3">
        <v>0</v>
      </c>
      <c r="BF1535" s="3">
        <v>0</v>
      </c>
      <c r="BG1535" s="3">
        <v>0</v>
      </c>
      <c r="BH1535" s="3">
        <v>1</v>
      </c>
      <c r="BI1535" s="3">
        <v>1</v>
      </c>
      <c r="BJ1535" s="3">
        <v>0.2</v>
      </c>
      <c r="BK1535" s="3">
        <v>1</v>
      </c>
      <c r="BL1535" s="3">
        <v>114.31</v>
      </c>
      <c r="BM1535" s="3">
        <v>17.149999999999999</v>
      </c>
      <c r="BN1535" s="3">
        <v>131.46</v>
      </c>
      <c r="BO1535" s="3">
        <v>131.46</v>
      </c>
      <c r="BQ1535" s="3" t="s">
        <v>83</v>
      </c>
      <c r="BR1535" s="3" t="s">
        <v>84</v>
      </c>
      <c r="BS1535" s="4">
        <v>44582</v>
      </c>
      <c r="BT1535" s="5">
        <v>0.41666666666666669</v>
      </c>
      <c r="BU1535" s="3" t="s">
        <v>1739</v>
      </c>
      <c r="BV1535" s="3" t="s">
        <v>105</v>
      </c>
      <c r="BY1535" s="3">
        <v>1200</v>
      </c>
      <c r="CC1535" s="3" t="s">
        <v>245</v>
      </c>
      <c r="CD1535" s="3">
        <v>1947</v>
      </c>
      <c r="CE1535" s="3" t="s">
        <v>93</v>
      </c>
      <c r="CF1535" s="4">
        <v>44583</v>
      </c>
      <c r="CI1535" s="3">
        <v>1</v>
      </c>
      <c r="CJ1535" s="3">
        <v>1</v>
      </c>
      <c r="CK1535" s="3">
        <v>23</v>
      </c>
      <c r="CL1535" s="3" t="s">
        <v>87</v>
      </c>
    </row>
    <row r="1536" spans="1:90" x14ac:dyDescent="0.2">
      <c r="A1536" s="3" t="s">
        <v>72</v>
      </c>
      <c r="B1536" s="3" t="s">
        <v>73</v>
      </c>
      <c r="C1536" s="3" t="s">
        <v>74</v>
      </c>
      <c r="E1536" s="3" t="str">
        <f>"FES1162846077"</f>
        <v>FES1162846077</v>
      </c>
      <c r="F1536" s="4">
        <v>44581</v>
      </c>
      <c r="G1536" s="3">
        <v>202207</v>
      </c>
      <c r="H1536" s="3" t="s">
        <v>75</v>
      </c>
      <c r="I1536" s="3" t="s">
        <v>76</v>
      </c>
      <c r="J1536" s="3" t="s">
        <v>77</v>
      </c>
      <c r="K1536" s="3" t="s">
        <v>78</v>
      </c>
      <c r="L1536" s="3" t="s">
        <v>75</v>
      </c>
      <c r="M1536" s="3" t="s">
        <v>76</v>
      </c>
      <c r="N1536" s="3" t="s">
        <v>1837</v>
      </c>
      <c r="O1536" s="3" t="s">
        <v>82</v>
      </c>
      <c r="P1536" s="3" t="str">
        <f>"2170817548                    "</f>
        <v xml:space="preserve">2170817548                    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12.07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v>0</v>
      </c>
      <c r="BA1536" s="3">
        <v>0</v>
      </c>
      <c r="BB1536" s="3">
        <v>0</v>
      </c>
      <c r="BC1536" s="3">
        <v>0</v>
      </c>
      <c r="BD1536" s="3">
        <v>0</v>
      </c>
      <c r="BE1536" s="3">
        <v>0</v>
      </c>
      <c r="BF1536" s="3">
        <v>0</v>
      </c>
      <c r="BG1536" s="3">
        <v>0</v>
      </c>
      <c r="BH1536" s="3">
        <v>1</v>
      </c>
      <c r="BI1536" s="3">
        <v>2</v>
      </c>
      <c r="BJ1536" s="3">
        <v>1.1000000000000001</v>
      </c>
      <c r="BK1536" s="3">
        <v>2</v>
      </c>
      <c r="BL1536" s="3">
        <v>46.08</v>
      </c>
      <c r="BM1536" s="3">
        <v>6.91</v>
      </c>
      <c r="BN1536" s="3">
        <v>52.99</v>
      </c>
      <c r="BO1536" s="3">
        <v>52.99</v>
      </c>
      <c r="BQ1536" s="3" t="s">
        <v>83</v>
      </c>
      <c r="BR1536" s="3" t="s">
        <v>84</v>
      </c>
      <c r="BS1536" s="4">
        <v>44582</v>
      </c>
      <c r="BT1536" s="5">
        <v>0.36319444444444443</v>
      </c>
      <c r="BU1536" s="3" t="s">
        <v>1838</v>
      </c>
      <c r="BV1536" s="3" t="s">
        <v>105</v>
      </c>
      <c r="BY1536" s="3">
        <v>5320</v>
      </c>
      <c r="CA1536" s="3" t="s">
        <v>607</v>
      </c>
      <c r="CC1536" s="3" t="s">
        <v>76</v>
      </c>
      <c r="CD1536" s="3">
        <v>1666</v>
      </c>
      <c r="CE1536" s="3" t="s">
        <v>86</v>
      </c>
      <c r="CF1536" s="4">
        <v>44583</v>
      </c>
      <c r="CI1536" s="3">
        <v>1</v>
      </c>
      <c r="CJ1536" s="3">
        <v>1</v>
      </c>
      <c r="CK1536" s="3">
        <v>22</v>
      </c>
      <c r="CL1536" s="3" t="s">
        <v>87</v>
      </c>
    </row>
    <row r="1537" spans="1:90" x14ac:dyDescent="0.2">
      <c r="A1537" s="3" t="s">
        <v>72</v>
      </c>
      <c r="B1537" s="3" t="s">
        <v>73</v>
      </c>
      <c r="C1537" s="3" t="s">
        <v>74</v>
      </c>
      <c r="E1537" s="3" t="str">
        <f>"FES1162846006"</f>
        <v>FES1162846006</v>
      </c>
      <c r="F1537" s="4">
        <v>44581</v>
      </c>
      <c r="G1537" s="3">
        <v>202207</v>
      </c>
      <c r="H1537" s="3" t="s">
        <v>75</v>
      </c>
      <c r="I1537" s="3" t="s">
        <v>76</v>
      </c>
      <c r="J1537" s="3" t="s">
        <v>77</v>
      </c>
      <c r="K1537" s="3" t="s">
        <v>78</v>
      </c>
      <c r="L1537" s="3" t="s">
        <v>75</v>
      </c>
      <c r="M1537" s="3" t="s">
        <v>76</v>
      </c>
      <c r="N1537" s="3" t="s">
        <v>560</v>
      </c>
      <c r="O1537" s="3" t="s">
        <v>82</v>
      </c>
      <c r="P1537" s="3" t="str">
        <f>"2170816361                    "</f>
        <v xml:space="preserve">2170816361                    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12.07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v>0</v>
      </c>
      <c r="BA1537" s="3">
        <v>0</v>
      </c>
      <c r="BB1537" s="3">
        <v>0</v>
      </c>
      <c r="BC1537" s="3">
        <v>0</v>
      </c>
      <c r="BD1537" s="3">
        <v>0</v>
      </c>
      <c r="BE1537" s="3">
        <v>0</v>
      </c>
      <c r="BF1537" s="3">
        <v>0</v>
      </c>
      <c r="BG1537" s="3">
        <v>0</v>
      </c>
      <c r="BH1537" s="3">
        <v>1</v>
      </c>
      <c r="BI1537" s="3">
        <v>2</v>
      </c>
      <c r="BJ1537" s="3">
        <v>1.5</v>
      </c>
      <c r="BK1537" s="3">
        <v>2</v>
      </c>
      <c r="BL1537" s="3">
        <v>46.08</v>
      </c>
      <c r="BM1537" s="3">
        <v>6.91</v>
      </c>
      <c r="BN1537" s="3">
        <v>52.99</v>
      </c>
      <c r="BO1537" s="3">
        <v>52.99</v>
      </c>
      <c r="BQ1537" s="3" t="s">
        <v>83</v>
      </c>
      <c r="BR1537" s="3" t="s">
        <v>84</v>
      </c>
      <c r="BS1537" s="4">
        <v>44582</v>
      </c>
      <c r="BT1537" s="5">
        <v>0.34791666666666665</v>
      </c>
      <c r="BU1537" s="3" t="s">
        <v>1839</v>
      </c>
      <c r="BV1537" s="3" t="s">
        <v>105</v>
      </c>
      <c r="BY1537" s="3">
        <v>7540</v>
      </c>
      <c r="CA1537" s="3" t="s">
        <v>378</v>
      </c>
      <c r="CC1537" s="3" t="s">
        <v>76</v>
      </c>
      <c r="CD1537" s="3">
        <v>1601</v>
      </c>
      <c r="CE1537" s="3" t="s">
        <v>86</v>
      </c>
      <c r="CF1537" s="4">
        <v>44582</v>
      </c>
      <c r="CI1537" s="3">
        <v>1</v>
      </c>
      <c r="CJ1537" s="3">
        <v>1</v>
      </c>
      <c r="CK1537" s="3">
        <v>22</v>
      </c>
      <c r="CL1537" s="3" t="s">
        <v>87</v>
      </c>
    </row>
    <row r="1538" spans="1:90" x14ac:dyDescent="0.2">
      <c r="A1538" s="3" t="s">
        <v>72</v>
      </c>
      <c r="B1538" s="3" t="s">
        <v>73</v>
      </c>
      <c r="C1538" s="3" t="s">
        <v>74</v>
      </c>
      <c r="E1538" s="3" t="str">
        <f>"FES1162846032"</f>
        <v>FES1162846032</v>
      </c>
      <c r="F1538" s="4">
        <v>44581</v>
      </c>
      <c r="G1538" s="3">
        <v>202207</v>
      </c>
      <c r="H1538" s="3" t="s">
        <v>75</v>
      </c>
      <c r="I1538" s="3" t="s">
        <v>76</v>
      </c>
      <c r="J1538" s="3" t="s">
        <v>77</v>
      </c>
      <c r="K1538" s="3" t="s">
        <v>78</v>
      </c>
      <c r="L1538" s="3" t="s">
        <v>298</v>
      </c>
      <c r="M1538" s="3" t="s">
        <v>299</v>
      </c>
      <c r="N1538" s="3" t="s">
        <v>300</v>
      </c>
      <c r="O1538" s="3" t="s">
        <v>82</v>
      </c>
      <c r="P1538" s="3" t="str">
        <f>"2170816683                    "</f>
        <v xml:space="preserve">2170816683                    </v>
      </c>
      <c r="Q1538" s="3">
        <v>0</v>
      </c>
      <c r="R1538" s="3">
        <v>0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0</v>
      </c>
      <c r="AJ1538" s="3">
        <v>0</v>
      </c>
      <c r="AK1538" s="3">
        <v>29.95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0</v>
      </c>
      <c r="AZ1538" s="3">
        <v>0</v>
      </c>
      <c r="BA1538" s="3">
        <v>0</v>
      </c>
      <c r="BB1538" s="3">
        <v>0</v>
      </c>
      <c r="BC1538" s="3">
        <v>0</v>
      </c>
      <c r="BD1538" s="3">
        <v>0</v>
      </c>
      <c r="BE1538" s="3">
        <v>0</v>
      </c>
      <c r="BF1538" s="3">
        <v>0</v>
      </c>
      <c r="BG1538" s="3">
        <v>0</v>
      </c>
      <c r="BH1538" s="3">
        <v>1</v>
      </c>
      <c r="BI1538" s="3">
        <v>1</v>
      </c>
      <c r="BJ1538" s="3">
        <v>0.2</v>
      </c>
      <c r="BK1538" s="3">
        <v>1</v>
      </c>
      <c r="BL1538" s="3">
        <v>114.31</v>
      </c>
      <c r="BM1538" s="3">
        <v>17.149999999999999</v>
      </c>
      <c r="BN1538" s="3">
        <v>131.46</v>
      </c>
      <c r="BO1538" s="3">
        <v>131.46</v>
      </c>
      <c r="BR1538" s="3" t="s">
        <v>84</v>
      </c>
      <c r="BS1538" s="4">
        <v>44582</v>
      </c>
      <c r="BT1538" s="5">
        <v>0.45694444444444443</v>
      </c>
      <c r="BU1538" s="3" t="s">
        <v>1840</v>
      </c>
      <c r="BV1538" s="3" t="s">
        <v>105</v>
      </c>
      <c r="BY1538" s="3">
        <v>1200</v>
      </c>
      <c r="CA1538" s="3" t="s">
        <v>268</v>
      </c>
      <c r="CC1538" s="3" t="s">
        <v>299</v>
      </c>
      <c r="CD1538" s="3">
        <v>7349</v>
      </c>
      <c r="CE1538" s="3" t="s">
        <v>93</v>
      </c>
      <c r="CF1538" s="4">
        <v>44585</v>
      </c>
      <c r="CI1538" s="3">
        <v>1</v>
      </c>
      <c r="CJ1538" s="3">
        <v>1</v>
      </c>
      <c r="CK1538" s="3">
        <v>23</v>
      </c>
      <c r="CL1538" s="3" t="s">
        <v>87</v>
      </c>
    </row>
    <row r="1539" spans="1:90" x14ac:dyDescent="0.2">
      <c r="A1539" s="3" t="s">
        <v>72</v>
      </c>
      <c r="B1539" s="3" t="s">
        <v>73</v>
      </c>
      <c r="C1539" s="3" t="s">
        <v>74</v>
      </c>
      <c r="E1539" s="3" t="str">
        <f>"FES1162845967"</f>
        <v>FES1162845967</v>
      </c>
      <c r="F1539" s="4">
        <v>44581</v>
      </c>
      <c r="G1539" s="3">
        <v>202207</v>
      </c>
      <c r="H1539" s="3" t="s">
        <v>75</v>
      </c>
      <c r="I1539" s="3" t="s">
        <v>76</v>
      </c>
      <c r="J1539" s="3" t="s">
        <v>77</v>
      </c>
      <c r="K1539" s="3" t="s">
        <v>78</v>
      </c>
      <c r="L1539" s="3" t="s">
        <v>258</v>
      </c>
      <c r="M1539" s="3" t="s">
        <v>259</v>
      </c>
      <c r="N1539" s="3" t="s">
        <v>1841</v>
      </c>
      <c r="O1539" s="3" t="s">
        <v>148</v>
      </c>
      <c r="P1539" s="3" t="str">
        <f>"2170817405                    "</f>
        <v xml:space="preserve">2170817405                    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0</v>
      </c>
      <c r="AJ1539" s="3">
        <v>0</v>
      </c>
      <c r="AK1539" s="3">
        <v>37.31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v>0</v>
      </c>
      <c r="BA1539" s="3">
        <v>0</v>
      </c>
      <c r="BB1539" s="3">
        <v>0</v>
      </c>
      <c r="BC1539" s="3">
        <v>0</v>
      </c>
      <c r="BD1539" s="3">
        <v>0</v>
      </c>
      <c r="BE1539" s="3">
        <v>0</v>
      </c>
      <c r="BF1539" s="3">
        <v>0</v>
      </c>
      <c r="BG1539" s="3">
        <v>0</v>
      </c>
      <c r="BH1539" s="3">
        <v>2</v>
      </c>
      <c r="BI1539" s="3">
        <v>20</v>
      </c>
      <c r="BJ1539" s="3">
        <v>5.2</v>
      </c>
      <c r="BK1539" s="3">
        <v>20</v>
      </c>
      <c r="BL1539" s="3">
        <v>147.65</v>
      </c>
      <c r="BM1539" s="3">
        <v>22.15</v>
      </c>
      <c r="BN1539" s="3">
        <v>169.8</v>
      </c>
      <c r="BO1539" s="3">
        <v>169.8</v>
      </c>
      <c r="BQ1539" s="3" t="s">
        <v>83</v>
      </c>
      <c r="BR1539" s="3" t="s">
        <v>84</v>
      </c>
      <c r="BS1539" s="4">
        <v>44585</v>
      </c>
      <c r="BT1539" s="5">
        <v>0.43402777777777773</v>
      </c>
      <c r="BU1539" s="3" t="s">
        <v>918</v>
      </c>
      <c r="BV1539" s="3" t="s">
        <v>87</v>
      </c>
      <c r="BW1539" s="3" t="s">
        <v>353</v>
      </c>
      <c r="BX1539" s="3" t="s">
        <v>723</v>
      </c>
      <c r="BY1539" s="3">
        <v>25888</v>
      </c>
      <c r="CA1539" s="3" t="s">
        <v>328</v>
      </c>
      <c r="CC1539" s="3" t="s">
        <v>259</v>
      </c>
      <c r="CD1539" s="3">
        <v>2302</v>
      </c>
      <c r="CE1539" s="3" t="s">
        <v>221</v>
      </c>
      <c r="CF1539" s="4">
        <v>44586</v>
      </c>
      <c r="CI1539" s="3">
        <v>1</v>
      </c>
      <c r="CJ1539" s="3">
        <v>2</v>
      </c>
      <c r="CK1539" s="3">
        <v>44</v>
      </c>
      <c r="CL1539" s="3" t="s">
        <v>87</v>
      </c>
    </row>
    <row r="1540" spans="1:90" x14ac:dyDescent="0.2">
      <c r="A1540" s="3" t="s">
        <v>72</v>
      </c>
      <c r="B1540" s="3" t="s">
        <v>73</v>
      </c>
      <c r="C1540" s="3" t="s">
        <v>74</v>
      </c>
      <c r="E1540" s="3" t="str">
        <f>"FES1162846085"</f>
        <v>FES1162846085</v>
      </c>
      <c r="F1540" s="4">
        <v>44581</v>
      </c>
      <c r="G1540" s="3">
        <v>202207</v>
      </c>
      <c r="H1540" s="3" t="s">
        <v>75</v>
      </c>
      <c r="I1540" s="3" t="s">
        <v>76</v>
      </c>
      <c r="J1540" s="3" t="s">
        <v>77</v>
      </c>
      <c r="K1540" s="3" t="s">
        <v>78</v>
      </c>
      <c r="L1540" s="3" t="s">
        <v>94</v>
      </c>
      <c r="M1540" s="3" t="s">
        <v>95</v>
      </c>
      <c r="N1540" s="3" t="s">
        <v>451</v>
      </c>
      <c r="O1540" s="3" t="s">
        <v>82</v>
      </c>
      <c r="P1540" s="3" t="str">
        <f>"2170817561                    "</f>
        <v xml:space="preserve">2170817561                    </v>
      </c>
      <c r="Q1540" s="3">
        <v>0</v>
      </c>
      <c r="R1540" s="3">
        <v>0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15.46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v>0</v>
      </c>
      <c r="BA1540" s="3">
        <v>0</v>
      </c>
      <c r="BB1540" s="3">
        <v>0</v>
      </c>
      <c r="BC1540" s="3">
        <v>0</v>
      </c>
      <c r="BD1540" s="3">
        <v>0</v>
      </c>
      <c r="BE1540" s="3">
        <v>0</v>
      </c>
      <c r="BF1540" s="3">
        <v>0</v>
      </c>
      <c r="BG1540" s="3">
        <v>0</v>
      </c>
      <c r="BH1540" s="3">
        <v>1</v>
      </c>
      <c r="BI1540" s="3">
        <v>1</v>
      </c>
      <c r="BJ1540" s="3">
        <v>0.2</v>
      </c>
      <c r="BK1540" s="3">
        <v>1</v>
      </c>
      <c r="BL1540" s="3">
        <v>59</v>
      </c>
      <c r="BM1540" s="3">
        <v>8.85</v>
      </c>
      <c r="BN1540" s="3">
        <v>67.849999999999994</v>
      </c>
      <c r="BO1540" s="3">
        <v>67.849999999999994</v>
      </c>
      <c r="BQ1540" s="3" t="s">
        <v>83</v>
      </c>
      <c r="BR1540" s="3" t="s">
        <v>84</v>
      </c>
      <c r="BS1540" s="4">
        <v>44582</v>
      </c>
      <c r="BT1540" s="5">
        <v>0.61458333333333337</v>
      </c>
      <c r="BU1540" s="3" t="s">
        <v>1842</v>
      </c>
      <c r="BV1540" s="3" t="s">
        <v>87</v>
      </c>
      <c r="BW1540" s="3" t="s">
        <v>453</v>
      </c>
      <c r="BX1540" s="3" t="s">
        <v>279</v>
      </c>
      <c r="BY1540" s="3">
        <v>1200</v>
      </c>
      <c r="BZ1540" s="3" t="s">
        <v>165</v>
      </c>
      <c r="CC1540" s="3" t="s">
        <v>95</v>
      </c>
      <c r="CD1540" s="3">
        <v>3201</v>
      </c>
      <c r="CE1540" s="3" t="s">
        <v>93</v>
      </c>
      <c r="CF1540" s="4">
        <v>44587</v>
      </c>
      <c r="CI1540" s="3">
        <v>1</v>
      </c>
      <c r="CJ1540" s="3">
        <v>1</v>
      </c>
      <c r="CK1540" s="3">
        <v>21</v>
      </c>
      <c r="CL1540" s="3" t="s">
        <v>87</v>
      </c>
    </row>
    <row r="1541" spans="1:90" x14ac:dyDescent="0.2">
      <c r="A1541" s="3" t="s">
        <v>72</v>
      </c>
      <c r="B1541" s="3" t="s">
        <v>73</v>
      </c>
      <c r="C1541" s="3" t="s">
        <v>74</v>
      </c>
      <c r="E1541" s="3" t="str">
        <f>"FES1162846132"</f>
        <v>FES1162846132</v>
      </c>
      <c r="F1541" s="4">
        <v>44581</v>
      </c>
      <c r="G1541" s="3">
        <v>202207</v>
      </c>
      <c r="H1541" s="3" t="s">
        <v>75</v>
      </c>
      <c r="I1541" s="3" t="s">
        <v>76</v>
      </c>
      <c r="J1541" s="3" t="s">
        <v>77</v>
      </c>
      <c r="K1541" s="3" t="s">
        <v>78</v>
      </c>
      <c r="L1541" s="3" t="s">
        <v>101</v>
      </c>
      <c r="M1541" s="3" t="s">
        <v>102</v>
      </c>
      <c r="N1541" s="3" t="s">
        <v>749</v>
      </c>
      <c r="O1541" s="3" t="s">
        <v>82</v>
      </c>
      <c r="P1541" s="3" t="str">
        <f>"2170817619                    "</f>
        <v xml:space="preserve">2170817619                    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0</v>
      </c>
      <c r="AJ1541" s="3">
        <v>0</v>
      </c>
      <c r="AK1541" s="3">
        <v>15.46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0</v>
      </c>
      <c r="BF1541" s="3">
        <v>0</v>
      </c>
      <c r="BG1541" s="3">
        <v>0</v>
      </c>
      <c r="BH1541" s="3">
        <v>1</v>
      </c>
      <c r="BI1541" s="3">
        <v>1</v>
      </c>
      <c r="BJ1541" s="3">
        <v>1.5</v>
      </c>
      <c r="BK1541" s="3">
        <v>1.5</v>
      </c>
      <c r="BL1541" s="3">
        <v>59</v>
      </c>
      <c r="BM1541" s="3">
        <v>8.85</v>
      </c>
      <c r="BN1541" s="3">
        <v>67.849999999999994</v>
      </c>
      <c r="BO1541" s="3">
        <v>67.849999999999994</v>
      </c>
      <c r="BQ1541" s="3" t="s">
        <v>750</v>
      </c>
      <c r="BR1541" s="3" t="s">
        <v>84</v>
      </c>
      <c r="BS1541" s="4">
        <v>44582</v>
      </c>
      <c r="BT1541" s="5">
        <v>0.69930555555555562</v>
      </c>
      <c r="BU1541" s="3" t="s">
        <v>1843</v>
      </c>
      <c r="BV1541" s="3" t="s">
        <v>87</v>
      </c>
      <c r="BW1541" s="3" t="s">
        <v>278</v>
      </c>
      <c r="BX1541" s="3" t="s">
        <v>279</v>
      </c>
      <c r="BY1541" s="3">
        <v>7540</v>
      </c>
      <c r="BZ1541" s="3" t="s">
        <v>165</v>
      </c>
      <c r="CA1541" s="3" t="s">
        <v>1844</v>
      </c>
      <c r="CC1541" s="3" t="s">
        <v>102</v>
      </c>
      <c r="CD1541" s="3">
        <v>4052</v>
      </c>
      <c r="CE1541" s="3" t="s">
        <v>86</v>
      </c>
      <c r="CF1541" s="4">
        <v>44585</v>
      </c>
      <c r="CI1541" s="3">
        <v>1</v>
      </c>
      <c r="CJ1541" s="3">
        <v>1</v>
      </c>
      <c r="CK1541" s="3">
        <v>21</v>
      </c>
      <c r="CL1541" s="3" t="s">
        <v>87</v>
      </c>
    </row>
    <row r="1542" spans="1:90" x14ac:dyDescent="0.2">
      <c r="A1542" s="3" t="s">
        <v>72</v>
      </c>
      <c r="B1542" s="3" t="s">
        <v>73</v>
      </c>
      <c r="C1542" s="3" t="s">
        <v>74</v>
      </c>
      <c r="E1542" s="3" t="str">
        <f>"FES1162845994"</f>
        <v>FES1162845994</v>
      </c>
      <c r="F1542" s="4">
        <v>44581</v>
      </c>
      <c r="G1542" s="3">
        <v>202207</v>
      </c>
      <c r="H1542" s="3" t="s">
        <v>75</v>
      </c>
      <c r="I1542" s="3" t="s">
        <v>76</v>
      </c>
      <c r="J1542" s="3" t="s">
        <v>77</v>
      </c>
      <c r="K1542" s="3" t="s">
        <v>78</v>
      </c>
      <c r="L1542" s="3" t="s">
        <v>171</v>
      </c>
      <c r="M1542" s="3" t="s">
        <v>172</v>
      </c>
      <c r="N1542" s="3" t="s">
        <v>454</v>
      </c>
      <c r="O1542" s="3" t="s">
        <v>82</v>
      </c>
      <c r="P1542" s="3" t="str">
        <f>"2170817438                    "</f>
        <v xml:space="preserve">2170817438                    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0</v>
      </c>
      <c r="AJ1542" s="3">
        <v>0</v>
      </c>
      <c r="AK1542" s="3">
        <v>15.46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v>0</v>
      </c>
      <c r="BA1542" s="3">
        <v>0</v>
      </c>
      <c r="BB1542" s="3">
        <v>0</v>
      </c>
      <c r="BC1542" s="3">
        <v>0</v>
      </c>
      <c r="BD1542" s="3">
        <v>0</v>
      </c>
      <c r="BE1542" s="3">
        <v>0</v>
      </c>
      <c r="BF1542" s="3">
        <v>0</v>
      </c>
      <c r="BG1542" s="3">
        <v>0</v>
      </c>
      <c r="BH1542" s="3">
        <v>1</v>
      </c>
      <c r="BI1542" s="3">
        <v>1</v>
      </c>
      <c r="BJ1542" s="3">
        <v>0.2</v>
      </c>
      <c r="BK1542" s="3">
        <v>1</v>
      </c>
      <c r="BL1542" s="3">
        <v>59</v>
      </c>
      <c r="BM1542" s="3">
        <v>8.85</v>
      </c>
      <c r="BN1542" s="3">
        <v>67.849999999999994</v>
      </c>
      <c r="BO1542" s="3">
        <v>67.849999999999994</v>
      </c>
      <c r="BQ1542" s="3" t="s">
        <v>89</v>
      </c>
      <c r="BR1542" s="3" t="s">
        <v>84</v>
      </c>
      <c r="BS1542" s="4">
        <v>44582</v>
      </c>
      <c r="BT1542" s="5">
        <v>0.38055555555555554</v>
      </c>
      <c r="BU1542" s="3" t="s">
        <v>1811</v>
      </c>
      <c r="BV1542" s="3" t="s">
        <v>105</v>
      </c>
      <c r="BY1542" s="3">
        <v>1200</v>
      </c>
      <c r="BZ1542" s="3" t="s">
        <v>165</v>
      </c>
      <c r="CA1542" s="3" t="s">
        <v>509</v>
      </c>
      <c r="CC1542" s="3" t="s">
        <v>172</v>
      </c>
      <c r="CD1542" s="3">
        <v>6001</v>
      </c>
      <c r="CE1542" s="3" t="s">
        <v>93</v>
      </c>
      <c r="CF1542" s="4">
        <v>44582</v>
      </c>
      <c r="CI1542" s="3">
        <v>1</v>
      </c>
      <c r="CJ1542" s="3">
        <v>1</v>
      </c>
      <c r="CK1542" s="3">
        <v>21</v>
      </c>
      <c r="CL1542" s="3" t="s">
        <v>87</v>
      </c>
    </row>
    <row r="1543" spans="1:90" x14ac:dyDescent="0.2">
      <c r="A1543" s="3" t="s">
        <v>72</v>
      </c>
      <c r="B1543" s="3" t="s">
        <v>73</v>
      </c>
      <c r="C1543" s="3" t="s">
        <v>74</v>
      </c>
      <c r="E1543" s="3" t="str">
        <f>"FES1162846126"</f>
        <v>FES1162846126</v>
      </c>
      <c r="F1543" s="4">
        <v>44581</v>
      </c>
      <c r="G1543" s="3">
        <v>202207</v>
      </c>
      <c r="H1543" s="3" t="s">
        <v>75</v>
      </c>
      <c r="I1543" s="3" t="s">
        <v>76</v>
      </c>
      <c r="J1543" s="3" t="s">
        <v>77</v>
      </c>
      <c r="K1543" s="3" t="s">
        <v>78</v>
      </c>
      <c r="L1543" s="3" t="s">
        <v>427</v>
      </c>
      <c r="M1543" s="3" t="s">
        <v>428</v>
      </c>
      <c r="N1543" s="3" t="s">
        <v>447</v>
      </c>
      <c r="O1543" s="3" t="s">
        <v>82</v>
      </c>
      <c r="P1543" s="3" t="str">
        <f>"2170817611                    "</f>
        <v xml:space="preserve">2170817611                    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0</v>
      </c>
      <c r="AJ1543" s="3">
        <v>0</v>
      </c>
      <c r="AK1543" s="3">
        <v>151.68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0</v>
      </c>
      <c r="BF1543" s="3">
        <v>0</v>
      </c>
      <c r="BG1543" s="3">
        <v>0</v>
      </c>
      <c r="BH1543" s="3">
        <v>1</v>
      </c>
      <c r="BI1543" s="3">
        <v>11</v>
      </c>
      <c r="BJ1543" s="3">
        <v>4.0999999999999996</v>
      </c>
      <c r="BK1543" s="3">
        <v>11</v>
      </c>
      <c r="BL1543" s="3">
        <v>578.94000000000005</v>
      </c>
      <c r="BM1543" s="3">
        <v>86.84</v>
      </c>
      <c r="BN1543" s="3">
        <v>665.78</v>
      </c>
      <c r="BO1543" s="3">
        <v>665.78</v>
      </c>
      <c r="BQ1543" s="3" t="s">
        <v>89</v>
      </c>
      <c r="BR1543" s="3" t="s">
        <v>84</v>
      </c>
      <c r="BS1543" s="4">
        <v>44582</v>
      </c>
      <c r="BT1543" s="5">
        <v>0.61597222222222225</v>
      </c>
      <c r="BU1543" s="3" t="s">
        <v>874</v>
      </c>
      <c r="BV1543" s="3" t="s">
        <v>87</v>
      </c>
      <c r="BW1543" s="3" t="s">
        <v>457</v>
      </c>
      <c r="BX1543" s="3" t="s">
        <v>602</v>
      </c>
      <c r="BY1543" s="3">
        <v>20358</v>
      </c>
      <c r="BZ1543" s="3" t="s">
        <v>165</v>
      </c>
      <c r="CA1543" s="3" t="s">
        <v>488</v>
      </c>
      <c r="CC1543" s="3" t="s">
        <v>428</v>
      </c>
      <c r="CD1543" s="3">
        <v>7130</v>
      </c>
      <c r="CE1543" s="3" t="s">
        <v>86</v>
      </c>
      <c r="CF1543" s="4">
        <v>44585</v>
      </c>
      <c r="CI1543" s="3">
        <v>1</v>
      </c>
      <c r="CJ1543" s="3">
        <v>1</v>
      </c>
      <c r="CK1543" s="3">
        <v>23</v>
      </c>
      <c r="CL1543" s="3" t="s">
        <v>87</v>
      </c>
    </row>
    <row r="1544" spans="1:90" x14ac:dyDescent="0.2">
      <c r="A1544" s="3" t="s">
        <v>72</v>
      </c>
      <c r="B1544" s="3" t="s">
        <v>73</v>
      </c>
      <c r="C1544" s="3" t="s">
        <v>74</v>
      </c>
      <c r="E1544" s="3" t="str">
        <f>"FES1162846150"</f>
        <v>FES1162846150</v>
      </c>
      <c r="F1544" s="4">
        <v>44581</v>
      </c>
      <c r="G1544" s="3">
        <v>202207</v>
      </c>
      <c r="H1544" s="3" t="s">
        <v>75</v>
      </c>
      <c r="I1544" s="3" t="s">
        <v>76</v>
      </c>
      <c r="J1544" s="3" t="s">
        <v>77</v>
      </c>
      <c r="K1544" s="3" t="s">
        <v>78</v>
      </c>
      <c r="L1544" s="3" t="s">
        <v>158</v>
      </c>
      <c r="M1544" s="3" t="s">
        <v>159</v>
      </c>
      <c r="N1544" s="3" t="s">
        <v>223</v>
      </c>
      <c r="O1544" s="3" t="s">
        <v>82</v>
      </c>
      <c r="P1544" s="3" t="str">
        <f>"2170817649                    "</f>
        <v xml:space="preserve">2170817649                    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0</v>
      </c>
      <c r="AJ1544" s="3">
        <v>0</v>
      </c>
      <c r="AK1544" s="3">
        <v>12.07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v>0</v>
      </c>
      <c r="BA1544" s="3">
        <v>0</v>
      </c>
      <c r="BB1544" s="3">
        <v>0</v>
      </c>
      <c r="BC1544" s="3">
        <v>0</v>
      </c>
      <c r="BD1544" s="3">
        <v>0</v>
      </c>
      <c r="BE1544" s="3">
        <v>0</v>
      </c>
      <c r="BF1544" s="3">
        <v>0</v>
      </c>
      <c r="BG1544" s="3">
        <v>0</v>
      </c>
      <c r="BH1544" s="3">
        <v>1</v>
      </c>
      <c r="BI1544" s="3">
        <v>1</v>
      </c>
      <c r="BJ1544" s="3">
        <v>0.9</v>
      </c>
      <c r="BK1544" s="3">
        <v>1</v>
      </c>
      <c r="BL1544" s="3">
        <v>46.08</v>
      </c>
      <c r="BM1544" s="3">
        <v>6.91</v>
      </c>
      <c r="BN1544" s="3">
        <v>52.99</v>
      </c>
      <c r="BO1544" s="3">
        <v>52.99</v>
      </c>
      <c r="BQ1544" s="3" t="s">
        <v>89</v>
      </c>
      <c r="BR1544" s="3" t="s">
        <v>84</v>
      </c>
      <c r="BS1544" s="4">
        <v>44582</v>
      </c>
      <c r="BT1544" s="5">
        <v>0.36944444444444446</v>
      </c>
      <c r="BU1544" s="3" t="s">
        <v>1845</v>
      </c>
      <c r="BV1544" s="3" t="s">
        <v>105</v>
      </c>
      <c r="BY1544" s="3">
        <v>4560</v>
      </c>
      <c r="BZ1544" s="3" t="s">
        <v>165</v>
      </c>
      <c r="CA1544" s="3" t="s">
        <v>678</v>
      </c>
      <c r="CC1544" s="3" t="s">
        <v>159</v>
      </c>
      <c r="CD1544" s="3">
        <v>1459</v>
      </c>
      <c r="CE1544" s="3" t="s">
        <v>86</v>
      </c>
      <c r="CF1544" s="4">
        <v>44582</v>
      </c>
      <c r="CI1544" s="3">
        <v>1</v>
      </c>
      <c r="CJ1544" s="3">
        <v>1</v>
      </c>
      <c r="CK1544" s="3">
        <v>22</v>
      </c>
      <c r="CL1544" s="3" t="s">
        <v>87</v>
      </c>
    </row>
    <row r="1545" spans="1:90" x14ac:dyDescent="0.2">
      <c r="A1545" s="3" t="s">
        <v>72</v>
      </c>
      <c r="B1545" s="3" t="s">
        <v>73</v>
      </c>
      <c r="C1545" s="3" t="s">
        <v>74</v>
      </c>
      <c r="E1545" s="3" t="str">
        <f>"FES1162846047"</f>
        <v>FES1162846047</v>
      </c>
      <c r="F1545" s="4">
        <v>44581</v>
      </c>
      <c r="G1545" s="3">
        <v>202207</v>
      </c>
      <c r="H1545" s="3" t="s">
        <v>75</v>
      </c>
      <c r="I1545" s="3" t="s">
        <v>76</v>
      </c>
      <c r="J1545" s="3" t="s">
        <v>77</v>
      </c>
      <c r="K1545" s="3" t="s">
        <v>78</v>
      </c>
      <c r="L1545" s="3" t="s">
        <v>799</v>
      </c>
      <c r="M1545" s="3" t="s">
        <v>800</v>
      </c>
      <c r="N1545" s="3" t="s">
        <v>801</v>
      </c>
      <c r="O1545" s="3" t="s">
        <v>82</v>
      </c>
      <c r="P1545" s="3" t="str">
        <f>"2170817500                    "</f>
        <v xml:space="preserve">2170817500                    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0</v>
      </c>
      <c r="AJ1545" s="3">
        <v>0</v>
      </c>
      <c r="AK1545" s="3">
        <v>53.5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v>0</v>
      </c>
      <c r="BA1545" s="3">
        <v>0</v>
      </c>
      <c r="BB1545" s="3">
        <v>0</v>
      </c>
      <c r="BC1545" s="3">
        <v>0</v>
      </c>
      <c r="BD1545" s="3">
        <v>0</v>
      </c>
      <c r="BE1545" s="3">
        <v>0</v>
      </c>
      <c r="BF1545" s="3">
        <v>0</v>
      </c>
      <c r="BG1545" s="3">
        <v>0</v>
      </c>
      <c r="BH1545" s="3">
        <v>1</v>
      </c>
      <c r="BI1545" s="3">
        <v>5</v>
      </c>
      <c r="BJ1545" s="3">
        <v>2.8</v>
      </c>
      <c r="BK1545" s="3">
        <v>5</v>
      </c>
      <c r="BL1545" s="3">
        <v>204.2</v>
      </c>
      <c r="BM1545" s="3">
        <v>30.63</v>
      </c>
      <c r="BN1545" s="3">
        <v>234.83</v>
      </c>
      <c r="BO1545" s="3">
        <v>234.83</v>
      </c>
      <c r="BQ1545" s="3" t="s">
        <v>89</v>
      </c>
      <c r="BR1545" s="3" t="s">
        <v>84</v>
      </c>
      <c r="BS1545" s="4">
        <v>44582</v>
      </c>
      <c r="BT1545" s="5">
        <v>0.41041666666666665</v>
      </c>
      <c r="BU1545" s="3" t="s">
        <v>1184</v>
      </c>
      <c r="BV1545" s="3" t="s">
        <v>105</v>
      </c>
      <c r="BY1545" s="3">
        <v>14080</v>
      </c>
      <c r="BZ1545" s="3" t="s">
        <v>165</v>
      </c>
      <c r="CA1545" s="3" t="s">
        <v>803</v>
      </c>
      <c r="CC1545" s="3" t="s">
        <v>800</v>
      </c>
      <c r="CD1545" s="3">
        <v>2210</v>
      </c>
      <c r="CE1545" s="3" t="s">
        <v>86</v>
      </c>
      <c r="CF1545" s="4">
        <v>44586</v>
      </c>
      <c r="CI1545" s="3">
        <v>1</v>
      </c>
      <c r="CJ1545" s="3">
        <v>1</v>
      </c>
      <c r="CK1545" s="3">
        <v>24</v>
      </c>
      <c r="CL1545" s="3" t="s">
        <v>87</v>
      </c>
    </row>
    <row r="1546" spans="1:90" x14ac:dyDescent="0.2">
      <c r="A1546" s="3" t="s">
        <v>72</v>
      </c>
      <c r="B1546" s="3" t="s">
        <v>73</v>
      </c>
      <c r="C1546" s="3" t="s">
        <v>74</v>
      </c>
      <c r="E1546" s="3" t="str">
        <f>"FES1162846112"</f>
        <v>FES1162846112</v>
      </c>
      <c r="F1546" s="4">
        <v>44581</v>
      </c>
      <c r="G1546" s="3">
        <v>202207</v>
      </c>
      <c r="H1546" s="3" t="s">
        <v>75</v>
      </c>
      <c r="I1546" s="3" t="s">
        <v>76</v>
      </c>
      <c r="J1546" s="3" t="s">
        <v>77</v>
      </c>
      <c r="K1546" s="3" t="s">
        <v>78</v>
      </c>
      <c r="L1546" s="3" t="s">
        <v>218</v>
      </c>
      <c r="M1546" s="3" t="s">
        <v>219</v>
      </c>
      <c r="N1546" s="3" t="s">
        <v>727</v>
      </c>
      <c r="O1546" s="3" t="s">
        <v>82</v>
      </c>
      <c r="P1546" s="3" t="str">
        <f>"2170817594                    "</f>
        <v xml:space="preserve">2170817594                    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15.46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v>0</v>
      </c>
      <c r="BA1546" s="3">
        <v>0</v>
      </c>
      <c r="BB1546" s="3">
        <v>0</v>
      </c>
      <c r="BC1546" s="3">
        <v>0</v>
      </c>
      <c r="BD1546" s="3">
        <v>0</v>
      </c>
      <c r="BE1546" s="3">
        <v>0</v>
      </c>
      <c r="BF1546" s="3">
        <v>0</v>
      </c>
      <c r="BG1546" s="3">
        <v>0</v>
      </c>
      <c r="BH1546" s="3">
        <v>1</v>
      </c>
      <c r="BI1546" s="3">
        <v>1</v>
      </c>
      <c r="BJ1546" s="3">
        <v>0.2</v>
      </c>
      <c r="BK1546" s="3">
        <v>1</v>
      </c>
      <c r="BL1546" s="3">
        <v>59</v>
      </c>
      <c r="BM1546" s="3">
        <v>8.85</v>
      </c>
      <c r="BN1546" s="3">
        <v>67.849999999999994</v>
      </c>
      <c r="BO1546" s="3">
        <v>67.849999999999994</v>
      </c>
      <c r="BQ1546" s="3" t="s">
        <v>89</v>
      </c>
      <c r="BR1546" s="3" t="s">
        <v>84</v>
      </c>
      <c r="BS1546" s="4">
        <v>44582</v>
      </c>
      <c r="BT1546" s="5">
        <v>0.43402777777777773</v>
      </c>
      <c r="BU1546" s="3" t="s">
        <v>728</v>
      </c>
      <c r="BV1546" s="3" t="s">
        <v>105</v>
      </c>
      <c r="BY1546" s="3">
        <v>1200</v>
      </c>
      <c r="BZ1546" s="3" t="s">
        <v>165</v>
      </c>
      <c r="CA1546" s="3" t="s">
        <v>362</v>
      </c>
      <c r="CC1546" s="3" t="s">
        <v>219</v>
      </c>
      <c r="CD1546" s="3">
        <v>157</v>
      </c>
      <c r="CE1546" s="3" t="s">
        <v>93</v>
      </c>
      <c r="CF1546" s="4">
        <v>44587</v>
      </c>
      <c r="CI1546" s="3">
        <v>1</v>
      </c>
      <c r="CJ1546" s="3">
        <v>1</v>
      </c>
      <c r="CK1546" s="3">
        <v>21</v>
      </c>
      <c r="CL1546" s="3" t="s">
        <v>87</v>
      </c>
    </row>
    <row r="1547" spans="1:90" x14ac:dyDescent="0.2">
      <c r="A1547" s="3" t="s">
        <v>72</v>
      </c>
      <c r="B1547" s="3" t="s">
        <v>73</v>
      </c>
      <c r="C1547" s="3" t="s">
        <v>74</v>
      </c>
      <c r="E1547" s="3" t="str">
        <f>"FES1162846119"</f>
        <v>FES1162846119</v>
      </c>
      <c r="F1547" s="4">
        <v>44581</v>
      </c>
      <c r="G1547" s="3">
        <v>202207</v>
      </c>
      <c r="H1547" s="3" t="s">
        <v>75</v>
      </c>
      <c r="I1547" s="3" t="s">
        <v>76</v>
      </c>
      <c r="J1547" s="3" t="s">
        <v>77</v>
      </c>
      <c r="K1547" s="3" t="s">
        <v>78</v>
      </c>
      <c r="L1547" s="3" t="s">
        <v>97</v>
      </c>
      <c r="M1547" s="3" t="s">
        <v>98</v>
      </c>
      <c r="N1547" s="3" t="s">
        <v>943</v>
      </c>
      <c r="O1547" s="3" t="s">
        <v>82</v>
      </c>
      <c r="P1547" s="3" t="str">
        <f>"2170817603                    "</f>
        <v xml:space="preserve">2170817603                    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16.420000000000002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v>0</v>
      </c>
      <c r="BA1547" s="3">
        <v>0</v>
      </c>
      <c r="BB1547" s="3">
        <v>0</v>
      </c>
      <c r="BC1547" s="3">
        <v>0</v>
      </c>
      <c r="BD1547" s="3">
        <v>0</v>
      </c>
      <c r="BE1547" s="3">
        <v>0</v>
      </c>
      <c r="BF1547" s="3">
        <v>0</v>
      </c>
      <c r="BG1547" s="3">
        <v>0</v>
      </c>
      <c r="BH1547" s="3">
        <v>1</v>
      </c>
      <c r="BI1547" s="3">
        <v>3</v>
      </c>
      <c r="BJ1547" s="3">
        <v>9.1</v>
      </c>
      <c r="BK1547" s="3">
        <v>9.5</v>
      </c>
      <c r="BL1547" s="3">
        <v>62.67</v>
      </c>
      <c r="BM1547" s="3">
        <v>9.4</v>
      </c>
      <c r="BN1547" s="3">
        <v>72.069999999999993</v>
      </c>
      <c r="BO1547" s="3">
        <v>72.069999999999993</v>
      </c>
      <c r="BQ1547" s="3" t="s">
        <v>89</v>
      </c>
      <c r="BR1547" s="3" t="s">
        <v>84</v>
      </c>
      <c r="BS1547" s="4">
        <v>44582</v>
      </c>
      <c r="BT1547" s="5">
        <v>0.31875000000000003</v>
      </c>
      <c r="BU1547" s="3" t="s">
        <v>1789</v>
      </c>
      <c r="BV1547" s="3" t="s">
        <v>105</v>
      </c>
      <c r="BY1547" s="3">
        <v>45632</v>
      </c>
      <c r="BZ1547" s="3" t="s">
        <v>165</v>
      </c>
      <c r="CA1547" s="3" t="s">
        <v>297</v>
      </c>
      <c r="CC1547" s="3" t="s">
        <v>98</v>
      </c>
      <c r="CD1547" s="3">
        <v>2013</v>
      </c>
      <c r="CE1547" s="3" t="s">
        <v>86</v>
      </c>
      <c r="CF1547" s="4">
        <v>44582</v>
      </c>
      <c r="CI1547" s="3">
        <v>1</v>
      </c>
      <c r="CJ1547" s="3">
        <v>1</v>
      </c>
      <c r="CK1547" s="3">
        <v>22</v>
      </c>
      <c r="CL1547" s="3" t="s">
        <v>87</v>
      </c>
    </row>
    <row r="1548" spans="1:90" x14ac:dyDescent="0.2">
      <c r="A1548" s="3" t="s">
        <v>72</v>
      </c>
      <c r="B1548" s="3" t="s">
        <v>73</v>
      </c>
      <c r="C1548" s="3" t="s">
        <v>74</v>
      </c>
      <c r="E1548" s="3" t="str">
        <f>"FES1162846095"</f>
        <v>FES1162846095</v>
      </c>
      <c r="F1548" s="4">
        <v>44581</v>
      </c>
      <c r="G1548" s="3">
        <v>202207</v>
      </c>
      <c r="H1548" s="3" t="s">
        <v>75</v>
      </c>
      <c r="I1548" s="3" t="s">
        <v>76</v>
      </c>
      <c r="J1548" s="3" t="s">
        <v>77</v>
      </c>
      <c r="K1548" s="3" t="s">
        <v>78</v>
      </c>
      <c r="L1548" s="3" t="s">
        <v>97</v>
      </c>
      <c r="M1548" s="3" t="s">
        <v>98</v>
      </c>
      <c r="N1548" s="3" t="s">
        <v>317</v>
      </c>
      <c r="O1548" s="3" t="s">
        <v>82</v>
      </c>
      <c r="P1548" s="3" t="str">
        <f>"2170817573                    "</f>
        <v xml:space="preserve">2170817573                    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12.07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v>0</v>
      </c>
      <c r="BA1548" s="3">
        <v>0</v>
      </c>
      <c r="BB1548" s="3">
        <v>0</v>
      </c>
      <c r="BC1548" s="3">
        <v>0</v>
      </c>
      <c r="BD1548" s="3">
        <v>0</v>
      </c>
      <c r="BE1548" s="3">
        <v>0</v>
      </c>
      <c r="BF1548" s="3">
        <v>0</v>
      </c>
      <c r="BG1548" s="3">
        <v>0</v>
      </c>
      <c r="BH1548" s="3">
        <v>1</v>
      </c>
      <c r="BI1548" s="3">
        <v>1</v>
      </c>
      <c r="BJ1548" s="3">
        <v>0.2</v>
      </c>
      <c r="BK1548" s="3">
        <v>1</v>
      </c>
      <c r="BL1548" s="3">
        <v>46.08</v>
      </c>
      <c r="BM1548" s="3">
        <v>6.91</v>
      </c>
      <c r="BN1548" s="3">
        <v>52.99</v>
      </c>
      <c r="BO1548" s="3">
        <v>52.99</v>
      </c>
      <c r="BQ1548" s="3" t="s">
        <v>318</v>
      </c>
      <c r="BR1548" s="3" t="s">
        <v>84</v>
      </c>
      <c r="BS1548" s="4">
        <v>44582</v>
      </c>
      <c r="BT1548" s="5">
        <v>0.34722222222222227</v>
      </c>
      <c r="BU1548" s="3" t="s">
        <v>1656</v>
      </c>
      <c r="BV1548" s="3" t="s">
        <v>105</v>
      </c>
      <c r="BY1548" s="3">
        <v>1200</v>
      </c>
      <c r="BZ1548" s="3" t="s">
        <v>165</v>
      </c>
      <c r="CA1548" s="3" t="s">
        <v>320</v>
      </c>
      <c r="CC1548" s="3" t="s">
        <v>98</v>
      </c>
      <c r="CD1548" s="3">
        <v>2042</v>
      </c>
      <c r="CE1548" s="3" t="s">
        <v>86</v>
      </c>
      <c r="CF1548" s="4">
        <v>44582</v>
      </c>
      <c r="CI1548" s="3">
        <v>1</v>
      </c>
      <c r="CJ1548" s="3">
        <v>1</v>
      </c>
      <c r="CK1548" s="3">
        <v>22</v>
      </c>
      <c r="CL1548" s="3" t="s">
        <v>87</v>
      </c>
    </row>
    <row r="1549" spans="1:90" x14ac:dyDescent="0.2">
      <c r="A1549" s="3" t="s">
        <v>72</v>
      </c>
      <c r="B1549" s="3" t="s">
        <v>73</v>
      </c>
      <c r="C1549" s="3" t="s">
        <v>74</v>
      </c>
      <c r="E1549" s="3" t="str">
        <f>"FES1162846067"</f>
        <v>FES1162846067</v>
      </c>
      <c r="F1549" s="4">
        <v>44581</v>
      </c>
      <c r="G1549" s="3">
        <v>202207</v>
      </c>
      <c r="H1549" s="3" t="s">
        <v>75</v>
      </c>
      <c r="I1549" s="3" t="s">
        <v>76</v>
      </c>
      <c r="J1549" s="3" t="s">
        <v>77</v>
      </c>
      <c r="K1549" s="3" t="s">
        <v>78</v>
      </c>
      <c r="L1549" s="3" t="s">
        <v>211</v>
      </c>
      <c r="M1549" s="3" t="s">
        <v>212</v>
      </c>
      <c r="N1549" s="3" t="s">
        <v>1846</v>
      </c>
      <c r="O1549" s="3" t="s">
        <v>82</v>
      </c>
      <c r="P1549" s="3" t="str">
        <f>"2170817534                    "</f>
        <v xml:space="preserve">2170817534                    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12.07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v>0</v>
      </c>
      <c r="BA1549" s="3">
        <v>0</v>
      </c>
      <c r="BB1549" s="3">
        <v>0</v>
      </c>
      <c r="BC1549" s="3">
        <v>0</v>
      </c>
      <c r="BD1549" s="3">
        <v>0</v>
      </c>
      <c r="BE1549" s="3">
        <v>0</v>
      </c>
      <c r="BF1549" s="3">
        <v>0</v>
      </c>
      <c r="BG1549" s="3">
        <v>0</v>
      </c>
      <c r="BH1549" s="3">
        <v>1</v>
      </c>
      <c r="BI1549" s="3">
        <v>1</v>
      </c>
      <c r="BJ1549" s="3">
        <v>0.2</v>
      </c>
      <c r="BK1549" s="3">
        <v>1</v>
      </c>
      <c r="BL1549" s="3">
        <v>46.08</v>
      </c>
      <c r="BM1549" s="3">
        <v>6.91</v>
      </c>
      <c r="BN1549" s="3">
        <v>52.99</v>
      </c>
      <c r="BO1549" s="3">
        <v>52.99</v>
      </c>
      <c r="BR1549" s="3" t="s">
        <v>84</v>
      </c>
      <c r="BS1549" s="4">
        <v>44582</v>
      </c>
      <c r="BT1549" s="5">
        <v>0.42430555555555555</v>
      </c>
      <c r="BU1549" s="3" t="s">
        <v>1847</v>
      </c>
      <c r="BV1549" s="3" t="s">
        <v>105</v>
      </c>
      <c r="BY1549" s="3">
        <v>1200</v>
      </c>
      <c r="BZ1549" s="3" t="s">
        <v>165</v>
      </c>
      <c r="CA1549" s="3" t="s">
        <v>1151</v>
      </c>
      <c r="CC1549" s="3" t="s">
        <v>212</v>
      </c>
      <c r="CD1549" s="3">
        <v>2158</v>
      </c>
      <c r="CE1549" s="3" t="s">
        <v>86</v>
      </c>
      <c r="CF1549" s="4">
        <v>44582</v>
      </c>
      <c r="CI1549" s="3">
        <v>1</v>
      </c>
      <c r="CJ1549" s="3">
        <v>1</v>
      </c>
      <c r="CK1549" s="3">
        <v>22</v>
      </c>
      <c r="CL1549" s="3" t="s">
        <v>87</v>
      </c>
    </row>
    <row r="1550" spans="1:90" x14ac:dyDescent="0.2">
      <c r="A1550" s="3" t="s">
        <v>72</v>
      </c>
      <c r="B1550" s="3" t="s">
        <v>73</v>
      </c>
      <c r="C1550" s="3" t="s">
        <v>74</v>
      </c>
      <c r="E1550" s="3" t="str">
        <f>"FES1162846025"</f>
        <v>FES1162846025</v>
      </c>
      <c r="F1550" s="4">
        <v>44581</v>
      </c>
      <c r="G1550" s="3">
        <v>202207</v>
      </c>
      <c r="H1550" s="3" t="s">
        <v>75</v>
      </c>
      <c r="I1550" s="3" t="s">
        <v>76</v>
      </c>
      <c r="J1550" s="3" t="s">
        <v>77</v>
      </c>
      <c r="K1550" s="3" t="s">
        <v>78</v>
      </c>
      <c r="L1550" s="3" t="s">
        <v>79</v>
      </c>
      <c r="M1550" s="3" t="s">
        <v>80</v>
      </c>
      <c r="N1550" s="3" t="s">
        <v>1295</v>
      </c>
      <c r="O1550" s="3" t="s">
        <v>82</v>
      </c>
      <c r="P1550" s="3" t="str">
        <f>"2170817468                    "</f>
        <v xml:space="preserve">2170817468                    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38.630000000000003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v>0</v>
      </c>
      <c r="BA1550" s="3">
        <v>0</v>
      </c>
      <c r="BB1550" s="3">
        <v>0</v>
      </c>
      <c r="BC1550" s="3">
        <v>0</v>
      </c>
      <c r="BD1550" s="3">
        <v>0</v>
      </c>
      <c r="BE1550" s="3">
        <v>0</v>
      </c>
      <c r="BF1550" s="3">
        <v>0</v>
      </c>
      <c r="BG1550" s="3">
        <v>0</v>
      </c>
      <c r="BH1550" s="3">
        <v>2</v>
      </c>
      <c r="BI1550" s="3">
        <v>5</v>
      </c>
      <c r="BJ1550" s="3">
        <v>2.1</v>
      </c>
      <c r="BK1550" s="3">
        <v>5</v>
      </c>
      <c r="BL1550" s="3">
        <v>147.44999999999999</v>
      </c>
      <c r="BM1550" s="3">
        <v>22.12</v>
      </c>
      <c r="BN1550" s="3">
        <v>169.57</v>
      </c>
      <c r="BO1550" s="3">
        <v>169.57</v>
      </c>
      <c r="BQ1550" s="3" t="s">
        <v>83</v>
      </c>
      <c r="BR1550" s="3" t="s">
        <v>84</v>
      </c>
      <c r="BS1550" s="4">
        <v>44582</v>
      </c>
      <c r="BT1550" s="5">
        <v>0.38541666666666669</v>
      </c>
      <c r="BU1550" s="3" t="s">
        <v>1848</v>
      </c>
      <c r="BV1550" s="3" t="s">
        <v>105</v>
      </c>
      <c r="BY1550" s="3">
        <v>10747</v>
      </c>
      <c r="BZ1550" s="3" t="s">
        <v>165</v>
      </c>
      <c r="CA1550" s="3" t="s">
        <v>287</v>
      </c>
      <c r="CC1550" s="3" t="s">
        <v>80</v>
      </c>
      <c r="CD1550" s="3">
        <v>181</v>
      </c>
      <c r="CE1550" s="3" t="s">
        <v>221</v>
      </c>
      <c r="CF1550" s="4">
        <v>44586</v>
      </c>
      <c r="CI1550" s="3">
        <v>1</v>
      </c>
      <c r="CJ1550" s="3">
        <v>1</v>
      </c>
      <c r="CK1550" s="3">
        <v>21</v>
      </c>
      <c r="CL1550" s="3" t="s">
        <v>87</v>
      </c>
    </row>
    <row r="1551" spans="1:90" x14ac:dyDescent="0.2">
      <c r="A1551" s="3" t="s">
        <v>72</v>
      </c>
      <c r="B1551" s="3" t="s">
        <v>73</v>
      </c>
      <c r="C1551" s="3" t="s">
        <v>74</v>
      </c>
      <c r="E1551" s="3" t="str">
        <f>"FES1162846055"</f>
        <v>FES1162846055</v>
      </c>
      <c r="F1551" s="4">
        <v>44581</v>
      </c>
      <c r="G1551" s="3">
        <v>202207</v>
      </c>
      <c r="H1551" s="3" t="s">
        <v>75</v>
      </c>
      <c r="I1551" s="3" t="s">
        <v>76</v>
      </c>
      <c r="J1551" s="3" t="s">
        <v>77</v>
      </c>
      <c r="K1551" s="3" t="s">
        <v>78</v>
      </c>
      <c r="L1551" s="3" t="s">
        <v>101</v>
      </c>
      <c r="M1551" s="3" t="s">
        <v>102</v>
      </c>
      <c r="N1551" s="3" t="s">
        <v>170</v>
      </c>
      <c r="O1551" s="3" t="s">
        <v>82</v>
      </c>
      <c r="P1551" s="3" t="str">
        <f>"2170817511                    "</f>
        <v xml:space="preserve">2170817511                    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15.46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v>0</v>
      </c>
      <c r="BA1551" s="3">
        <v>0</v>
      </c>
      <c r="BB1551" s="3">
        <v>0</v>
      </c>
      <c r="BC1551" s="3">
        <v>0</v>
      </c>
      <c r="BD1551" s="3">
        <v>0</v>
      </c>
      <c r="BE1551" s="3">
        <v>0</v>
      </c>
      <c r="BF1551" s="3">
        <v>0</v>
      </c>
      <c r="BG1551" s="3">
        <v>0</v>
      </c>
      <c r="BH1551" s="3">
        <v>1</v>
      </c>
      <c r="BI1551" s="3">
        <v>1</v>
      </c>
      <c r="BJ1551" s="3">
        <v>0.2</v>
      </c>
      <c r="BK1551" s="3">
        <v>1</v>
      </c>
      <c r="BL1551" s="3">
        <v>59</v>
      </c>
      <c r="BM1551" s="3">
        <v>8.85</v>
      </c>
      <c r="BN1551" s="3">
        <v>67.849999999999994</v>
      </c>
      <c r="BO1551" s="3">
        <v>67.849999999999994</v>
      </c>
      <c r="BQ1551" s="3" t="s">
        <v>89</v>
      </c>
      <c r="BR1551" s="3" t="s">
        <v>84</v>
      </c>
      <c r="BS1551" s="4">
        <v>44582</v>
      </c>
      <c r="BT1551" s="5">
        <v>0.4770833333333333</v>
      </c>
      <c r="BU1551" s="3" t="s">
        <v>369</v>
      </c>
      <c r="BV1551" s="3" t="s">
        <v>87</v>
      </c>
      <c r="BW1551" s="3" t="s">
        <v>278</v>
      </c>
      <c r="BX1551" s="3" t="s">
        <v>279</v>
      </c>
      <c r="BY1551" s="3">
        <v>1200</v>
      </c>
      <c r="BZ1551" s="3" t="s">
        <v>165</v>
      </c>
      <c r="CA1551" s="3" t="s">
        <v>280</v>
      </c>
      <c r="CC1551" s="3" t="s">
        <v>102</v>
      </c>
      <c r="CD1551" s="3">
        <v>4001</v>
      </c>
      <c r="CE1551" s="3" t="s">
        <v>93</v>
      </c>
      <c r="CF1551" s="4">
        <v>44585</v>
      </c>
      <c r="CI1551" s="3">
        <v>1</v>
      </c>
      <c r="CJ1551" s="3">
        <v>1</v>
      </c>
      <c r="CK1551" s="3">
        <v>21</v>
      </c>
      <c r="CL1551" s="3" t="s">
        <v>87</v>
      </c>
    </row>
    <row r="1552" spans="1:90" x14ac:dyDescent="0.2">
      <c r="A1552" s="3" t="s">
        <v>72</v>
      </c>
      <c r="B1552" s="3" t="s">
        <v>73</v>
      </c>
      <c r="C1552" s="3" t="s">
        <v>74</v>
      </c>
      <c r="E1552" s="3" t="str">
        <f>"FES1162845998"</f>
        <v>FES1162845998</v>
      </c>
      <c r="F1552" s="4">
        <v>44581</v>
      </c>
      <c r="G1552" s="3">
        <v>202207</v>
      </c>
      <c r="H1552" s="3" t="s">
        <v>75</v>
      </c>
      <c r="I1552" s="3" t="s">
        <v>76</v>
      </c>
      <c r="J1552" s="3" t="s">
        <v>77</v>
      </c>
      <c r="K1552" s="3" t="s">
        <v>78</v>
      </c>
      <c r="L1552" s="3" t="s">
        <v>218</v>
      </c>
      <c r="M1552" s="3" t="s">
        <v>219</v>
      </c>
      <c r="N1552" s="3" t="s">
        <v>766</v>
      </c>
      <c r="O1552" s="3" t="s">
        <v>82</v>
      </c>
      <c r="P1552" s="3" t="str">
        <f>"2170816005                    "</f>
        <v xml:space="preserve">2170816005                    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15.46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v>0</v>
      </c>
      <c r="BA1552" s="3">
        <v>0</v>
      </c>
      <c r="BB1552" s="3">
        <v>0</v>
      </c>
      <c r="BC1552" s="3">
        <v>0</v>
      </c>
      <c r="BD1552" s="3">
        <v>0</v>
      </c>
      <c r="BE1552" s="3">
        <v>0</v>
      </c>
      <c r="BF1552" s="3">
        <v>0</v>
      </c>
      <c r="BG1552" s="3">
        <v>0</v>
      </c>
      <c r="BH1552" s="3">
        <v>1</v>
      </c>
      <c r="BI1552" s="3">
        <v>1</v>
      </c>
      <c r="BJ1552" s="3">
        <v>0.2</v>
      </c>
      <c r="BK1552" s="3">
        <v>1</v>
      </c>
      <c r="BL1552" s="3">
        <v>59</v>
      </c>
      <c r="BM1552" s="3">
        <v>8.85</v>
      </c>
      <c r="BN1552" s="3">
        <v>67.849999999999994</v>
      </c>
      <c r="BO1552" s="3">
        <v>67.849999999999994</v>
      </c>
      <c r="BQ1552" s="3" t="s">
        <v>89</v>
      </c>
      <c r="BR1552" s="3" t="s">
        <v>84</v>
      </c>
      <c r="BS1552" s="4">
        <v>44582</v>
      </c>
      <c r="BT1552" s="5">
        <v>0.43055555555555558</v>
      </c>
      <c r="BU1552" s="3" t="s">
        <v>1849</v>
      </c>
      <c r="BV1552" s="3" t="s">
        <v>105</v>
      </c>
      <c r="BY1552" s="3">
        <v>1200</v>
      </c>
      <c r="BZ1552" s="3" t="s">
        <v>165</v>
      </c>
      <c r="CA1552" s="3" t="s">
        <v>362</v>
      </c>
      <c r="CC1552" s="3" t="s">
        <v>219</v>
      </c>
      <c r="CD1552" s="3">
        <v>157</v>
      </c>
      <c r="CE1552" s="3" t="s">
        <v>93</v>
      </c>
      <c r="CF1552" s="4">
        <v>44587</v>
      </c>
      <c r="CI1552" s="3">
        <v>1</v>
      </c>
      <c r="CJ1552" s="3">
        <v>1</v>
      </c>
      <c r="CK1552" s="3">
        <v>21</v>
      </c>
      <c r="CL1552" s="3" t="s">
        <v>87</v>
      </c>
    </row>
    <row r="1553" spans="1:90" x14ac:dyDescent="0.2">
      <c r="A1553" s="3" t="s">
        <v>72</v>
      </c>
      <c r="B1553" s="3" t="s">
        <v>73</v>
      </c>
      <c r="C1553" s="3" t="s">
        <v>74</v>
      </c>
      <c r="E1553" s="3" t="str">
        <f>"FES1162846009"</f>
        <v>FES1162846009</v>
      </c>
      <c r="F1553" s="4">
        <v>44581</v>
      </c>
      <c r="G1553" s="3">
        <v>202207</v>
      </c>
      <c r="H1553" s="3" t="s">
        <v>75</v>
      </c>
      <c r="I1553" s="3" t="s">
        <v>76</v>
      </c>
      <c r="J1553" s="3" t="s">
        <v>77</v>
      </c>
      <c r="K1553" s="3" t="s">
        <v>78</v>
      </c>
      <c r="L1553" s="3" t="s">
        <v>79</v>
      </c>
      <c r="M1553" s="3" t="s">
        <v>80</v>
      </c>
      <c r="N1553" s="3" t="s">
        <v>248</v>
      </c>
      <c r="O1553" s="3" t="s">
        <v>82</v>
      </c>
      <c r="P1553" s="3" t="str">
        <f>"2170817037                    "</f>
        <v xml:space="preserve">2170817037                    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15.46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0</v>
      </c>
      <c r="BA1553" s="3">
        <v>0</v>
      </c>
      <c r="BB1553" s="3">
        <v>0</v>
      </c>
      <c r="BC1553" s="3">
        <v>0</v>
      </c>
      <c r="BD1553" s="3">
        <v>0</v>
      </c>
      <c r="BE1553" s="3">
        <v>0</v>
      </c>
      <c r="BF1553" s="3">
        <v>0</v>
      </c>
      <c r="BG1553" s="3">
        <v>0</v>
      </c>
      <c r="BH1553" s="3">
        <v>1</v>
      </c>
      <c r="BI1553" s="3">
        <v>1</v>
      </c>
      <c r="BJ1553" s="3">
        <v>1.5</v>
      </c>
      <c r="BK1553" s="3">
        <v>1.5</v>
      </c>
      <c r="BL1553" s="3">
        <v>59</v>
      </c>
      <c r="BM1553" s="3">
        <v>8.85</v>
      </c>
      <c r="BN1553" s="3">
        <v>67.849999999999994</v>
      </c>
      <c r="BO1553" s="3">
        <v>67.849999999999994</v>
      </c>
      <c r="BQ1553" s="3" t="s">
        <v>83</v>
      </c>
      <c r="BR1553" s="3" t="s">
        <v>84</v>
      </c>
      <c r="BS1553" s="4">
        <v>44582</v>
      </c>
      <c r="BT1553" s="5">
        <v>0.38472222222222219</v>
      </c>
      <c r="BU1553" s="3" t="s">
        <v>1008</v>
      </c>
      <c r="BV1553" s="3" t="s">
        <v>105</v>
      </c>
      <c r="BY1553" s="3">
        <v>7540</v>
      </c>
      <c r="BZ1553" s="3" t="s">
        <v>165</v>
      </c>
      <c r="CA1553" s="3" t="s">
        <v>362</v>
      </c>
      <c r="CC1553" s="3" t="s">
        <v>80</v>
      </c>
      <c r="CD1553" s="3">
        <v>1</v>
      </c>
      <c r="CE1553" s="3" t="s">
        <v>86</v>
      </c>
      <c r="CF1553" s="4">
        <v>44587</v>
      </c>
      <c r="CI1553" s="3">
        <v>1</v>
      </c>
      <c r="CJ1553" s="3">
        <v>1</v>
      </c>
      <c r="CK1553" s="3">
        <v>21</v>
      </c>
      <c r="CL1553" s="3" t="s">
        <v>87</v>
      </c>
    </row>
    <row r="1554" spans="1:90" x14ac:dyDescent="0.2">
      <c r="A1554" s="3" t="s">
        <v>72</v>
      </c>
      <c r="B1554" s="3" t="s">
        <v>73</v>
      </c>
      <c r="C1554" s="3" t="s">
        <v>74</v>
      </c>
      <c r="E1554" s="3" t="str">
        <f>"FES1162846052"</f>
        <v>FES1162846052</v>
      </c>
      <c r="F1554" s="4">
        <v>44581</v>
      </c>
      <c r="G1554" s="3">
        <v>202207</v>
      </c>
      <c r="H1554" s="3" t="s">
        <v>75</v>
      </c>
      <c r="I1554" s="3" t="s">
        <v>76</v>
      </c>
      <c r="J1554" s="3" t="s">
        <v>77</v>
      </c>
      <c r="K1554" s="3" t="s">
        <v>78</v>
      </c>
      <c r="L1554" s="3" t="s">
        <v>154</v>
      </c>
      <c r="M1554" s="3" t="s">
        <v>155</v>
      </c>
      <c r="N1554" s="3" t="s">
        <v>156</v>
      </c>
      <c r="O1554" s="3" t="s">
        <v>82</v>
      </c>
      <c r="P1554" s="3" t="str">
        <f>"2170817507                    "</f>
        <v xml:space="preserve">2170817507                    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12.07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0</v>
      </c>
      <c r="BF1554" s="3">
        <v>0</v>
      </c>
      <c r="BG1554" s="3">
        <v>0</v>
      </c>
      <c r="BH1554" s="3">
        <v>1</v>
      </c>
      <c r="BI1554" s="3">
        <v>1</v>
      </c>
      <c r="BJ1554" s="3">
        <v>0.2</v>
      </c>
      <c r="BK1554" s="3">
        <v>1</v>
      </c>
      <c r="BL1554" s="3">
        <v>46.08</v>
      </c>
      <c r="BM1554" s="3">
        <v>6.91</v>
      </c>
      <c r="BN1554" s="3">
        <v>52.99</v>
      </c>
      <c r="BO1554" s="3">
        <v>52.99</v>
      </c>
      <c r="BQ1554" s="3" t="s">
        <v>83</v>
      </c>
      <c r="BR1554" s="3" t="s">
        <v>84</v>
      </c>
      <c r="BS1554" s="4">
        <v>44582</v>
      </c>
      <c r="BT1554" s="5">
        <v>0.38194444444444442</v>
      </c>
      <c r="BU1554" s="3" t="s">
        <v>1850</v>
      </c>
      <c r="BV1554" s="3" t="s">
        <v>105</v>
      </c>
      <c r="BY1554" s="3">
        <v>1200</v>
      </c>
      <c r="BZ1554" s="3" t="s">
        <v>165</v>
      </c>
      <c r="CA1554" s="3" t="s">
        <v>708</v>
      </c>
      <c r="CC1554" s="3" t="s">
        <v>155</v>
      </c>
      <c r="CD1554" s="3">
        <v>1682</v>
      </c>
      <c r="CE1554" s="3" t="s">
        <v>86</v>
      </c>
      <c r="CF1554" s="4">
        <v>44583</v>
      </c>
      <c r="CI1554" s="3">
        <v>1</v>
      </c>
      <c r="CJ1554" s="3">
        <v>1</v>
      </c>
      <c r="CK1554" s="3">
        <v>22</v>
      </c>
      <c r="CL1554" s="3" t="s">
        <v>87</v>
      </c>
    </row>
    <row r="1555" spans="1:90" x14ac:dyDescent="0.2">
      <c r="A1555" s="3" t="s">
        <v>72</v>
      </c>
      <c r="B1555" s="3" t="s">
        <v>73</v>
      </c>
      <c r="C1555" s="3" t="s">
        <v>74</v>
      </c>
      <c r="E1555" s="3" t="str">
        <f>"009942045028"</f>
        <v>009942045028</v>
      </c>
      <c r="F1555" s="4">
        <v>44581</v>
      </c>
      <c r="G1555" s="3">
        <v>202207</v>
      </c>
      <c r="H1555" s="3" t="s">
        <v>75</v>
      </c>
      <c r="I1555" s="3" t="s">
        <v>76</v>
      </c>
      <c r="J1555" s="3" t="s">
        <v>77</v>
      </c>
      <c r="K1555" s="3" t="s">
        <v>78</v>
      </c>
      <c r="L1555" s="3" t="s">
        <v>138</v>
      </c>
      <c r="M1555" s="3" t="s">
        <v>139</v>
      </c>
      <c r="N1555" s="3" t="s">
        <v>1851</v>
      </c>
      <c r="O1555" s="3" t="s">
        <v>82</v>
      </c>
      <c r="P1555" s="3" t="str">
        <f>"1162841775                    "</f>
        <v xml:space="preserve">1162841775                    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15.46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0</v>
      </c>
      <c r="BB1555" s="3">
        <v>0</v>
      </c>
      <c r="BC1555" s="3">
        <v>0</v>
      </c>
      <c r="BD1555" s="3">
        <v>0</v>
      </c>
      <c r="BE1555" s="3">
        <v>0</v>
      </c>
      <c r="BF1555" s="3">
        <v>0</v>
      </c>
      <c r="BG1555" s="3">
        <v>0</v>
      </c>
      <c r="BH1555" s="3">
        <v>1</v>
      </c>
      <c r="BI1555" s="3">
        <v>1</v>
      </c>
      <c r="BJ1555" s="3">
        <v>0.2</v>
      </c>
      <c r="BK1555" s="3">
        <v>1</v>
      </c>
      <c r="BL1555" s="3">
        <v>59</v>
      </c>
      <c r="BM1555" s="3">
        <v>8.85</v>
      </c>
      <c r="BN1555" s="3">
        <v>67.849999999999994</v>
      </c>
      <c r="BO1555" s="3">
        <v>67.849999999999994</v>
      </c>
      <c r="BQ1555" s="3" t="s">
        <v>1852</v>
      </c>
      <c r="BR1555" s="3" t="s">
        <v>84</v>
      </c>
      <c r="BS1555" s="4">
        <v>44582</v>
      </c>
      <c r="BT1555" s="5">
        <v>0.49652777777777773</v>
      </c>
      <c r="BU1555" s="3" t="s">
        <v>1853</v>
      </c>
      <c r="BV1555" s="3" t="s">
        <v>105</v>
      </c>
      <c r="BY1555" s="3">
        <v>1200</v>
      </c>
      <c r="BZ1555" s="3" t="s">
        <v>165</v>
      </c>
      <c r="CA1555" s="3" t="s">
        <v>303</v>
      </c>
      <c r="CC1555" s="3" t="s">
        <v>139</v>
      </c>
      <c r="CD1555" s="3">
        <v>3610</v>
      </c>
      <c r="CE1555" s="3" t="s">
        <v>93</v>
      </c>
      <c r="CF1555" s="4">
        <v>44585</v>
      </c>
      <c r="CI1555" s="3">
        <v>1</v>
      </c>
      <c r="CJ1555" s="3">
        <v>1</v>
      </c>
      <c r="CK1555" s="3">
        <v>21</v>
      </c>
      <c r="CL1555" s="3" t="s">
        <v>87</v>
      </c>
    </row>
    <row r="1556" spans="1:90" x14ac:dyDescent="0.2">
      <c r="A1556" s="3" t="s">
        <v>72</v>
      </c>
      <c r="B1556" s="3" t="s">
        <v>73</v>
      </c>
      <c r="C1556" s="3" t="s">
        <v>74</v>
      </c>
      <c r="E1556" s="3" t="str">
        <f>"FES1162846110"</f>
        <v>FES1162846110</v>
      </c>
      <c r="F1556" s="4">
        <v>44581</v>
      </c>
      <c r="G1556" s="3">
        <v>202207</v>
      </c>
      <c r="H1556" s="3" t="s">
        <v>75</v>
      </c>
      <c r="I1556" s="3" t="s">
        <v>76</v>
      </c>
      <c r="J1556" s="3" t="s">
        <v>77</v>
      </c>
      <c r="K1556" s="3" t="s">
        <v>78</v>
      </c>
      <c r="L1556" s="3" t="s">
        <v>101</v>
      </c>
      <c r="M1556" s="3" t="s">
        <v>102</v>
      </c>
      <c r="N1556" s="3" t="s">
        <v>170</v>
      </c>
      <c r="O1556" s="3" t="s">
        <v>82</v>
      </c>
      <c r="P1556" s="3" t="str">
        <f>"2170817591                    "</f>
        <v xml:space="preserve">2170817591                    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15.46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v>0</v>
      </c>
      <c r="BA1556" s="3">
        <v>0</v>
      </c>
      <c r="BB1556" s="3">
        <v>0</v>
      </c>
      <c r="BC1556" s="3">
        <v>0</v>
      </c>
      <c r="BD1556" s="3">
        <v>0</v>
      </c>
      <c r="BE1556" s="3">
        <v>0</v>
      </c>
      <c r="BF1556" s="3">
        <v>0</v>
      </c>
      <c r="BG1556" s="3">
        <v>0</v>
      </c>
      <c r="BH1556" s="3">
        <v>1</v>
      </c>
      <c r="BI1556" s="3">
        <v>1</v>
      </c>
      <c r="BJ1556" s="3">
        <v>0.2</v>
      </c>
      <c r="BK1556" s="3">
        <v>1</v>
      </c>
      <c r="BL1556" s="3">
        <v>59</v>
      </c>
      <c r="BM1556" s="3">
        <v>8.85</v>
      </c>
      <c r="BN1556" s="3">
        <v>67.849999999999994</v>
      </c>
      <c r="BO1556" s="3">
        <v>67.849999999999994</v>
      </c>
      <c r="BQ1556" s="3" t="s">
        <v>89</v>
      </c>
      <c r="BR1556" s="3" t="s">
        <v>84</v>
      </c>
      <c r="BS1556" s="4">
        <v>44582</v>
      </c>
      <c r="BT1556" s="5">
        <v>0.4770833333333333</v>
      </c>
      <c r="BU1556" s="3" t="s">
        <v>369</v>
      </c>
      <c r="BV1556" s="3" t="s">
        <v>87</v>
      </c>
      <c r="BW1556" s="3" t="s">
        <v>278</v>
      </c>
      <c r="BX1556" s="3" t="s">
        <v>279</v>
      </c>
      <c r="BY1556" s="3">
        <v>1200</v>
      </c>
      <c r="BZ1556" s="3" t="s">
        <v>165</v>
      </c>
      <c r="CA1556" s="3" t="s">
        <v>280</v>
      </c>
      <c r="CC1556" s="3" t="s">
        <v>102</v>
      </c>
      <c r="CD1556" s="3">
        <v>4001</v>
      </c>
      <c r="CE1556" s="3" t="s">
        <v>93</v>
      </c>
      <c r="CF1556" s="4">
        <v>44585</v>
      </c>
      <c r="CI1556" s="3">
        <v>1</v>
      </c>
      <c r="CJ1556" s="3">
        <v>1</v>
      </c>
      <c r="CK1556" s="3">
        <v>21</v>
      </c>
      <c r="CL1556" s="3" t="s">
        <v>87</v>
      </c>
    </row>
    <row r="1557" spans="1:90" x14ac:dyDescent="0.2">
      <c r="A1557" s="3" t="s">
        <v>72</v>
      </c>
      <c r="B1557" s="3" t="s">
        <v>73</v>
      </c>
      <c r="C1557" s="3" t="s">
        <v>74</v>
      </c>
      <c r="E1557" s="3" t="str">
        <f>"FES1162846124"</f>
        <v>FES1162846124</v>
      </c>
      <c r="F1557" s="4">
        <v>44581</v>
      </c>
      <c r="G1557" s="3">
        <v>202207</v>
      </c>
      <c r="H1557" s="3" t="s">
        <v>75</v>
      </c>
      <c r="I1557" s="3" t="s">
        <v>76</v>
      </c>
      <c r="J1557" s="3" t="s">
        <v>77</v>
      </c>
      <c r="K1557" s="3" t="s">
        <v>78</v>
      </c>
      <c r="L1557" s="3" t="s">
        <v>138</v>
      </c>
      <c r="M1557" s="3" t="s">
        <v>139</v>
      </c>
      <c r="N1557" s="3" t="s">
        <v>1854</v>
      </c>
      <c r="O1557" s="3" t="s">
        <v>82</v>
      </c>
      <c r="P1557" s="3" t="str">
        <f>"2170817609                    "</f>
        <v xml:space="preserve">2170817609                    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0</v>
      </c>
      <c r="AJ1557" s="3">
        <v>0</v>
      </c>
      <c r="AK1557" s="3">
        <v>15.46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v>0</v>
      </c>
      <c r="BA1557" s="3">
        <v>0</v>
      </c>
      <c r="BB1557" s="3">
        <v>0</v>
      </c>
      <c r="BC1557" s="3">
        <v>0</v>
      </c>
      <c r="BD1557" s="3">
        <v>0</v>
      </c>
      <c r="BE1557" s="3">
        <v>0</v>
      </c>
      <c r="BF1557" s="3">
        <v>0</v>
      </c>
      <c r="BG1557" s="3">
        <v>0</v>
      </c>
      <c r="BH1557" s="3">
        <v>1</v>
      </c>
      <c r="BI1557" s="3">
        <v>1</v>
      </c>
      <c r="BJ1557" s="3">
        <v>0.2</v>
      </c>
      <c r="BK1557" s="3">
        <v>1</v>
      </c>
      <c r="BL1557" s="3">
        <v>59</v>
      </c>
      <c r="BM1557" s="3">
        <v>8.85</v>
      </c>
      <c r="BN1557" s="3">
        <v>67.849999999999994</v>
      </c>
      <c r="BO1557" s="3">
        <v>67.849999999999994</v>
      </c>
      <c r="BQ1557" s="3" t="s">
        <v>145</v>
      </c>
      <c r="BR1557" s="3" t="s">
        <v>84</v>
      </c>
      <c r="BS1557" s="4">
        <v>44582</v>
      </c>
      <c r="BT1557" s="5">
        <v>0.4069444444444445</v>
      </c>
      <c r="BU1557" s="3" t="s">
        <v>1855</v>
      </c>
      <c r="BV1557" s="3" t="s">
        <v>105</v>
      </c>
      <c r="BY1557" s="3">
        <v>1200</v>
      </c>
      <c r="BZ1557" s="3" t="s">
        <v>165</v>
      </c>
      <c r="CA1557" s="3" t="s">
        <v>334</v>
      </c>
      <c r="CC1557" s="3" t="s">
        <v>139</v>
      </c>
      <c r="CD1557" s="3">
        <v>3610</v>
      </c>
      <c r="CE1557" s="3" t="s">
        <v>93</v>
      </c>
      <c r="CF1557" s="4">
        <v>44585</v>
      </c>
      <c r="CI1557" s="3">
        <v>1</v>
      </c>
      <c r="CJ1557" s="3">
        <v>1</v>
      </c>
      <c r="CK1557" s="3">
        <v>21</v>
      </c>
      <c r="CL1557" s="3" t="s">
        <v>87</v>
      </c>
    </row>
    <row r="1558" spans="1:90" x14ac:dyDescent="0.2">
      <c r="A1558" s="3" t="s">
        <v>72</v>
      </c>
      <c r="B1558" s="3" t="s">
        <v>73</v>
      </c>
      <c r="C1558" s="3" t="s">
        <v>74</v>
      </c>
      <c r="E1558" s="3" t="str">
        <f>"FES1162846143"</f>
        <v>FES1162846143</v>
      </c>
      <c r="F1558" s="4">
        <v>44581</v>
      </c>
      <c r="G1558" s="3">
        <v>202207</v>
      </c>
      <c r="H1558" s="3" t="s">
        <v>75</v>
      </c>
      <c r="I1558" s="3" t="s">
        <v>76</v>
      </c>
      <c r="J1558" s="3" t="s">
        <v>77</v>
      </c>
      <c r="K1558" s="3" t="s">
        <v>78</v>
      </c>
      <c r="L1558" s="3" t="s">
        <v>90</v>
      </c>
      <c r="M1558" s="3" t="s">
        <v>91</v>
      </c>
      <c r="N1558" s="3" t="s">
        <v>1215</v>
      </c>
      <c r="O1558" s="3" t="s">
        <v>82</v>
      </c>
      <c r="P1558" s="3" t="str">
        <f>"217817636                     "</f>
        <v xml:space="preserve">217817636                     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15.46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0</v>
      </c>
      <c r="BD1558" s="3">
        <v>0</v>
      </c>
      <c r="BE1558" s="3">
        <v>0</v>
      </c>
      <c r="BF1558" s="3">
        <v>0</v>
      </c>
      <c r="BG1558" s="3">
        <v>0</v>
      </c>
      <c r="BH1558" s="3">
        <v>1</v>
      </c>
      <c r="BI1558" s="3">
        <v>1</v>
      </c>
      <c r="BJ1558" s="3">
        <v>0.2</v>
      </c>
      <c r="BK1558" s="3">
        <v>1</v>
      </c>
      <c r="BL1558" s="3">
        <v>59</v>
      </c>
      <c r="BM1558" s="3">
        <v>8.85</v>
      </c>
      <c r="BN1558" s="3">
        <v>67.849999999999994</v>
      </c>
      <c r="BO1558" s="3">
        <v>67.849999999999994</v>
      </c>
      <c r="BQ1558" s="3" t="s">
        <v>1216</v>
      </c>
      <c r="BR1558" s="3" t="s">
        <v>84</v>
      </c>
      <c r="BS1558" s="4">
        <v>44582</v>
      </c>
      <c r="BT1558" s="5">
        <v>0.44305555555555554</v>
      </c>
      <c r="BU1558" s="3" t="s">
        <v>631</v>
      </c>
      <c r="BV1558" s="3" t="s">
        <v>87</v>
      </c>
      <c r="BW1558" s="3" t="s">
        <v>457</v>
      </c>
      <c r="BX1558" s="3" t="s">
        <v>354</v>
      </c>
      <c r="BY1558" s="3">
        <v>1200</v>
      </c>
      <c r="BZ1558" s="3" t="s">
        <v>165</v>
      </c>
      <c r="CC1558" s="3" t="s">
        <v>91</v>
      </c>
      <c r="CD1558" s="3">
        <v>7780</v>
      </c>
      <c r="CE1558" s="3" t="s">
        <v>93</v>
      </c>
      <c r="CF1558" s="4">
        <v>44585</v>
      </c>
      <c r="CI1558" s="3">
        <v>1</v>
      </c>
      <c r="CJ1558" s="3">
        <v>1</v>
      </c>
      <c r="CK1558" s="3">
        <v>21</v>
      </c>
      <c r="CL1558" s="3" t="s">
        <v>87</v>
      </c>
    </row>
    <row r="1559" spans="1:90" x14ac:dyDescent="0.2">
      <c r="A1559" s="3" t="s">
        <v>72</v>
      </c>
      <c r="B1559" s="3" t="s">
        <v>73</v>
      </c>
      <c r="C1559" s="3" t="s">
        <v>74</v>
      </c>
      <c r="E1559" s="3" t="str">
        <f>"FES1162846109"</f>
        <v>FES1162846109</v>
      </c>
      <c r="F1559" s="4">
        <v>44581</v>
      </c>
      <c r="G1559" s="3">
        <v>202207</v>
      </c>
      <c r="H1559" s="3" t="s">
        <v>75</v>
      </c>
      <c r="I1559" s="3" t="s">
        <v>76</v>
      </c>
      <c r="J1559" s="3" t="s">
        <v>77</v>
      </c>
      <c r="K1559" s="3" t="s">
        <v>78</v>
      </c>
      <c r="L1559" s="3" t="s">
        <v>171</v>
      </c>
      <c r="M1559" s="3" t="s">
        <v>172</v>
      </c>
      <c r="N1559" s="3" t="s">
        <v>1856</v>
      </c>
      <c r="O1559" s="3" t="s">
        <v>82</v>
      </c>
      <c r="P1559" s="3" t="str">
        <f>"2170817590                    "</f>
        <v xml:space="preserve">2170817590                    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15.46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v>0</v>
      </c>
      <c r="BA1559" s="3">
        <v>0</v>
      </c>
      <c r="BB1559" s="3">
        <v>0</v>
      </c>
      <c r="BC1559" s="3">
        <v>0</v>
      </c>
      <c r="BD1559" s="3">
        <v>0</v>
      </c>
      <c r="BE1559" s="3">
        <v>0</v>
      </c>
      <c r="BF1559" s="3">
        <v>0</v>
      </c>
      <c r="BG1559" s="3">
        <v>0</v>
      </c>
      <c r="BH1559" s="3">
        <v>1</v>
      </c>
      <c r="BI1559" s="3">
        <v>1</v>
      </c>
      <c r="BJ1559" s="3">
        <v>0.2</v>
      </c>
      <c r="BK1559" s="3">
        <v>1</v>
      </c>
      <c r="BL1559" s="3">
        <v>59</v>
      </c>
      <c r="BM1559" s="3">
        <v>8.85</v>
      </c>
      <c r="BN1559" s="3">
        <v>67.849999999999994</v>
      </c>
      <c r="BO1559" s="3">
        <v>67.849999999999994</v>
      </c>
      <c r="BQ1559" s="3" t="s">
        <v>83</v>
      </c>
      <c r="BR1559" s="3" t="s">
        <v>84</v>
      </c>
      <c r="BS1559" s="4">
        <v>44582</v>
      </c>
      <c r="BT1559" s="5">
        <v>0.3611111111111111</v>
      </c>
      <c r="BU1559" s="3" t="s">
        <v>1857</v>
      </c>
      <c r="BV1559" s="3" t="s">
        <v>105</v>
      </c>
      <c r="BY1559" s="3">
        <v>1200</v>
      </c>
      <c r="BZ1559" s="3" t="s">
        <v>165</v>
      </c>
      <c r="CA1559" s="3" t="s">
        <v>1580</v>
      </c>
      <c r="CC1559" s="3" t="s">
        <v>172</v>
      </c>
      <c r="CD1559" s="3">
        <v>6001</v>
      </c>
      <c r="CE1559" s="3" t="s">
        <v>93</v>
      </c>
      <c r="CF1559" s="4">
        <v>44582</v>
      </c>
      <c r="CI1559" s="3">
        <v>1</v>
      </c>
      <c r="CJ1559" s="3">
        <v>1</v>
      </c>
      <c r="CK1559" s="3">
        <v>21</v>
      </c>
      <c r="CL1559" s="3" t="s">
        <v>87</v>
      </c>
    </row>
    <row r="1560" spans="1:90" x14ac:dyDescent="0.2">
      <c r="A1560" s="3" t="s">
        <v>72</v>
      </c>
      <c r="B1560" s="3" t="s">
        <v>73</v>
      </c>
      <c r="C1560" s="3" t="s">
        <v>74</v>
      </c>
      <c r="E1560" s="3" t="str">
        <f>"FES1162846076"</f>
        <v>FES1162846076</v>
      </c>
      <c r="F1560" s="4">
        <v>44581</v>
      </c>
      <c r="G1560" s="3">
        <v>202207</v>
      </c>
      <c r="H1560" s="3" t="s">
        <v>75</v>
      </c>
      <c r="I1560" s="3" t="s">
        <v>76</v>
      </c>
      <c r="J1560" s="3" t="s">
        <v>77</v>
      </c>
      <c r="K1560" s="3" t="s">
        <v>78</v>
      </c>
      <c r="L1560" s="3" t="s">
        <v>1119</v>
      </c>
      <c r="M1560" s="3" t="s">
        <v>1120</v>
      </c>
      <c r="N1560" s="3" t="s">
        <v>1858</v>
      </c>
      <c r="O1560" s="3" t="s">
        <v>82</v>
      </c>
      <c r="P1560" s="3" t="str">
        <f>"2170817546                    "</f>
        <v xml:space="preserve">2170817546                    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43.47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v>0</v>
      </c>
      <c r="BA1560" s="3">
        <v>0</v>
      </c>
      <c r="BB1560" s="3">
        <v>0</v>
      </c>
      <c r="BC1560" s="3">
        <v>0</v>
      </c>
      <c r="BD1560" s="3">
        <v>0</v>
      </c>
      <c r="BE1560" s="3">
        <v>0</v>
      </c>
      <c r="BF1560" s="3">
        <v>0</v>
      </c>
      <c r="BG1560" s="3">
        <v>0</v>
      </c>
      <c r="BH1560" s="3">
        <v>1</v>
      </c>
      <c r="BI1560" s="3">
        <v>3</v>
      </c>
      <c r="BJ1560" s="3">
        <v>1.9</v>
      </c>
      <c r="BK1560" s="3">
        <v>3</v>
      </c>
      <c r="BL1560" s="3">
        <v>165.93</v>
      </c>
      <c r="BM1560" s="3">
        <v>24.89</v>
      </c>
      <c r="BN1560" s="3">
        <v>190.82</v>
      </c>
      <c r="BO1560" s="3">
        <v>190.82</v>
      </c>
      <c r="BQ1560" s="3" t="s">
        <v>1859</v>
      </c>
      <c r="BR1560" s="3" t="s">
        <v>84</v>
      </c>
      <c r="BS1560" s="4">
        <v>44582</v>
      </c>
      <c r="BT1560" s="5">
        <v>0.4770833333333333</v>
      </c>
      <c r="BU1560" s="3" t="s">
        <v>1860</v>
      </c>
      <c r="BV1560" s="3" t="s">
        <v>105</v>
      </c>
      <c r="BY1560" s="3">
        <v>9600</v>
      </c>
      <c r="BZ1560" s="3" t="s">
        <v>165</v>
      </c>
      <c r="CA1560" s="3" t="s">
        <v>809</v>
      </c>
      <c r="CC1560" s="3" t="s">
        <v>1120</v>
      </c>
      <c r="CD1560" s="3">
        <v>4339</v>
      </c>
      <c r="CE1560" s="3" t="s">
        <v>86</v>
      </c>
      <c r="CF1560" s="4">
        <v>44585</v>
      </c>
      <c r="CI1560" s="3">
        <v>1</v>
      </c>
      <c r="CJ1560" s="3">
        <v>1</v>
      </c>
      <c r="CK1560" s="3">
        <v>23</v>
      </c>
      <c r="CL1560" s="3" t="s">
        <v>87</v>
      </c>
    </row>
    <row r="1561" spans="1:90" x14ac:dyDescent="0.2">
      <c r="A1561" s="3" t="s">
        <v>72</v>
      </c>
      <c r="B1561" s="3" t="s">
        <v>73</v>
      </c>
      <c r="C1561" s="3" t="s">
        <v>74</v>
      </c>
      <c r="E1561" s="3" t="str">
        <f>"FES1162846128"</f>
        <v>FES1162846128</v>
      </c>
      <c r="F1561" s="4">
        <v>44581</v>
      </c>
      <c r="G1561" s="3">
        <v>202207</v>
      </c>
      <c r="H1561" s="3" t="s">
        <v>75</v>
      </c>
      <c r="I1561" s="3" t="s">
        <v>76</v>
      </c>
      <c r="J1561" s="3" t="s">
        <v>77</v>
      </c>
      <c r="K1561" s="3" t="s">
        <v>78</v>
      </c>
      <c r="L1561" s="3" t="s">
        <v>171</v>
      </c>
      <c r="M1561" s="3" t="s">
        <v>172</v>
      </c>
      <c r="N1561" s="3" t="s">
        <v>1856</v>
      </c>
      <c r="O1561" s="3" t="s">
        <v>82</v>
      </c>
      <c r="P1561" s="3" t="str">
        <f>"2170817613                    "</f>
        <v xml:space="preserve">2170817613                    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15.46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0</v>
      </c>
      <c r="AZ1561" s="3">
        <v>0</v>
      </c>
      <c r="BA1561" s="3">
        <v>0</v>
      </c>
      <c r="BB1561" s="3">
        <v>0</v>
      </c>
      <c r="BC1561" s="3">
        <v>0</v>
      </c>
      <c r="BD1561" s="3">
        <v>0</v>
      </c>
      <c r="BE1561" s="3">
        <v>0</v>
      </c>
      <c r="BF1561" s="3">
        <v>0</v>
      </c>
      <c r="BG1561" s="3">
        <v>0</v>
      </c>
      <c r="BH1561" s="3">
        <v>1</v>
      </c>
      <c r="BI1561" s="3">
        <v>1</v>
      </c>
      <c r="BJ1561" s="3">
        <v>0.2</v>
      </c>
      <c r="BK1561" s="3">
        <v>1</v>
      </c>
      <c r="BL1561" s="3">
        <v>59</v>
      </c>
      <c r="BM1561" s="3">
        <v>8.85</v>
      </c>
      <c r="BN1561" s="3">
        <v>67.849999999999994</v>
      </c>
      <c r="BO1561" s="3">
        <v>67.849999999999994</v>
      </c>
      <c r="BQ1561" s="3" t="s">
        <v>83</v>
      </c>
      <c r="BR1561" s="3" t="s">
        <v>84</v>
      </c>
      <c r="BS1561" s="4">
        <v>44582</v>
      </c>
      <c r="BT1561" s="5">
        <v>0.36041666666666666</v>
      </c>
      <c r="BU1561" s="3" t="s">
        <v>1857</v>
      </c>
      <c r="BV1561" s="3" t="s">
        <v>105</v>
      </c>
      <c r="BY1561" s="3">
        <v>1200</v>
      </c>
      <c r="BZ1561" s="3" t="s">
        <v>165</v>
      </c>
      <c r="CA1561" s="3" t="s">
        <v>1580</v>
      </c>
      <c r="CC1561" s="3" t="s">
        <v>172</v>
      </c>
      <c r="CD1561" s="3">
        <v>6001</v>
      </c>
      <c r="CE1561" s="3" t="s">
        <v>93</v>
      </c>
      <c r="CF1561" s="4">
        <v>44582</v>
      </c>
      <c r="CI1561" s="3">
        <v>1</v>
      </c>
      <c r="CJ1561" s="3">
        <v>1</v>
      </c>
      <c r="CK1561" s="3">
        <v>21</v>
      </c>
      <c r="CL1561" s="3" t="s">
        <v>87</v>
      </c>
    </row>
    <row r="1562" spans="1:90" x14ac:dyDescent="0.2">
      <c r="A1562" s="3" t="s">
        <v>72</v>
      </c>
      <c r="B1562" s="3" t="s">
        <v>73</v>
      </c>
      <c r="C1562" s="3" t="s">
        <v>74</v>
      </c>
      <c r="E1562" s="3" t="str">
        <f>"FES1162846104"</f>
        <v>FES1162846104</v>
      </c>
      <c r="F1562" s="4">
        <v>44581</v>
      </c>
      <c r="G1562" s="3">
        <v>202207</v>
      </c>
      <c r="H1562" s="3" t="s">
        <v>75</v>
      </c>
      <c r="I1562" s="3" t="s">
        <v>76</v>
      </c>
      <c r="J1562" s="3" t="s">
        <v>77</v>
      </c>
      <c r="K1562" s="3" t="s">
        <v>78</v>
      </c>
      <c r="L1562" s="3" t="s">
        <v>138</v>
      </c>
      <c r="M1562" s="3" t="s">
        <v>139</v>
      </c>
      <c r="N1562" s="3" t="s">
        <v>1861</v>
      </c>
      <c r="O1562" s="3" t="s">
        <v>82</v>
      </c>
      <c r="P1562" s="3" t="str">
        <f>"2170817583                    "</f>
        <v xml:space="preserve">2170817583                    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30.91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v>0</v>
      </c>
      <c r="BA1562" s="3">
        <v>0</v>
      </c>
      <c r="BB1562" s="3">
        <v>0</v>
      </c>
      <c r="BC1562" s="3">
        <v>0</v>
      </c>
      <c r="BD1562" s="3">
        <v>0</v>
      </c>
      <c r="BE1562" s="3">
        <v>0</v>
      </c>
      <c r="BF1562" s="3">
        <v>0</v>
      </c>
      <c r="BG1562" s="3">
        <v>0</v>
      </c>
      <c r="BH1562" s="3">
        <v>1</v>
      </c>
      <c r="BI1562" s="3">
        <v>3</v>
      </c>
      <c r="BJ1562" s="3">
        <v>3.8</v>
      </c>
      <c r="BK1562" s="3">
        <v>4</v>
      </c>
      <c r="BL1562" s="3">
        <v>117.97</v>
      </c>
      <c r="BM1562" s="3">
        <v>17.7</v>
      </c>
      <c r="BN1562" s="3">
        <v>135.66999999999999</v>
      </c>
      <c r="BO1562" s="3">
        <v>135.66999999999999</v>
      </c>
      <c r="BQ1562" s="3" t="s">
        <v>83</v>
      </c>
      <c r="BR1562" s="3" t="s">
        <v>84</v>
      </c>
      <c r="BS1562" s="4">
        <v>44582</v>
      </c>
      <c r="BT1562" s="5">
        <v>0.45763888888888887</v>
      </c>
      <c r="BU1562" s="3" t="s">
        <v>1862</v>
      </c>
      <c r="BV1562" s="3" t="s">
        <v>105</v>
      </c>
      <c r="BY1562" s="3">
        <v>18816</v>
      </c>
      <c r="BZ1562" s="3" t="s">
        <v>165</v>
      </c>
      <c r="CA1562" s="3" t="s">
        <v>303</v>
      </c>
      <c r="CC1562" s="3" t="s">
        <v>139</v>
      </c>
      <c r="CD1562" s="3">
        <v>3610</v>
      </c>
      <c r="CE1562" s="3" t="s">
        <v>86</v>
      </c>
      <c r="CF1562" s="4">
        <v>44585</v>
      </c>
      <c r="CI1562" s="3">
        <v>1</v>
      </c>
      <c r="CJ1562" s="3">
        <v>1</v>
      </c>
      <c r="CK1562" s="3">
        <v>21</v>
      </c>
      <c r="CL1562" s="3" t="s">
        <v>87</v>
      </c>
    </row>
    <row r="1563" spans="1:90" x14ac:dyDescent="0.2">
      <c r="A1563" s="3" t="s">
        <v>72</v>
      </c>
      <c r="B1563" s="3" t="s">
        <v>73</v>
      </c>
      <c r="C1563" s="3" t="s">
        <v>74</v>
      </c>
      <c r="E1563" s="3" t="str">
        <f>"FES1162846078"</f>
        <v>FES1162846078</v>
      </c>
      <c r="F1563" s="4">
        <v>44581</v>
      </c>
      <c r="G1563" s="3">
        <v>202207</v>
      </c>
      <c r="H1563" s="3" t="s">
        <v>75</v>
      </c>
      <c r="I1563" s="3" t="s">
        <v>76</v>
      </c>
      <c r="J1563" s="3" t="s">
        <v>77</v>
      </c>
      <c r="K1563" s="3" t="s">
        <v>78</v>
      </c>
      <c r="L1563" s="3" t="s">
        <v>75</v>
      </c>
      <c r="M1563" s="3" t="s">
        <v>76</v>
      </c>
      <c r="N1563" s="3" t="s">
        <v>147</v>
      </c>
      <c r="O1563" s="3" t="s">
        <v>82</v>
      </c>
      <c r="P1563" s="3" t="str">
        <f>"2170817550                    "</f>
        <v xml:space="preserve">2170817550                    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12.07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v>0</v>
      </c>
      <c r="BA1563" s="3">
        <v>0</v>
      </c>
      <c r="BB1563" s="3">
        <v>0</v>
      </c>
      <c r="BC1563" s="3">
        <v>0</v>
      </c>
      <c r="BD1563" s="3">
        <v>0</v>
      </c>
      <c r="BE1563" s="3">
        <v>0</v>
      </c>
      <c r="BF1563" s="3">
        <v>0</v>
      </c>
      <c r="BG1563" s="3">
        <v>0</v>
      </c>
      <c r="BH1563" s="3">
        <v>1</v>
      </c>
      <c r="BI1563" s="3">
        <v>1</v>
      </c>
      <c r="BJ1563" s="3">
        <v>0.2</v>
      </c>
      <c r="BK1563" s="3">
        <v>1</v>
      </c>
      <c r="BL1563" s="3">
        <v>46.08</v>
      </c>
      <c r="BM1563" s="3">
        <v>6.91</v>
      </c>
      <c r="BN1563" s="3">
        <v>52.99</v>
      </c>
      <c r="BO1563" s="3">
        <v>52.99</v>
      </c>
      <c r="BQ1563" s="3" t="s">
        <v>89</v>
      </c>
      <c r="BR1563" s="3" t="s">
        <v>84</v>
      </c>
      <c r="BS1563" s="4">
        <v>44582</v>
      </c>
      <c r="BT1563" s="5">
        <v>0.34166666666666662</v>
      </c>
      <c r="BU1563" s="3" t="s">
        <v>849</v>
      </c>
      <c r="BV1563" s="3" t="s">
        <v>105</v>
      </c>
      <c r="BY1563" s="3">
        <v>1200</v>
      </c>
      <c r="BZ1563" s="3" t="s">
        <v>165</v>
      </c>
      <c r="CA1563" s="3" t="s">
        <v>477</v>
      </c>
      <c r="CC1563" s="3" t="s">
        <v>76</v>
      </c>
      <c r="CD1563" s="3">
        <v>1645</v>
      </c>
      <c r="CE1563" s="3" t="s">
        <v>86</v>
      </c>
      <c r="CF1563" s="4">
        <v>44582</v>
      </c>
      <c r="CI1563" s="3">
        <v>1</v>
      </c>
      <c r="CJ1563" s="3">
        <v>1</v>
      </c>
      <c r="CK1563" s="3">
        <v>22</v>
      </c>
      <c r="CL1563" s="3" t="s">
        <v>87</v>
      </c>
    </row>
    <row r="1564" spans="1:90" x14ac:dyDescent="0.2">
      <c r="A1564" s="3" t="s">
        <v>72</v>
      </c>
      <c r="B1564" s="3" t="s">
        <v>73</v>
      </c>
      <c r="C1564" s="3" t="s">
        <v>74</v>
      </c>
      <c r="E1564" s="3" t="str">
        <f>"FES1162846155"</f>
        <v>FES1162846155</v>
      </c>
      <c r="F1564" s="4">
        <v>44581</v>
      </c>
      <c r="G1564" s="3">
        <v>202207</v>
      </c>
      <c r="H1564" s="3" t="s">
        <v>75</v>
      </c>
      <c r="I1564" s="3" t="s">
        <v>76</v>
      </c>
      <c r="J1564" s="3" t="s">
        <v>77</v>
      </c>
      <c r="K1564" s="3" t="s">
        <v>78</v>
      </c>
      <c r="L1564" s="3" t="s">
        <v>90</v>
      </c>
      <c r="M1564" s="3" t="s">
        <v>91</v>
      </c>
      <c r="N1564" s="3" t="s">
        <v>157</v>
      </c>
      <c r="O1564" s="3" t="s">
        <v>82</v>
      </c>
      <c r="P1564" s="3" t="str">
        <f>"2170817657                    "</f>
        <v xml:space="preserve">2170817657                    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0</v>
      </c>
      <c r="AJ1564" s="3">
        <v>0</v>
      </c>
      <c r="AK1564" s="3">
        <v>15.46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0</v>
      </c>
      <c r="AZ1564" s="3">
        <v>0</v>
      </c>
      <c r="BA1564" s="3">
        <v>0</v>
      </c>
      <c r="BB1564" s="3">
        <v>0</v>
      </c>
      <c r="BC1564" s="3">
        <v>0</v>
      </c>
      <c r="BD1564" s="3">
        <v>0</v>
      </c>
      <c r="BE1564" s="3">
        <v>0</v>
      </c>
      <c r="BF1564" s="3">
        <v>0</v>
      </c>
      <c r="BG1564" s="3">
        <v>0</v>
      </c>
      <c r="BH1564" s="3">
        <v>1</v>
      </c>
      <c r="BI1564" s="3">
        <v>1</v>
      </c>
      <c r="BJ1564" s="3">
        <v>0.2</v>
      </c>
      <c r="BK1564" s="3">
        <v>1</v>
      </c>
      <c r="BL1564" s="3">
        <v>59</v>
      </c>
      <c r="BM1564" s="3">
        <v>8.85</v>
      </c>
      <c r="BN1564" s="3">
        <v>67.849999999999994</v>
      </c>
      <c r="BO1564" s="3">
        <v>67.849999999999994</v>
      </c>
      <c r="BQ1564" s="3" t="s">
        <v>89</v>
      </c>
      <c r="BR1564" s="3" t="s">
        <v>84</v>
      </c>
      <c r="BS1564" s="4">
        <v>44582</v>
      </c>
      <c r="BT1564" s="5">
        <v>0.37847222222222227</v>
      </c>
      <c r="BU1564" s="3" t="s">
        <v>1825</v>
      </c>
      <c r="BV1564" s="3" t="s">
        <v>105</v>
      </c>
      <c r="BY1564" s="3">
        <v>1200</v>
      </c>
      <c r="BZ1564" s="3" t="s">
        <v>165</v>
      </c>
      <c r="CA1564" s="3" t="s">
        <v>289</v>
      </c>
      <c r="CC1564" s="3" t="s">
        <v>91</v>
      </c>
      <c r="CD1564" s="3">
        <v>7441</v>
      </c>
      <c r="CE1564" s="3" t="s">
        <v>93</v>
      </c>
      <c r="CF1564" s="4">
        <v>44585</v>
      </c>
      <c r="CI1564" s="3">
        <v>1</v>
      </c>
      <c r="CJ1564" s="3">
        <v>1</v>
      </c>
      <c r="CK1564" s="3">
        <v>21</v>
      </c>
      <c r="CL1564" s="3" t="s">
        <v>87</v>
      </c>
    </row>
    <row r="1565" spans="1:90" x14ac:dyDescent="0.2">
      <c r="A1565" s="3" t="s">
        <v>72</v>
      </c>
      <c r="B1565" s="3" t="s">
        <v>73</v>
      </c>
      <c r="C1565" s="3" t="s">
        <v>74</v>
      </c>
      <c r="E1565" s="3" t="str">
        <f>"FES1162846129"</f>
        <v>FES1162846129</v>
      </c>
      <c r="F1565" s="4">
        <v>44581</v>
      </c>
      <c r="G1565" s="3">
        <v>202207</v>
      </c>
      <c r="H1565" s="3" t="s">
        <v>75</v>
      </c>
      <c r="I1565" s="3" t="s">
        <v>76</v>
      </c>
      <c r="J1565" s="3" t="s">
        <v>77</v>
      </c>
      <c r="K1565" s="3" t="s">
        <v>78</v>
      </c>
      <c r="L1565" s="3" t="s">
        <v>75</v>
      </c>
      <c r="M1565" s="3" t="s">
        <v>76</v>
      </c>
      <c r="N1565" s="3" t="s">
        <v>1659</v>
      </c>
      <c r="O1565" s="3" t="s">
        <v>82</v>
      </c>
      <c r="P1565" s="3" t="str">
        <f>"2170817614                    "</f>
        <v xml:space="preserve">2170817614                    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12.07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0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0</v>
      </c>
      <c r="BF1565" s="3">
        <v>0</v>
      </c>
      <c r="BG1565" s="3">
        <v>0</v>
      </c>
      <c r="BH1565" s="3">
        <v>1</v>
      </c>
      <c r="BI1565" s="3">
        <v>4</v>
      </c>
      <c r="BJ1565" s="3">
        <v>4.8</v>
      </c>
      <c r="BK1565" s="3">
        <v>5</v>
      </c>
      <c r="BL1565" s="3">
        <v>46.08</v>
      </c>
      <c r="BM1565" s="3">
        <v>6.91</v>
      </c>
      <c r="BN1565" s="3">
        <v>52.99</v>
      </c>
      <c r="BO1565" s="3">
        <v>52.99</v>
      </c>
      <c r="BQ1565" s="3" t="s">
        <v>1660</v>
      </c>
      <c r="BR1565" s="3" t="s">
        <v>84</v>
      </c>
      <c r="BS1565" s="4">
        <v>44582</v>
      </c>
      <c r="BT1565" s="5">
        <v>0.42777777777777781</v>
      </c>
      <c r="BU1565" s="3" t="s">
        <v>1863</v>
      </c>
      <c r="BV1565" s="3" t="s">
        <v>105</v>
      </c>
      <c r="BY1565" s="3">
        <v>23958</v>
      </c>
      <c r="BZ1565" s="3" t="s">
        <v>165</v>
      </c>
      <c r="CA1565" s="3" t="s">
        <v>378</v>
      </c>
      <c r="CC1565" s="3" t="s">
        <v>76</v>
      </c>
      <c r="CD1565" s="3">
        <v>1600</v>
      </c>
      <c r="CE1565" s="3" t="s">
        <v>86</v>
      </c>
      <c r="CF1565" s="4">
        <v>44582</v>
      </c>
      <c r="CI1565" s="3">
        <v>1</v>
      </c>
      <c r="CJ1565" s="3">
        <v>1</v>
      </c>
      <c r="CK1565" s="3">
        <v>22</v>
      </c>
      <c r="CL1565" s="3" t="s">
        <v>87</v>
      </c>
    </row>
    <row r="1566" spans="1:90" x14ac:dyDescent="0.2">
      <c r="A1566" s="3" t="s">
        <v>72</v>
      </c>
      <c r="B1566" s="3" t="s">
        <v>73</v>
      </c>
      <c r="C1566" s="3" t="s">
        <v>74</v>
      </c>
      <c r="E1566" s="3" t="str">
        <f>"FES1162846147"</f>
        <v>FES1162846147</v>
      </c>
      <c r="F1566" s="4">
        <v>44581</v>
      </c>
      <c r="G1566" s="3">
        <v>202207</v>
      </c>
      <c r="H1566" s="3" t="s">
        <v>75</v>
      </c>
      <c r="I1566" s="3" t="s">
        <v>76</v>
      </c>
      <c r="J1566" s="3" t="s">
        <v>77</v>
      </c>
      <c r="K1566" s="3" t="s">
        <v>78</v>
      </c>
      <c r="L1566" s="3" t="s">
        <v>101</v>
      </c>
      <c r="M1566" s="3" t="s">
        <v>102</v>
      </c>
      <c r="N1566" s="3" t="s">
        <v>170</v>
      </c>
      <c r="O1566" s="3" t="s">
        <v>82</v>
      </c>
      <c r="P1566" s="3" t="str">
        <f>"2170817645                    "</f>
        <v xml:space="preserve">2170817645                    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15.46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0</v>
      </c>
      <c r="AZ1566" s="3">
        <v>0</v>
      </c>
      <c r="BA1566" s="3">
        <v>0</v>
      </c>
      <c r="BB1566" s="3">
        <v>0</v>
      </c>
      <c r="BC1566" s="3">
        <v>0</v>
      </c>
      <c r="BD1566" s="3">
        <v>0</v>
      </c>
      <c r="BE1566" s="3">
        <v>0</v>
      </c>
      <c r="BF1566" s="3">
        <v>0</v>
      </c>
      <c r="BG1566" s="3">
        <v>0</v>
      </c>
      <c r="BH1566" s="3">
        <v>1</v>
      </c>
      <c r="BI1566" s="3">
        <v>1</v>
      </c>
      <c r="BJ1566" s="3">
        <v>0.2</v>
      </c>
      <c r="BK1566" s="3">
        <v>1</v>
      </c>
      <c r="BL1566" s="3">
        <v>59</v>
      </c>
      <c r="BM1566" s="3">
        <v>8.85</v>
      </c>
      <c r="BN1566" s="3">
        <v>67.849999999999994</v>
      </c>
      <c r="BO1566" s="3">
        <v>67.849999999999994</v>
      </c>
      <c r="BQ1566" s="3" t="s">
        <v>89</v>
      </c>
      <c r="BR1566" s="3" t="s">
        <v>84</v>
      </c>
      <c r="BS1566" s="4">
        <v>44582</v>
      </c>
      <c r="BT1566" s="5">
        <v>0.4770833333333333</v>
      </c>
      <c r="BU1566" s="3" t="s">
        <v>369</v>
      </c>
      <c r="BV1566" s="3" t="s">
        <v>87</v>
      </c>
      <c r="BW1566" s="3" t="s">
        <v>278</v>
      </c>
      <c r="BX1566" s="3" t="s">
        <v>279</v>
      </c>
      <c r="BY1566" s="3">
        <v>1200</v>
      </c>
      <c r="BZ1566" s="3" t="s">
        <v>165</v>
      </c>
      <c r="CA1566" s="3" t="s">
        <v>280</v>
      </c>
      <c r="CC1566" s="3" t="s">
        <v>102</v>
      </c>
      <c r="CD1566" s="3">
        <v>4001</v>
      </c>
      <c r="CE1566" s="3" t="s">
        <v>93</v>
      </c>
      <c r="CF1566" s="4">
        <v>44585</v>
      </c>
      <c r="CI1566" s="3">
        <v>1</v>
      </c>
      <c r="CJ1566" s="3">
        <v>1</v>
      </c>
      <c r="CK1566" s="3">
        <v>21</v>
      </c>
      <c r="CL1566" s="3" t="s">
        <v>87</v>
      </c>
    </row>
    <row r="1567" spans="1:90" x14ac:dyDescent="0.2">
      <c r="A1567" s="3" t="s">
        <v>72</v>
      </c>
      <c r="B1567" s="3" t="s">
        <v>73</v>
      </c>
      <c r="C1567" s="3" t="s">
        <v>74</v>
      </c>
      <c r="E1567" s="3" t="str">
        <f>"FES1162846084"</f>
        <v>FES1162846084</v>
      </c>
      <c r="F1567" s="4">
        <v>44581</v>
      </c>
      <c r="G1567" s="3">
        <v>202207</v>
      </c>
      <c r="H1567" s="3" t="s">
        <v>75</v>
      </c>
      <c r="I1567" s="3" t="s">
        <v>76</v>
      </c>
      <c r="J1567" s="3" t="s">
        <v>77</v>
      </c>
      <c r="K1567" s="3" t="s">
        <v>78</v>
      </c>
      <c r="L1567" s="3" t="s">
        <v>123</v>
      </c>
      <c r="M1567" s="3" t="s">
        <v>124</v>
      </c>
      <c r="N1567" s="3" t="s">
        <v>193</v>
      </c>
      <c r="O1567" s="3" t="s">
        <v>82</v>
      </c>
      <c r="P1567" s="3" t="str">
        <f>"2170817559                    "</f>
        <v xml:space="preserve">2170817559                    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12.07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v>0</v>
      </c>
      <c r="BA1567" s="3">
        <v>0</v>
      </c>
      <c r="BB1567" s="3">
        <v>0</v>
      </c>
      <c r="BC1567" s="3">
        <v>0</v>
      </c>
      <c r="BD1567" s="3">
        <v>0</v>
      </c>
      <c r="BE1567" s="3">
        <v>0</v>
      </c>
      <c r="BF1567" s="3">
        <v>0</v>
      </c>
      <c r="BG1567" s="3">
        <v>0</v>
      </c>
      <c r="BH1567" s="3">
        <v>1</v>
      </c>
      <c r="BI1567" s="3">
        <v>1</v>
      </c>
      <c r="BJ1567" s="3">
        <v>0.2</v>
      </c>
      <c r="BK1567" s="3">
        <v>1</v>
      </c>
      <c r="BL1567" s="3">
        <v>46.08</v>
      </c>
      <c r="BM1567" s="3">
        <v>6.91</v>
      </c>
      <c r="BN1567" s="3">
        <v>52.99</v>
      </c>
      <c r="BO1567" s="3">
        <v>52.99</v>
      </c>
      <c r="BQ1567" s="3" t="s">
        <v>83</v>
      </c>
      <c r="BR1567" s="3" t="s">
        <v>84</v>
      </c>
      <c r="BS1567" s="4">
        <v>44582</v>
      </c>
      <c r="BT1567" s="5">
        <v>0.36388888888888887</v>
      </c>
      <c r="BU1567" s="3" t="s">
        <v>1864</v>
      </c>
      <c r="BV1567" s="3" t="s">
        <v>105</v>
      </c>
      <c r="BY1567" s="3">
        <v>1200</v>
      </c>
      <c r="BZ1567" s="3" t="s">
        <v>165</v>
      </c>
      <c r="CA1567" s="3" t="s">
        <v>320</v>
      </c>
      <c r="CC1567" s="3" t="s">
        <v>124</v>
      </c>
      <c r="CD1567" s="3">
        <v>1709</v>
      </c>
      <c r="CE1567" s="3" t="s">
        <v>86</v>
      </c>
      <c r="CF1567" s="4">
        <v>44582</v>
      </c>
      <c r="CI1567" s="3">
        <v>1</v>
      </c>
      <c r="CJ1567" s="3">
        <v>1</v>
      </c>
      <c r="CK1567" s="3">
        <v>22</v>
      </c>
      <c r="CL1567" s="3" t="s">
        <v>87</v>
      </c>
    </row>
    <row r="1568" spans="1:90" x14ac:dyDescent="0.2">
      <c r="A1568" s="3" t="s">
        <v>72</v>
      </c>
      <c r="B1568" s="3" t="s">
        <v>73</v>
      </c>
      <c r="C1568" s="3" t="s">
        <v>74</v>
      </c>
      <c r="E1568" s="3" t="str">
        <f>"FES1162846130"</f>
        <v>FES1162846130</v>
      </c>
      <c r="F1568" s="4">
        <v>44581</v>
      </c>
      <c r="G1568" s="3">
        <v>202207</v>
      </c>
      <c r="H1568" s="3" t="s">
        <v>75</v>
      </c>
      <c r="I1568" s="3" t="s">
        <v>76</v>
      </c>
      <c r="J1568" s="3" t="s">
        <v>77</v>
      </c>
      <c r="K1568" s="3" t="s">
        <v>78</v>
      </c>
      <c r="L1568" s="3" t="s">
        <v>250</v>
      </c>
      <c r="M1568" s="3" t="s">
        <v>251</v>
      </c>
      <c r="N1568" s="3" t="s">
        <v>252</v>
      </c>
      <c r="O1568" s="3" t="s">
        <v>82</v>
      </c>
      <c r="P1568" s="3" t="str">
        <f>"2170817616                    "</f>
        <v xml:space="preserve">2170817616                    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57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0</v>
      </c>
      <c r="BF1568" s="3">
        <v>0</v>
      </c>
      <c r="BG1568" s="3">
        <v>0</v>
      </c>
      <c r="BH1568" s="3">
        <v>1</v>
      </c>
      <c r="BI1568" s="3">
        <v>2</v>
      </c>
      <c r="BJ1568" s="3">
        <v>4</v>
      </c>
      <c r="BK1568" s="3">
        <v>4</v>
      </c>
      <c r="BL1568" s="3">
        <v>217.56</v>
      </c>
      <c r="BM1568" s="3">
        <v>32.630000000000003</v>
      </c>
      <c r="BN1568" s="3">
        <v>250.19</v>
      </c>
      <c r="BO1568" s="3">
        <v>250.19</v>
      </c>
      <c r="BQ1568" s="3" t="s">
        <v>253</v>
      </c>
      <c r="BR1568" s="3" t="s">
        <v>84</v>
      </c>
      <c r="BS1568" s="4">
        <v>44582</v>
      </c>
      <c r="BT1568" s="5">
        <v>0.56874999999999998</v>
      </c>
      <c r="BU1568" s="3" t="s">
        <v>1865</v>
      </c>
      <c r="BV1568" s="3" t="s">
        <v>105</v>
      </c>
      <c r="BY1568" s="3">
        <v>19800</v>
      </c>
      <c r="BZ1568" s="3" t="s">
        <v>165</v>
      </c>
      <c r="CA1568" s="3" t="s">
        <v>368</v>
      </c>
      <c r="CC1568" s="3" t="s">
        <v>251</v>
      </c>
      <c r="CD1568" s="3">
        <v>6300</v>
      </c>
      <c r="CE1568" s="3" t="s">
        <v>86</v>
      </c>
      <c r="CF1568" s="4">
        <v>44582</v>
      </c>
      <c r="CI1568" s="3">
        <v>2</v>
      </c>
      <c r="CJ1568" s="3">
        <v>1</v>
      </c>
      <c r="CK1568" s="3">
        <v>23</v>
      </c>
      <c r="CL1568" s="3" t="s">
        <v>87</v>
      </c>
    </row>
    <row r="1569" spans="1:90" x14ac:dyDescent="0.2">
      <c r="A1569" s="3" t="s">
        <v>72</v>
      </c>
      <c r="B1569" s="3" t="s">
        <v>73</v>
      </c>
      <c r="C1569" s="3" t="s">
        <v>74</v>
      </c>
      <c r="E1569" s="3" t="str">
        <f>"FES1162846162"</f>
        <v>FES1162846162</v>
      </c>
      <c r="F1569" s="4">
        <v>44581</v>
      </c>
      <c r="G1569" s="3">
        <v>202207</v>
      </c>
      <c r="H1569" s="3" t="s">
        <v>75</v>
      </c>
      <c r="I1569" s="3" t="s">
        <v>76</v>
      </c>
      <c r="J1569" s="3" t="s">
        <v>77</v>
      </c>
      <c r="K1569" s="3" t="s">
        <v>78</v>
      </c>
      <c r="L1569" s="3" t="s">
        <v>805</v>
      </c>
      <c r="M1569" s="3" t="s">
        <v>806</v>
      </c>
      <c r="N1569" s="3" t="s">
        <v>807</v>
      </c>
      <c r="O1569" s="3" t="s">
        <v>82</v>
      </c>
      <c r="P1569" s="3" t="str">
        <f>"2170817568                    "</f>
        <v xml:space="preserve">2170817568                    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29.95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v>0</v>
      </c>
      <c r="BA1569" s="3">
        <v>0</v>
      </c>
      <c r="BB1569" s="3">
        <v>0</v>
      </c>
      <c r="BC1569" s="3">
        <v>0</v>
      </c>
      <c r="BD1569" s="3">
        <v>0</v>
      </c>
      <c r="BE1569" s="3">
        <v>0</v>
      </c>
      <c r="BF1569" s="3">
        <v>0</v>
      </c>
      <c r="BG1569" s="3">
        <v>0</v>
      </c>
      <c r="BH1569" s="3">
        <v>1</v>
      </c>
      <c r="BI1569" s="3">
        <v>1</v>
      </c>
      <c r="BJ1569" s="3">
        <v>0.2</v>
      </c>
      <c r="BK1569" s="3">
        <v>1</v>
      </c>
      <c r="BL1569" s="3">
        <v>114.31</v>
      </c>
      <c r="BM1569" s="3">
        <v>17.149999999999999</v>
      </c>
      <c r="BN1569" s="3">
        <v>131.46</v>
      </c>
      <c r="BO1569" s="3">
        <v>131.46</v>
      </c>
      <c r="BQ1569" s="3" t="s">
        <v>808</v>
      </c>
      <c r="BR1569" s="3" t="s">
        <v>84</v>
      </c>
      <c r="BS1569" s="4">
        <v>44582</v>
      </c>
      <c r="BT1569" s="5">
        <v>0.5756944444444444</v>
      </c>
      <c r="BU1569" s="3" t="s">
        <v>1101</v>
      </c>
      <c r="BV1569" s="3" t="s">
        <v>105</v>
      </c>
      <c r="BY1569" s="3">
        <v>1200</v>
      </c>
      <c r="BZ1569" s="3" t="s">
        <v>165</v>
      </c>
      <c r="CA1569" s="3" t="s">
        <v>809</v>
      </c>
      <c r="CC1569" s="3" t="s">
        <v>806</v>
      </c>
      <c r="CD1569" s="3">
        <v>4400</v>
      </c>
      <c r="CE1569" s="3" t="s">
        <v>93</v>
      </c>
      <c r="CF1569" s="4">
        <v>44585</v>
      </c>
      <c r="CI1569" s="3">
        <v>1</v>
      </c>
      <c r="CJ1569" s="3">
        <v>1</v>
      </c>
      <c r="CK1569" s="3">
        <v>23</v>
      </c>
      <c r="CL1569" s="3" t="s">
        <v>87</v>
      </c>
    </row>
    <row r="1570" spans="1:90" x14ac:dyDescent="0.2">
      <c r="A1570" s="3" t="s">
        <v>72</v>
      </c>
      <c r="B1570" s="3" t="s">
        <v>73</v>
      </c>
      <c r="C1570" s="3" t="s">
        <v>74</v>
      </c>
      <c r="E1570" s="3" t="str">
        <f>"FES1162846134"</f>
        <v>FES1162846134</v>
      </c>
      <c r="F1570" s="4">
        <v>44581</v>
      </c>
      <c r="G1570" s="3">
        <v>202207</v>
      </c>
      <c r="H1570" s="3" t="s">
        <v>75</v>
      </c>
      <c r="I1570" s="3" t="s">
        <v>76</v>
      </c>
      <c r="J1570" s="3" t="s">
        <v>77</v>
      </c>
      <c r="K1570" s="3" t="s">
        <v>78</v>
      </c>
      <c r="L1570" s="3" t="s">
        <v>171</v>
      </c>
      <c r="M1570" s="3" t="s">
        <v>172</v>
      </c>
      <c r="N1570" s="3" t="s">
        <v>838</v>
      </c>
      <c r="O1570" s="3" t="s">
        <v>82</v>
      </c>
      <c r="P1570" s="3" t="str">
        <f>"2170816879                    "</f>
        <v xml:space="preserve">2170816879                    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15.46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0</v>
      </c>
      <c r="AZ1570" s="3">
        <v>0</v>
      </c>
      <c r="BA1570" s="3">
        <v>0</v>
      </c>
      <c r="BB1570" s="3">
        <v>0</v>
      </c>
      <c r="BC1570" s="3">
        <v>0</v>
      </c>
      <c r="BD1570" s="3">
        <v>0</v>
      </c>
      <c r="BE1570" s="3">
        <v>0</v>
      </c>
      <c r="BF1570" s="3">
        <v>0</v>
      </c>
      <c r="BG1570" s="3">
        <v>0</v>
      </c>
      <c r="BH1570" s="3">
        <v>1</v>
      </c>
      <c r="BI1570" s="3">
        <v>1</v>
      </c>
      <c r="BJ1570" s="3">
        <v>0.2</v>
      </c>
      <c r="BK1570" s="3">
        <v>1</v>
      </c>
      <c r="BL1570" s="3">
        <v>59</v>
      </c>
      <c r="BM1570" s="3">
        <v>8.85</v>
      </c>
      <c r="BN1570" s="3">
        <v>67.849999999999994</v>
      </c>
      <c r="BO1570" s="3">
        <v>67.849999999999994</v>
      </c>
      <c r="BQ1570" s="3" t="s">
        <v>83</v>
      </c>
      <c r="BR1570" s="3" t="s">
        <v>84</v>
      </c>
      <c r="BS1570" s="4">
        <v>44582</v>
      </c>
      <c r="BT1570" s="5">
        <v>0.40902777777777777</v>
      </c>
      <c r="BU1570" s="3" t="s">
        <v>1695</v>
      </c>
      <c r="BV1570" s="3" t="s">
        <v>105</v>
      </c>
      <c r="BY1570" s="3">
        <v>1200</v>
      </c>
      <c r="BZ1570" s="3" t="s">
        <v>165</v>
      </c>
      <c r="CA1570" s="3" t="s">
        <v>509</v>
      </c>
      <c r="CC1570" s="3" t="s">
        <v>172</v>
      </c>
      <c r="CD1570" s="3">
        <v>6001</v>
      </c>
      <c r="CE1570" s="3" t="s">
        <v>93</v>
      </c>
      <c r="CF1570" s="4">
        <v>44582</v>
      </c>
      <c r="CI1570" s="3">
        <v>1</v>
      </c>
      <c r="CJ1570" s="3">
        <v>1</v>
      </c>
      <c r="CK1570" s="3">
        <v>21</v>
      </c>
      <c r="CL1570" s="3" t="s">
        <v>87</v>
      </c>
    </row>
    <row r="1571" spans="1:90" x14ac:dyDescent="0.2">
      <c r="A1571" s="3" t="s">
        <v>72</v>
      </c>
      <c r="B1571" s="3" t="s">
        <v>73</v>
      </c>
      <c r="C1571" s="3" t="s">
        <v>74</v>
      </c>
      <c r="E1571" s="3" t="str">
        <f>"FES1162846158"</f>
        <v>FES1162846158</v>
      </c>
      <c r="F1571" s="4">
        <v>44581</v>
      </c>
      <c r="G1571" s="3">
        <v>202207</v>
      </c>
      <c r="H1571" s="3" t="s">
        <v>75</v>
      </c>
      <c r="I1571" s="3" t="s">
        <v>76</v>
      </c>
      <c r="J1571" s="3" t="s">
        <v>77</v>
      </c>
      <c r="K1571" s="3" t="s">
        <v>78</v>
      </c>
      <c r="L1571" s="3" t="s">
        <v>529</v>
      </c>
      <c r="M1571" s="3" t="s">
        <v>530</v>
      </c>
      <c r="N1571" s="3" t="s">
        <v>531</v>
      </c>
      <c r="O1571" s="3" t="s">
        <v>82</v>
      </c>
      <c r="P1571" s="3" t="str">
        <f>"217817662                     "</f>
        <v xml:space="preserve">217817662                     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29.95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v>0</v>
      </c>
      <c r="BA1571" s="3">
        <v>0</v>
      </c>
      <c r="BB1571" s="3">
        <v>0</v>
      </c>
      <c r="BC1571" s="3">
        <v>0</v>
      </c>
      <c r="BD1571" s="3">
        <v>0</v>
      </c>
      <c r="BE1571" s="3">
        <v>0</v>
      </c>
      <c r="BF1571" s="3">
        <v>0</v>
      </c>
      <c r="BG1571" s="3">
        <v>0</v>
      </c>
      <c r="BH1571" s="3">
        <v>1</v>
      </c>
      <c r="BI1571" s="3">
        <v>1</v>
      </c>
      <c r="BJ1571" s="3">
        <v>0.2</v>
      </c>
      <c r="BK1571" s="3">
        <v>1</v>
      </c>
      <c r="BL1571" s="3">
        <v>114.31</v>
      </c>
      <c r="BM1571" s="3">
        <v>17.149999999999999</v>
      </c>
      <c r="BN1571" s="3">
        <v>131.46</v>
      </c>
      <c r="BO1571" s="3">
        <v>131.46</v>
      </c>
      <c r="BQ1571" s="3" t="s">
        <v>83</v>
      </c>
      <c r="BR1571" s="3" t="s">
        <v>84</v>
      </c>
      <c r="BS1571" s="4">
        <v>44582</v>
      </c>
      <c r="BT1571" s="5">
        <v>0.47152777777777777</v>
      </c>
      <c r="BU1571" s="3" t="s">
        <v>1866</v>
      </c>
      <c r="BV1571" s="3" t="s">
        <v>105</v>
      </c>
      <c r="BY1571" s="3">
        <v>1200</v>
      </c>
      <c r="BZ1571" s="3" t="s">
        <v>165</v>
      </c>
      <c r="CC1571" s="3" t="s">
        <v>530</v>
      </c>
      <c r="CD1571" s="3">
        <v>6500</v>
      </c>
      <c r="CE1571" s="3" t="s">
        <v>93</v>
      </c>
      <c r="CF1571" s="4">
        <v>44584</v>
      </c>
      <c r="CI1571" s="3">
        <v>1</v>
      </c>
      <c r="CJ1571" s="3">
        <v>1</v>
      </c>
      <c r="CK1571" s="3">
        <v>23</v>
      </c>
      <c r="CL1571" s="3" t="s">
        <v>87</v>
      </c>
    </row>
    <row r="1572" spans="1:90" x14ac:dyDescent="0.2">
      <c r="A1572" s="3" t="s">
        <v>72</v>
      </c>
      <c r="B1572" s="3" t="s">
        <v>73</v>
      </c>
      <c r="C1572" s="3" t="s">
        <v>74</v>
      </c>
      <c r="E1572" s="3" t="str">
        <f>"FES1162846123"</f>
        <v>FES1162846123</v>
      </c>
      <c r="F1572" s="4">
        <v>44581</v>
      </c>
      <c r="G1572" s="3">
        <v>202207</v>
      </c>
      <c r="H1572" s="3" t="s">
        <v>75</v>
      </c>
      <c r="I1572" s="3" t="s">
        <v>76</v>
      </c>
      <c r="J1572" s="3" t="s">
        <v>77</v>
      </c>
      <c r="K1572" s="3" t="s">
        <v>78</v>
      </c>
      <c r="L1572" s="3" t="s">
        <v>427</v>
      </c>
      <c r="M1572" s="3" t="s">
        <v>428</v>
      </c>
      <c r="N1572" s="3" t="s">
        <v>1867</v>
      </c>
      <c r="O1572" s="3" t="s">
        <v>82</v>
      </c>
      <c r="P1572" s="3" t="str">
        <f>"2170817607                    "</f>
        <v xml:space="preserve">2170817607                    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29.95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1</v>
      </c>
      <c r="BI1572" s="3">
        <v>1</v>
      </c>
      <c r="BJ1572" s="3">
        <v>0.2</v>
      </c>
      <c r="BK1572" s="3">
        <v>1</v>
      </c>
      <c r="BL1572" s="3">
        <v>114.31</v>
      </c>
      <c r="BM1572" s="3">
        <v>17.149999999999999</v>
      </c>
      <c r="BN1572" s="3">
        <v>131.46</v>
      </c>
      <c r="BO1572" s="3">
        <v>131.46</v>
      </c>
      <c r="BQ1572" s="3" t="s">
        <v>83</v>
      </c>
      <c r="BR1572" s="3" t="s">
        <v>84</v>
      </c>
      <c r="BS1572" s="4">
        <v>44582</v>
      </c>
      <c r="BT1572" s="5">
        <v>0.45208333333333334</v>
      </c>
      <c r="BU1572" s="3" t="s">
        <v>1868</v>
      </c>
      <c r="BV1572" s="3" t="s">
        <v>105</v>
      </c>
      <c r="BY1572" s="3">
        <v>1200</v>
      </c>
      <c r="BZ1572" s="3" t="s">
        <v>165</v>
      </c>
      <c r="CA1572" s="3" t="s">
        <v>488</v>
      </c>
      <c r="CC1572" s="3" t="s">
        <v>428</v>
      </c>
      <c r="CD1572" s="3">
        <v>7130</v>
      </c>
      <c r="CE1572" s="3" t="s">
        <v>93</v>
      </c>
      <c r="CF1572" s="4">
        <v>44585</v>
      </c>
      <c r="CI1572" s="3">
        <v>1</v>
      </c>
      <c r="CJ1572" s="3">
        <v>1</v>
      </c>
      <c r="CK1572" s="3">
        <v>23</v>
      </c>
      <c r="CL1572" s="3" t="s">
        <v>87</v>
      </c>
    </row>
    <row r="1573" spans="1:90" x14ac:dyDescent="0.2">
      <c r="A1573" s="3" t="s">
        <v>72</v>
      </c>
      <c r="B1573" s="3" t="s">
        <v>73</v>
      </c>
      <c r="C1573" s="3" t="s">
        <v>74</v>
      </c>
      <c r="E1573" s="3" t="str">
        <f>"FES1162846133"</f>
        <v>FES1162846133</v>
      </c>
      <c r="F1573" s="4">
        <v>44581</v>
      </c>
      <c r="G1573" s="3">
        <v>202207</v>
      </c>
      <c r="H1573" s="3" t="s">
        <v>75</v>
      </c>
      <c r="I1573" s="3" t="s">
        <v>76</v>
      </c>
      <c r="J1573" s="3" t="s">
        <v>77</v>
      </c>
      <c r="K1573" s="3" t="s">
        <v>78</v>
      </c>
      <c r="L1573" s="3" t="s">
        <v>97</v>
      </c>
      <c r="M1573" s="3" t="s">
        <v>98</v>
      </c>
      <c r="N1573" s="3" t="s">
        <v>423</v>
      </c>
      <c r="O1573" s="3" t="s">
        <v>82</v>
      </c>
      <c r="P1573" s="3" t="str">
        <f>"2170817620                    "</f>
        <v xml:space="preserve">2170817620                    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12.07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0</v>
      </c>
      <c r="BF1573" s="3">
        <v>0</v>
      </c>
      <c r="BG1573" s="3">
        <v>0</v>
      </c>
      <c r="BH1573" s="3">
        <v>1</v>
      </c>
      <c r="BI1573" s="3">
        <v>1</v>
      </c>
      <c r="BJ1573" s="3">
        <v>0.2</v>
      </c>
      <c r="BK1573" s="3">
        <v>1</v>
      </c>
      <c r="BL1573" s="3">
        <v>46.08</v>
      </c>
      <c r="BM1573" s="3">
        <v>6.91</v>
      </c>
      <c r="BN1573" s="3">
        <v>52.99</v>
      </c>
      <c r="BO1573" s="3">
        <v>52.99</v>
      </c>
      <c r="BR1573" s="3" t="s">
        <v>84</v>
      </c>
      <c r="BS1573" s="4">
        <v>44582</v>
      </c>
      <c r="BT1573" s="5">
        <v>0.34027777777777773</v>
      </c>
      <c r="BU1573" s="3" t="s">
        <v>1869</v>
      </c>
      <c r="BV1573" s="3" t="s">
        <v>105</v>
      </c>
      <c r="BY1573" s="3">
        <v>1200</v>
      </c>
      <c r="BZ1573" s="3" t="s">
        <v>165</v>
      </c>
      <c r="CA1573" s="3" t="s">
        <v>847</v>
      </c>
      <c r="CC1573" s="3" t="s">
        <v>98</v>
      </c>
      <c r="CD1573" s="3">
        <v>2001</v>
      </c>
      <c r="CE1573" s="3" t="s">
        <v>93</v>
      </c>
      <c r="CF1573" s="4">
        <v>44582</v>
      </c>
      <c r="CI1573" s="3">
        <v>1</v>
      </c>
      <c r="CJ1573" s="3">
        <v>1</v>
      </c>
      <c r="CK1573" s="3">
        <v>22</v>
      </c>
      <c r="CL1573" s="3" t="s">
        <v>87</v>
      </c>
    </row>
    <row r="1574" spans="1:90" x14ac:dyDescent="0.2">
      <c r="A1574" s="3" t="s">
        <v>72</v>
      </c>
      <c r="B1574" s="3" t="s">
        <v>73</v>
      </c>
      <c r="C1574" s="3" t="s">
        <v>74</v>
      </c>
      <c r="E1574" s="3" t="str">
        <f>"FES1162846175"</f>
        <v>FES1162846175</v>
      </c>
      <c r="F1574" s="4">
        <v>44581</v>
      </c>
      <c r="G1574" s="3">
        <v>202207</v>
      </c>
      <c r="H1574" s="3" t="s">
        <v>75</v>
      </c>
      <c r="I1574" s="3" t="s">
        <v>76</v>
      </c>
      <c r="J1574" s="3" t="s">
        <v>77</v>
      </c>
      <c r="K1574" s="3" t="s">
        <v>78</v>
      </c>
      <c r="L1574" s="3" t="s">
        <v>244</v>
      </c>
      <c r="M1574" s="3" t="s">
        <v>245</v>
      </c>
      <c r="N1574" s="3" t="s">
        <v>400</v>
      </c>
      <c r="O1574" s="3" t="s">
        <v>82</v>
      </c>
      <c r="P1574" s="3" t="str">
        <f>"2170817681                    "</f>
        <v xml:space="preserve">2170817681                    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29.95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0</v>
      </c>
      <c r="AZ1574" s="3">
        <v>0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1</v>
      </c>
      <c r="BI1574" s="3">
        <v>1</v>
      </c>
      <c r="BJ1574" s="3">
        <v>0.2</v>
      </c>
      <c r="BK1574" s="3">
        <v>1</v>
      </c>
      <c r="BL1574" s="3">
        <v>114.31</v>
      </c>
      <c r="BM1574" s="3">
        <v>17.149999999999999</v>
      </c>
      <c r="BN1574" s="3">
        <v>131.46</v>
      </c>
      <c r="BO1574" s="3">
        <v>131.46</v>
      </c>
      <c r="BQ1574" s="3" t="s">
        <v>83</v>
      </c>
      <c r="BR1574" s="3" t="s">
        <v>84</v>
      </c>
      <c r="BS1574" s="4">
        <v>44582</v>
      </c>
      <c r="BT1574" s="5">
        <v>0.41666666666666669</v>
      </c>
      <c r="BU1574" s="3" t="s">
        <v>1739</v>
      </c>
      <c r="BV1574" s="3" t="s">
        <v>105</v>
      </c>
      <c r="BY1574" s="3">
        <v>1200</v>
      </c>
      <c r="BZ1574" s="3" t="s">
        <v>165</v>
      </c>
      <c r="CC1574" s="3" t="s">
        <v>245</v>
      </c>
      <c r="CD1574" s="3">
        <v>1947</v>
      </c>
      <c r="CE1574" s="3" t="s">
        <v>86</v>
      </c>
      <c r="CF1574" s="4">
        <v>44583</v>
      </c>
      <c r="CI1574" s="3">
        <v>1</v>
      </c>
      <c r="CJ1574" s="3">
        <v>1</v>
      </c>
      <c r="CK1574" s="3">
        <v>23</v>
      </c>
      <c r="CL1574" s="3" t="s">
        <v>87</v>
      </c>
    </row>
    <row r="1575" spans="1:90" x14ac:dyDescent="0.2">
      <c r="A1575" s="3" t="s">
        <v>72</v>
      </c>
      <c r="B1575" s="3" t="s">
        <v>73</v>
      </c>
      <c r="C1575" s="3" t="s">
        <v>74</v>
      </c>
      <c r="E1575" s="3" t="str">
        <f>"FES1162846151"</f>
        <v>FES1162846151</v>
      </c>
      <c r="F1575" s="4">
        <v>44581</v>
      </c>
      <c r="G1575" s="3">
        <v>202207</v>
      </c>
      <c r="H1575" s="3" t="s">
        <v>75</v>
      </c>
      <c r="I1575" s="3" t="s">
        <v>76</v>
      </c>
      <c r="J1575" s="3" t="s">
        <v>77</v>
      </c>
      <c r="K1575" s="3" t="s">
        <v>78</v>
      </c>
      <c r="L1575" s="3" t="s">
        <v>101</v>
      </c>
      <c r="M1575" s="3" t="s">
        <v>102</v>
      </c>
      <c r="N1575" s="3" t="s">
        <v>1870</v>
      </c>
      <c r="O1575" s="3" t="s">
        <v>82</v>
      </c>
      <c r="P1575" s="3" t="str">
        <f>"2170817650                    "</f>
        <v xml:space="preserve">2170817650                    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15.46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0</v>
      </c>
      <c r="AZ1575" s="3">
        <v>0</v>
      </c>
      <c r="BA1575" s="3">
        <v>0</v>
      </c>
      <c r="BB1575" s="3">
        <v>0</v>
      </c>
      <c r="BC1575" s="3">
        <v>0</v>
      </c>
      <c r="BD1575" s="3">
        <v>0</v>
      </c>
      <c r="BE1575" s="3">
        <v>0</v>
      </c>
      <c r="BF1575" s="3">
        <v>0</v>
      </c>
      <c r="BG1575" s="3">
        <v>0</v>
      </c>
      <c r="BH1575" s="3">
        <v>1</v>
      </c>
      <c r="BI1575" s="3">
        <v>1</v>
      </c>
      <c r="BJ1575" s="3">
        <v>0.2</v>
      </c>
      <c r="BK1575" s="3">
        <v>1</v>
      </c>
      <c r="BL1575" s="3">
        <v>59</v>
      </c>
      <c r="BM1575" s="3">
        <v>8.85</v>
      </c>
      <c r="BN1575" s="3">
        <v>67.849999999999994</v>
      </c>
      <c r="BO1575" s="3">
        <v>67.849999999999994</v>
      </c>
      <c r="BQ1575" s="3" t="s">
        <v>1871</v>
      </c>
      <c r="BR1575" s="3" t="s">
        <v>84</v>
      </c>
      <c r="BS1575" s="4">
        <v>44582</v>
      </c>
      <c r="BT1575" s="5">
        <v>0.55694444444444446</v>
      </c>
      <c r="BU1575" s="3" t="s">
        <v>1872</v>
      </c>
      <c r="BV1575" s="3" t="s">
        <v>87</v>
      </c>
      <c r="BW1575" s="3" t="s">
        <v>278</v>
      </c>
      <c r="BX1575" s="3" t="s">
        <v>279</v>
      </c>
      <c r="BY1575" s="3">
        <v>1200</v>
      </c>
      <c r="BZ1575" s="3" t="s">
        <v>165</v>
      </c>
      <c r="CA1575" s="3" t="s">
        <v>280</v>
      </c>
      <c r="CC1575" s="3" t="s">
        <v>102</v>
      </c>
      <c r="CD1575" s="3">
        <v>4001</v>
      </c>
      <c r="CE1575" s="3" t="s">
        <v>93</v>
      </c>
      <c r="CF1575" s="4">
        <v>44585</v>
      </c>
      <c r="CI1575" s="3">
        <v>1</v>
      </c>
      <c r="CJ1575" s="3">
        <v>1</v>
      </c>
      <c r="CK1575" s="3">
        <v>21</v>
      </c>
      <c r="CL1575" s="3" t="s">
        <v>87</v>
      </c>
    </row>
    <row r="1576" spans="1:90" x14ac:dyDescent="0.2">
      <c r="A1576" s="3" t="s">
        <v>72</v>
      </c>
      <c r="B1576" s="3" t="s">
        <v>73</v>
      </c>
      <c r="C1576" s="3" t="s">
        <v>74</v>
      </c>
      <c r="E1576" s="3" t="str">
        <f>"FES1162846164"</f>
        <v>FES1162846164</v>
      </c>
      <c r="F1576" s="4">
        <v>44581</v>
      </c>
      <c r="G1576" s="3">
        <v>202207</v>
      </c>
      <c r="H1576" s="3" t="s">
        <v>75</v>
      </c>
      <c r="I1576" s="3" t="s">
        <v>76</v>
      </c>
      <c r="J1576" s="3" t="s">
        <v>77</v>
      </c>
      <c r="K1576" s="3" t="s">
        <v>78</v>
      </c>
      <c r="L1576" s="3" t="s">
        <v>138</v>
      </c>
      <c r="M1576" s="3" t="s">
        <v>139</v>
      </c>
      <c r="N1576" s="3" t="s">
        <v>140</v>
      </c>
      <c r="O1576" s="3" t="s">
        <v>82</v>
      </c>
      <c r="P1576" s="3" t="str">
        <f>"2170817665                    "</f>
        <v xml:space="preserve">2170817665                    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15.46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1</v>
      </c>
      <c r="BI1576" s="3">
        <v>1</v>
      </c>
      <c r="BJ1576" s="3">
        <v>1.1000000000000001</v>
      </c>
      <c r="BK1576" s="3">
        <v>1.5</v>
      </c>
      <c r="BL1576" s="3">
        <v>59</v>
      </c>
      <c r="BM1576" s="3">
        <v>8.85</v>
      </c>
      <c r="BN1576" s="3">
        <v>67.849999999999994</v>
      </c>
      <c r="BO1576" s="3">
        <v>67.849999999999994</v>
      </c>
      <c r="BQ1576" s="3" t="s">
        <v>126</v>
      </c>
      <c r="BR1576" s="3" t="s">
        <v>84</v>
      </c>
      <c r="BS1576" s="4">
        <v>44582</v>
      </c>
      <c r="BT1576" s="5">
        <v>0.35694444444444445</v>
      </c>
      <c r="BU1576" s="3" t="s">
        <v>819</v>
      </c>
      <c r="BV1576" s="3" t="s">
        <v>105</v>
      </c>
      <c r="BY1576" s="3">
        <v>5320</v>
      </c>
      <c r="BZ1576" s="3" t="s">
        <v>165</v>
      </c>
      <c r="CA1576" s="3" t="s">
        <v>334</v>
      </c>
      <c r="CC1576" s="3" t="s">
        <v>139</v>
      </c>
      <c r="CD1576" s="3">
        <v>3610</v>
      </c>
      <c r="CE1576" s="3" t="s">
        <v>86</v>
      </c>
      <c r="CF1576" s="4">
        <v>44585</v>
      </c>
      <c r="CI1576" s="3">
        <v>1</v>
      </c>
      <c r="CJ1576" s="3">
        <v>1</v>
      </c>
      <c r="CK1576" s="3">
        <v>21</v>
      </c>
      <c r="CL1576" s="3" t="s">
        <v>87</v>
      </c>
    </row>
    <row r="1577" spans="1:90" x14ac:dyDescent="0.2">
      <c r="A1577" s="3" t="s">
        <v>72</v>
      </c>
      <c r="B1577" s="3" t="s">
        <v>73</v>
      </c>
      <c r="C1577" s="3" t="s">
        <v>74</v>
      </c>
      <c r="E1577" s="3" t="str">
        <f>"FES1162846135"</f>
        <v>FES1162846135</v>
      </c>
      <c r="F1577" s="4">
        <v>44581</v>
      </c>
      <c r="G1577" s="3">
        <v>202207</v>
      </c>
      <c r="H1577" s="3" t="s">
        <v>75</v>
      </c>
      <c r="I1577" s="3" t="s">
        <v>76</v>
      </c>
      <c r="J1577" s="3" t="s">
        <v>77</v>
      </c>
      <c r="K1577" s="3" t="s">
        <v>78</v>
      </c>
      <c r="L1577" s="3" t="s">
        <v>167</v>
      </c>
      <c r="M1577" s="3" t="s">
        <v>168</v>
      </c>
      <c r="N1577" s="3" t="s">
        <v>194</v>
      </c>
      <c r="O1577" s="3" t="s">
        <v>82</v>
      </c>
      <c r="P1577" s="3" t="str">
        <f>"2170817490                    "</f>
        <v xml:space="preserve">2170817490                    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30.91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1</v>
      </c>
      <c r="BI1577" s="3">
        <v>4</v>
      </c>
      <c r="BJ1577" s="3">
        <v>1.3</v>
      </c>
      <c r="BK1577" s="3">
        <v>4</v>
      </c>
      <c r="BL1577" s="3">
        <v>117.97</v>
      </c>
      <c r="BM1577" s="3">
        <v>17.7</v>
      </c>
      <c r="BN1577" s="3">
        <v>135.66999999999999</v>
      </c>
      <c r="BO1577" s="3">
        <v>135.66999999999999</v>
      </c>
      <c r="BQ1577" s="3" t="s">
        <v>89</v>
      </c>
      <c r="BR1577" s="3" t="s">
        <v>84</v>
      </c>
      <c r="BS1577" s="4">
        <v>44582</v>
      </c>
      <c r="BT1577" s="5">
        <v>0.42777777777777781</v>
      </c>
      <c r="BU1577" s="3" t="s">
        <v>1873</v>
      </c>
      <c r="BV1577" s="3" t="s">
        <v>105</v>
      </c>
      <c r="BY1577" s="3">
        <v>6655</v>
      </c>
      <c r="BZ1577" s="3" t="s">
        <v>165</v>
      </c>
      <c r="CA1577" s="3" t="s">
        <v>553</v>
      </c>
      <c r="CC1577" s="3" t="s">
        <v>168</v>
      </c>
      <c r="CD1577" s="3">
        <v>6229</v>
      </c>
      <c r="CE1577" s="3" t="s">
        <v>86</v>
      </c>
      <c r="CF1577" s="4">
        <v>44582</v>
      </c>
      <c r="CI1577" s="3">
        <v>1</v>
      </c>
      <c r="CJ1577" s="3">
        <v>1</v>
      </c>
      <c r="CK1577" s="3">
        <v>21</v>
      </c>
      <c r="CL1577" s="3" t="s">
        <v>87</v>
      </c>
    </row>
    <row r="1578" spans="1:90" x14ac:dyDescent="0.2">
      <c r="A1578" s="3" t="s">
        <v>72</v>
      </c>
      <c r="B1578" s="3" t="s">
        <v>73</v>
      </c>
      <c r="C1578" s="3" t="s">
        <v>74</v>
      </c>
      <c r="E1578" s="3" t="str">
        <f>"FES1162846153"</f>
        <v>FES1162846153</v>
      </c>
      <c r="F1578" s="4">
        <v>44581</v>
      </c>
      <c r="G1578" s="3">
        <v>202207</v>
      </c>
      <c r="H1578" s="3" t="s">
        <v>75</v>
      </c>
      <c r="I1578" s="3" t="s">
        <v>76</v>
      </c>
      <c r="J1578" s="3" t="s">
        <v>77</v>
      </c>
      <c r="K1578" s="3" t="s">
        <v>78</v>
      </c>
      <c r="L1578" s="3" t="s">
        <v>129</v>
      </c>
      <c r="M1578" s="3" t="s">
        <v>130</v>
      </c>
      <c r="N1578" s="3" t="s">
        <v>131</v>
      </c>
      <c r="O1578" s="3" t="s">
        <v>82</v>
      </c>
      <c r="P1578" s="3" t="str">
        <f>"2170817654                    "</f>
        <v xml:space="preserve">2170817654                    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29.95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0</v>
      </c>
      <c r="AZ1578" s="3">
        <v>0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1</v>
      </c>
      <c r="BI1578" s="3">
        <v>2</v>
      </c>
      <c r="BJ1578" s="3">
        <v>1.4</v>
      </c>
      <c r="BK1578" s="3">
        <v>2</v>
      </c>
      <c r="BL1578" s="3">
        <v>114.31</v>
      </c>
      <c r="BM1578" s="3">
        <v>17.149999999999999</v>
      </c>
      <c r="BN1578" s="3">
        <v>131.46</v>
      </c>
      <c r="BO1578" s="3">
        <v>131.46</v>
      </c>
      <c r="BQ1578" s="3" t="s">
        <v>83</v>
      </c>
      <c r="BR1578" s="3" t="s">
        <v>84</v>
      </c>
      <c r="BS1578" s="4">
        <v>44582</v>
      </c>
      <c r="BT1578" s="5">
        <v>0.69027777777777777</v>
      </c>
      <c r="BU1578" s="3" t="s">
        <v>1874</v>
      </c>
      <c r="BV1578" s="3" t="s">
        <v>105</v>
      </c>
      <c r="BY1578" s="3">
        <v>7200</v>
      </c>
      <c r="BZ1578" s="3" t="s">
        <v>165</v>
      </c>
      <c r="CA1578" s="3" t="s">
        <v>406</v>
      </c>
      <c r="CC1578" s="3" t="s">
        <v>130</v>
      </c>
      <c r="CD1578" s="3">
        <v>3370</v>
      </c>
      <c r="CE1578" s="3" t="s">
        <v>86</v>
      </c>
      <c r="CF1578" s="4">
        <v>44585</v>
      </c>
      <c r="CI1578" s="3">
        <v>2</v>
      </c>
      <c r="CJ1578" s="3">
        <v>1</v>
      </c>
      <c r="CK1578" s="3">
        <v>23</v>
      </c>
      <c r="CL1578" s="3" t="s">
        <v>87</v>
      </c>
    </row>
    <row r="1579" spans="1:90" x14ac:dyDescent="0.2">
      <c r="A1579" s="3" t="s">
        <v>72</v>
      </c>
      <c r="B1579" s="3" t="s">
        <v>73</v>
      </c>
      <c r="C1579" s="3" t="s">
        <v>74</v>
      </c>
      <c r="E1579" s="3" t="str">
        <f>"FES1162846138"</f>
        <v>FES1162846138</v>
      </c>
      <c r="F1579" s="4">
        <v>44581</v>
      </c>
      <c r="G1579" s="3">
        <v>202207</v>
      </c>
      <c r="H1579" s="3" t="s">
        <v>75</v>
      </c>
      <c r="I1579" s="3" t="s">
        <v>76</v>
      </c>
      <c r="J1579" s="3" t="s">
        <v>77</v>
      </c>
      <c r="K1579" s="3" t="s">
        <v>78</v>
      </c>
      <c r="L1579" s="3" t="s">
        <v>79</v>
      </c>
      <c r="M1579" s="3" t="s">
        <v>80</v>
      </c>
      <c r="N1579" s="3" t="s">
        <v>237</v>
      </c>
      <c r="O1579" s="3" t="s">
        <v>82</v>
      </c>
      <c r="P1579" s="3" t="str">
        <f>"2170817626                    "</f>
        <v xml:space="preserve">2170817626                    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34.770000000000003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0</v>
      </c>
      <c r="BF1579" s="3">
        <v>0</v>
      </c>
      <c r="BG1579" s="3">
        <v>0</v>
      </c>
      <c r="BH1579" s="3">
        <v>1</v>
      </c>
      <c r="BI1579" s="3">
        <v>3</v>
      </c>
      <c r="BJ1579" s="3">
        <v>4.0999999999999996</v>
      </c>
      <c r="BK1579" s="3">
        <v>4.5</v>
      </c>
      <c r="BL1579" s="3">
        <v>132.71</v>
      </c>
      <c r="BM1579" s="3">
        <v>19.91</v>
      </c>
      <c r="BN1579" s="3">
        <v>152.62</v>
      </c>
      <c r="BO1579" s="3">
        <v>152.62</v>
      </c>
      <c r="BQ1579" s="3" t="s">
        <v>83</v>
      </c>
      <c r="BR1579" s="3" t="s">
        <v>84</v>
      </c>
      <c r="BS1579" s="4">
        <v>44582</v>
      </c>
      <c r="BT1579" s="5">
        <v>0.33819444444444446</v>
      </c>
      <c r="BU1579" s="3" t="s">
        <v>1154</v>
      </c>
      <c r="BV1579" s="3" t="s">
        <v>105</v>
      </c>
      <c r="BY1579" s="3">
        <v>20358</v>
      </c>
      <c r="BZ1579" s="3" t="s">
        <v>165</v>
      </c>
      <c r="CA1579" s="3" t="s">
        <v>481</v>
      </c>
      <c r="CC1579" s="3" t="s">
        <v>80</v>
      </c>
      <c r="CD1579" s="3">
        <v>1</v>
      </c>
      <c r="CE1579" s="3" t="s">
        <v>86</v>
      </c>
      <c r="CF1579" s="4">
        <v>44587</v>
      </c>
      <c r="CI1579" s="3">
        <v>1</v>
      </c>
      <c r="CJ1579" s="3">
        <v>1</v>
      </c>
      <c r="CK1579" s="3">
        <v>21</v>
      </c>
      <c r="CL1579" s="3" t="s">
        <v>87</v>
      </c>
    </row>
    <row r="1580" spans="1:90" x14ac:dyDescent="0.2">
      <c r="A1580" s="3" t="s">
        <v>72</v>
      </c>
      <c r="B1580" s="3" t="s">
        <v>73</v>
      </c>
      <c r="C1580" s="3" t="s">
        <v>74</v>
      </c>
      <c r="E1580" s="3" t="str">
        <f>"FES1162846146"</f>
        <v>FES1162846146</v>
      </c>
      <c r="F1580" s="4">
        <v>44581</v>
      </c>
      <c r="G1580" s="3">
        <v>202207</v>
      </c>
      <c r="H1580" s="3" t="s">
        <v>75</v>
      </c>
      <c r="I1580" s="3" t="s">
        <v>76</v>
      </c>
      <c r="J1580" s="3" t="s">
        <v>77</v>
      </c>
      <c r="K1580" s="3" t="s">
        <v>78</v>
      </c>
      <c r="L1580" s="3" t="s">
        <v>90</v>
      </c>
      <c r="M1580" s="3" t="s">
        <v>91</v>
      </c>
      <c r="N1580" s="3" t="s">
        <v>157</v>
      </c>
      <c r="O1580" s="3" t="s">
        <v>82</v>
      </c>
      <c r="P1580" s="3" t="str">
        <f>"2170817644                    "</f>
        <v xml:space="preserve">2170817644                    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15.46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0</v>
      </c>
      <c r="AZ1580" s="3">
        <v>0</v>
      </c>
      <c r="BA1580" s="3">
        <v>0</v>
      </c>
      <c r="BB1580" s="3">
        <v>0</v>
      </c>
      <c r="BC1580" s="3">
        <v>0</v>
      </c>
      <c r="BD1580" s="3">
        <v>0</v>
      </c>
      <c r="BE1580" s="3">
        <v>0</v>
      </c>
      <c r="BF1580" s="3">
        <v>0</v>
      </c>
      <c r="BG1580" s="3">
        <v>0</v>
      </c>
      <c r="BH1580" s="3">
        <v>1</v>
      </c>
      <c r="BI1580" s="3">
        <v>2</v>
      </c>
      <c r="BJ1580" s="3">
        <v>1.5</v>
      </c>
      <c r="BK1580" s="3">
        <v>2</v>
      </c>
      <c r="BL1580" s="3">
        <v>59</v>
      </c>
      <c r="BM1580" s="3">
        <v>8.85</v>
      </c>
      <c r="BN1580" s="3">
        <v>67.849999999999994</v>
      </c>
      <c r="BO1580" s="3">
        <v>67.849999999999994</v>
      </c>
      <c r="BQ1580" s="3" t="s">
        <v>89</v>
      </c>
      <c r="BR1580" s="3" t="s">
        <v>84</v>
      </c>
      <c r="BS1580" s="4">
        <v>44582</v>
      </c>
      <c r="BT1580" s="5">
        <v>0.37847222222222227</v>
      </c>
      <c r="BU1580" s="3" t="s">
        <v>1825</v>
      </c>
      <c r="BV1580" s="3" t="s">
        <v>105</v>
      </c>
      <c r="BY1580" s="3">
        <v>7540</v>
      </c>
      <c r="BZ1580" s="3" t="s">
        <v>165</v>
      </c>
      <c r="CA1580" s="3" t="s">
        <v>289</v>
      </c>
      <c r="CC1580" s="3" t="s">
        <v>91</v>
      </c>
      <c r="CD1580" s="3">
        <v>7441</v>
      </c>
      <c r="CE1580" s="3" t="s">
        <v>86</v>
      </c>
      <c r="CF1580" s="4">
        <v>44585</v>
      </c>
      <c r="CI1580" s="3">
        <v>1</v>
      </c>
      <c r="CJ1580" s="3">
        <v>1</v>
      </c>
      <c r="CK1580" s="3">
        <v>21</v>
      </c>
      <c r="CL1580" s="3" t="s">
        <v>87</v>
      </c>
    </row>
    <row r="1581" spans="1:90" x14ac:dyDescent="0.2">
      <c r="A1581" s="3" t="s">
        <v>72</v>
      </c>
      <c r="B1581" s="3" t="s">
        <v>73</v>
      </c>
      <c r="C1581" s="3" t="s">
        <v>74</v>
      </c>
      <c r="E1581" s="3" t="str">
        <f>"FES1162846127"</f>
        <v>FES1162846127</v>
      </c>
      <c r="F1581" s="4">
        <v>44581</v>
      </c>
      <c r="G1581" s="3">
        <v>202207</v>
      </c>
      <c r="H1581" s="3" t="s">
        <v>75</v>
      </c>
      <c r="I1581" s="3" t="s">
        <v>76</v>
      </c>
      <c r="J1581" s="3" t="s">
        <v>77</v>
      </c>
      <c r="K1581" s="3" t="s">
        <v>78</v>
      </c>
      <c r="L1581" s="3" t="s">
        <v>171</v>
      </c>
      <c r="M1581" s="3" t="s">
        <v>172</v>
      </c>
      <c r="N1581" s="3" t="s">
        <v>249</v>
      </c>
      <c r="O1581" s="3" t="s">
        <v>82</v>
      </c>
      <c r="P1581" s="3" t="str">
        <f>"2170817612                    "</f>
        <v xml:space="preserve">2170817612                    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27.04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0</v>
      </c>
      <c r="BC1581" s="3">
        <v>0</v>
      </c>
      <c r="BD1581" s="3">
        <v>0</v>
      </c>
      <c r="BE1581" s="3">
        <v>0</v>
      </c>
      <c r="BF1581" s="3">
        <v>0</v>
      </c>
      <c r="BG1581" s="3">
        <v>0</v>
      </c>
      <c r="BH1581" s="3">
        <v>1</v>
      </c>
      <c r="BI1581" s="3">
        <v>2</v>
      </c>
      <c r="BJ1581" s="3">
        <v>3.4</v>
      </c>
      <c r="BK1581" s="3">
        <v>3.5</v>
      </c>
      <c r="BL1581" s="3">
        <v>103.22</v>
      </c>
      <c r="BM1581" s="3">
        <v>15.48</v>
      </c>
      <c r="BN1581" s="3">
        <v>118.7</v>
      </c>
      <c r="BO1581" s="3">
        <v>118.7</v>
      </c>
      <c r="BQ1581" s="3" t="s">
        <v>89</v>
      </c>
      <c r="BR1581" s="3" t="s">
        <v>84</v>
      </c>
      <c r="BS1581" s="4">
        <v>44582</v>
      </c>
      <c r="BT1581" s="5">
        <v>0.3840277777777778</v>
      </c>
      <c r="BU1581" s="3" t="s">
        <v>1106</v>
      </c>
      <c r="BV1581" s="3" t="s">
        <v>105</v>
      </c>
      <c r="BY1581" s="3">
        <v>16848</v>
      </c>
      <c r="BZ1581" s="3" t="s">
        <v>165</v>
      </c>
      <c r="CA1581" s="3" t="s">
        <v>509</v>
      </c>
      <c r="CC1581" s="3" t="s">
        <v>172</v>
      </c>
      <c r="CD1581" s="3">
        <v>6001</v>
      </c>
      <c r="CE1581" s="3" t="s">
        <v>86</v>
      </c>
      <c r="CF1581" s="4">
        <v>44582</v>
      </c>
      <c r="CI1581" s="3">
        <v>1</v>
      </c>
      <c r="CJ1581" s="3">
        <v>1</v>
      </c>
      <c r="CK1581" s="3">
        <v>21</v>
      </c>
      <c r="CL1581" s="3" t="s">
        <v>87</v>
      </c>
    </row>
    <row r="1582" spans="1:90" x14ac:dyDescent="0.2">
      <c r="A1582" s="3" t="s">
        <v>72</v>
      </c>
      <c r="B1582" s="3" t="s">
        <v>73</v>
      </c>
      <c r="C1582" s="3" t="s">
        <v>74</v>
      </c>
      <c r="E1582" s="3" t="str">
        <f>"FES1162846131"</f>
        <v>FES1162846131</v>
      </c>
      <c r="F1582" s="4">
        <v>44581</v>
      </c>
      <c r="G1582" s="3">
        <v>202207</v>
      </c>
      <c r="H1582" s="3" t="s">
        <v>75</v>
      </c>
      <c r="I1582" s="3" t="s">
        <v>76</v>
      </c>
      <c r="J1582" s="3" t="s">
        <v>77</v>
      </c>
      <c r="K1582" s="3" t="s">
        <v>78</v>
      </c>
      <c r="L1582" s="3" t="s">
        <v>138</v>
      </c>
      <c r="M1582" s="3" t="s">
        <v>139</v>
      </c>
      <c r="N1582" s="3" t="s">
        <v>238</v>
      </c>
      <c r="O1582" s="3" t="s">
        <v>82</v>
      </c>
      <c r="P1582" s="3" t="str">
        <f>"2170817617                    "</f>
        <v xml:space="preserve">2170817617                    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15.46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0</v>
      </c>
      <c r="AZ1582" s="3">
        <v>0</v>
      </c>
      <c r="BA1582" s="3">
        <v>0</v>
      </c>
      <c r="BB1582" s="3">
        <v>0</v>
      </c>
      <c r="BC1582" s="3">
        <v>0</v>
      </c>
      <c r="BD1582" s="3">
        <v>0</v>
      </c>
      <c r="BE1582" s="3">
        <v>0</v>
      </c>
      <c r="BF1582" s="3">
        <v>0</v>
      </c>
      <c r="BG1582" s="3">
        <v>0</v>
      </c>
      <c r="BH1582" s="3">
        <v>1</v>
      </c>
      <c r="BI1582" s="3">
        <v>1</v>
      </c>
      <c r="BJ1582" s="3">
        <v>0.2</v>
      </c>
      <c r="BK1582" s="3">
        <v>1</v>
      </c>
      <c r="BL1582" s="3">
        <v>59</v>
      </c>
      <c r="BM1582" s="3">
        <v>8.85</v>
      </c>
      <c r="BN1582" s="3">
        <v>67.849999999999994</v>
      </c>
      <c r="BO1582" s="3">
        <v>67.849999999999994</v>
      </c>
      <c r="BQ1582" s="3" t="s">
        <v>89</v>
      </c>
      <c r="BR1582" s="3" t="s">
        <v>84</v>
      </c>
      <c r="BS1582" s="4">
        <v>44582</v>
      </c>
      <c r="BT1582" s="5">
        <v>0.36458333333333331</v>
      </c>
      <c r="BU1582" s="3" t="s">
        <v>469</v>
      </c>
      <c r="BV1582" s="3" t="s">
        <v>105</v>
      </c>
      <c r="BY1582" s="3">
        <v>1200</v>
      </c>
      <c r="BZ1582" s="3" t="s">
        <v>165</v>
      </c>
      <c r="CA1582" s="3" t="s">
        <v>303</v>
      </c>
      <c r="CC1582" s="3" t="s">
        <v>139</v>
      </c>
      <c r="CD1582" s="3">
        <v>3610</v>
      </c>
      <c r="CE1582" s="3" t="s">
        <v>93</v>
      </c>
      <c r="CF1582" s="4">
        <v>44585</v>
      </c>
      <c r="CI1582" s="3">
        <v>1</v>
      </c>
      <c r="CJ1582" s="3">
        <v>1</v>
      </c>
      <c r="CK1582" s="3">
        <v>21</v>
      </c>
      <c r="CL1582" s="3" t="s">
        <v>87</v>
      </c>
    </row>
    <row r="1583" spans="1:90" x14ac:dyDescent="0.2">
      <c r="A1583" s="3" t="s">
        <v>72</v>
      </c>
      <c r="B1583" s="3" t="s">
        <v>73</v>
      </c>
      <c r="C1583" s="3" t="s">
        <v>74</v>
      </c>
      <c r="E1583" s="3" t="str">
        <f>"FES1162846035"</f>
        <v>FES1162846035</v>
      </c>
      <c r="F1583" s="4">
        <v>44581</v>
      </c>
      <c r="G1583" s="3">
        <v>202207</v>
      </c>
      <c r="H1583" s="3" t="s">
        <v>75</v>
      </c>
      <c r="I1583" s="3" t="s">
        <v>76</v>
      </c>
      <c r="J1583" s="3" t="s">
        <v>77</v>
      </c>
      <c r="K1583" s="3" t="s">
        <v>78</v>
      </c>
      <c r="L1583" s="3" t="s">
        <v>79</v>
      </c>
      <c r="M1583" s="3" t="s">
        <v>80</v>
      </c>
      <c r="N1583" s="3" t="s">
        <v>1295</v>
      </c>
      <c r="O1583" s="3" t="s">
        <v>82</v>
      </c>
      <c r="P1583" s="3" t="str">
        <f>"2170817468                    "</f>
        <v xml:space="preserve">2170817468                    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15.46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0</v>
      </c>
      <c r="AZ1583" s="3">
        <v>0</v>
      </c>
      <c r="BA1583" s="3">
        <v>0</v>
      </c>
      <c r="BB1583" s="3">
        <v>0</v>
      </c>
      <c r="BC1583" s="3">
        <v>0</v>
      </c>
      <c r="BD1583" s="3">
        <v>0</v>
      </c>
      <c r="BE1583" s="3">
        <v>0</v>
      </c>
      <c r="BF1583" s="3">
        <v>0</v>
      </c>
      <c r="BG1583" s="3">
        <v>0</v>
      </c>
      <c r="BH1583" s="3">
        <v>1</v>
      </c>
      <c r="BI1583" s="3">
        <v>1</v>
      </c>
      <c r="BJ1583" s="3">
        <v>0.2</v>
      </c>
      <c r="BK1583" s="3">
        <v>1</v>
      </c>
      <c r="BL1583" s="3">
        <v>59</v>
      </c>
      <c r="BM1583" s="3">
        <v>8.85</v>
      </c>
      <c r="BN1583" s="3">
        <v>67.849999999999994</v>
      </c>
      <c r="BO1583" s="3">
        <v>67.849999999999994</v>
      </c>
      <c r="BQ1583" s="3" t="s">
        <v>83</v>
      </c>
      <c r="BR1583" s="3" t="s">
        <v>84</v>
      </c>
      <c r="BS1583" s="4">
        <v>44582</v>
      </c>
      <c r="BT1583" s="5">
        <v>0.38541666666666669</v>
      </c>
      <c r="BU1583" s="3" t="s">
        <v>1848</v>
      </c>
      <c r="BV1583" s="3" t="s">
        <v>105</v>
      </c>
      <c r="BY1583" s="3">
        <v>1200</v>
      </c>
      <c r="BZ1583" s="3" t="s">
        <v>165</v>
      </c>
      <c r="CA1583" s="3" t="s">
        <v>287</v>
      </c>
      <c r="CC1583" s="3" t="s">
        <v>80</v>
      </c>
      <c r="CD1583" s="3">
        <v>181</v>
      </c>
      <c r="CE1583" s="3" t="s">
        <v>93</v>
      </c>
      <c r="CF1583" s="4">
        <v>44586</v>
      </c>
      <c r="CI1583" s="3">
        <v>1</v>
      </c>
      <c r="CJ1583" s="3">
        <v>1</v>
      </c>
      <c r="CK1583" s="3">
        <v>21</v>
      </c>
      <c r="CL1583" s="3" t="s">
        <v>87</v>
      </c>
    </row>
    <row r="1584" spans="1:90" x14ac:dyDescent="0.2">
      <c r="A1584" s="3" t="s">
        <v>72</v>
      </c>
      <c r="B1584" s="3" t="s">
        <v>73</v>
      </c>
      <c r="C1584" s="3" t="s">
        <v>74</v>
      </c>
      <c r="E1584" s="3" t="str">
        <f>"FES1162846113"</f>
        <v>FES1162846113</v>
      </c>
      <c r="F1584" s="4">
        <v>44581</v>
      </c>
      <c r="G1584" s="3">
        <v>202207</v>
      </c>
      <c r="H1584" s="3" t="s">
        <v>75</v>
      </c>
      <c r="I1584" s="3" t="s">
        <v>76</v>
      </c>
      <c r="J1584" s="3" t="s">
        <v>77</v>
      </c>
      <c r="K1584" s="3" t="s">
        <v>78</v>
      </c>
      <c r="L1584" s="3" t="s">
        <v>786</v>
      </c>
      <c r="M1584" s="3" t="s">
        <v>787</v>
      </c>
      <c r="N1584" s="3" t="s">
        <v>788</v>
      </c>
      <c r="O1584" s="3" t="s">
        <v>82</v>
      </c>
      <c r="P1584" s="3" t="str">
        <f>"2170817586                    "</f>
        <v xml:space="preserve">2170817586                    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21.74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v>0</v>
      </c>
      <c r="BA1584" s="3">
        <v>0</v>
      </c>
      <c r="BB1584" s="3">
        <v>0</v>
      </c>
      <c r="BC1584" s="3">
        <v>0</v>
      </c>
      <c r="BD1584" s="3">
        <v>0</v>
      </c>
      <c r="BE1584" s="3">
        <v>0</v>
      </c>
      <c r="BF1584" s="3">
        <v>0</v>
      </c>
      <c r="BG1584" s="3">
        <v>0</v>
      </c>
      <c r="BH1584" s="3">
        <v>1</v>
      </c>
      <c r="BI1584" s="3">
        <v>1</v>
      </c>
      <c r="BJ1584" s="3">
        <v>0.2</v>
      </c>
      <c r="BK1584" s="3">
        <v>1</v>
      </c>
      <c r="BL1584" s="3">
        <v>82.98</v>
      </c>
      <c r="BM1584" s="3">
        <v>12.45</v>
      </c>
      <c r="BN1584" s="3">
        <v>95.43</v>
      </c>
      <c r="BO1584" s="3">
        <v>95.43</v>
      </c>
      <c r="BQ1584" s="3" t="s">
        <v>83</v>
      </c>
      <c r="BR1584" s="3" t="s">
        <v>84</v>
      </c>
      <c r="BS1584" s="4">
        <v>44582</v>
      </c>
      <c r="BT1584" s="5">
        <v>0.4381944444444445</v>
      </c>
      <c r="BU1584" s="3" t="s">
        <v>1089</v>
      </c>
      <c r="BV1584" s="3" t="s">
        <v>105</v>
      </c>
      <c r="BY1584" s="3">
        <v>1200</v>
      </c>
      <c r="BZ1584" s="3" t="s">
        <v>165</v>
      </c>
      <c r="CA1584" s="3" t="s">
        <v>790</v>
      </c>
      <c r="CC1584" s="3" t="s">
        <v>787</v>
      </c>
      <c r="CD1584" s="3">
        <v>2410</v>
      </c>
      <c r="CE1584" s="3" t="s">
        <v>86</v>
      </c>
      <c r="CF1584" s="4">
        <v>44583</v>
      </c>
      <c r="CI1584" s="3">
        <v>1</v>
      </c>
      <c r="CJ1584" s="3">
        <v>1</v>
      </c>
      <c r="CK1584" s="3">
        <v>24</v>
      </c>
      <c r="CL1584" s="3" t="s">
        <v>87</v>
      </c>
    </row>
    <row r="1585" spans="1:90" x14ac:dyDescent="0.2">
      <c r="A1585" s="3" t="s">
        <v>72</v>
      </c>
      <c r="B1585" s="3" t="s">
        <v>73</v>
      </c>
      <c r="C1585" s="3" t="s">
        <v>74</v>
      </c>
      <c r="E1585" s="3" t="str">
        <f>"FES1162846081"</f>
        <v>FES1162846081</v>
      </c>
      <c r="F1585" s="4">
        <v>44581</v>
      </c>
      <c r="G1585" s="3">
        <v>202207</v>
      </c>
      <c r="H1585" s="3" t="s">
        <v>75</v>
      </c>
      <c r="I1585" s="3" t="s">
        <v>76</v>
      </c>
      <c r="J1585" s="3" t="s">
        <v>77</v>
      </c>
      <c r="K1585" s="3" t="s">
        <v>78</v>
      </c>
      <c r="L1585" s="3" t="s">
        <v>79</v>
      </c>
      <c r="M1585" s="3" t="s">
        <v>80</v>
      </c>
      <c r="N1585" s="3" t="s">
        <v>1255</v>
      </c>
      <c r="O1585" s="3" t="s">
        <v>82</v>
      </c>
      <c r="P1585" s="3" t="str">
        <f>"2170817554                    "</f>
        <v xml:space="preserve">2170817554                    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15.46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v>0</v>
      </c>
      <c r="BA1585" s="3">
        <v>0</v>
      </c>
      <c r="BB1585" s="3">
        <v>0</v>
      </c>
      <c r="BC1585" s="3">
        <v>0</v>
      </c>
      <c r="BD1585" s="3">
        <v>0</v>
      </c>
      <c r="BE1585" s="3">
        <v>0</v>
      </c>
      <c r="BF1585" s="3">
        <v>0</v>
      </c>
      <c r="BG1585" s="3">
        <v>0</v>
      </c>
      <c r="BH1585" s="3">
        <v>1</v>
      </c>
      <c r="BI1585" s="3">
        <v>1</v>
      </c>
      <c r="BJ1585" s="3">
        <v>0.2</v>
      </c>
      <c r="BK1585" s="3">
        <v>1</v>
      </c>
      <c r="BL1585" s="3">
        <v>59</v>
      </c>
      <c r="BM1585" s="3">
        <v>8.85</v>
      </c>
      <c r="BN1585" s="3">
        <v>67.849999999999994</v>
      </c>
      <c r="BO1585" s="3">
        <v>67.849999999999994</v>
      </c>
      <c r="BQ1585" s="3" t="s">
        <v>83</v>
      </c>
      <c r="BR1585" s="3" t="s">
        <v>84</v>
      </c>
      <c r="BS1585" s="4">
        <v>44582</v>
      </c>
      <c r="BT1585" s="5">
        <v>0.34722222222222227</v>
      </c>
      <c r="BU1585" s="3" t="s">
        <v>1875</v>
      </c>
      <c r="BV1585" s="3" t="s">
        <v>105</v>
      </c>
      <c r="BY1585" s="3">
        <v>1200</v>
      </c>
      <c r="BZ1585" s="3" t="s">
        <v>165</v>
      </c>
      <c r="CA1585" s="3" t="s">
        <v>1403</v>
      </c>
      <c r="CC1585" s="3" t="s">
        <v>80</v>
      </c>
      <c r="CD1585" s="3">
        <v>184</v>
      </c>
      <c r="CE1585" s="3" t="s">
        <v>93</v>
      </c>
      <c r="CF1585" s="4">
        <v>44585</v>
      </c>
      <c r="CI1585" s="3">
        <v>1</v>
      </c>
      <c r="CJ1585" s="3">
        <v>1</v>
      </c>
      <c r="CK1585" s="3">
        <v>21</v>
      </c>
      <c r="CL1585" s="3" t="s">
        <v>87</v>
      </c>
    </row>
    <row r="1586" spans="1:90" x14ac:dyDescent="0.2">
      <c r="A1586" s="3" t="s">
        <v>72</v>
      </c>
      <c r="B1586" s="3" t="s">
        <v>73</v>
      </c>
      <c r="C1586" s="3" t="s">
        <v>74</v>
      </c>
      <c r="E1586" s="3" t="str">
        <f>"FES1162846083"</f>
        <v>FES1162846083</v>
      </c>
      <c r="F1586" s="4">
        <v>44581</v>
      </c>
      <c r="G1586" s="3">
        <v>202207</v>
      </c>
      <c r="H1586" s="3" t="s">
        <v>75</v>
      </c>
      <c r="I1586" s="3" t="s">
        <v>76</v>
      </c>
      <c r="J1586" s="3" t="s">
        <v>77</v>
      </c>
      <c r="K1586" s="3" t="s">
        <v>78</v>
      </c>
      <c r="L1586" s="3" t="s">
        <v>162</v>
      </c>
      <c r="M1586" s="3" t="s">
        <v>163</v>
      </c>
      <c r="N1586" s="3" t="s">
        <v>589</v>
      </c>
      <c r="O1586" s="3" t="s">
        <v>82</v>
      </c>
      <c r="P1586" s="3" t="str">
        <f>"2170817557                    "</f>
        <v xml:space="preserve">2170817557                    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12.07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0</v>
      </c>
      <c r="BE1586" s="3">
        <v>0</v>
      </c>
      <c r="BF1586" s="3">
        <v>0</v>
      </c>
      <c r="BG1586" s="3">
        <v>0</v>
      </c>
      <c r="BH1586" s="3">
        <v>1</v>
      </c>
      <c r="BI1586" s="3">
        <v>1</v>
      </c>
      <c r="BJ1586" s="3">
        <v>0.2</v>
      </c>
      <c r="BK1586" s="3">
        <v>1</v>
      </c>
      <c r="BL1586" s="3">
        <v>46.08</v>
      </c>
      <c r="BM1586" s="3">
        <v>6.91</v>
      </c>
      <c r="BN1586" s="3">
        <v>52.99</v>
      </c>
      <c r="BO1586" s="3">
        <v>52.99</v>
      </c>
      <c r="BR1586" s="3" t="s">
        <v>84</v>
      </c>
      <c r="BS1586" s="4">
        <v>44582</v>
      </c>
      <c r="BT1586" s="5">
        <v>0.40277777777777773</v>
      </c>
      <c r="BU1586" s="3" t="s">
        <v>1876</v>
      </c>
      <c r="BV1586" s="3" t="s">
        <v>105</v>
      </c>
      <c r="BY1586" s="3">
        <v>1200</v>
      </c>
      <c r="BZ1586" s="3" t="s">
        <v>165</v>
      </c>
      <c r="CA1586" s="3" t="s">
        <v>293</v>
      </c>
      <c r="CC1586" s="3" t="s">
        <v>163</v>
      </c>
      <c r="CD1586" s="3">
        <v>1422</v>
      </c>
      <c r="CE1586" s="3" t="s">
        <v>86</v>
      </c>
      <c r="CF1586" s="4">
        <v>44582</v>
      </c>
      <c r="CI1586" s="3">
        <v>1</v>
      </c>
      <c r="CJ1586" s="3">
        <v>1</v>
      </c>
      <c r="CK1586" s="3">
        <v>22</v>
      </c>
      <c r="CL1586" s="3" t="s">
        <v>87</v>
      </c>
    </row>
    <row r="1587" spans="1:90" x14ac:dyDescent="0.2">
      <c r="A1587" s="3" t="s">
        <v>72</v>
      </c>
      <c r="B1587" s="3" t="s">
        <v>73</v>
      </c>
      <c r="C1587" s="3" t="s">
        <v>74</v>
      </c>
      <c r="E1587" s="3" t="str">
        <f>"FES1162846027"</f>
        <v>FES1162846027</v>
      </c>
      <c r="F1587" s="4">
        <v>44581</v>
      </c>
      <c r="G1587" s="3">
        <v>202207</v>
      </c>
      <c r="H1587" s="3" t="s">
        <v>75</v>
      </c>
      <c r="I1587" s="3" t="s">
        <v>76</v>
      </c>
      <c r="J1587" s="3" t="s">
        <v>77</v>
      </c>
      <c r="K1587" s="3" t="s">
        <v>78</v>
      </c>
      <c r="L1587" s="3" t="s">
        <v>195</v>
      </c>
      <c r="M1587" s="3" t="s">
        <v>196</v>
      </c>
      <c r="N1587" s="3" t="s">
        <v>1004</v>
      </c>
      <c r="O1587" s="3" t="s">
        <v>82</v>
      </c>
      <c r="P1587" s="3" t="str">
        <f>"2170817470                    "</f>
        <v xml:space="preserve">2170817470                    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15.46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0</v>
      </c>
      <c r="AZ1587" s="3">
        <v>0</v>
      </c>
      <c r="BA1587" s="3">
        <v>0</v>
      </c>
      <c r="BB1587" s="3">
        <v>0</v>
      </c>
      <c r="BC1587" s="3">
        <v>0</v>
      </c>
      <c r="BD1587" s="3">
        <v>0</v>
      </c>
      <c r="BE1587" s="3">
        <v>0</v>
      </c>
      <c r="BF1587" s="3">
        <v>0</v>
      </c>
      <c r="BG1587" s="3">
        <v>0</v>
      </c>
      <c r="BH1587" s="3">
        <v>1</v>
      </c>
      <c r="BI1587" s="3">
        <v>1</v>
      </c>
      <c r="BJ1587" s="3">
        <v>0.2</v>
      </c>
      <c r="BK1587" s="3">
        <v>1</v>
      </c>
      <c r="BL1587" s="3">
        <v>59</v>
      </c>
      <c r="BM1587" s="3">
        <v>8.85</v>
      </c>
      <c r="BN1587" s="3">
        <v>67.849999999999994</v>
      </c>
      <c r="BO1587" s="3">
        <v>67.849999999999994</v>
      </c>
      <c r="BR1587" s="3" t="s">
        <v>84</v>
      </c>
      <c r="BS1587" s="4">
        <v>44586</v>
      </c>
      <c r="BT1587" s="5">
        <v>0.58750000000000002</v>
      </c>
      <c r="BU1587" s="3" t="s">
        <v>1877</v>
      </c>
      <c r="BV1587" s="3" t="s">
        <v>87</v>
      </c>
      <c r="BW1587" s="3" t="s">
        <v>278</v>
      </c>
      <c r="BX1587" s="3" t="s">
        <v>1878</v>
      </c>
      <c r="BY1587" s="3">
        <v>1200</v>
      </c>
      <c r="BZ1587" s="3" t="s">
        <v>165</v>
      </c>
      <c r="CA1587" s="3" t="s">
        <v>1503</v>
      </c>
      <c r="CC1587" s="3" t="s">
        <v>196</v>
      </c>
      <c r="CD1587" s="3">
        <v>4156</v>
      </c>
      <c r="CE1587" s="3" t="s">
        <v>93</v>
      </c>
      <c r="CF1587" s="4">
        <v>44587</v>
      </c>
      <c r="CI1587" s="3">
        <v>1</v>
      </c>
      <c r="CJ1587" s="3">
        <v>3</v>
      </c>
      <c r="CK1587" s="3">
        <v>21</v>
      </c>
      <c r="CL1587" s="3" t="s">
        <v>87</v>
      </c>
    </row>
    <row r="1588" spans="1:90" x14ac:dyDescent="0.2">
      <c r="A1588" s="3" t="s">
        <v>72</v>
      </c>
      <c r="B1588" s="3" t="s">
        <v>73</v>
      </c>
      <c r="C1588" s="3" t="s">
        <v>74</v>
      </c>
      <c r="E1588" s="3" t="str">
        <f>"FES1162846072"</f>
        <v>FES1162846072</v>
      </c>
      <c r="F1588" s="4">
        <v>44581</v>
      </c>
      <c r="G1588" s="3">
        <v>202207</v>
      </c>
      <c r="H1588" s="3" t="s">
        <v>75</v>
      </c>
      <c r="I1588" s="3" t="s">
        <v>76</v>
      </c>
      <c r="J1588" s="3" t="s">
        <v>77</v>
      </c>
      <c r="K1588" s="3" t="s">
        <v>78</v>
      </c>
      <c r="L1588" s="3" t="s">
        <v>184</v>
      </c>
      <c r="M1588" s="3" t="s">
        <v>185</v>
      </c>
      <c r="N1588" s="3" t="s">
        <v>1539</v>
      </c>
      <c r="O1588" s="3" t="s">
        <v>82</v>
      </c>
      <c r="P1588" s="3" t="str">
        <f>"2170817542                    "</f>
        <v xml:space="preserve">2170817542                    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15.46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v>0</v>
      </c>
      <c r="BA1588" s="3">
        <v>0</v>
      </c>
      <c r="BB1588" s="3">
        <v>0</v>
      </c>
      <c r="BC1588" s="3">
        <v>0</v>
      </c>
      <c r="BD1588" s="3">
        <v>0</v>
      </c>
      <c r="BE1588" s="3">
        <v>0</v>
      </c>
      <c r="BF1588" s="3">
        <v>0</v>
      </c>
      <c r="BG1588" s="3">
        <v>0</v>
      </c>
      <c r="BH1588" s="3">
        <v>1</v>
      </c>
      <c r="BI1588" s="3">
        <v>1</v>
      </c>
      <c r="BJ1588" s="3">
        <v>0.2</v>
      </c>
      <c r="BK1588" s="3">
        <v>1</v>
      </c>
      <c r="BL1588" s="3">
        <v>59</v>
      </c>
      <c r="BM1588" s="3">
        <v>8.85</v>
      </c>
      <c r="BN1588" s="3">
        <v>67.849999999999994</v>
      </c>
      <c r="BO1588" s="3">
        <v>67.849999999999994</v>
      </c>
      <c r="BQ1588" s="3" t="s">
        <v>83</v>
      </c>
      <c r="BR1588" s="3" t="s">
        <v>84</v>
      </c>
      <c r="BS1588" s="4">
        <v>44582</v>
      </c>
      <c r="BT1588" s="5">
        <v>0.51111111111111118</v>
      </c>
      <c r="BU1588" s="3" t="s">
        <v>1879</v>
      </c>
      <c r="BV1588" s="3" t="s">
        <v>87</v>
      </c>
      <c r="BW1588" s="3" t="s">
        <v>457</v>
      </c>
      <c r="BX1588" s="3" t="s">
        <v>605</v>
      </c>
      <c r="BY1588" s="3">
        <v>1200</v>
      </c>
      <c r="BZ1588" s="3" t="s">
        <v>165</v>
      </c>
      <c r="CA1588" s="3" t="s">
        <v>1785</v>
      </c>
      <c r="CC1588" s="3" t="s">
        <v>185</v>
      </c>
      <c r="CD1588" s="3">
        <v>5201</v>
      </c>
      <c r="CE1588" s="3" t="s">
        <v>93</v>
      </c>
      <c r="CF1588" s="4">
        <v>44582</v>
      </c>
      <c r="CI1588" s="3">
        <v>1</v>
      </c>
      <c r="CJ1588" s="3">
        <v>1</v>
      </c>
      <c r="CK1588" s="3">
        <v>21</v>
      </c>
      <c r="CL1588" s="3" t="s">
        <v>87</v>
      </c>
    </row>
    <row r="1589" spans="1:90" x14ac:dyDescent="0.2">
      <c r="A1589" s="3" t="s">
        <v>72</v>
      </c>
      <c r="B1589" s="3" t="s">
        <v>73</v>
      </c>
      <c r="C1589" s="3" t="s">
        <v>74</v>
      </c>
      <c r="E1589" s="3" t="str">
        <f>"FES1162846018"</f>
        <v>FES1162846018</v>
      </c>
      <c r="F1589" s="4">
        <v>44581</v>
      </c>
      <c r="G1589" s="3">
        <v>202207</v>
      </c>
      <c r="H1589" s="3" t="s">
        <v>75</v>
      </c>
      <c r="I1589" s="3" t="s">
        <v>76</v>
      </c>
      <c r="J1589" s="3" t="s">
        <v>77</v>
      </c>
      <c r="K1589" s="3" t="s">
        <v>78</v>
      </c>
      <c r="L1589" s="3" t="s">
        <v>464</v>
      </c>
      <c r="M1589" s="3" t="s">
        <v>465</v>
      </c>
      <c r="N1589" s="3" t="s">
        <v>985</v>
      </c>
      <c r="O1589" s="3" t="s">
        <v>82</v>
      </c>
      <c r="P1589" s="3" t="str">
        <f>"2170817457                    "</f>
        <v xml:space="preserve">2170817457                    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12.07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0</v>
      </c>
      <c r="BB1589" s="3">
        <v>0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1</v>
      </c>
      <c r="BI1589" s="3">
        <v>1</v>
      </c>
      <c r="BJ1589" s="3">
        <v>0.2</v>
      </c>
      <c r="BK1589" s="3">
        <v>1</v>
      </c>
      <c r="BL1589" s="3">
        <v>46.08</v>
      </c>
      <c r="BM1589" s="3">
        <v>6.91</v>
      </c>
      <c r="BN1589" s="3">
        <v>52.99</v>
      </c>
      <c r="BO1589" s="3">
        <v>52.99</v>
      </c>
      <c r="BQ1589" s="3" t="s">
        <v>89</v>
      </c>
      <c r="BR1589" s="3" t="s">
        <v>84</v>
      </c>
      <c r="BS1589" s="4">
        <v>44586</v>
      </c>
      <c r="BT1589" s="5">
        <v>0.42430555555555555</v>
      </c>
      <c r="BU1589" s="3" t="s">
        <v>1880</v>
      </c>
      <c r="BV1589" s="3" t="s">
        <v>87</v>
      </c>
      <c r="BW1589" s="3" t="s">
        <v>617</v>
      </c>
      <c r="BX1589" s="3" t="s">
        <v>1118</v>
      </c>
      <c r="BY1589" s="3">
        <v>1200</v>
      </c>
      <c r="BZ1589" s="3" t="s">
        <v>165</v>
      </c>
      <c r="CA1589" s="3" t="s">
        <v>345</v>
      </c>
      <c r="CC1589" s="3" t="s">
        <v>465</v>
      </c>
      <c r="CD1589" s="3">
        <v>1501</v>
      </c>
      <c r="CE1589" s="3" t="s">
        <v>86</v>
      </c>
      <c r="CF1589" s="4">
        <v>44586</v>
      </c>
      <c r="CI1589" s="3">
        <v>1</v>
      </c>
      <c r="CJ1589" s="3">
        <v>3</v>
      </c>
      <c r="CK1589" s="3">
        <v>22</v>
      </c>
      <c r="CL1589" s="3" t="s">
        <v>87</v>
      </c>
    </row>
    <row r="1590" spans="1:90" x14ac:dyDescent="0.2">
      <c r="A1590" s="3" t="s">
        <v>72</v>
      </c>
      <c r="B1590" s="3" t="s">
        <v>73</v>
      </c>
      <c r="C1590" s="3" t="s">
        <v>74</v>
      </c>
      <c r="E1590" s="3" t="str">
        <f>"FES1162846036"</f>
        <v>FES1162846036</v>
      </c>
      <c r="F1590" s="4">
        <v>44581</v>
      </c>
      <c r="G1590" s="3">
        <v>202207</v>
      </c>
      <c r="H1590" s="3" t="s">
        <v>75</v>
      </c>
      <c r="I1590" s="3" t="s">
        <v>76</v>
      </c>
      <c r="J1590" s="3" t="s">
        <v>77</v>
      </c>
      <c r="K1590" s="3" t="s">
        <v>78</v>
      </c>
      <c r="L1590" s="3" t="s">
        <v>335</v>
      </c>
      <c r="M1590" s="3" t="s">
        <v>336</v>
      </c>
      <c r="N1590" s="3" t="s">
        <v>337</v>
      </c>
      <c r="O1590" s="3" t="s">
        <v>82</v>
      </c>
      <c r="P1590" s="3" t="str">
        <f>"2170817484                    "</f>
        <v xml:space="preserve">2170817484                    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15.46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v>0</v>
      </c>
      <c r="BA1590" s="3">
        <v>0</v>
      </c>
      <c r="BB1590" s="3">
        <v>0</v>
      </c>
      <c r="BC1590" s="3">
        <v>0</v>
      </c>
      <c r="BD1590" s="3">
        <v>0</v>
      </c>
      <c r="BE1590" s="3">
        <v>0</v>
      </c>
      <c r="BF1590" s="3">
        <v>0</v>
      </c>
      <c r="BG1590" s="3">
        <v>0</v>
      </c>
      <c r="BH1590" s="3">
        <v>1</v>
      </c>
      <c r="BI1590" s="3">
        <v>1</v>
      </c>
      <c r="BJ1590" s="3">
        <v>0.2</v>
      </c>
      <c r="BK1590" s="3">
        <v>1</v>
      </c>
      <c r="BL1590" s="3">
        <v>59</v>
      </c>
      <c r="BM1590" s="3">
        <v>8.85</v>
      </c>
      <c r="BN1590" s="3">
        <v>67.849999999999994</v>
      </c>
      <c r="BO1590" s="3">
        <v>67.849999999999994</v>
      </c>
      <c r="BQ1590" s="3" t="s">
        <v>89</v>
      </c>
      <c r="BR1590" s="3" t="s">
        <v>84</v>
      </c>
      <c r="BS1590" s="4">
        <v>44582</v>
      </c>
      <c r="BT1590" s="5">
        <v>0.3666666666666667</v>
      </c>
      <c r="BU1590" s="3" t="s">
        <v>1031</v>
      </c>
      <c r="BV1590" s="3" t="s">
        <v>105</v>
      </c>
      <c r="BY1590" s="3">
        <v>1200</v>
      </c>
      <c r="BZ1590" s="3" t="s">
        <v>165</v>
      </c>
      <c r="CA1590" s="3" t="s">
        <v>528</v>
      </c>
      <c r="CC1590" s="3" t="s">
        <v>336</v>
      </c>
      <c r="CD1590" s="3">
        <v>4133</v>
      </c>
      <c r="CE1590" s="3" t="s">
        <v>93</v>
      </c>
      <c r="CF1590" s="4">
        <v>44585</v>
      </c>
      <c r="CI1590" s="3">
        <v>1</v>
      </c>
      <c r="CJ1590" s="3">
        <v>1</v>
      </c>
      <c r="CK1590" s="3">
        <v>21</v>
      </c>
      <c r="CL1590" s="3" t="s">
        <v>87</v>
      </c>
    </row>
    <row r="1591" spans="1:90" x14ac:dyDescent="0.2">
      <c r="A1591" s="3" t="s">
        <v>72</v>
      </c>
      <c r="B1591" s="3" t="s">
        <v>73</v>
      </c>
      <c r="C1591" s="3" t="s">
        <v>74</v>
      </c>
      <c r="E1591" s="3" t="str">
        <f>"FES1162846070"</f>
        <v>FES1162846070</v>
      </c>
      <c r="F1591" s="4">
        <v>44581</v>
      </c>
      <c r="G1591" s="3">
        <v>202207</v>
      </c>
      <c r="H1591" s="3" t="s">
        <v>75</v>
      </c>
      <c r="I1591" s="3" t="s">
        <v>76</v>
      </c>
      <c r="J1591" s="3" t="s">
        <v>77</v>
      </c>
      <c r="K1591" s="3" t="s">
        <v>78</v>
      </c>
      <c r="L1591" s="3" t="s">
        <v>75</v>
      </c>
      <c r="M1591" s="3" t="s">
        <v>76</v>
      </c>
      <c r="N1591" s="3" t="s">
        <v>1328</v>
      </c>
      <c r="O1591" s="3" t="s">
        <v>82</v>
      </c>
      <c r="P1591" s="3" t="str">
        <f>"2170817540                    "</f>
        <v xml:space="preserve">2170817540                    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12.07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0</v>
      </c>
      <c r="AZ1591" s="3">
        <v>0</v>
      </c>
      <c r="BA1591" s="3">
        <v>0</v>
      </c>
      <c r="BB1591" s="3">
        <v>0</v>
      </c>
      <c r="BC1591" s="3">
        <v>0</v>
      </c>
      <c r="BD1591" s="3">
        <v>0</v>
      </c>
      <c r="BE1591" s="3">
        <v>0</v>
      </c>
      <c r="BF1591" s="3">
        <v>0</v>
      </c>
      <c r="BG1591" s="3">
        <v>0</v>
      </c>
      <c r="BH1591" s="3">
        <v>1</v>
      </c>
      <c r="BI1591" s="3">
        <v>1</v>
      </c>
      <c r="BJ1591" s="3">
        <v>1.1000000000000001</v>
      </c>
      <c r="BK1591" s="3">
        <v>1.5</v>
      </c>
      <c r="BL1591" s="3">
        <v>46.08</v>
      </c>
      <c r="BM1591" s="3">
        <v>6.91</v>
      </c>
      <c r="BN1591" s="3">
        <v>52.99</v>
      </c>
      <c r="BO1591" s="3">
        <v>52.99</v>
      </c>
      <c r="BQ1591" s="3" t="s">
        <v>83</v>
      </c>
      <c r="BR1591" s="3" t="s">
        <v>84</v>
      </c>
      <c r="BS1591" s="4">
        <v>44582</v>
      </c>
      <c r="BT1591" s="5">
        <v>0.40416666666666662</v>
      </c>
      <c r="BU1591" s="3" t="s">
        <v>1881</v>
      </c>
      <c r="BV1591" s="3" t="s">
        <v>105</v>
      </c>
      <c r="BY1591" s="3">
        <v>5320</v>
      </c>
      <c r="BZ1591" s="3" t="s">
        <v>165</v>
      </c>
      <c r="CA1591" s="3" t="s">
        <v>227</v>
      </c>
      <c r="CC1591" s="3" t="s">
        <v>76</v>
      </c>
      <c r="CD1591" s="3">
        <v>1624</v>
      </c>
      <c r="CE1591" s="3" t="s">
        <v>86</v>
      </c>
      <c r="CF1591" s="4">
        <v>44582</v>
      </c>
      <c r="CI1591" s="3">
        <v>1</v>
      </c>
      <c r="CJ1591" s="3">
        <v>1</v>
      </c>
      <c r="CK1591" s="3">
        <v>22</v>
      </c>
      <c r="CL1591" s="3" t="s">
        <v>87</v>
      </c>
    </row>
    <row r="1592" spans="1:90" x14ac:dyDescent="0.2">
      <c r="A1592" s="3" t="s">
        <v>72</v>
      </c>
      <c r="B1592" s="3" t="s">
        <v>73</v>
      </c>
      <c r="C1592" s="3" t="s">
        <v>74</v>
      </c>
      <c r="E1592" s="3" t="str">
        <f>"00991162841901"</f>
        <v>00991162841901</v>
      </c>
      <c r="F1592" s="4">
        <v>44581</v>
      </c>
      <c r="G1592" s="3">
        <v>202207</v>
      </c>
      <c r="H1592" s="3" t="s">
        <v>75</v>
      </c>
      <c r="I1592" s="3" t="s">
        <v>76</v>
      </c>
      <c r="J1592" s="3" t="s">
        <v>77</v>
      </c>
      <c r="K1592" s="3" t="s">
        <v>78</v>
      </c>
      <c r="L1592" s="3" t="s">
        <v>90</v>
      </c>
      <c r="M1592" s="3" t="s">
        <v>91</v>
      </c>
      <c r="N1592" s="3" t="s">
        <v>735</v>
      </c>
      <c r="O1592" s="3" t="s">
        <v>82</v>
      </c>
      <c r="P1592" s="3" t="str">
        <f>"2170814618                    "</f>
        <v xml:space="preserve">2170814618                    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15.46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v>0</v>
      </c>
      <c r="BA1592" s="3">
        <v>0</v>
      </c>
      <c r="BB1592" s="3">
        <v>0</v>
      </c>
      <c r="BC1592" s="3">
        <v>0</v>
      </c>
      <c r="BD1592" s="3">
        <v>0</v>
      </c>
      <c r="BE1592" s="3">
        <v>0</v>
      </c>
      <c r="BF1592" s="3">
        <v>0</v>
      </c>
      <c r="BG1592" s="3">
        <v>0</v>
      </c>
      <c r="BH1592" s="3">
        <v>1</v>
      </c>
      <c r="BI1592" s="3">
        <v>1</v>
      </c>
      <c r="BJ1592" s="3">
        <v>0.2</v>
      </c>
      <c r="BK1592" s="3">
        <v>1</v>
      </c>
      <c r="BL1592" s="3">
        <v>59</v>
      </c>
      <c r="BM1592" s="3">
        <v>8.85</v>
      </c>
      <c r="BN1592" s="3">
        <v>67.849999999999994</v>
      </c>
      <c r="BO1592" s="3">
        <v>67.849999999999994</v>
      </c>
      <c r="BQ1592" s="3" t="s">
        <v>273</v>
      </c>
      <c r="BR1592" s="3" t="s">
        <v>84</v>
      </c>
      <c r="BS1592" s="4">
        <v>44582</v>
      </c>
      <c r="BT1592" s="5">
        <v>0.33611111111111108</v>
      </c>
      <c r="BU1592" s="3" t="s">
        <v>1836</v>
      </c>
      <c r="BV1592" s="3" t="s">
        <v>105</v>
      </c>
      <c r="BY1592" s="3">
        <v>1200</v>
      </c>
      <c r="BZ1592" s="3" t="s">
        <v>165</v>
      </c>
      <c r="CA1592" s="3" t="s">
        <v>566</v>
      </c>
      <c r="CC1592" s="3" t="s">
        <v>91</v>
      </c>
      <c r="CD1592" s="3">
        <v>7460</v>
      </c>
      <c r="CE1592" s="3" t="s">
        <v>93</v>
      </c>
      <c r="CF1592" s="4">
        <v>44585</v>
      </c>
      <c r="CI1592" s="3">
        <v>1</v>
      </c>
      <c r="CJ1592" s="3">
        <v>1</v>
      </c>
      <c r="CK1592" s="3">
        <v>21</v>
      </c>
      <c r="CL1592" s="3" t="s">
        <v>87</v>
      </c>
    </row>
    <row r="1593" spans="1:90" x14ac:dyDescent="0.2">
      <c r="A1593" s="3" t="s">
        <v>72</v>
      </c>
      <c r="B1593" s="3" t="s">
        <v>73</v>
      </c>
      <c r="C1593" s="3" t="s">
        <v>74</v>
      </c>
      <c r="E1593" s="3" t="str">
        <f>"009941218701"</f>
        <v>009941218701</v>
      </c>
      <c r="F1593" s="4">
        <v>44581</v>
      </c>
      <c r="G1593" s="3">
        <v>202207</v>
      </c>
      <c r="H1593" s="3" t="s">
        <v>90</v>
      </c>
      <c r="I1593" s="3" t="s">
        <v>91</v>
      </c>
      <c r="J1593" s="3" t="s">
        <v>966</v>
      </c>
      <c r="K1593" s="3" t="s">
        <v>78</v>
      </c>
      <c r="L1593" s="3" t="s">
        <v>75</v>
      </c>
      <c r="M1593" s="3" t="s">
        <v>76</v>
      </c>
      <c r="N1593" s="3" t="s">
        <v>1515</v>
      </c>
      <c r="O1593" s="3" t="s">
        <v>1237</v>
      </c>
      <c r="P1593" s="3" t="str">
        <f>"1703                          "</f>
        <v xml:space="preserve">1703                          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28.98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0</v>
      </c>
      <c r="AZ1593" s="3">
        <v>0</v>
      </c>
      <c r="BA1593" s="3">
        <v>0</v>
      </c>
      <c r="BB1593" s="3">
        <v>0</v>
      </c>
      <c r="BC1593" s="3">
        <v>0</v>
      </c>
      <c r="BD1593" s="3">
        <v>0</v>
      </c>
      <c r="BE1593" s="3">
        <v>0</v>
      </c>
      <c r="BF1593" s="3">
        <v>0</v>
      </c>
      <c r="BG1593" s="3">
        <v>0</v>
      </c>
      <c r="BH1593" s="3">
        <v>1</v>
      </c>
      <c r="BI1593" s="3">
        <v>3.3</v>
      </c>
      <c r="BJ1593" s="3">
        <v>1.9</v>
      </c>
      <c r="BK1593" s="3">
        <v>4</v>
      </c>
      <c r="BL1593" s="3">
        <v>110.62</v>
      </c>
      <c r="BM1593" s="3">
        <v>16.59</v>
      </c>
      <c r="BN1593" s="3">
        <v>127.21</v>
      </c>
      <c r="BO1593" s="3">
        <v>127.21</v>
      </c>
      <c r="BP1593" s="3" t="s">
        <v>1882</v>
      </c>
      <c r="BQ1593" s="3" t="s">
        <v>1516</v>
      </c>
      <c r="BR1593" s="3" t="s">
        <v>141</v>
      </c>
      <c r="BS1593" s="4">
        <v>44585</v>
      </c>
      <c r="BT1593" s="5">
        <v>0.4201388888888889</v>
      </c>
      <c r="BU1593" s="3" t="s">
        <v>1178</v>
      </c>
      <c r="BV1593" s="3" t="s">
        <v>87</v>
      </c>
      <c r="BW1593" s="3" t="s">
        <v>376</v>
      </c>
      <c r="BX1593" s="3" t="s">
        <v>377</v>
      </c>
      <c r="BY1593" s="3">
        <v>9610.65</v>
      </c>
      <c r="BZ1593" s="3" t="s">
        <v>327</v>
      </c>
      <c r="CA1593" s="3" t="s">
        <v>378</v>
      </c>
      <c r="CC1593" s="3" t="s">
        <v>76</v>
      </c>
      <c r="CD1593" s="3">
        <v>1619</v>
      </c>
      <c r="CE1593" s="3" t="s">
        <v>86</v>
      </c>
      <c r="CF1593" s="4">
        <v>44585</v>
      </c>
      <c r="CI1593" s="3">
        <v>1</v>
      </c>
      <c r="CJ1593" s="3">
        <v>2</v>
      </c>
      <c r="CK1593" s="3">
        <v>31</v>
      </c>
      <c r="CL1593" s="3" t="s">
        <v>87</v>
      </c>
    </row>
    <row r="1594" spans="1:90" x14ac:dyDescent="0.2">
      <c r="A1594" s="3" t="s">
        <v>72</v>
      </c>
      <c r="B1594" s="3" t="s">
        <v>73</v>
      </c>
      <c r="C1594" s="3" t="s">
        <v>74</v>
      </c>
      <c r="E1594" s="3" t="str">
        <f>"FES1162846003"</f>
        <v>FES1162846003</v>
      </c>
      <c r="F1594" s="4">
        <v>44581</v>
      </c>
      <c r="G1594" s="3">
        <v>202207</v>
      </c>
      <c r="H1594" s="3" t="s">
        <v>75</v>
      </c>
      <c r="I1594" s="3" t="s">
        <v>76</v>
      </c>
      <c r="J1594" s="3" t="s">
        <v>77</v>
      </c>
      <c r="K1594" s="3" t="s">
        <v>78</v>
      </c>
      <c r="L1594" s="3" t="s">
        <v>75</v>
      </c>
      <c r="M1594" s="3" t="s">
        <v>76</v>
      </c>
      <c r="N1594" s="3" t="s">
        <v>147</v>
      </c>
      <c r="O1594" s="3" t="s">
        <v>82</v>
      </c>
      <c r="P1594" s="3" t="str">
        <f>"2170816263                    "</f>
        <v xml:space="preserve">2170816263                    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17.87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0</v>
      </c>
      <c r="AZ1594" s="3">
        <v>0</v>
      </c>
      <c r="BA1594" s="3">
        <v>0</v>
      </c>
      <c r="BB1594" s="3">
        <v>0</v>
      </c>
      <c r="BC1594" s="3">
        <v>0</v>
      </c>
      <c r="BD1594" s="3">
        <v>0</v>
      </c>
      <c r="BE1594" s="3">
        <v>0</v>
      </c>
      <c r="BF1594" s="3">
        <v>0</v>
      </c>
      <c r="BG1594" s="3">
        <v>0</v>
      </c>
      <c r="BH1594" s="3">
        <v>1</v>
      </c>
      <c r="BI1594" s="3">
        <v>10</v>
      </c>
      <c r="BJ1594" s="3">
        <v>4.0999999999999996</v>
      </c>
      <c r="BK1594" s="3">
        <v>10</v>
      </c>
      <c r="BL1594" s="3">
        <v>68.2</v>
      </c>
      <c r="BM1594" s="3">
        <v>10.23</v>
      </c>
      <c r="BN1594" s="3">
        <v>78.430000000000007</v>
      </c>
      <c r="BO1594" s="3">
        <v>78.430000000000007</v>
      </c>
      <c r="BQ1594" s="3" t="s">
        <v>89</v>
      </c>
      <c r="BR1594" s="3" t="s">
        <v>84</v>
      </c>
      <c r="BS1594" s="4">
        <v>44582</v>
      </c>
      <c r="BT1594" s="5">
        <v>0.34166666666666662</v>
      </c>
      <c r="BU1594" s="3" t="s">
        <v>849</v>
      </c>
      <c r="BV1594" s="3" t="s">
        <v>105</v>
      </c>
      <c r="BY1594" s="3">
        <v>20358</v>
      </c>
      <c r="BZ1594" s="3" t="s">
        <v>165</v>
      </c>
      <c r="CA1594" s="3" t="s">
        <v>477</v>
      </c>
      <c r="CC1594" s="3" t="s">
        <v>76</v>
      </c>
      <c r="CD1594" s="3">
        <v>1645</v>
      </c>
      <c r="CE1594" s="3" t="s">
        <v>86</v>
      </c>
      <c r="CF1594" s="4">
        <v>44582</v>
      </c>
      <c r="CI1594" s="3">
        <v>1</v>
      </c>
      <c r="CJ1594" s="3">
        <v>1</v>
      </c>
      <c r="CK1594" s="3">
        <v>22</v>
      </c>
      <c r="CL1594" s="3" t="s">
        <v>87</v>
      </c>
    </row>
    <row r="1595" spans="1:90" x14ac:dyDescent="0.2">
      <c r="A1595" s="3" t="s">
        <v>72</v>
      </c>
      <c r="B1595" s="3" t="s">
        <v>73</v>
      </c>
      <c r="C1595" s="3" t="s">
        <v>74</v>
      </c>
      <c r="E1595" s="3" t="str">
        <f>"FES1162846097"</f>
        <v>FES1162846097</v>
      </c>
      <c r="F1595" s="4">
        <v>44581</v>
      </c>
      <c r="G1595" s="3">
        <v>202207</v>
      </c>
      <c r="H1595" s="3" t="s">
        <v>75</v>
      </c>
      <c r="I1595" s="3" t="s">
        <v>76</v>
      </c>
      <c r="J1595" s="3" t="s">
        <v>77</v>
      </c>
      <c r="K1595" s="3" t="s">
        <v>78</v>
      </c>
      <c r="L1595" s="3" t="s">
        <v>171</v>
      </c>
      <c r="M1595" s="3" t="s">
        <v>172</v>
      </c>
      <c r="N1595" s="3" t="s">
        <v>1856</v>
      </c>
      <c r="O1595" s="3" t="s">
        <v>82</v>
      </c>
      <c r="P1595" s="3" t="str">
        <f>"2170817575                    "</f>
        <v xml:space="preserve">2170817575                    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15.46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>
        <v>0</v>
      </c>
      <c r="BC1595" s="3">
        <v>0</v>
      </c>
      <c r="BD1595" s="3">
        <v>0</v>
      </c>
      <c r="BE1595" s="3">
        <v>0</v>
      </c>
      <c r="BF1595" s="3">
        <v>0</v>
      </c>
      <c r="BG1595" s="3">
        <v>0</v>
      </c>
      <c r="BH1595" s="3">
        <v>1</v>
      </c>
      <c r="BI1595" s="3">
        <v>1</v>
      </c>
      <c r="BJ1595" s="3">
        <v>0.2</v>
      </c>
      <c r="BK1595" s="3">
        <v>1</v>
      </c>
      <c r="BL1595" s="3">
        <v>59</v>
      </c>
      <c r="BM1595" s="3">
        <v>8.85</v>
      </c>
      <c r="BN1595" s="3">
        <v>67.849999999999994</v>
      </c>
      <c r="BO1595" s="3">
        <v>67.849999999999994</v>
      </c>
      <c r="BQ1595" s="3" t="s">
        <v>83</v>
      </c>
      <c r="BR1595" s="3" t="s">
        <v>84</v>
      </c>
      <c r="BS1595" s="4">
        <v>44582</v>
      </c>
      <c r="BT1595" s="5">
        <v>0.3611111111111111</v>
      </c>
      <c r="BU1595" s="3" t="s">
        <v>1857</v>
      </c>
      <c r="BV1595" s="3" t="s">
        <v>105</v>
      </c>
      <c r="BY1595" s="3">
        <v>1200</v>
      </c>
      <c r="BZ1595" s="3" t="s">
        <v>165</v>
      </c>
      <c r="CA1595" s="3" t="s">
        <v>1580</v>
      </c>
      <c r="CC1595" s="3" t="s">
        <v>172</v>
      </c>
      <c r="CD1595" s="3">
        <v>6001</v>
      </c>
      <c r="CE1595" s="3" t="s">
        <v>93</v>
      </c>
      <c r="CF1595" s="4">
        <v>44582</v>
      </c>
      <c r="CI1595" s="3">
        <v>1</v>
      </c>
      <c r="CJ1595" s="3">
        <v>1</v>
      </c>
      <c r="CK1595" s="3">
        <v>21</v>
      </c>
      <c r="CL1595" s="3" t="s">
        <v>87</v>
      </c>
    </row>
    <row r="1596" spans="1:90" x14ac:dyDescent="0.2">
      <c r="A1596" s="3" t="s">
        <v>72</v>
      </c>
      <c r="B1596" s="3" t="s">
        <v>73</v>
      </c>
      <c r="C1596" s="3" t="s">
        <v>74</v>
      </c>
      <c r="E1596" s="3" t="str">
        <f>"FES1162846121"</f>
        <v>FES1162846121</v>
      </c>
      <c r="F1596" s="4">
        <v>44581</v>
      </c>
      <c r="G1596" s="3">
        <v>202207</v>
      </c>
      <c r="H1596" s="3" t="s">
        <v>75</v>
      </c>
      <c r="I1596" s="3" t="s">
        <v>76</v>
      </c>
      <c r="J1596" s="3" t="s">
        <v>77</v>
      </c>
      <c r="K1596" s="3" t="s">
        <v>78</v>
      </c>
      <c r="L1596" s="3" t="s">
        <v>107</v>
      </c>
      <c r="M1596" s="3" t="s">
        <v>108</v>
      </c>
      <c r="N1596" s="3" t="s">
        <v>392</v>
      </c>
      <c r="O1596" s="3" t="s">
        <v>82</v>
      </c>
      <c r="P1596" s="3" t="str">
        <f>"2170814647                    "</f>
        <v xml:space="preserve">2170814647                    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29.95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v>0</v>
      </c>
      <c r="BA1596" s="3">
        <v>0</v>
      </c>
      <c r="BB1596" s="3">
        <v>0</v>
      </c>
      <c r="BC1596" s="3">
        <v>0</v>
      </c>
      <c r="BD1596" s="3">
        <v>0</v>
      </c>
      <c r="BE1596" s="3">
        <v>0</v>
      </c>
      <c r="BF1596" s="3">
        <v>0</v>
      </c>
      <c r="BG1596" s="3">
        <v>0</v>
      </c>
      <c r="BH1596" s="3">
        <v>1</v>
      </c>
      <c r="BI1596" s="3">
        <v>1</v>
      </c>
      <c r="BJ1596" s="3">
        <v>0.2</v>
      </c>
      <c r="BK1596" s="3">
        <v>1</v>
      </c>
      <c r="BL1596" s="3">
        <v>114.31</v>
      </c>
      <c r="BM1596" s="3">
        <v>17.149999999999999</v>
      </c>
      <c r="BN1596" s="3">
        <v>131.46</v>
      </c>
      <c r="BO1596" s="3">
        <v>131.46</v>
      </c>
      <c r="BQ1596" s="3" t="s">
        <v>83</v>
      </c>
      <c r="BR1596" s="3" t="s">
        <v>84</v>
      </c>
      <c r="BS1596" s="4">
        <v>44582</v>
      </c>
      <c r="BT1596" s="5">
        <v>0.52847222222222223</v>
      </c>
      <c r="BU1596" s="3" t="s">
        <v>1883</v>
      </c>
      <c r="BV1596" s="3" t="s">
        <v>105</v>
      </c>
      <c r="BY1596" s="3">
        <v>1200</v>
      </c>
      <c r="BZ1596" s="3" t="s">
        <v>165</v>
      </c>
      <c r="CA1596" s="3" t="s">
        <v>394</v>
      </c>
      <c r="CC1596" s="3" t="s">
        <v>108</v>
      </c>
      <c r="CD1596" s="3">
        <v>6849</v>
      </c>
      <c r="CE1596" s="3" t="s">
        <v>93</v>
      </c>
      <c r="CF1596" s="4">
        <v>44585</v>
      </c>
      <c r="CI1596" s="3">
        <v>2</v>
      </c>
      <c r="CJ1596" s="3">
        <v>1</v>
      </c>
      <c r="CK1596" s="3">
        <v>23</v>
      </c>
      <c r="CL1596" s="3" t="s">
        <v>87</v>
      </c>
    </row>
    <row r="1597" spans="1:90" x14ac:dyDescent="0.2">
      <c r="A1597" s="3" t="s">
        <v>72</v>
      </c>
      <c r="B1597" s="3" t="s">
        <v>73</v>
      </c>
      <c r="C1597" s="3" t="s">
        <v>74</v>
      </c>
      <c r="E1597" s="3" t="str">
        <f>"FES1162846111"</f>
        <v>FES1162846111</v>
      </c>
      <c r="F1597" s="4">
        <v>44581</v>
      </c>
      <c r="G1597" s="3">
        <v>202207</v>
      </c>
      <c r="H1597" s="3" t="s">
        <v>75</v>
      </c>
      <c r="I1597" s="3" t="s">
        <v>76</v>
      </c>
      <c r="J1597" s="3" t="s">
        <v>77</v>
      </c>
      <c r="K1597" s="3" t="s">
        <v>78</v>
      </c>
      <c r="L1597" s="3" t="s">
        <v>206</v>
      </c>
      <c r="M1597" s="3" t="s">
        <v>207</v>
      </c>
      <c r="N1597" s="3" t="s">
        <v>1884</v>
      </c>
      <c r="O1597" s="3" t="s">
        <v>82</v>
      </c>
      <c r="P1597" s="3" t="str">
        <f>"2170817592                    "</f>
        <v xml:space="preserve">2170817592                    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21.74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v>0</v>
      </c>
      <c r="BA1597" s="3">
        <v>0</v>
      </c>
      <c r="BB1597" s="3">
        <v>0</v>
      </c>
      <c r="BC1597" s="3">
        <v>0</v>
      </c>
      <c r="BD1597" s="3">
        <v>0</v>
      </c>
      <c r="BE1597" s="3">
        <v>0</v>
      </c>
      <c r="BF1597" s="3">
        <v>0</v>
      </c>
      <c r="BG1597" s="3">
        <v>0</v>
      </c>
      <c r="BH1597" s="3">
        <v>1</v>
      </c>
      <c r="BI1597" s="3">
        <v>1</v>
      </c>
      <c r="BJ1597" s="3">
        <v>0.2</v>
      </c>
      <c r="BK1597" s="3">
        <v>1</v>
      </c>
      <c r="BL1597" s="3">
        <v>82.98</v>
      </c>
      <c r="BM1597" s="3">
        <v>12.45</v>
      </c>
      <c r="BN1597" s="3">
        <v>95.43</v>
      </c>
      <c r="BO1597" s="3">
        <v>95.43</v>
      </c>
      <c r="BQ1597" s="3" t="s">
        <v>89</v>
      </c>
      <c r="BR1597" s="3" t="s">
        <v>84</v>
      </c>
      <c r="BS1597" s="4">
        <v>44582</v>
      </c>
      <c r="BT1597" s="5">
        <v>0.46666666666666662</v>
      </c>
      <c r="BU1597" s="3" t="s">
        <v>1885</v>
      </c>
      <c r="BV1597" s="3" t="s">
        <v>105</v>
      </c>
      <c r="BY1597" s="3">
        <v>1200</v>
      </c>
      <c r="BZ1597" s="3" t="s">
        <v>165</v>
      </c>
      <c r="CA1597" s="3" t="s">
        <v>619</v>
      </c>
      <c r="CC1597" s="3" t="s">
        <v>207</v>
      </c>
      <c r="CD1597" s="3">
        <v>1740</v>
      </c>
      <c r="CE1597" s="3" t="s">
        <v>86</v>
      </c>
      <c r="CF1597" s="4">
        <v>44582</v>
      </c>
      <c r="CI1597" s="3">
        <v>1</v>
      </c>
      <c r="CJ1597" s="3">
        <v>1</v>
      </c>
      <c r="CK1597" s="3">
        <v>24</v>
      </c>
      <c r="CL1597" s="3" t="s">
        <v>87</v>
      </c>
    </row>
    <row r="1598" spans="1:90" x14ac:dyDescent="0.2">
      <c r="A1598" s="3" t="s">
        <v>72</v>
      </c>
      <c r="B1598" s="3" t="s">
        <v>73</v>
      </c>
      <c r="C1598" s="3" t="s">
        <v>74</v>
      </c>
      <c r="E1598" s="3" t="str">
        <f>"FES1162846013"</f>
        <v>FES1162846013</v>
      </c>
      <c r="F1598" s="4">
        <v>44581</v>
      </c>
      <c r="G1598" s="3">
        <v>202207</v>
      </c>
      <c r="H1598" s="3" t="s">
        <v>75</v>
      </c>
      <c r="I1598" s="3" t="s">
        <v>76</v>
      </c>
      <c r="J1598" s="3" t="s">
        <v>77</v>
      </c>
      <c r="K1598" s="3" t="s">
        <v>78</v>
      </c>
      <c r="L1598" s="3" t="s">
        <v>101</v>
      </c>
      <c r="M1598" s="3" t="s">
        <v>102</v>
      </c>
      <c r="N1598" s="3" t="s">
        <v>340</v>
      </c>
      <c r="O1598" s="3" t="s">
        <v>82</v>
      </c>
      <c r="P1598" s="3" t="str">
        <f>"2170817446                    "</f>
        <v xml:space="preserve">2170817446                    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15.46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0</v>
      </c>
      <c r="AZ1598" s="3">
        <v>0</v>
      </c>
      <c r="BA1598" s="3">
        <v>0</v>
      </c>
      <c r="BB1598" s="3">
        <v>0</v>
      </c>
      <c r="BC1598" s="3">
        <v>0</v>
      </c>
      <c r="BD1598" s="3">
        <v>0</v>
      </c>
      <c r="BE1598" s="3">
        <v>0</v>
      </c>
      <c r="BF1598" s="3">
        <v>0</v>
      </c>
      <c r="BG1598" s="3">
        <v>0</v>
      </c>
      <c r="BH1598" s="3">
        <v>1</v>
      </c>
      <c r="BI1598" s="3">
        <v>1</v>
      </c>
      <c r="BJ1598" s="3">
        <v>0.2</v>
      </c>
      <c r="BK1598" s="3">
        <v>1</v>
      </c>
      <c r="BL1598" s="3">
        <v>59</v>
      </c>
      <c r="BM1598" s="3">
        <v>8.85</v>
      </c>
      <c r="BN1598" s="3">
        <v>67.849999999999994</v>
      </c>
      <c r="BO1598" s="3">
        <v>67.849999999999994</v>
      </c>
      <c r="BQ1598" s="3" t="s">
        <v>341</v>
      </c>
      <c r="BR1598" s="3" t="s">
        <v>84</v>
      </c>
      <c r="BS1598" s="4">
        <v>44582</v>
      </c>
      <c r="BT1598" s="5">
        <v>0.36249999999999999</v>
      </c>
      <c r="BU1598" s="3" t="s">
        <v>1835</v>
      </c>
      <c r="BV1598" s="3" t="s">
        <v>105</v>
      </c>
      <c r="BY1598" s="3">
        <v>1200</v>
      </c>
      <c r="BZ1598" s="3" t="s">
        <v>165</v>
      </c>
      <c r="CA1598" s="3" t="s">
        <v>343</v>
      </c>
      <c r="CC1598" s="3" t="s">
        <v>102</v>
      </c>
      <c r="CD1598" s="3">
        <v>4001</v>
      </c>
      <c r="CE1598" s="3" t="s">
        <v>93</v>
      </c>
      <c r="CF1598" s="4">
        <v>44585</v>
      </c>
      <c r="CI1598" s="3">
        <v>1</v>
      </c>
      <c r="CJ1598" s="3">
        <v>1</v>
      </c>
      <c r="CK1598" s="3">
        <v>21</v>
      </c>
      <c r="CL1598" s="3" t="s">
        <v>87</v>
      </c>
    </row>
    <row r="1599" spans="1:90" x14ac:dyDescent="0.2">
      <c r="A1599" s="3" t="s">
        <v>72</v>
      </c>
      <c r="B1599" s="3" t="s">
        <v>73</v>
      </c>
      <c r="C1599" s="3" t="s">
        <v>74</v>
      </c>
      <c r="E1599" s="3" t="str">
        <f>"FES1162845997"</f>
        <v>FES1162845997</v>
      </c>
      <c r="F1599" s="4">
        <v>44581</v>
      </c>
      <c r="G1599" s="3">
        <v>202207</v>
      </c>
      <c r="H1599" s="3" t="s">
        <v>75</v>
      </c>
      <c r="I1599" s="3" t="s">
        <v>76</v>
      </c>
      <c r="J1599" s="3" t="s">
        <v>77</v>
      </c>
      <c r="K1599" s="3" t="s">
        <v>78</v>
      </c>
      <c r="L1599" s="3" t="s">
        <v>1179</v>
      </c>
      <c r="M1599" s="3" t="s">
        <v>1180</v>
      </c>
      <c r="N1599" s="3" t="s">
        <v>1181</v>
      </c>
      <c r="O1599" s="3" t="s">
        <v>82</v>
      </c>
      <c r="P1599" s="3" t="str">
        <f>"2170813036                    "</f>
        <v xml:space="preserve">2170813036                    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29.95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15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v>0</v>
      </c>
      <c r="BA1599" s="3">
        <v>0</v>
      </c>
      <c r="BB1599" s="3">
        <v>0</v>
      </c>
      <c r="BC1599" s="3">
        <v>0</v>
      </c>
      <c r="BD1599" s="3">
        <v>0</v>
      </c>
      <c r="BE1599" s="3">
        <v>0</v>
      </c>
      <c r="BF1599" s="3">
        <v>0</v>
      </c>
      <c r="BG1599" s="3">
        <v>0</v>
      </c>
      <c r="BH1599" s="3">
        <v>1</v>
      </c>
      <c r="BI1599" s="3">
        <v>2</v>
      </c>
      <c r="BJ1599" s="3">
        <v>2</v>
      </c>
      <c r="BK1599" s="3">
        <v>2</v>
      </c>
      <c r="BL1599" s="3">
        <v>129.31</v>
      </c>
      <c r="BM1599" s="3">
        <v>19.399999999999999</v>
      </c>
      <c r="BN1599" s="3">
        <v>148.71</v>
      </c>
      <c r="BO1599" s="3">
        <v>148.71</v>
      </c>
      <c r="BQ1599" s="3" t="s">
        <v>83</v>
      </c>
      <c r="BR1599" s="3" t="s">
        <v>84</v>
      </c>
      <c r="BS1599" s="4">
        <v>44582</v>
      </c>
      <c r="BT1599" s="5">
        <v>0.67152777777777783</v>
      </c>
      <c r="BU1599" s="3" t="s">
        <v>1886</v>
      </c>
      <c r="BV1599" s="3" t="s">
        <v>105</v>
      </c>
      <c r="BY1599" s="3">
        <v>9918</v>
      </c>
      <c r="BZ1599" s="3" t="s">
        <v>446</v>
      </c>
      <c r="CA1599" s="3" t="s">
        <v>1827</v>
      </c>
      <c r="CC1599" s="3" t="s">
        <v>1180</v>
      </c>
      <c r="CD1599" s="3">
        <v>208</v>
      </c>
      <c r="CE1599" s="3" t="s">
        <v>86</v>
      </c>
      <c r="CF1599" s="4">
        <v>44585</v>
      </c>
      <c r="CI1599" s="3">
        <v>1</v>
      </c>
      <c r="CJ1599" s="3">
        <v>1</v>
      </c>
      <c r="CK1599" s="3">
        <v>23</v>
      </c>
      <c r="CL1599" s="3" t="s">
        <v>87</v>
      </c>
    </row>
    <row r="1600" spans="1:90" x14ac:dyDescent="0.2">
      <c r="A1600" s="3" t="s">
        <v>72</v>
      </c>
      <c r="B1600" s="3" t="s">
        <v>73</v>
      </c>
      <c r="C1600" s="3" t="s">
        <v>74</v>
      </c>
      <c r="E1600" s="3" t="str">
        <f>"FES1162846057"</f>
        <v>FES1162846057</v>
      </c>
      <c r="F1600" s="4">
        <v>44581</v>
      </c>
      <c r="G1600" s="3">
        <v>202207</v>
      </c>
      <c r="H1600" s="3" t="s">
        <v>75</v>
      </c>
      <c r="I1600" s="3" t="s">
        <v>76</v>
      </c>
      <c r="J1600" s="3" t="s">
        <v>77</v>
      </c>
      <c r="K1600" s="3" t="s">
        <v>78</v>
      </c>
      <c r="L1600" s="3" t="s">
        <v>79</v>
      </c>
      <c r="M1600" s="3" t="s">
        <v>80</v>
      </c>
      <c r="N1600" s="3" t="s">
        <v>1295</v>
      </c>
      <c r="O1600" s="3" t="s">
        <v>82</v>
      </c>
      <c r="P1600" s="3" t="str">
        <f>"2170817514                    "</f>
        <v xml:space="preserve">2170817514                    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15.46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v>0</v>
      </c>
      <c r="BA1600" s="3">
        <v>0</v>
      </c>
      <c r="BB1600" s="3">
        <v>0</v>
      </c>
      <c r="BC1600" s="3">
        <v>0</v>
      </c>
      <c r="BD1600" s="3">
        <v>0</v>
      </c>
      <c r="BE1600" s="3">
        <v>0</v>
      </c>
      <c r="BF1600" s="3">
        <v>0</v>
      </c>
      <c r="BG1600" s="3">
        <v>0</v>
      </c>
      <c r="BH1600" s="3">
        <v>1</v>
      </c>
      <c r="BI1600" s="3">
        <v>1</v>
      </c>
      <c r="BJ1600" s="3">
        <v>1.5</v>
      </c>
      <c r="BK1600" s="3">
        <v>1.5</v>
      </c>
      <c r="BL1600" s="3">
        <v>59</v>
      </c>
      <c r="BM1600" s="3">
        <v>8.85</v>
      </c>
      <c r="BN1600" s="3">
        <v>67.849999999999994</v>
      </c>
      <c r="BO1600" s="3">
        <v>67.849999999999994</v>
      </c>
      <c r="BQ1600" s="3" t="s">
        <v>83</v>
      </c>
      <c r="BR1600" s="3" t="s">
        <v>84</v>
      </c>
      <c r="BS1600" s="4">
        <v>44582</v>
      </c>
      <c r="BT1600" s="5">
        <v>0.38541666666666669</v>
      </c>
      <c r="BU1600" s="3" t="s">
        <v>1848</v>
      </c>
      <c r="BV1600" s="3" t="s">
        <v>105</v>
      </c>
      <c r="BY1600" s="3">
        <v>7540</v>
      </c>
      <c r="BZ1600" s="3" t="s">
        <v>165</v>
      </c>
      <c r="CA1600" s="3" t="s">
        <v>287</v>
      </c>
      <c r="CC1600" s="3" t="s">
        <v>80</v>
      </c>
      <c r="CD1600" s="3">
        <v>181</v>
      </c>
      <c r="CE1600" s="3" t="s">
        <v>86</v>
      </c>
      <c r="CF1600" s="4">
        <v>44586</v>
      </c>
      <c r="CI1600" s="3">
        <v>1</v>
      </c>
      <c r="CJ1600" s="3">
        <v>1</v>
      </c>
      <c r="CK1600" s="3">
        <v>21</v>
      </c>
      <c r="CL1600" s="3" t="s">
        <v>87</v>
      </c>
    </row>
    <row r="1601" spans="1:90" x14ac:dyDescent="0.2">
      <c r="A1601" s="3" t="s">
        <v>72</v>
      </c>
      <c r="B1601" s="3" t="s">
        <v>73</v>
      </c>
      <c r="C1601" s="3" t="s">
        <v>74</v>
      </c>
      <c r="E1601" s="3" t="str">
        <f>"FES1162846008"</f>
        <v>FES1162846008</v>
      </c>
      <c r="F1601" s="4">
        <v>44581</v>
      </c>
      <c r="G1601" s="3">
        <v>202207</v>
      </c>
      <c r="H1601" s="3" t="s">
        <v>75</v>
      </c>
      <c r="I1601" s="3" t="s">
        <v>76</v>
      </c>
      <c r="J1601" s="3" t="s">
        <v>77</v>
      </c>
      <c r="K1601" s="3" t="s">
        <v>78</v>
      </c>
      <c r="L1601" s="3" t="s">
        <v>75</v>
      </c>
      <c r="M1601" s="3" t="s">
        <v>76</v>
      </c>
      <c r="N1601" s="3" t="s">
        <v>1887</v>
      </c>
      <c r="O1601" s="3" t="s">
        <v>82</v>
      </c>
      <c r="P1601" s="3" t="str">
        <f>"2170816458                    "</f>
        <v xml:space="preserve">2170816458                    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12.07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v>0</v>
      </c>
      <c r="BA1601" s="3">
        <v>0</v>
      </c>
      <c r="BB1601" s="3">
        <v>0</v>
      </c>
      <c r="BC1601" s="3">
        <v>0</v>
      </c>
      <c r="BD1601" s="3">
        <v>0</v>
      </c>
      <c r="BE1601" s="3">
        <v>0</v>
      </c>
      <c r="BF1601" s="3">
        <v>0</v>
      </c>
      <c r="BG1601" s="3">
        <v>0</v>
      </c>
      <c r="BH1601" s="3">
        <v>1</v>
      </c>
      <c r="BI1601" s="3">
        <v>1</v>
      </c>
      <c r="BJ1601" s="3">
        <v>0.2</v>
      </c>
      <c r="BK1601" s="3">
        <v>1</v>
      </c>
      <c r="BL1601" s="3">
        <v>46.08</v>
      </c>
      <c r="BM1601" s="3">
        <v>6.91</v>
      </c>
      <c r="BN1601" s="3">
        <v>52.99</v>
      </c>
      <c r="BO1601" s="3">
        <v>52.99</v>
      </c>
      <c r="BQ1601" s="3" t="s">
        <v>83</v>
      </c>
      <c r="BR1601" s="3" t="s">
        <v>84</v>
      </c>
      <c r="BS1601" s="4">
        <v>44582</v>
      </c>
      <c r="BT1601" s="5">
        <v>0.33958333333333335</v>
      </c>
      <c r="BU1601" s="3" t="s">
        <v>1888</v>
      </c>
      <c r="BV1601" s="3" t="s">
        <v>105</v>
      </c>
      <c r="BY1601" s="3">
        <v>1200</v>
      </c>
      <c r="BZ1601" s="3" t="s">
        <v>165</v>
      </c>
      <c r="CA1601" s="3" t="s">
        <v>607</v>
      </c>
      <c r="CC1601" s="3" t="s">
        <v>76</v>
      </c>
      <c r="CD1601" s="3">
        <v>1666</v>
      </c>
      <c r="CE1601" s="3" t="s">
        <v>86</v>
      </c>
      <c r="CF1601" s="4">
        <v>44583</v>
      </c>
      <c r="CI1601" s="3">
        <v>1</v>
      </c>
      <c r="CJ1601" s="3">
        <v>1</v>
      </c>
      <c r="CK1601" s="3">
        <v>22</v>
      </c>
      <c r="CL1601" s="3" t="s">
        <v>87</v>
      </c>
    </row>
    <row r="1602" spans="1:90" x14ac:dyDescent="0.2">
      <c r="A1602" s="3" t="s">
        <v>72</v>
      </c>
      <c r="B1602" s="3" t="s">
        <v>73</v>
      </c>
      <c r="C1602" s="3" t="s">
        <v>74</v>
      </c>
      <c r="E1602" s="3" t="str">
        <f>"FES1162846114"</f>
        <v>FES1162846114</v>
      </c>
      <c r="F1602" s="4">
        <v>44581</v>
      </c>
      <c r="G1602" s="3">
        <v>202207</v>
      </c>
      <c r="H1602" s="3" t="s">
        <v>75</v>
      </c>
      <c r="I1602" s="3" t="s">
        <v>76</v>
      </c>
      <c r="J1602" s="3" t="s">
        <v>77</v>
      </c>
      <c r="K1602" s="3" t="s">
        <v>78</v>
      </c>
      <c r="L1602" s="3" t="s">
        <v>101</v>
      </c>
      <c r="M1602" s="3" t="s">
        <v>102</v>
      </c>
      <c r="N1602" s="3" t="s">
        <v>699</v>
      </c>
      <c r="O1602" s="3" t="s">
        <v>82</v>
      </c>
      <c r="P1602" s="3" t="str">
        <f>"2170817595                    "</f>
        <v xml:space="preserve">2170817595                    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57.94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v>0</v>
      </c>
      <c r="BA1602" s="3">
        <v>0</v>
      </c>
      <c r="BB1602" s="3">
        <v>0</v>
      </c>
      <c r="BC1602" s="3">
        <v>0</v>
      </c>
      <c r="BD1602" s="3">
        <v>0</v>
      </c>
      <c r="BE1602" s="3">
        <v>0</v>
      </c>
      <c r="BF1602" s="3">
        <v>0</v>
      </c>
      <c r="BG1602" s="3">
        <v>0</v>
      </c>
      <c r="BH1602" s="3">
        <v>2</v>
      </c>
      <c r="BI1602" s="3">
        <v>7.4</v>
      </c>
      <c r="BJ1602" s="3">
        <v>3</v>
      </c>
      <c r="BK1602" s="3">
        <v>7.5</v>
      </c>
      <c r="BL1602" s="3">
        <v>221.16</v>
      </c>
      <c r="BM1602" s="3">
        <v>33.17</v>
      </c>
      <c r="BN1602" s="3">
        <v>254.33</v>
      </c>
      <c r="BO1602" s="3">
        <v>254.33</v>
      </c>
      <c r="BQ1602" s="3" t="s">
        <v>89</v>
      </c>
      <c r="BR1602" s="3" t="s">
        <v>84</v>
      </c>
      <c r="BS1602" s="4">
        <v>44582</v>
      </c>
      <c r="BT1602" s="5">
        <v>0.41666666666666669</v>
      </c>
      <c r="BU1602" s="3" t="s">
        <v>1889</v>
      </c>
      <c r="BV1602" s="3" t="s">
        <v>105</v>
      </c>
      <c r="BY1602" s="3">
        <v>15228</v>
      </c>
      <c r="BZ1602" s="3" t="s">
        <v>165</v>
      </c>
      <c r="CA1602" s="3" t="s">
        <v>328</v>
      </c>
      <c r="CC1602" s="3" t="s">
        <v>102</v>
      </c>
      <c r="CD1602" s="3">
        <v>4001</v>
      </c>
      <c r="CE1602" s="3" t="s">
        <v>221</v>
      </c>
      <c r="CF1602" s="4">
        <v>44586</v>
      </c>
      <c r="CI1602" s="3">
        <v>1</v>
      </c>
      <c r="CJ1602" s="3">
        <v>1</v>
      </c>
      <c r="CK1602" s="3">
        <v>21</v>
      </c>
      <c r="CL1602" s="3" t="s">
        <v>87</v>
      </c>
    </row>
    <row r="1603" spans="1:90" x14ac:dyDescent="0.2">
      <c r="A1603" s="3" t="s">
        <v>72</v>
      </c>
      <c r="B1603" s="3" t="s">
        <v>73</v>
      </c>
      <c r="C1603" s="3" t="s">
        <v>74</v>
      </c>
      <c r="E1603" s="3" t="str">
        <f>"FES1162846087"</f>
        <v>FES1162846087</v>
      </c>
      <c r="F1603" s="4">
        <v>44581</v>
      </c>
      <c r="G1603" s="3">
        <v>202207</v>
      </c>
      <c r="H1603" s="3" t="s">
        <v>75</v>
      </c>
      <c r="I1603" s="3" t="s">
        <v>76</v>
      </c>
      <c r="J1603" s="3" t="s">
        <v>77</v>
      </c>
      <c r="K1603" s="3" t="s">
        <v>78</v>
      </c>
      <c r="L1603" s="3" t="s">
        <v>79</v>
      </c>
      <c r="M1603" s="3" t="s">
        <v>80</v>
      </c>
      <c r="N1603" s="3" t="s">
        <v>1259</v>
      </c>
      <c r="O1603" s="3" t="s">
        <v>82</v>
      </c>
      <c r="P1603" s="3" t="str">
        <f>"2170817563                    "</f>
        <v xml:space="preserve">2170817563                    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15.46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0</v>
      </c>
      <c r="AZ1603" s="3">
        <v>0</v>
      </c>
      <c r="BA1603" s="3">
        <v>0</v>
      </c>
      <c r="BB1603" s="3">
        <v>0</v>
      </c>
      <c r="BC1603" s="3">
        <v>0</v>
      </c>
      <c r="BD1603" s="3">
        <v>0</v>
      </c>
      <c r="BE1603" s="3">
        <v>0</v>
      </c>
      <c r="BF1603" s="3">
        <v>0</v>
      </c>
      <c r="BG1603" s="3">
        <v>0</v>
      </c>
      <c r="BH1603" s="3">
        <v>1</v>
      </c>
      <c r="BI1603" s="3">
        <v>1</v>
      </c>
      <c r="BJ1603" s="3">
        <v>0.2</v>
      </c>
      <c r="BK1603" s="3">
        <v>1</v>
      </c>
      <c r="BL1603" s="3">
        <v>59</v>
      </c>
      <c r="BM1603" s="3">
        <v>8.85</v>
      </c>
      <c r="BN1603" s="3">
        <v>67.849999999999994</v>
      </c>
      <c r="BO1603" s="3">
        <v>67.849999999999994</v>
      </c>
      <c r="BR1603" s="3" t="s">
        <v>84</v>
      </c>
      <c r="BS1603" s="4">
        <v>44582</v>
      </c>
      <c r="BT1603" s="5">
        <v>0.36180555555555555</v>
      </c>
      <c r="BU1603" s="3" t="s">
        <v>1260</v>
      </c>
      <c r="BV1603" s="3" t="s">
        <v>105</v>
      </c>
      <c r="BY1603" s="3">
        <v>1200</v>
      </c>
      <c r="BZ1603" s="3" t="s">
        <v>165</v>
      </c>
      <c r="CA1603" s="3" t="s">
        <v>1890</v>
      </c>
      <c r="CC1603" s="3" t="s">
        <v>80</v>
      </c>
      <c r="CD1603" s="3">
        <v>2</v>
      </c>
      <c r="CE1603" s="3" t="s">
        <v>93</v>
      </c>
      <c r="CF1603" s="4">
        <v>44587</v>
      </c>
      <c r="CI1603" s="3">
        <v>1</v>
      </c>
      <c r="CJ1603" s="3">
        <v>1</v>
      </c>
      <c r="CK1603" s="3">
        <v>21</v>
      </c>
      <c r="CL1603" s="3" t="s">
        <v>87</v>
      </c>
    </row>
    <row r="1604" spans="1:90" x14ac:dyDescent="0.2">
      <c r="A1604" s="3" t="s">
        <v>72</v>
      </c>
      <c r="B1604" s="3" t="s">
        <v>73</v>
      </c>
      <c r="C1604" s="3" t="s">
        <v>74</v>
      </c>
      <c r="E1604" s="3" t="str">
        <f>"FES1162846050"</f>
        <v>FES1162846050</v>
      </c>
      <c r="F1604" s="4">
        <v>44581</v>
      </c>
      <c r="G1604" s="3">
        <v>202207</v>
      </c>
      <c r="H1604" s="3" t="s">
        <v>75</v>
      </c>
      <c r="I1604" s="3" t="s">
        <v>76</v>
      </c>
      <c r="J1604" s="3" t="s">
        <v>77</v>
      </c>
      <c r="K1604" s="3" t="s">
        <v>78</v>
      </c>
      <c r="L1604" s="3" t="s">
        <v>158</v>
      </c>
      <c r="M1604" s="3" t="s">
        <v>159</v>
      </c>
      <c r="N1604" s="3" t="s">
        <v>1457</v>
      </c>
      <c r="O1604" s="3" t="s">
        <v>82</v>
      </c>
      <c r="P1604" s="3" t="str">
        <f>"2170817505                    "</f>
        <v xml:space="preserve">2170817505                    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12.07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0</v>
      </c>
      <c r="AZ1604" s="3">
        <v>0</v>
      </c>
      <c r="BA1604" s="3">
        <v>0</v>
      </c>
      <c r="BB1604" s="3">
        <v>0</v>
      </c>
      <c r="BC1604" s="3">
        <v>0</v>
      </c>
      <c r="BD1604" s="3">
        <v>0</v>
      </c>
      <c r="BE1604" s="3">
        <v>0</v>
      </c>
      <c r="BF1604" s="3">
        <v>0</v>
      </c>
      <c r="BG1604" s="3">
        <v>0</v>
      </c>
      <c r="BH1604" s="3">
        <v>2</v>
      </c>
      <c r="BI1604" s="3">
        <v>3</v>
      </c>
      <c r="BJ1604" s="3">
        <v>1.9</v>
      </c>
      <c r="BK1604" s="3">
        <v>3</v>
      </c>
      <c r="BL1604" s="3">
        <v>46.08</v>
      </c>
      <c r="BM1604" s="3">
        <v>6.91</v>
      </c>
      <c r="BN1604" s="3">
        <v>52.99</v>
      </c>
      <c r="BO1604" s="3">
        <v>52.99</v>
      </c>
      <c r="BQ1604" s="3" t="s">
        <v>89</v>
      </c>
      <c r="BR1604" s="3" t="s">
        <v>84</v>
      </c>
      <c r="BS1604" s="4">
        <v>44582</v>
      </c>
      <c r="BT1604" s="5">
        <v>0.32430555555555557</v>
      </c>
      <c r="BU1604" s="3" t="s">
        <v>1891</v>
      </c>
      <c r="BV1604" s="3" t="s">
        <v>105</v>
      </c>
      <c r="BY1604" s="3">
        <v>9352</v>
      </c>
      <c r="BZ1604" s="3" t="s">
        <v>165</v>
      </c>
      <c r="CA1604" s="3" t="s">
        <v>763</v>
      </c>
      <c r="CC1604" s="3" t="s">
        <v>159</v>
      </c>
      <c r="CD1604" s="3">
        <v>1459</v>
      </c>
      <c r="CE1604" s="3" t="s">
        <v>86</v>
      </c>
      <c r="CF1604" s="4">
        <v>44582</v>
      </c>
      <c r="CI1604" s="3">
        <v>1</v>
      </c>
      <c r="CJ1604" s="3">
        <v>1</v>
      </c>
      <c r="CK1604" s="3">
        <v>22</v>
      </c>
      <c r="CL1604" s="3" t="s">
        <v>87</v>
      </c>
    </row>
    <row r="1605" spans="1:90" x14ac:dyDescent="0.2">
      <c r="A1605" s="3" t="s">
        <v>72</v>
      </c>
      <c r="B1605" s="3" t="s">
        <v>73</v>
      </c>
      <c r="C1605" s="3" t="s">
        <v>74</v>
      </c>
      <c r="E1605" s="3" t="str">
        <f>"FES1162846094"</f>
        <v>FES1162846094</v>
      </c>
      <c r="F1605" s="4">
        <v>44581</v>
      </c>
      <c r="G1605" s="3">
        <v>202207</v>
      </c>
      <c r="H1605" s="3" t="s">
        <v>75</v>
      </c>
      <c r="I1605" s="3" t="s">
        <v>76</v>
      </c>
      <c r="J1605" s="3" t="s">
        <v>77</v>
      </c>
      <c r="K1605" s="3" t="s">
        <v>78</v>
      </c>
      <c r="L1605" s="3" t="s">
        <v>184</v>
      </c>
      <c r="M1605" s="3" t="s">
        <v>185</v>
      </c>
      <c r="N1605" s="3" t="s">
        <v>186</v>
      </c>
      <c r="O1605" s="3" t="s">
        <v>82</v>
      </c>
      <c r="P1605" s="3" t="str">
        <f>"2170817572                    "</f>
        <v xml:space="preserve">2170817572                    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15.46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0</v>
      </c>
      <c r="AZ1605" s="3">
        <v>0</v>
      </c>
      <c r="BA1605" s="3">
        <v>0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1</v>
      </c>
      <c r="BI1605" s="3">
        <v>1</v>
      </c>
      <c r="BJ1605" s="3">
        <v>0.2</v>
      </c>
      <c r="BK1605" s="3">
        <v>1</v>
      </c>
      <c r="BL1605" s="3">
        <v>59</v>
      </c>
      <c r="BM1605" s="3">
        <v>8.85</v>
      </c>
      <c r="BN1605" s="3">
        <v>67.849999999999994</v>
      </c>
      <c r="BO1605" s="3">
        <v>67.849999999999994</v>
      </c>
      <c r="BQ1605" s="3" t="s">
        <v>83</v>
      </c>
      <c r="BR1605" s="3" t="s">
        <v>84</v>
      </c>
      <c r="BS1605" s="4">
        <v>44582</v>
      </c>
      <c r="BT1605" s="5">
        <v>0.56597222222222221</v>
      </c>
      <c r="BU1605" s="3" t="s">
        <v>1680</v>
      </c>
      <c r="BV1605" s="3" t="s">
        <v>87</v>
      </c>
      <c r="BW1605" s="3" t="s">
        <v>457</v>
      </c>
      <c r="BX1605" s="3" t="s">
        <v>605</v>
      </c>
      <c r="BY1605" s="3">
        <v>1200</v>
      </c>
      <c r="BZ1605" s="3" t="s">
        <v>165</v>
      </c>
      <c r="CA1605" s="3" t="s">
        <v>1681</v>
      </c>
      <c r="CC1605" s="3" t="s">
        <v>185</v>
      </c>
      <c r="CD1605" s="3">
        <v>5201</v>
      </c>
      <c r="CE1605" s="3" t="s">
        <v>93</v>
      </c>
      <c r="CF1605" s="4">
        <v>44582</v>
      </c>
      <c r="CI1605" s="3">
        <v>1</v>
      </c>
      <c r="CJ1605" s="3">
        <v>1</v>
      </c>
      <c r="CK1605" s="3">
        <v>21</v>
      </c>
      <c r="CL1605" s="3" t="s">
        <v>87</v>
      </c>
    </row>
    <row r="1606" spans="1:90" x14ac:dyDescent="0.2">
      <c r="A1606" s="3" t="s">
        <v>72</v>
      </c>
      <c r="B1606" s="3" t="s">
        <v>73</v>
      </c>
      <c r="C1606" s="3" t="s">
        <v>74</v>
      </c>
      <c r="E1606" s="3" t="str">
        <f>"FES1162846088"</f>
        <v>FES1162846088</v>
      </c>
      <c r="F1606" s="4">
        <v>44581</v>
      </c>
      <c r="G1606" s="3">
        <v>202207</v>
      </c>
      <c r="H1606" s="3" t="s">
        <v>75</v>
      </c>
      <c r="I1606" s="3" t="s">
        <v>76</v>
      </c>
      <c r="J1606" s="3" t="s">
        <v>77</v>
      </c>
      <c r="K1606" s="3" t="s">
        <v>78</v>
      </c>
      <c r="L1606" s="3" t="s">
        <v>716</v>
      </c>
      <c r="M1606" s="3" t="s">
        <v>717</v>
      </c>
      <c r="N1606" s="3" t="s">
        <v>1892</v>
      </c>
      <c r="O1606" s="3" t="s">
        <v>82</v>
      </c>
      <c r="P1606" s="3" t="str">
        <f>"2170817566                    "</f>
        <v xml:space="preserve">2170817566                    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29.95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0</v>
      </c>
      <c r="AZ1606" s="3">
        <v>0</v>
      </c>
      <c r="BA1606" s="3">
        <v>0</v>
      </c>
      <c r="BB1606" s="3">
        <v>0</v>
      </c>
      <c r="BC1606" s="3">
        <v>0</v>
      </c>
      <c r="BD1606" s="3">
        <v>0</v>
      </c>
      <c r="BE1606" s="3">
        <v>0</v>
      </c>
      <c r="BF1606" s="3">
        <v>0</v>
      </c>
      <c r="BG1606" s="3">
        <v>0</v>
      </c>
      <c r="BH1606" s="3">
        <v>1</v>
      </c>
      <c r="BI1606" s="3">
        <v>1</v>
      </c>
      <c r="BJ1606" s="3">
        <v>0.2</v>
      </c>
      <c r="BK1606" s="3">
        <v>1</v>
      </c>
      <c r="BL1606" s="3">
        <v>114.31</v>
      </c>
      <c r="BM1606" s="3">
        <v>17.149999999999999</v>
      </c>
      <c r="BN1606" s="3">
        <v>131.46</v>
      </c>
      <c r="BO1606" s="3">
        <v>131.46</v>
      </c>
      <c r="BQ1606" s="3" t="s">
        <v>1893</v>
      </c>
      <c r="BR1606" s="3" t="s">
        <v>84</v>
      </c>
      <c r="BS1606" s="4">
        <v>44582</v>
      </c>
      <c r="BT1606" s="5">
        <v>0.65625</v>
      </c>
      <c r="BU1606" s="3" t="s">
        <v>1894</v>
      </c>
      <c r="BV1606" s="3" t="s">
        <v>105</v>
      </c>
      <c r="BY1606" s="3">
        <v>1200</v>
      </c>
      <c r="BZ1606" s="3" t="s">
        <v>165</v>
      </c>
      <c r="CA1606" s="3" t="s">
        <v>720</v>
      </c>
      <c r="CC1606" s="3" t="s">
        <v>717</v>
      </c>
      <c r="CD1606" s="3">
        <v>1020</v>
      </c>
      <c r="CE1606" s="3" t="s">
        <v>93</v>
      </c>
      <c r="CF1606" s="4">
        <v>44587</v>
      </c>
      <c r="CI1606" s="3">
        <v>1</v>
      </c>
      <c r="CJ1606" s="3">
        <v>1</v>
      </c>
      <c r="CK1606" s="3">
        <v>23</v>
      </c>
      <c r="CL1606" s="3" t="s">
        <v>87</v>
      </c>
    </row>
    <row r="1607" spans="1:90" x14ac:dyDescent="0.2">
      <c r="A1607" s="3" t="s">
        <v>72</v>
      </c>
      <c r="B1607" s="3" t="s">
        <v>73</v>
      </c>
      <c r="C1607" s="3" t="s">
        <v>74</v>
      </c>
      <c r="E1607" s="3" t="str">
        <f>"FES1162846125"</f>
        <v>FES1162846125</v>
      </c>
      <c r="F1607" s="4">
        <v>44581</v>
      </c>
      <c r="G1607" s="3">
        <v>202207</v>
      </c>
      <c r="H1607" s="3" t="s">
        <v>75</v>
      </c>
      <c r="I1607" s="3" t="s">
        <v>76</v>
      </c>
      <c r="J1607" s="3" t="s">
        <v>77</v>
      </c>
      <c r="K1607" s="3" t="s">
        <v>78</v>
      </c>
      <c r="L1607" s="3" t="s">
        <v>162</v>
      </c>
      <c r="M1607" s="3" t="s">
        <v>163</v>
      </c>
      <c r="N1607" s="3" t="s">
        <v>1185</v>
      </c>
      <c r="O1607" s="3" t="s">
        <v>82</v>
      </c>
      <c r="P1607" s="3" t="str">
        <f>"2170813535                    "</f>
        <v xml:space="preserve">2170813535                    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12.07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v>0</v>
      </c>
      <c r="BA1607" s="3">
        <v>0</v>
      </c>
      <c r="BB1607" s="3">
        <v>0</v>
      </c>
      <c r="BC1607" s="3">
        <v>0</v>
      </c>
      <c r="BD1607" s="3">
        <v>0</v>
      </c>
      <c r="BE1607" s="3">
        <v>0</v>
      </c>
      <c r="BF1607" s="3">
        <v>0</v>
      </c>
      <c r="BG1607" s="3">
        <v>0</v>
      </c>
      <c r="BH1607" s="3">
        <v>1</v>
      </c>
      <c r="BI1607" s="3">
        <v>3</v>
      </c>
      <c r="BJ1607" s="3">
        <v>2</v>
      </c>
      <c r="BK1607" s="3">
        <v>3</v>
      </c>
      <c r="BL1607" s="3">
        <v>46.08</v>
      </c>
      <c r="BM1607" s="3">
        <v>6.91</v>
      </c>
      <c r="BN1607" s="3">
        <v>52.99</v>
      </c>
      <c r="BO1607" s="3">
        <v>52.99</v>
      </c>
      <c r="BQ1607" s="3" t="s">
        <v>126</v>
      </c>
      <c r="BR1607" s="3" t="s">
        <v>84</v>
      </c>
      <c r="BS1607" s="4">
        <v>44582</v>
      </c>
      <c r="BT1607" s="5">
        <v>0.4152777777777778</v>
      </c>
      <c r="BU1607" s="3" t="s">
        <v>1895</v>
      </c>
      <c r="BV1607" s="3" t="s">
        <v>105</v>
      </c>
      <c r="BY1607" s="3">
        <v>9918</v>
      </c>
      <c r="BZ1607" s="3" t="s">
        <v>165</v>
      </c>
      <c r="CA1607" s="3" t="s">
        <v>1560</v>
      </c>
      <c r="CC1607" s="3" t="s">
        <v>163</v>
      </c>
      <c r="CD1607" s="3">
        <v>1401</v>
      </c>
      <c r="CE1607" s="3" t="s">
        <v>86</v>
      </c>
      <c r="CF1607" s="4">
        <v>44582</v>
      </c>
      <c r="CI1607" s="3">
        <v>1</v>
      </c>
      <c r="CJ1607" s="3">
        <v>1</v>
      </c>
      <c r="CK1607" s="3">
        <v>22</v>
      </c>
      <c r="CL1607" s="3" t="s">
        <v>87</v>
      </c>
    </row>
    <row r="1608" spans="1:90" x14ac:dyDescent="0.2">
      <c r="A1608" s="3" t="s">
        <v>72</v>
      </c>
      <c r="B1608" s="3" t="s">
        <v>73</v>
      </c>
      <c r="C1608" s="3" t="s">
        <v>74</v>
      </c>
      <c r="E1608" s="3" t="str">
        <f>"FES1162846051"</f>
        <v>FES1162846051</v>
      </c>
      <c r="F1608" s="4">
        <v>44581</v>
      </c>
      <c r="G1608" s="3">
        <v>202207</v>
      </c>
      <c r="H1608" s="3" t="s">
        <v>75</v>
      </c>
      <c r="I1608" s="3" t="s">
        <v>76</v>
      </c>
      <c r="J1608" s="3" t="s">
        <v>77</v>
      </c>
      <c r="K1608" s="3" t="s">
        <v>78</v>
      </c>
      <c r="L1608" s="3" t="s">
        <v>90</v>
      </c>
      <c r="M1608" s="3" t="s">
        <v>91</v>
      </c>
      <c r="N1608" s="3" t="s">
        <v>584</v>
      </c>
      <c r="O1608" s="3" t="s">
        <v>82</v>
      </c>
      <c r="P1608" s="3" t="str">
        <f>"2170817506                    "</f>
        <v xml:space="preserve">2170817506                    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15.46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0</v>
      </c>
      <c r="AZ1608" s="3">
        <v>0</v>
      </c>
      <c r="BA1608" s="3">
        <v>0</v>
      </c>
      <c r="BB1608" s="3">
        <v>0</v>
      </c>
      <c r="BC1608" s="3">
        <v>0</v>
      </c>
      <c r="BD1608" s="3">
        <v>0</v>
      </c>
      <c r="BE1608" s="3">
        <v>0</v>
      </c>
      <c r="BF1608" s="3">
        <v>0</v>
      </c>
      <c r="BG1608" s="3">
        <v>0</v>
      </c>
      <c r="BH1608" s="3">
        <v>1</v>
      </c>
      <c r="BI1608" s="3">
        <v>1</v>
      </c>
      <c r="BJ1608" s="3">
        <v>0.2</v>
      </c>
      <c r="BK1608" s="3">
        <v>1</v>
      </c>
      <c r="BL1608" s="3">
        <v>59</v>
      </c>
      <c r="BM1608" s="3">
        <v>8.85</v>
      </c>
      <c r="BN1608" s="3">
        <v>67.849999999999994</v>
      </c>
      <c r="BO1608" s="3">
        <v>67.849999999999994</v>
      </c>
      <c r="BQ1608" s="3" t="s">
        <v>83</v>
      </c>
      <c r="BR1608" s="3" t="s">
        <v>84</v>
      </c>
      <c r="BS1608" s="4">
        <v>44582</v>
      </c>
      <c r="BT1608" s="5">
        <v>0.35416666666666669</v>
      </c>
      <c r="BU1608" s="3" t="s">
        <v>1067</v>
      </c>
      <c r="BV1608" s="3" t="s">
        <v>105</v>
      </c>
      <c r="BY1608" s="3">
        <v>1200</v>
      </c>
      <c r="BZ1608" s="3" t="s">
        <v>165</v>
      </c>
      <c r="CA1608" s="3" t="s">
        <v>543</v>
      </c>
      <c r="CC1608" s="3" t="s">
        <v>91</v>
      </c>
      <c r="CD1608" s="3">
        <v>7530</v>
      </c>
      <c r="CE1608" s="3" t="s">
        <v>93</v>
      </c>
      <c r="CF1608" s="4">
        <v>44585</v>
      </c>
      <c r="CI1608" s="3">
        <v>1</v>
      </c>
      <c r="CJ1608" s="3">
        <v>1</v>
      </c>
      <c r="CK1608" s="3">
        <v>21</v>
      </c>
      <c r="CL1608" s="3" t="s">
        <v>87</v>
      </c>
    </row>
    <row r="1609" spans="1:90" x14ac:dyDescent="0.2">
      <c r="A1609" s="3" t="s">
        <v>72</v>
      </c>
      <c r="B1609" s="3" t="s">
        <v>73</v>
      </c>
      <c r="C1609" s="3" t="s">
        <v>74</v>
      </c>
      <c r="E1609" s="3" t="str">
        <f>"FES1162846116"</f>
        <v>FES1162846116</v>
      </c>
      <c r="F1609" s="4">
        <v>44581</v>
      </c>
      <c r="G1609" s="3">
        <v>202207</v>
      </c>
      <c r="H1609" s="3" t="s">
        <v>75</v>
      </c>
      <c r="I1609" s="3" t="s">
        <v>76</v>
      </c>
      <c r="J1609" s="3" t="s">
        <v>77</v>
      </c>
      <c r="K1609" s="3" t="s">
        <v>78</v>
      </c>
      <c r="L1609" s="3" t="s">
        <v>90</v>
      </c>
      <c r="M1609" s="3" t="s">
        <v>91</v>
      </c>
      <c r="N1609" s="3" t="s">
        <v>1095</v>
      </c>
      <c r="O1609" s="3" t="s">
        <v>82</v>
      </c>
      <c r="P1609" s="3" t="str">
        <f>"2170817598                    "</f>
        <v xml:space="preserve">2170817598                    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15.46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0</v>
      </c>
      <c r="AZ1609" s="3">
        <v>0</v>
      </c>
      <c r="BA1609" s="3">
        <v>0</v>
      </c>
      <c r="BB1609" s="3">
        <v>0</v>
      </c>
      <c r="BC1609" s="3">
        <v>0</v>
      </c>
      <c r="BD1609" s="3">
        <v>0</v>
      </c>
      <c r="BE1609" s="3">
        <v>0</v>
      </c>
      <c r="BF1609" s="3">
        <v>0</v>
      </c>
      <c r="BG1609" s="3">
        <v>0</v>
      </c>
      <c r="BH1609" s="3">
        <v>1</v>
      </c>
      <c r="BI1609" s="3">
        <v>1</v>
      </c>
      <c r="BJ1609" s="3">
        <v>0.2</v>
      </c>
      <c r="BK1609" s="3">
        <v>1</v>
      </c>
      <c r="BL1609" s="3">
        <v>59</v>
      </c>
      <c r="BM1609" s="3">
        <v>8.85</v>
      </c>
      <c r="BN1609" s="3">
        <v>67.849999999999994</v>
      </c>
      <c r="BO1609" s="3">
        <v>67.849999999999994</v>
      </c>
      <c r="BQ1609" s="3" t="s">
        <v>83</v>
      </c>
      <c r="BR1609" s="3" t="s">
        <v>84</v>
      </c>
      <c r="BS1609" s="4">
        <v>44582</v>
      </c>
      <c r="BT1609" s="5">
        <v>0.42986111111111108</v>
      </c>
      <c r="BU1609" s="3" t="s">
        <v>538</v>
      </c>
      <c r="BV1609" s="3" t="s">
        <v>105</v>
      </c>
      <c r="BY1609" s="3">
        <v>1200</v>
      </c>
      <c r="BZ1609" s="3" t="s">
        <v>165</v>
      </c>
      <c r="CA1609" s="3" t="s">
        <v>289</v>
      </c>
      <c r="CC1609" s="3" t="s">
        <v>91</v>
      </c>
      <c r="CD1609" s="3">
        <v>7441</v>
      </c>
      <c r="CE1609" s="3" t="s">
        <v>93</v>
      </c>
      <c r="CF1609" s="4">
        <v>44585</v>
      </c>
      <c r="CI1609" s="3">
        <v>1</v>
      </c>
      <c r="CJ1609" s="3">
        <v>1</v>
      </c>
      <c r="CK1609" s="3">
        <v>21</v>
      </c>
      <c r="CL1609" s="3" t="s">
        <v>87</v>
      </c>
    </row>
    <row r="1610" spans="1:90" x14ac:dyDescent="0.2">
      <c r="A1610" s="3" t="s">
        <v>72</v>
      </c>
      <c r="B1610" s="3" t="s">
        <v>73</v>
      </c>
      <c r="C1610" s="3" t="s">
        <v>74</v>
      </c>
      <c r="E1610" s="3" t="str">
        <f>"FES1162846064"</f>
        <v>FES1162846064</v>
      </c>
      <c r="F1610" s="4">
        <v>44581</v>
      </c>
      <c r="G1610" s="3">
        <v>202207</v>
      </c>
      <c r="H1610" s="3" t="s">
        <v>75</v>
      </c>
      <c r="I1610" s="3" t="s">
        <v>76</v>
      </c>
      <c r="J1610" s="3" t="s">
        <v>77</v>
      </c>
      <c r="K1610" s="3" t="s">
        <v>78</v>
      </c>
      <c r="L1610" s="3" t="s">
        <v>254</v>
      </c>
      <c r="M1610" s="3" t="s">
        <v>255</v>
      </c>
      <c r="N1610" s="3" t="s">
        <v>256</v>
      </c>
      <c r="O1610" s="3" t="s">
        <v>82</v>
      </c>
      <c r="P1610" s="3" t="str">
        <f>"2170817528                    "</f>
        <v xml:space="preserve">2170817528                    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15.46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v>0</v>
      </c>
      <c r="BA1610" s="3">
        <v>0</v>
      </c>
      <c r="BB1610" s="3">
        <v>0</v>
      </c>
      <c r="BC1610" s="3">
        <v>0</v>
      </c>
      <c r="BD1610" s="3">
        <v>0</v>
      </c>
      <c r="BE1610" s="3">
        <v>0</v>
      </c>
      <c r="BF1610" s="3">
        <v>0</v>
      </c>
      <c r="BG1610" s="3">
        <v>0</v>
      </c>
      <c r="BH1610" s="3">
        <v>1</v>
      </c>
      <c r="BI1610" s="3">
        <v>1</v>
      </c>
      <c r="BJ1610" s="3">
        <v>0.2</v>
      </c>
      <c r="BK1610" s="3">
        <v>1</v>
      </c>
      <c r="BL1610" s="3">
        <v>59</v>
      </c>
      <c r="BM1610" s="3">
        <v>8.85</v>
      </c>
      <c r="BN1610" s="3">
        <v>67.849999999999994</v>
      </c>
      <c r="BO1610" s="3">
        <v>67.849999999999994</v>
      </c>
      <c r="BQ1610" s="3" t="s">
        <v>89</v>
      </c>
      <c r="BR1610" s="3" t="s">
        <v>84</v>
      </c>
      <c r="BS1610" s="4">
        <v>44582</v>
      </c>
      <c r="BT1610" s="5">
        <v>0.38125000000000003</v>
      </c>
      <c r="BU1610" s="3" t="s">
        <v>1542</v>
      </c>
      <c r="BV1610" s="3" t="s">
        <v>105</v>
      </c>
      <c r="BY1610" s="3">
        <v>1200</v>
      </c>
      <c r="BZ1610" s="3" t="s">
        <v>165</v>
      </c>
      <c r="CC1610" s="3" t="s">
        <v>255</v>
      </c>
      <c r="CD1610" s="3">
        <v>6536</v>
      </c>
      <c r="CE1610" s="3" t="s">
        <v>93</v>
      </c>
      <c r="CF1610" s="4">
        <v>44583</v>
      </c>
      <c r="CI1610" s="3">
        <v>1</v>
      </c>
      <c r="CJ1610" s="3">
        <v>1</v>
      </c>
      <c r="CK1610" s="3">
        <v>21</v>
      </c>
      <c r="CL1610" s="3" t="s">
        <v>87</v>
      </c>
    </row>
    <row r="1611" spans="1:90" x14ac:dyDescent="0.2">
      <c r="A1611" s="3" t="s">
        <v>72</v>
      </c>
      <c r="B1611" s="3" t="s">
        <v>73</v>
      </c>
      <c r="C1611" s="3" t="s">
        <v>74</v>
      </c>
      <c r="E1611" s="3" t="str">
        <f>"FES1162846086"</f>
        <v>FES1162846086</v>
      </c>
      <c r="F1611" s="4">
        <v>44581</v>
      </c>
      <c r="G1611" s="3">
        <v>202207</v>
      </c>
      <c r="H1611" s="3" t="s">
        <v>75</v>
      </c>
      <c r="I1611" s="3" t="s">
        <v>76</v>
      </c>
      <c r="J1611" s="3" t="s">
        <v>77</v>
      </c>
      <c r="K1611" s="3" t="s">
        <v>78</v>
      </c>
      <c r="L1611" s="3" t="s">
        <v>154</v>
      </c>
      <c r="M1611" s="3" t="s">
        <v>155</v>
      </c>
      <c r="N1611" s="3" t="s">
        <v>156</v>
      </c>
      <c r="O1611" s="3" t="s">
        <v>82</v>
      </c>
      <c r="P1611" s="3" t="str">
        <f>"2170817558                    "</f>
        <v xml:space="preserve">2170817558                    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12.07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v>0</v>
      </c>
      <c r="BA1611" s="3">
        <v>0</v>
      </c>
      <c r="BB1611" s="3">
        <v>0</v>
      </c>
      <c r="BC1611" s="3">
        <v>0</v>
      </c>
      <c r="BD1611" s="3">
        <v>0</v>
      </c>
      <c r="BE1611" s="3">
        <v>0</v>
      </c>
      <c r="BF1611" s="3">
        <v>0</v>
      </c>
      <c r="BG1611" s="3">
        <v>0</v>
      </c>
      <c r="BH1611" s="3">
        <v>1</v>
      </c>
      <c r="BI1611" s="3">
        <v>2</v>
      </c>
      <c r="BJ1611" s="3">
        <v>0.2</v>
      </c>
      <c r="BK1611" s="3">
        <v>2</v>
      </c>
      <c r="BL1611" s="3">
        <v>46.08</v>
      </c>
      <c r="BM1611" s="3">
        <v>6.91</v>
      </c>
      <c r="BN1611" s="3">
        <v>52.99</v>
      </c>
      <c r="BO1611" s="3">
        <v>52.99</v>
      </c>
      <c r="BQ1611" s="3" t="s">
        <v>83</v>
      </c>
      <c r="BR1611" s="3" t="s">
        <v>84</v>
      </c>
      <c r="BS1611" s="4">
        <v>44582</v>
      </c>
      <c r="BT1611" s="5">
        <v>0.38194444444444442</v>
      </c>
      <c r="BU1611" s="3" t="s">
        <v>1850</v>
      </c>
      <c r="BV1611" s="3" t="s">
        <v>105</v>
      </c>
      <c r="BY1611" s="3">
        <v>1200</v>
      </c>
      <c r="BZ1611" s="3" t="s">
        <v>165</v>
      </c>
      <c r="CA1611" s="3" t="s">
        <v>708</v>
      </c>
      <c r="CC1611" s="3" t="s">
        <v>155</v>
      </c>
      <c r="CD1611" s="3">
        <v>1682</v>
      </c>
      <c r="CE1611" s="3" t="s">
        <v>86</v>
      </c>
      <c r="CF1611" s="4">
        <v>44583</v>
      </c>
      <c r="CI1611" s="3">
        <v>1</v>
      </c>
      <c r="CJ1611" s="3">
        <v>1</v>
      </c>
      <c r="CK1611" s="3">
        <v>22</v>
      </c>
      <c r="CL1611" s="3" t="s">
        <v>87</v>
      </c>
    </row>
    <row r="1612" spans="1:90" x14ac:dyDescent="0.2">
      <c r="A1612" s="3" t="s">
        <v>72</v>
      </c>
      <c r="B1612" s="3" t="s">
        <v>73</v>
      </c>
      <c r="C1612" s="3" t="s">
        <v>74</v>
      </c>
      <c r="E1612" s="3" t="str">
        <f>"FES1162845861"</f>
        <v>FES1162845861</v>
      </c>
      <c r="F1612" s="4">
        <v>44580</v>
      </c>
      <c r="G1612" s="3">
        <v>202207</v>
      </c>
      <c r="H1612" s="3" t="s">
        <v>75</v>
      </c>
      <c r="I1612" s="3" t="s">
        <v>76</v>
      </c>
      <c r="J1612" s="3" t="s">
        <v>77</v>
      </c>
      <c r="K1612" s="3" t="s">
        <v>78</v>
      </c>
      <c r="L1612" s="3" t="s">
        <v>101</v>
      </c>
      <c r="M1612" s="3" t="s">
        <v>102</v>
      </c>
      <c r="N1612" s="3" t="s">
        <v>1071</v>
      </c>
      <c r="O1612" s="3" t="s">
        <v>82</v>
      </c>
      <c r="P1612" s="3" t="str">
        <f>"2170817319                    "</f>
        <v xml:space="preserve">2170817319                    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23.18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v>0</v>
      </c>
      <c r="BA1612" s="3">
        <v>0</v>
      </c>
      <c r="BB1612" s="3">
        <v>0</v>
      </c>
      <c r="BC1612" s="3">
        <v>0</v>
      </c>
      <c r="BD1612" s="3">
        <v>0</v>
      </c>
      <c r="BE1612" s="3">
        <v>0</v>
      </c>
      <c r="BF1612" s="3">
        <v>0</v>
      </c>
      <c r="BG1612" s="3">
        <v>0</v>
      </c>
      <c r="BH1612" s="3">
        <v>1</v>
      </c>
      <c r="BI1612" s="3">
        <v>3</v>
      </c>
      <c r="BJ1612" s="3">
        <v>2.7</v>
      </c>
      <c r="BK1612" s="3">
        <v>3</v>
      </c>
      <c r="BL1612" s="3">
        <v>88.48</v>
      </c>
      <c r="BM1612" s="3">
        <v>13.27</v>
      </c>
      <c r="BN1612" s="3">
        <v>101.75</v>
      </c>
      <c r="BO1612" s="3">
        <v>101.75</v>
      </c>
      <c r="BQ1612" s="3" t="s">
        <v>83</v>
      </c>
      <c r="BR1612" s="3" t="s">
        <v>84</v>
      </c>
      <c r="BS1612" s="4">
        <v>44581</v>
      </c>
      <c r="BT1612" s="5">
        <v>0.5</v>
      </c>
      <c r="BU1612" s="3" t="s">
        <v>1896</v>
      </c>
      <c r="BV1612" s="3" t="s">
        <v>87</v>
      </c>
      <c r="BW1612" s="3" t="s">
        <v>457</v>
      </c>
      <c r="BX1612" s="3" t="s">
        <v>279</v>
      </c>
      <c r="BY1612" s="3">
        <v>13312</v>
      </c>
      <c r="CA1612" s="3" t="s">
        <v>328</v>
      </c>
      <c r="CC1612" s="3" t="s">
        <v>102</v>
      </c>
      <c r="CD1612" s="3">
        <v>4072</v>
      </c>
      <c r="CE1612" s="3" t="s">
        <v>86</v>
      </c>
      <c r="CF1612" s="4">
        <v>44582</v>
      </c>
      <c r="CI1612" s="3">
        <v>1</v>
      </c>
      <c r="CJ1612" s="3">
        <v>1</v>
      </c>
      <c r="CK1612" s="3">
        <v>21</v>
      </c>
      <c r="CL1612" s="3" t="s">
        <v>87</v>
      </c>
    </row>
    <row r="1613" spans="1:90" x14ac:dyDescent="0.2">
      <c r="A1613" s="3" t="s">
        <v>72</v>
      </c>
      <c r="B1613" s="3" t="s">
        <v>73</v>
      </c>
      <c r="C1613" s="3" t="s">
        <v>74</v>
      </c>
      <c r="E1613" s="3" t="str">
        <f>"FES1162845907"</f>
        <v>FES1162845907</v>
      </c>
      <c r="F1613" s="4">
        <v>44580</v>
      </c>
      <c r="G1613" s="3">
        <v>202207</v>
      </c>
      <c r="H1613" s="3" t="s">
        <v>75</v>
      </c>
      <c r="I1613" s="3" t="s">
        <v>76</v>
      </c>
      <c r="J1613" s="3" t="s">
        <v>77</v>
      </c>
      <c r="K1613" s="3" t="s">
        <v>78</v>
      </c>
      <c r="L1613" s="3" t="s">
        <v>107</v>
      </c>
      <c r="M1613" s="3" t="s">
        <v>108</v>
      </c>
      <c r="N1613" s="3" t="s">
        <v>582</v>
      </c>
      <c r="O1613" s="3" t="s">
        <v>82</v>
      </c>
      <c r="P1613" s="3" t="str">
        <f>"2170817348                    "</f>
        <v xml:space="preserve">2170817348                    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29.95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v>0</v>
      </c>
      <c r="BA1613" s="3">
        <v>0</v>
      </c>
      <c r="BB1613" s="3">
        <v>0</v>
      </c>
      <c r="BC1613" s="3">
        <v>0</v>
      </c>
      <c r="BD1613" s="3">
        <v>0</v>
      </c>
      <c r="BE1613" s="3">
        <v>0</v>
      </c>
      <c r="BF1613" s="3">
        <v>0</v>
      </c>
      <c r="BG1613" s="3">
        <v>0</v>
      </c>
      <c r="BH1613" s="3">
        <v>1</v>
      </c>
      <c r="BI1613" s="3">
        <v>1</v>
      </c>
      <c r="BJ1613" s="3">
        <v>1.1000000000000001</v>
      </c>
      <c r="BK1613" s="3">
        <v>1.5</v>
      </c>
      <c r="BL1613" s="3">
        <v>114.31</v>
      </c>
      <c r="BM1613" s="3">
        <v>17.149999999999999</v>
      </c>
      <c r="BN1613" s="3">
        <v>131.46</v>
      </c>
      <c r="BO1613" s="3">
        <v>131.46</v>
      </c>
      <c r="BQ1613" s="3" t="s">
        <v>126</v>
      </c>
      <c r="BR1613" s="3" t="s">
        <v>84</v>
      </c>
      <c r="BS1613" s="4">
        <v>44581</v>
      </c>
      <c r="BT1613" s="5">
        <v>0.51736111111111105</v>
      </c>
      <c r="BU1613" s="3" t="s">
        <v>1897</v>
      </c>
      <c r="BV1613" s="3" t="s">
        <v>105</v>
      </c>
      <c r="BY1613" s="3">
        <v>5320</v>
      </c>
      <c r="CA1613" s="3" t="s">
        <v>394</v>
      </c>
      <c r="CC1613" s="3" t="s">
        <v>108</v>
      </c>
      <c r="CD1613" s="3">
        <v>6850</v>
      </c>
      <c r="CE1613" s="3" t="s">
        <v>86</v>
      </c>
      <c r="CF1613" s="4">
        <v>44585</v>
      </c>
      <c r="CI1613" s="3">
        <v>2</v>
      </c>
      <c r="CJ1613" s="3">
        <v>1</v>
      </c>
      <c r="CK1613" s="3">
        <v>23</v>
      </c>
      <c r="CL1613" s="3" t="s">
        <v>87</v>
      </c>
    </row>
    <row r="1614" spans="1:90" x14ac:dyDescent="0.2">
      <c r="A1614" s="3" t="s">
        <v>72</v>
      </c>
      <c r="B1614" s="3" t="s">
        <v>73</v>
      </c>
      <c r="C1614" s="3" t="s">
        <v>74</v>
      </c>
      <c r="E1614" s="3" t="str">
        <f>"FES1162845946"</f>
        <v>FES1162845946</v>
      </c>
      <c r="F1614" s="4">
        <v>44580</v>
      </c>
      <c r="G1614" s="3">
        <v>202207</v>
      </c>
      <c r="H1614" s="3" t="s">
        <v>75</v>
      </c>
      <c r="I1614" s="3" t="s">
        <v>76</v>
      </c>
      <c r="J1614" s="3" t="s">
        <v>77</v>
      </c>
      <c r="K1614" s="3" t="s">
        <v>78</v>
      </c>
      <c r="L1614" s="3" t="s">
        <v>75</v>
      </c>
      <c r="M1614" s="3" t="s">
        <v>76</v>
      </c>
      <c r="N1614" s="3" t="s">
        <v>153</v>
      </c>
      <c r="O1614" s="3" t="s">
        <v>82</v>
      </c>
      <c r="P1614" s="3" t="str">
        <f>"2170817396                    "</f>
        <v xml:space="preserve">2170817396                    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12.07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v>0</v>
      </c>
      <c r="BA1614" s="3">
        <v>0</v>
      </c>
      <c r="BB1614" s="3">
        <v>0</v>
      </c>
      <c r="BC1614" s="3">
        <v>0</v>
      </c>
      <c r="BD1614" s="3">
        <v>0</v>
      </c>
      <c r="BE1614" s="3">
        <v>0</v>
      </c>
      <c r="BF1614" s="3">
        <v>0</v>
      </c>
      <c r="BG1614" s="3">
        <v>0</v>
      </c>
      <c r="BH1614" s="3">
        <v>1</v>
      </c>
      <c r="BI1614" s="3">
        <v>1</v>
      </c>
      <c r="BJ1614" s="3">
        <v>0.6</v>
      </c>
      <c r="BK1614" s="3">
        <v>1</v>
      </c>
      <c r="BL1614" s="3">
        <v>46.08</v>
      </c>
      <c r="BM1614" s="3">
        <v>6.91</v>
      </c>
      <c r="BN1614" s="3">
        <v>52.99</v>
      </c>
      <c r="BO1614" s="3">
        <v>52.99</v>
      </c>
      <c r="BR1614" s="3" t="s">
        <v>84</v>
      </c>
      <c r="BS1614" s="4">
        <v>44581</v>
      </c>
      <c r="BT1614" s="5">
        <v>0.3888888888888889</v>
      </c>
      <c r="BU1614" s="3" t="s">
        <v>483</v>
      </c>
      <c r="BV1614" s="3" t="s">
        <v>105</v>
      </c>
      <c r="BY1614" s="3">
        <v>3008</v>
      </c>
      <c r="CC1614" s="3" t="s">
        <v>76</v>
      </c>
      <c r="CD1614" s="3">
        <v>1600</v>
      </c>
      <c r="CE1614" s="3" t="s">
        <v>86</v>
      </c>
      <c r="CF1614" s="4">
        <v>44581</v>
      </c>
      <c r="CI1614" s="3">
        <v>1</v>
      </c>
      <c r="CJ1614" s="3">
        <v>1</v>
      </c>
      <c r="CK1614" s="3">
        <v>22</v>
      </c>
      <c r="CL1614" s="3" t="s">
        <v>87</v>
      </c>
    </row>
    <row r="1615" spans="1:90" x14ac:dyDescent="0.2">
      <c r="A1615" s="3" t="s">
        <v>72</v>
      </c>
      <c r="B1615" s="3" t="s">
        <v>73</v>
      </c>
      <c r="C1615" s="3" t="s">
        <v>74</v>
      </c>
      <c r="E1615" s="3" t="str">
        <f>"FES1162845959"</f>
        <v>FES1162845959</v>
      </c>
      <c r="F1615" s="4">
        <v>44580</v>
      </c>
      <c r="G1615" s="3">
        <v>202207</v>
      </c>
      <c r="H1615" s="3" t="s">
        <v>75</v>
      </c>
      <c r="I1615" s="3" t="s">
        <v>76</v>
      </c>
      <c r="J1615" s="3" t="s">
        <v>77</v>
      </c>
      <c r="K1615" s="3" t="s">
        <v>78</v>
      </c>
      <c r="L1615" s="3" t="s">
        <v>94</v>
      </c>
      <c r="M1615" s="3" t="s">
        <v>95</v>
      </c>
      <c r="N1615" s="3" t="s">
        <v>1052</v>
      </c>
      <c r="O1615" s="3" t="s">
        <v>82</v>
      </c>
      <c r="P1615" s="3" t="str">
        <f>"2170817399                    "</f>
        <v xml:space="preserve">2170817399                    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23.18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v>0</v>
      </c>
      <c r="BA1615" s="3">
        <v>0</v>
      </c>
      <c r="BB1615" s="3">
        <v>0</v>
      </c>
      <c r="BC1615" s="3">
        <v>0</v>
      </c>
      <c r="BD1615" s="3">
        <v>0</v>
      </c>
      <c r="BE1615" s="3">
        <v>0</v>
      </c>
      <c r="BF1615" s="3">
        <v>0</v>
      </c>
      <c r="BG1615" s="3">
        <v>0</v>
      </c>
      <c r="BH1615" s="3">
        <v>1</v>
      </c>
      <c r="BI1615" s="3">
        <v>3</v>
      </c>
      <c r="BJ1615" s="3">
        <v>1.5</v>
      </c>
      <c r="BK1615" s="3">
        <v>3</v>
      </c>
      <c r="BL1615" s="3">
        <v>88.48</v>
      </c>
      <c r="BM1615" s="3">
        <v>13.27</v>
      </c>
      <c r="BN1615" s="3">
        <v>101.75</v>
      </c>
      <c r="BO1615" s="3">
        <v>101.75</v>
      </c>
      <c r="BQ1615" s="3" t="s">
        <v>83</v>
      </c>
      <c r="BR1615" s="3" t="s">
        <v>84</v>
      </c>
      <c r="BS1615" s="4">
        <v>44582</v>
      </c>
      <c r="BT1615" s="5">
        <v>0.39583333333333331</v>
      </c>
      <c r="BU1615" s="3" t="s">
        <v>1053</v>
      </c>
      <c r="BV1615" s="3" t="s">
        <v>87</v>
      </c>
      <c r="BW1615" s="3" t="s">
        <v>453</v>
      </c>
      <c r="BX1615" s="3" t="s">
        <v>279</v>
      </c>
      <c r="BY1615" s="3">
        <v>7540</v>
      </c>
      <c r="CC1615" s="3" t="s">
        <v>95</v>
      </c>
      <c r="CD1615" s="3">
        <v>3201</v>
      </c>
      <c r="CE1615" s="3" t="s">
        <v>86</v>
      </c>
      <c r="CF1615" s="4">
        <v>44587</v>
      </c>
      <c r="CI1615" s="3">
        <v>1</v>
      </c>
      <c r="CJ1615" s="3">
        <v>2</v>
      </c>
      <c r="CK1615" s="3">
        <v>21</v>
      </c>
      <c r="CL1615" s="3" t="s">
        <v>87</v>
      </c>
    </row>
    <row r="1616" spans="1:90" x14ac:dyDescent="0.2">
      <c r="A1616" s="3" t="s">
        <v>72</v>
      </c>
      <c r="B1616" s="3" t="s">
        <v>73</v>
      </c>
      <c r="C1616" s="3" t="s">
        <v>74</v>
      </c>
      <c r="E1616" s="3" t="str">
        <f>"FES1162845904"</f>
        <v>FES1162845904</v>
      </c>
      <c r="F1616" s="4">
        <v>44580</v>
      </c>
      <c r="G1616" s="3">
        <v>202207</v>
      </c>
      <c r="H1616" s="3" t="s">
        <v>75</v>
      </c>
      <c r="I1616" s="3" t="s">
        <v>76</v>
      </c>
      <c r="J1616" s="3" t="s">
        <v>77</v>
      </c>
      <c r="K1616" s="3" t="s">
        <v>78</v>
      </c>
      <c r="L1616" s="3" t="s">
        <v>187</v>
      </c>
      <c r="M1616" s="3" t="s">
        <v>188</v>
      </c>
      <c r="N1616" s="3" t="s">
        <v>189</v>
      </c>
      <c r="O1616" s="3" t="s">
        <v>82</v>
      </c>
      <c r="P1616" s="3" t="str">
        <f>"2170817345                    "</f>
        <v xml:space="preserve">2170817345                    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0</v>
      </c>
      <c r="AJ1616" s="3">
        <v>0</v>
      </c>
      <c r="AK1616" s="3">
        <v>57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0</v>
      </c>
      <c r="BC1616" s="3">
        <v>0</v>
      </c>
      <c r="BD1616" s="3">
        <v>0</v>
      </c>
      <c r="BE1616" s="3">
        <v>0</v>
      </c>
      <c r="BF1616" s="3">
        <v>0</v>
      </c>
      <c r="BG1616" s="3">
        <v>0</v>
      </c>
      <c r="BH1616" s="3">
        <v>1</v>
      </c>
      <c r="BI1616" s="3">
        <v>4</v>
      </c>
      <c r="BJ1616" s="3">
        <v>2</v>
      </c>
      <c r="BK1616" s="3">
        <v>4</v>
      </c>
      <c r="BL1616" s="3">
        <v>217.56</v>
      </c>
      <c r="BM1616" s="3">
        <v>32.630000000000003</v>
      </c>
      <c r="BN1616" s="3">
        <v>250.19</v>
      </c>
      <c r="BO1616" s="3">
        <v>250.19</v>
      </c>
      <c r="BQ1616" s="3" t="s">
        <v>83</v>
      </c>
      <c r="BR1616" s="3" t="s">
        <v>84</v>
      </c>
      <c r="BS1616" s="4">
        <v>44581</v>
      </c>
      <c r="BT1616" s="5">
        <v>0.52847222222222223</v>
      </c>
      <c r="BU1616" s="3" t="s">
        <v>854</v>
      </c>
      <c r="BV1616" s="3" t="s">
        <v>105</v>
      </c>
      <c r="BY1616" s="3">
        <v>9918</v>
      </c>
      <c r="CA1616" s="3" t="s">
        <v>268</v>
      </c>
      <c r="CC1616" s="3" t="s">
        <v>188</v>
      </c>
      <c r="CD1616" s="3">
        <v>7300</v>
      </c>
      <c r="CE1616" s="3" t="s">
        <v>86</v>
      </c>
      <c r="CF1616" s="4">
        <v>44582</v>
      </c>
      <c r="CI1616" s="3">
        <v>1</v>
      </c>
      <c r="CJ1616" s="3">
        <v>1</v>
      </c>
      <c r="CK1616" s="3">
        <v>23</v>
      </c>
      <c r="CL1616" s="3" t="s">
        <v>87</v>
      </c>
    </row>
    <row r="1617" spans="1:90" x14ac:dyDescent="0.2">
      <c r="A1617" s="3" t="s">
        <v>72</v>
      </c>
      <c r="B1617" s="3" t="s">
        <v>73</v>
      </c>
      <c r="C1617" s="3" t="s">
        <v>74</v>
      </c>
      <c r="E1617" s="3" t="str">
        <f>"FES1162845908"</f>
        <v>FES1162845908</v>
      </c>
      <c r="F1617" s="4">
        <v>44580</v>
      </c>
      <c r="G1617" s="3">
        <v>202207</v>
      </c>
      <c r="H1617" s="3" t="s">
        <v>75</v>
      </c>
      <c r="I1617" s="3" t="s">
        <v>76</v>
      </c>
      <c r="J1617" s="3" t="s">
        <v>77</v>
      </c>
      <c r="K1617" s="3" t="s">
        <v>78</v>
      </c>
      <c r="L1617" s="3" t="s">
        <v>167</v>
      </c>
      <c r="M1617" s="3" t="s">
        <v>168</v>
      </c>
      <c r="N1617" s="3" t="s">
        <v>169</v>
      </c>
      <c r="O1617" s="3" t="s">
        <v>148</v>
      </c>
      <c r="P1617" s="3" t="str">
        <f>"2170817349                    "</f>
        <v xml:space="preserve">2170817349                    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0</v>
      </c>
      <c r="AJ1617" s="3">
        <v>0</v>
      </c>
      <c r="AK1617" s="3">
        <v>40.98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0</v>
      </c>
      <c r="BC1617" s="3">
        <v>0</v>
      </c>
      <c r="BD1617" s="3">
        <v>0</v>
      </c>
      <c r="BE1617" s="3">
        <v>0</v>
      </c>
      <c r="BF1617" s="3">
        <v>0</v>
      </c>
      <c r="BG1617" s="3">
        <v>0</v>
      </c>
      <c r="BH1617" s="3">
        <v>1</v>
      </c>
      <c r="BI1617" s="3">
        <v>24</v>
      </c>
      <c r="BJ1617" s="3">
        <v>18.3</v>
      </c>
      <c r="BK1617" s="3">
        <v>24</v>
      </c>
      <c r="BL1617" s="3">
        <v>161.66</v>
      </c>
      <c r="BM1617" s="3">
        <v>24.25</v>
      </c>
      <c r="BN1617" s="3">
        <v>185.91</v>
      </c>
      <c r="BO1617" s="3">
        <v>185.91</v>
      </c>
      <c r="BQ1617" s="3" t="s">
        <v>83</v>
      </c>
      <c r="BR1617" s="3" t="s">
        <v>84</v>
      </c>
      <c r="BS1617" s="4">
        <v>44582</v>
      </c>
      <c r="BT1617" s="5">
        <v>0.3923611111111111</v>
      </c>
      <c r="BU1617" s="3" t="s">
        <v>262</v>
      </c>
      <c r="BV1617" s="3" t="s">
        <v>105</v>
      </c>
      <c r="BY1617" s="3">
        <v>91264</v>
      </c>
      <c r="CA1617" s="3" t="s">
        <v>1580</v>
      </c>
      <c r="CC1617" s="3" t="s">
        <v>168</v>
      </c>
      <c r="CD1617" s="3">
        <v>6220</v>
      </c>
      <c r="CE1617" s="3" t="s">
        <v>86</v>
      </c>
      <c r="CF1617" s="4">
        <v>44582</v>
      </c>
      <c r="CI1617" s="3">
        <v>2</v>
      </c>
      <c r="CJ1617" s="3">
        <v>2</v>
      </c>
      <c r="CK1617" s="3">
        <v>41</v>
      </c>
      <c r="CL1617" s="3" t="s">
        <v>87</v>
      </c>
    </row>
    <row r="1618" spans="1:90" x14ac:dyDescent="0.2">
      <c r="A1618" s="3" t="s">
        <v>72</v>
      </c>
      <c r="B1618" s="3" t="s">
        <v>73</v>
      </c>
      <c r="C1618" s="3" t="s">
        <v>74</v>
      </c>
      <c r="E1618" s="3" t="str">
        <f>"FES1162845897"</f>
        <v>FES1162845897</v>
      </c>
      <c r="F1618" s="4">
        <v>44580</v>
      </c>
      <c r="G1618" s="3">
        <v>202207</v>
      </c>
      <c r="H1618" s="3" t="s">
        <v>75</v>
      </c>
      <c r="I1618" s="3" t="s">
        <v>76</v>
      </c>
      <c r="J1618" s="3" t="s">
        <v>77</v>
      </c>
      <c r="K1618" s="3" t="s">
        <v>78</v>
      </c>
      <c r="L1618" s="3" t="s">
        <v>171</v>
      </c>
      <c r="M1618" s="3" t="s">
        <v>172</v>
      </c>
      <c r="N1618" s="3" t="s">
        <v>1898</v>
      </c>
      <c r="O1618" s="3" t="s">
        <v>82</v>
      </c>
      <c r="P1618" s="3" t="str">
        <f>"2170817339                    "</f>
        <v xml:space="preserve">2170817339                    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0</v>
      </c>
      <c r="AJ1618" s="3">
        <v>0</v>
      </c>
      <c r="AK1618" s="3">
        <v>15.46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v>0</v>
      </c>
      <c r="BA1618" s="3">
        <v>0</v>
      </c>
      <c r="BB1618" s="3">
        <v>0</v>
      </c>
      <c r="BC1618" s="3">
        <v>0</v>
      </c>
      <c r="BD1618" s="3">
        <v>0</v>
      </c>
      <c r="BE1618" s="3">
        <v>0</v>
      </c>
      <c r="BF1618" s="3">
        <v>0</v>
      </c>
      <c r="BG1618" s="3">
        <v>0</v>
      </c>
      <c r="BH1618" s="3">
        <v>1</v>
      </c>
      <c r="BI1618" s="3">
        <v>1</v>
      </c>
      <c r="BJ1618" s="3">
        <v>0.2</v>
      </c>
      <c r="BK1618" s="3">
        <v>1</v>
      </c>
      <c r="BL1618" s="3">
        <v>59</v>
      </c>
      <c r="BM1618" s="3">
        <v>8.85</v>
      </c>
      <c r="BN1618" s="3">
        <v>67.849999999999994</v>
      </c>
      <c r="BO1618" s="3">
        <v>67.849999999999994</v>
      </c>
      <c r="BQ1618" s="3" t="s">
        <v>1899</v>
      </c>
      <c r="BR1618" s="3" t="s">
        <v>84</v>
      </c>
      <c r="BS1618" s="4">
        <v>44581</v>
      </c>
      <c r="BT1618" s="5">
        <v>0.34861111111111115</v>
      </c>
      <c r="BU1618" s="3" t="s">
        <v>552</v>
      </c>
      <c r="BV1618" s="3" t="s">
        <v>105</v>
      </c>
      <c r="BY1618" s="3">
        <v>1200</v>
      </c>
      <c r="CA1618" s="3" t="s">
        <v>408</v>
      </c>
      <c r="CC1618" s="3" t="s">
        <v>172</v>
      </c>
      <c r="CD1618" s="3">
        <v>6045</v>
      </c>
      <c r="CE1618" s="3" t="s">
        <v>93</v>
      </c>
      <c r="CF1618" s="4">
        <v>44582</v>
      </c>
      <c r="CI1618" s="3">
        <v>1</v>
      </c>
      <c r="CJ1618" s="3">
        <v>1</v>
      </c>
      <c r="CK1618" s="3">
        <v>21</v>
      </c>
      <c r="CL1618" s="3" t="s">
        <v>87</v>
      </c>
    </row>
    <row r="1619" spans="1:90" x14ac:dyDescent="0.2">
      <c r="A1619" s="3" t="s">
        <v>72</v>
      </c>
      <c r="B1619" s="3" t="s">
        <v>73</v>
      </c>
      <c r="C1619" s="3" t="s">
        <v>74</v>
      </c>
      <c r="E1619" s="3" t="str">
        <f>"FES1162845931"</f>
        <v>FES1162845931</v>
      </c>
      <c r="F1619" s="4">
        <v>44580</v>
      </c>
      <c r="G1619" s="3">
        <v>202207</v>
      </c>
      <c r="H1619" s="3" t="s">
        <v>75</v>
      </c>
      <c r="I1619" s="3" t="s">
        <v>76</v>
      </c>
      <c r="J1619" s="3" t="s">
        <v>77</v>
      </c>
      <c r="K1619" s="3" t="s">
        <v>78</v>
      </c>
      <c r="L1619" s="3" t="s">
        <v>97</v>
      </c>
      <c r="M1619" s="3" t="s">
        <v>98</v>
      </c>
      <c r="N1619" s="3" t="s">
        <v>1224</v>
      </c>
      <c r="O1619" s="3" t="s">
        <v>82</v>
      </c>
      <c r="P1619" s="3" t="str">
        <f>"2170817018                    "</f>
        <v xml:space="preserve">2170817018                    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0</v>
      </c>
      <c r="AJ1619" s="3">
        <v>0</v>
      </c>
      <c r="AK1619" s="3">
        <v>17.87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v>0</v>
      </c>
      <c r="BA1619" s="3">
        <v>0</v>
      </c>
      <c r="BB1619" s="3">
        <v>0</v>
      </c>
      <c r="BC1619" s="3">
        <v>0</v>
      </c>
      <c r="BD1619" s="3">
        <v>0</v>
      </c>
      <c r="BE1619" s="3">
        <v>0</v>
      </c>
      <c r="BF1619" s="3">
        <v>0</v>
      </c>
      <c r="BG1619" s="3">
        <v>0</v>
      </c>
      <c r="BH1619" s="3">
        <v>1</v>
      </c>
      <c r="BI1619" s="3">
        <v>10</v>
      </c>
      <c r="BJ1619" s="3">
        <v>3.2</v>
      </c>
      <c r="BK1619" s="3">
        <v>10</v>
      </c>
      <c r="BL1619" s="3">
        <v>68.2</v>
      </c>
      <c r="BM1619" s="3">
        <v>10.23</v>
      </c>
      <c r="BN1619" s="3">
        <v>78.430000000000007</v>
      </c>
      <c r="BO1619" s="3">
        <v>78.430000000000007</v>
      </c>
      <c r="BR1619" s="3" t="s">
        <v>84</v>
      </c>
      <c r="BS1619" s="4">
        <v>44581</v>
      </c>
      <c r="BT1619" s="5">
        <v>0.32708333333333334</v>
      </c>
      <c r="BU1619" s="3" t="s">
        <v>1900</v>
      </c>
      <c r="BV1619" s="3" t="s">
        <v>105</v>
      </c>
      <c r="BY1619" s="3">
        <v>15750</v>
      </c>
      <c r="CA1619" s="3" t="s">
        <v>1703</v>
      </c>
      <c r="CC1619" s="3" t="s">
        <v>98</v>
      </c>
      <c r="CD1619" s="3">
        <v>2093</v>
      </c>
      <c r="CE1619" s="3" t="s">
        <v>86</v>
      </c>
      <c r="CF1619" s="4">
        <v>44582</v>
      </c>
      <c r="CI1619" s="3">
        <v>1</v>
      </c>
      <c r="CJ1619" s="3">
        <v>1</v>
      </c>
      <c r="CK1619" s="3">
        <v>22</v>
      </c>
      <c r="CL1619" s="3" t="s">
        <v>87</v>
      </c>
    </row>
    <row r="1620" spans="1:90" x14ac:dyDescent="0.2">
      <c r="A1620" s="3" t="s">
        <v>72</v>
      </c>
      <c r="B1620" s="3" t="s">
        <v>73</v>
      </c>
      <c r="C1620" s="3" t="s">
        <v>74</v>
      </c>
      <c r="E1620" s="3" t="str">
        <f>"FES1162845950"</f>
        <v>FES1162845950</v>
      </c>
      <c r="F1620" s="4">
        <v>44580</v>
      </c>
      <c r="G1620" s="3">
        <v>202207</v>
      </c>
      <c r="H1620" s="3" t="s">
        <v>75</v>
      </c>
      <c r="I1620" s="3" t="s">
        <v>76</v>
      </c>
      <c r="J1620" s="3" t="s">
        <v>77</v>
      </c>
      <c r="K1620" s="3" t="s">
        <v>78</v>
      </c>
      <c r="L1620" s="3" t="s">
        <v>171</v>
      </c>
      <c r="M1620" s="3" t="s">
        <v>172</v>
      </c>
      <c r="N1620" s="3" t="s">
        <v>249</v>
      </c>
      <c r="O1620" s="3" t="s">
        <v>82</v>
      </c>
      <c r="P1620" s="3" t="str">
        <f>"2170803459                    "</f>
        <v xml:space="preserve">2170803459                    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0</v>
      </c>
      <c r="AJ1620" s="3">
        <v>0</v>
      </c>
      <c r="AK1620" s="3">
        <v>46.36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0</v>
      </c>
      <c r="BF1620" s="3">
        <v>0</v>
      </c>
      <c r="BG1620" s="3">
        <v>0</v>
      </c>
      <c r="BH1620" s="3">
        <v>1</v>
      </c>
      <c r="BI1620" s="3">
        <v>6</v>
      </c>
      <c r="BJ1620" s="3">
        <v>2.6</v>
      </c>
      <c r="BK1620" s="3">
        <v>6</v>
      </c>
      <c r="BL1620" s="3">
        <v>176.94</v>
      </c>
      <c r="BM1620" s="3">
        <v>26.54</v>
      </c>
      <c r="BN1620" s="3">
        <v>203.48</v>
      </c>
      <c r="BO1620" s="3">
        <v>203.48</v>
      </c>
      <c r="BQ1620" s="3" t="s">
        <v>89</v>
      </c>
      <c r="BR1620" s="3" t="s">
        <v>84</v>
      </c>
      <c r="BS1620" s="4">
        <v>44581</v>
      </c>
      <c r="BT1620" s="5">
        <v>0.41666666666666669</v>
      </c>
      <c r="BU1620" s="3" t="s">
        <v>1484</v>
      </c>
      <c r="BV1620" s="3" t="s">
        <v>105</v>
      </c>
      <c r="BY1620" s="3">
        <v>12870</v>
      </c>
      <c r="CC1620" s="3" t="s">
        <v>172</v>
      </c>
      <c r="CD1620" s="3">
        <v>6001</v>
      </c>
      <c r="CE1620" s="3" t="s">
        <v>86</v>
      </c>
      <c r="CF1620" s="4">
        <v>44582</v>
      </c>
      <c r="CI1620" s="3">
        <v>1</v>
      </c>
      <c r="CJ1620" s="3">
        <v>1</v>
      </c>
      <c r="CK1620" s="3">
        <v>21</v>
      </c>
      <c r="CL1620" s="3" t="s">
        <v>87</v>
      </c>
    </row>
    <row r="1621" spans="1:90" x14ac:dyDescent="0.2">
      <c r="A1621" s="3" t="s">
        <v>72</v>
      </c>
      <c r="B1621" s="3" t="s">
        <v>73</v>
      </c>
      <c r="C1621" s="3" t="s">
        <v>74</v>
      </c>
      <c r="E1621" s="3" t="str">
        <f>"009942045026"</f>
        <v>009942045026</v>
      </c>
      <c r="F1621" s="4">
        <v>44580</v>
      </c>
      <c r="G1621" s="3">
        <v>202207</v>
      </c>
      <c r="H1621" s="3" t="s">
        <v>75</v>
      </c>
      <c r="I1621" s="3" t="s">
        <v>76</v>
      </c>
      <c r="J1621" s="3" t="s">
        <v>77</v>
      </c>
      <c r="K1621" s="3" t="s">
        <v>78</v>
      </c>
      <c r="L1621" s="3" t="s">
        <v>1271</v>
      </c>
      <c r="M1621" s="3" t="s">
        <v>1272</v>
      </c>
      <c r="N1621" s="3" t="s">
        <v>1273</v>
      </c>
      <c r="O1621" s="3" t="s">
        <v>82</v>
      </c>
      <c r="P1621" s="3" t="str">
        <f>"1162845033                    "</f>
        <v xml:space="preserve">1162845033                    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0</v>
      </c>
      <c r="AJ1621" s="3">
        <v>0</v>
      </c>
      <c r="AK1621" s="3">
        <v>117.02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1</v>
      </c>
      <c r="BI1621" s="3">
        <v>11</v>
      </c>
      <c r="BJ1621" s="3">
        <v>5.6</v>
      </c>
      <c r="BK1621" s="3">
        <v>11</v>
      </c>
      <c r="BL1621" s="3">
        <v>446.64</v>
      </c>
      <c r="BM1621" s="3">
        <v>67</v>
      </c>
      <c r="BN1621" s="3">
        <v>513.64</v>
      </c>
      <c r="BO1621" s="3">
        <v>513.64</v>
      </c>
      <c r="BQ1621" s="3" t="s">
        <v>83</v>
      </c>
      <c r="BR1621" s="3" t="s">
        <v>84</v>
      </c>
      <c r="BS1621" s="4">
        <v>44581</v>
      </c>
      <c r="BT1621" s="5">
        <v>0.4069444444444445</v>
      </c>
      <c r="BU1621" s="3" t="s">
        <v>1901</v>
      </c>
      <c r="BV1621" s="3" t="s">
        <v>105</v>
      </c>
      <c r="BY1621" s="3">
        <v>28033</v>
      </c>
      <c r="CA1621" s="3" t="s">
        <v>1902</v>
      </c>
      <c r="CC1621" s="3" t="s">
        <v>1272</v>
      </c>
      <c r="CD1621" s="3">
        <v>1438</v>
      </c>
      <c r="CE1621" s="3" t="s">
        <v>86</v>
      </c>
      <c r="CF1621" s="4">
        <v>44582</v>
      </c>
      <c r="CI1621" s="3">
        <v>1</v>
      </c>
      <c r="CJ1621" s="3">
        <v>1</v>
      </c>
      <c r="CK1621" s="3">
        <v>24</v>
      </c>
      <c r="CL1621" s="3" t="s">
        <v>87</v>
      </c>
    </row>
    <row r="1622" spans="1:90" x14ac:dyDescent="0.2">
      <c r="A1622" s="3" t="s">
        <v>72</v>
      </c>
      <c r="B1622" s="3" t="s">
        <v>73</v>
      </c>
      <c r="C1622" s="3" t="s">
        <v>74</v>
      </c>
      <c r="E1622" s="3" t="str">
        <f>"FES1162846026"</f>
        <v>FES1162846026</v>
      </c>
      <c r="F1622" s="4">
        <v>44581</v>
      </c>
      <c r="G1622" s="3">
        <v>202207</v>
      </c>
      <c r="H1622" s="3" t="s">
        <v>75</v>
      </c>
      <c r="I1622" s="3" t="s">
        <v>76</v>
      </c>
      <c r="J1622" s="3" t="s">
        <v>77</v>
      </c>
      <c r="K1622" s="3" t="s">
        <v>78</v>
      </c>
      <c r="L1622" s="3" t="s">
        <v>90</v>
      </c>
      <c r="M1622" s="3" t="s">
        <v>91</v>
      </c>
      <c r="N1622" s="3" t="s">
        <v>1903</v>
      </c>
      <c r="O1622" s="3" t="s">
        <v>82</v>
      </c>
      <c r="P1622" s="3" t="str">
        <f>"2170817469                    "</f>
        <v xml:space="preserve">2170817469                    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0</v>
      </c>
      <c r="AJ1622" s="3">
        <v>0</v>
      </c>
      <c r="AK1622" s="3">
        <v>15.46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0</v>
      </c>
      <c r="BC1622" s="3">
        <v>0</v>
      </c>
      <c r="BD1622" s="3">
        <v>0</v>
      </c>
      <c r="BE1622" s="3">
        <v>0</v>
      </c>
      <c r="BF1622" s="3">
        <v>0</v>
      </c>
      <c r="BG1622" s="3">
        <v>0</v>
      </c>
      <c r="BH1622" s="3">
        <v>1</v>
      </c>
      <c r="BI1622" s="3">
        <v>2</v>
      </c>
      <c r="BJ1622" s="3">
        <v>0.2</v>
      </c>
      <c r="BK1622" s="3">
        <v>2</v>
      </c>
      <c r="BL1622" s="3">
        <v>59</v>
      </c>
      <c r="BM1622" s="3">
        <v>8.85</v>
      </c>
      <c r="BN1622" s="3">
        <v>67.849999999999994</v>
      </c>
      <c r="BO1622" s="3">
        <v>67.849999999999994</v>
      </c>
      <c r="BQ1622" s="3" t="s">
        <v>83</v>
      </c>
      <c r="BR1622" s="3" t="s">
        <v>84</v>
      </c>
      <c r="BS1622" s="4">
        <v>44582</v>
      </c>
      <c r="BT1622" s="5">
        <v>0.41666666666666669</v>
      </c>
      <c r="BU1622" s="3" t="s">
        <v>1066</v>
      </c>
      <c r="BV1622" s="3" t="s">
        <v>105</v>
      </c>
      <c r="BY1622" s="3">
        <v>1200</v>
      </c>
      <c r="CC1622" s="3" t="s">
        <v>91</v>
      </c>
      <c r="CD1622" s="3">
        <v>7800</v>
      </c>
      <c r="CE1622" s="3" t="s">
        <v>93</v>
      </c>
      <c r="CF1622" s="4">
        <v>44585</v>
      </c>
      <c r="CI1622" s="3">
        <v>1</v>
      </c>
      <c r="CJ1622" s="3">
        <v>1</v>
      </c>
      <c r="CK1622" s="3">
        <v>21</v>
      </c>
      <c r="CL1622" s="3" t="s">
        <v>87</v>
      </c>
    </row>
    <row r="1623" spans="1:90" x14ac:dyDescent="0.2">
      <c r="A1623" s="3" t="s">
        <v>72</v>
      </c>
      <c r="B1623" s="3" t="s">
        <v>73</v>
      </c>
      <c r="C1623" s="3" t="s">
        <v>74</v>
      </c>
      <c r="E1623" s="3" t="str">
        <f>"FES1162846014"</f>
        <v>FES1162846014</v>
      </c>
      <c r="F1623" s="4">
        <v>44581</v>
      </c>
      <c r="G1623" s="3">
        <v>202207</v>
      </c>
      <c r="H1623" s="3" t="s">
        <v>75</v>
      </c>
      <c r="I1623" s="3" t="s">
        <v>76</v>
      </c>
      <c r="J1623" s="3" t="s">
        <v>77</v>
      </c>
      <c r="K1623" s="3" t="s">
        <v>78</v>
      </c>
      <c r="L1623" s="3" t="s">
        <v>101</v>
      </c>
      <c r="M1623" s="3" t="s">
        <v>102</v>
      </c>
      <c r="N1623" s="3" t="s">
        <v>340</v>
      </c>
      <c r="O1623" s="3" t="s">
        <v>82</v>
      </c>
      <c r="P1623" s="3" t="str">
        <f>"2170817447                    "</f>
        <v xml:space="preserve">2170817447                    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0</v>
      </c>
      <c r="AJ1623" s="3">
        <v>0</v>
      </c>
      <c r="AK1623" s="3">
        <v>15.46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0</v>
      </c>
      <c r="BC1623" s="3">
        <v>0</v>
      </c>
      <c r="BD1623" s="3">
        <v>0</v>
      </c>
      <c r="BE1623" s="3">
        <v>0</v>
      </c>
      <c r="BF1623" s="3">
        <v>0</v>
      </c>
      <c r="BG1623" s="3">
        <v>0</v>
      </c>
      <c r="BH1623" s="3">
        <v>1</v>
      </c>
      <c r="BI1623" s="3">
        <v>1</v>
      </c>
      <c r="BJ1623" s="3">
        <v>0.2</v>
      </c>
      <c r="BK1623" s="3">
        <v>1</v>
      </c>
      <c r="BL1623" s="3">
        <v>59</v>
      </c>
      <c r="BM1623" s="3">
        <v>8.85</v>
      </c>
      <c r="BN1623" s="3">
        <v>67.849999999999994</v>
      </c>
      <c r="BO1623" s="3">
        <v>67.849999999999994</v>
      </c>
      <c r="BQ1623" s="3" t="s">
        <v>341</v>
      </c>
      <c r="BR1623" s="3" t="s">
        <v>84</v>
      </c>
      <c r="BS1623" s="4">
        <v>44582</v>
      </c>
      <c r="BT1623" s="5">
        <v>0.36388888888888887</v>
      </c>
      <c r="BU1623" s="3" t="s">
        <v>1835</v>
      </c>
      <c r="BV1623" s="3" t="s">
        <v>105</v>
      </c>
      <c r="BY1623" s="3">
        <v>1200</v>
      </c>
      <c r="CA1623" s="3" t="s">
        <v>343</v>
      </c>
      <c r="CC1623" s="3" t="s">
        <v>102</v>
      </c>
      <c r="CD1623" s="3">
        <v>4001</v>
      </c>
      <c r="CE1623" s="3" t="s">
        <v>93</v>
      </c>
      <c r="CF1623" s="4">
        <v>44585</v>
      </c>
      <c r="CI1623" s="3">
        <v>1</v>
      </c>
      <c r="CJ1623" s="3">
        <v>1</v>
      </c>
      <c r="CK1623" s="3">
        <v>21</v>
      </c>
      <c r="CL1623" s="3" t="s">
        <v>87</v>
      </c>
    </row>
    <row r="1624" spans="1:90" x14ac:dyDescent="0.2">
      <c r="A1624" s="3" t="s">
        <v>72</v>
      </c>
      <c r="B1624" s="3" t="s">
        <v>73</v>
      </c>
      <c r="C1624" s="3" t="s">
        <v>74</v>
      </c>
      <c r="E1624" s="3" t="str">
        <f>"FES1162846068"</f>
        <v>FES1162846068</v>
      </c>
      <c r="F1624" s="4">
        <v>44581</v>
      </c>
      <c r="G1624" s="3">
        <v>202207</v>
      </c>
      <c r="H1624" s="3" t="s">
        <v>75</v>
      </c>
      <c r="I1624" s="3" t="s">
        <v>76</v>
      </c>
      <c r="J1624" s="3" t="s">
        <v>77</v>
      </c>
      <c r="K1624" s="3" t="s">
        <v>78</v>
      </c>
      <c r="L1624" s="3" t="s">
        <v>138</v>
      </c>
      <c r="M1624" s="3" t="s">
        <v>139</v>
      </c>
      <c r="N1624" s="3" t="s">
        <v>238</v>
      </c>
      <c r="O1624" s="3" t="s">
        <v>82</v>
      </c>
      <c r="P1624" s="3" t="str">
        <f>"2170817535                    "</f>
        <v xml:space="preserve">2170817535                    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0</v>
      </c>
      <c r="AJ1624" s="3">
        <v>0</v>
      </c>
      <c r="AK1624" s="3">
        <v>15.46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1</v>
      </c>
      <c r="BI1624" s="3">
        <v>1</v>
      </c>
      <c r="BJ1624" s="3">
        <v>0.2</v>
      </c>
      <c r="BK1624" s="3">
        <v>1</v>
      </c>
      <c r="BL1624" s="3">
        <v>59</v>
      </c>
      <c r="BM1624" s="3">
        <v>8.85</v>
      </c>
      <c r="BN1624" s="3">
        <v>67.849999999999994</v>
      </c>
      <c r="BO1624" s="3">
        <v>67.849999999999994</v>
      </c>
      <c r="BQ1624" s="3" t="s">
        <v>89</v>
      </c>
      <c r="BR1624" s="3" t="s">
        <v>84</v>
      </c>
      <c r="BS1624" s="4">
        <v>44582</v>
      </c>
      <c r="BT1624" s="5">
        <v>0.36458333333333331</v>
      </c>
      <c r="BU1624" s="3" t="s">
        <v>469</v>
      </c>
      <c r="BV1624" s="3" t="s">
        <v>105</v>
      </c>
      <c r="BY1624" s="3">
        <v>1200</v>
      </c>
      <c r="CA1624" s="3" t="s">
        <v>303</v>
      </c>
      <c r="CC1624" s="3" t="s">
        <v>139</v>
      </c>
      <c r="CD1624" s="3">
        <v>3610</v>
      </c>
      <c r="CE1624" s="3" t="s">
        <v>93</v>
      </c>
      <c r="CF1624" s="4">
        <v>44585</v>
      </c>
      <c r="CI1624" s="3">
        <v>1</v>
      </c>
      <c r="CJ1624" s="3">
        <v>1</v>
      </c>
      <c r="CK1624" s="3">
        <v>21</v>
      </c>
      <c r="CL1624" s="3" t="s">
        <v>87</v>
      </c>
    </row>
    <row r="1625" spans="1:90" x14ac:dyDescent="0.2">
      <c r="A1625" s="3" t="s">
        <v>72</v>
      </c>
      <c r="B1625" s="3" t="s">
        <v>73</v>
      </c>
      <c r="C1625" s="3" t="s">
        <v>74</v>
      </c>
      <c r="E1625" s="3" t="str">
        <f>"FES1162846023"</f>
        <v>FES1162846023</v>
      </c>
      <c r="F1625" s="4">
        <v>44581</v>
      </c>
      <c r="G1625" s="3">
        <v>202207</v>
      </c>
      <c r="H1625" s="3" t="s">
        <v>75</v>
      </c>
      <c r="I1625" s="3" t="s">
        <v>76</v>
      </c>
      <c r="J1625" s="3" t="s">
        <v>77</v>
      </c>
      <c r="K1625" s="3" t="s">
        <v>78</v>
      </c>
      <c r="L1625" s="3" t="s">
        <v>101</v>
      </c>
      <c r="M1625" s="3" t="s">
        <v>102</v>
      </c>
      <c r="N1625" s="3" t="s">
        <v>340</v>
      </c>
      <c r="O1625" s="3" t="s">
        <v>82</v>
      </c>
      <c r="P1625" s="3" t="str">
        <f>"2170817448                    "</f>
        <v xml:space="preserve">2170817448                    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0</v>
      </c>
      <c r="AJ1625" s="3">
        <v>0</v>
      </c>
      <c r="AK1625" s="3">
        <v>15.46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0</v>
      </c>
      <c r="BF1625" s="3">
        <v>0</v>
      </c>
      <c r="BG1625" s="3">
        <v>0</v>
      </c>
      <c r="BH1625" s="3">
        <v>1</v>
      </c>
      <c r="BI1625" s="3">
        <v>1</v>
      </c>
      <c r="BJ1625" s="3">
        <v>0.2</v>
      </c>
      <c r="BK1625" s="3">
        <v>1</v>
      </c>
      <c r="BL1625" s="3">
        <v>59</v>
      </c>
      <c r="BM1625" s="3">
        <v>8.85</v>
      </c>
      <c r="BN1625" s="3">
        <v>67.849999999999994</v>
      </c>
      <c r="BO1625" s="3">
        <v>67.849999999999994</v>
      </c>
      <c r="BQ1625" s="3" t="s">
        <v>341</v>
      </c>
      <c r="BR1625" s="3" t="s">
        <v>84</v>
      </c>
      <c r="BS1625" s="4">
        <v>44582</v>
      </c>
      <c r="BT1625" s="5">
        <v>0.36319444444444443</v>
      </c>
      <c r="BU1625" s="3" t="s">
        <v>1835</v>
      </c>
      <c r="BV1625" s="3" t="s">
        <v>105</v>
      </c>
      <c r="BY1625" s="3">
        <v>1200</v>
      </c>
      <c r="CA1625" s="3" t="s">
        <v>343</v>
      </c>
      <c r="CC1625" s="3" t="s">
        <v>102</v>
      </c>
      <c r="CD1625" s="3">
        <v>4001</v>
      </c>
      <c r="CE1625" s="3" t="s">
        <v>93</v>
      </c>
      <c r="CF1625" s="4">
        <v>44585</v>
      </c>
      <c r="CI1625" s="3">
        <v>1</v>
      </c>
      <c r="CJ1625" s="3">
        <v>1</v>
      </c>
      <c r="CK1625" s="3">
        <v>21</v>
      </c>
      <c r="CL1625" s="3" t="s">
        <v>87</v>
      </c>
    </row>
    <row r="1626" spans="1:90" x14ac:dyDescent="0.2">
      <c r="A1626" s="3" t="s">
        <v>72</v>
      </c>
      <c r="B1626" s="3" t="s">
        <v>73</v>
      </c>
      <c r="C1626" s="3" t="s">
        <v>74</v>
      </c>
      <c r="E1626" s="3" t="str">
        <f>"FES1162846029"</f>
        <v>FES1162846029</v>
      </c>
      <c r="F1626" s="4">
        <v>44581</v>
      </c>
      <c r="G1626" s="3">
        <v>202207</v>
      </c>
      <c r="H1626" s="3" t="s">
        <v>75</v>
      </c>
      <c r="I1626" s="3" t="s">
        <v>76</v>
      </c>
      <c r="J1626" s="3" t="s">
        <v>77</v>
      </c>
      <c r="K1626" s="3" t="s">
        <v>78</v>
      </c>
      <c r="L1626" s="3" t="s">
        <v>171</v>
      </c>
      <c r="M1626" s="3" t="s">
        <v>172</v>
      </c>
      <c r="N1626" s="3" t="s">
        <v>200</v>
      </c>
      <c r="O1626" s="3" t="s">
        <v>82</v>
      </c>
      <c r="P1626" s="3" t="str">
        <f>"2170817474                    "</f>
        <v xml:space="preserve">2170817474                    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0</v>
      </c>
      <c r="AJ1626" s="3">
        <v>0</v>
      </c>
      <c r="AK1626" s="3">
        <v>15.46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1</v>
      </c>
      <c r="BI1626" s="3">
        <v>1</v>
      </c>
      <c r="BJ1626" s="3">
        <v>0.2</v>
      </c>
      <c r="BK1626" s="3">
        <v>1</v>
      </c>
      <c r="BL1626" s="3">
        <v>59</v>
      </c>
      <c r="BM1626" s="3">
        <v>8.85</v>
      </c>
      <c r="BN1626" s="3">
        <v>67.849999999999994</v>
      </c>
      <c r="BO1626" s="3">
        <v>67.849999999999994</v>
      </c>
      <c r="BQ1626" s="3" t="s">
        <v>89</v>
      </c>
      <c r="BR1626" s="3" t="s">
        <v>84</v>
      </c>
      <c r="BS1626" s="4">
        <v>44582</v>
      </c>
      <c r="BT1626" s="5">
        <v>0.37361111111111112</v>
      </c>
      <c r="BU1626" s="3" t="s">
        <v>813</v>
      </c>
      <c r="BV1626" s="3" t="s">
        <v>105</v>
      </c>
      <c r="BY1626" s="3">
        <v>1200</v>
      </c>
      <c r="CA1626" s="3" t="s">
        <v>814</v>
      </c>
      <c r="CC1626" s="3" t="s">
        <v>172</v>
      </c>
      <c r="CD1626" s="3">
        <v>6001</v>
      </c>
      <c r="CE1626" s="3" t="s">
        <v>93</v>
      </c>
      <c r="CF1626" s="4">
        <v>44582</v>
      </c>
      <c r="CI1626" s="3">
        <v>1</v>
      </c>
      <c r="CJ1626" s="3">
        <v>1</v>
      </c>
      <c r="CK1626" s="3">
        <v>21</v>
      </c>
      <c r="CL1626" s="3" t="s">
        <v>87</v>
      </c>
    </row>
    <row r="1627" spans="1:90" x14ac:dyDescent="0.2">
      <c r="A1627" s="3" t="s">
        <v>72</v>
      </c>
      <c r="B1627" s="3" t="s">
        <v>73</v>
      </c>
      <c r="C1627" s="3" t="s">
        <v>74</v>
      </c>
      <c r="E1627" s="3" t="str">
        <f>"FES1162845989"</f>
        <v>FES1162845989</v>
      </c>
      <c r="F1627" s="4">
        <v>44580</v>
      </c>
      <c r="G1627" s="3">
        <v>202207</v>
      </c>
      <c r="H1627" s="3" t="s">
        <v>75</v>
      </c>
      <c r="I1627" s="3" t="s">
        <v>76</v>
      </c>
      <c r="J1627" s="3" t="s">
        <v>77</v>
      </c>
      <c r="K1627" s="3" t="s">
        <v>78</v>
      </c>
      <c r="L1627" s="3" t="s">
        <v>90</v>
      </c>
      <c r="M1627" s="3" t="s">
        <v>91</v>
      </c>
      <c r="N1627" s="3" t="s">
        <v>541</v>
      </c>
      <c r="O1627" s="3" t="s">
        <v>82</v>
      </c>
      <c r="P1627" s="3" t="str">
        <f>"2170817428                    "</f>
        <v xml:space="preserve">2170817428                    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0</v>
      </c>
      <c r="AJ1627" s="3">
        <v>0</v>
      </c>
      <c r="AK1627" s="3">
        <v>34.770000000000003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0</v>
      </c>
      <c r="BF1627" s="3">
        <v>0</v>
      </c>
      <c r="BG1627" s="3">
        <v>0</v>
      </c>
      <c r="BH1627" s="3">
        <v>1</v>
      </c>
      <c r="BI1627" s="3">
        <v>1</v>
      </c>
      <c r="BJ1627" s="3">
        <v>4.0999999999999996</v>
      </c>
      <c r="BK1627" s="3">
        <v>4.5</v>
      </c>
      <c r="BL1627" s="3">
        <v>132.71</v>
      </c>
      <c r="BM1627" s="3">
        <v>19.91</v>
      </c>
      <c r="BN1627" s="3">
        <v>152.62</v>
      </c>
      <c r="BO1627" s="3">
        <v>152.62</v>
      </c>
      <c r="BQ1627" s="3" t="s">
        <v>89</v>
      </c>
      <c r="BR1627" s="3" t="s">
        <v>84</v>
      </c>
      <c r="BS1627" s="4">
        <v>44581</v>
      </c>
      <c r="BT1627" s="5">
        <v>0.40833333333333338</v>
      </c>
      <c r="BU1627" s="3" t="s">
        <v>1904</v>
      </c>
      <c r="BV1627" s="3" t="s">
        <v>105</v>
      </c>
      <c r="BY1627" s="3">
        <v>20358</v>
      </c>
      <c r="CA1627" s="3" t="s">
        <v>543</v>
      </c>
      <c r="CC1627" s="3" t="s">
        <v>91</v>
      </c>
      <c r="CD1627" s="3">
        <v>7561</v>
      </c>
      <c r="CE1627" s="3" t="s">
        <v>86</v>
      </c>
      <c r="CF1627" s="4">
        <v>44582</v>
      </c>
      <c r="CI1627" s="3">
        <v>1</v>
      </c>
      <c r="CJ1627" s="3">
        <v>1</v>
      </c>
      <c r="CK1627" s="3">
        <v>21</v>
      </c>
      <c r="CL1627" s="3" t="s">
        <v>87</v>
      </c>
    </row>
    <row r="1628" spans="1:90" x14ac:dyDescent="0.2">
      <c r="A1628" s="3" t="s">
        <v>72</v>
      </c>
      <c r="B1628" s="3" t="s">
        <v>73</v>
      </c>
      <c r="C1628" s="3" t="s">
        <v>74</v>
      </c>
      <c r="E1628" s="3" t="str">
        <f>"FES1162845900"</f>
        <v>FES1162845900</v>
      </c>
      <c r="F1628" s="4">
        <v>44580</v>
      </c>
      <c r="G1628" s="3">
        <v>202207</v>
      </c>
      <c r="H1628" s="3" t="s">
        <v>75</v>
      </c>
      <c r="I1628" s="3" t="s">
        <v>76</v>
      </c>
      <c r="J1628" s="3" t="s">
        <v>77</v>
      </c>
      <c r="K1628" s="3" t="s">
        <v>78</v>
      </c>
      <c r="L1628" s="3" t="s">
        <v>101</v>
      </c>
      <c r="M1628" s="3" t="s">
        <v>102</v>
      </c>
      <c r="N1628" s="3" t="s">
        <v>103</v>
      </c>
      <c r="O1628" s="3" t="s">
        <v>82</v>
      </c>
      <c r="P1628" s="3" t="str">
        <f>"2170817344                    "</f>
        <v xml:space="preserve">2170817344                    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15.46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1</v>
      </c>
      <c r="BI1628" s="3">
        <v>1</v>
      </c>
      <c r="BJ1628" s="3">
        <v>0.2</v>
      </c>
      <c r="BK1628" s="3">
        <v>1</v>
      </c>
      <c r="BL1628" s="3">
        <v>59</v>
      </c>
      <c r="BM1628" s="3">
        <v>8.85</v>
      </c>
      <c r="BN1628" s="3">
        <v>67.849999999999994</v>
      </c>
      <c r="BO1628" s="3">
        <v>67.849999999999994</v>
      </c>
      <c r="BQ1628" s="3" t="s">
        <v>83</v>
      </c>
      <c r="BR1628" s="3" t="s">
        <v>84</v>
      </c>
      <c r="BS1628" s="4">
        <v>44581</v>
      </c>
      <c r="BT1628" s="5">
        <v>0.38194444444444442</v>
      </c>
      <c r="BU1628" s="3" t="s">
        <v>463</v>
      </c>
      <c r="BV1628" s="3" t="s">
        <v>105</v>
      </c>
      <c r="BY1628" s="3">
        <v>1200</v>
      </c>
      <c r="CA1628" s="3" t="s">
        <v>334</v>
      </c>
      <c r="CC1628" s="3" t="s">
        <v>102</v>
      </c>
      <c r="CD1628" s="3">
        <v>4001</v>
      </c>
      <c r="CE1628" s="3" t="s">
        <v>93</v>
      </c>
      <c r="CF1628" s="4">
        <v>44582</v>
      </c>
      <c r="CI1628" s="3">
        <v>1</v>
      </c>
      <c r="CJ1628" s="3">
        <v>1</v>
      </c>
      <c r="CK1628" s="3">
        <v>21</v>
      </c>
      <c r="CL1628" s="3" t="s">
        <v>87</v>
      </c>
    </row>
    <row r="1629" spans="1:90" x14ac:dyDescent="0.2">
      <c r="A1629" s="3" t="s">
        <v>72</v>
      </c>
      <c r="B1629" s="3" t="s">
        <v>73</v>
      </c>
      <c r="C1629" s="3" t="s">
        <v>74</v>
      </c>
      <c r="E1629" s="3" t="str">
        <f>"FES1162845990"</f>
        <v>FES1162845990</v>
      </c>
      <c r="F1629" s="4">
        <v>44580</v>
      </c>
      <c r="G1629" s="3">
        <v>202207</v>
      </c>
      <c r="H1629" s="3" t="s">
        <v>75</v>
      </c>
      <c r="I1629" s="3" t="s">
        <v>76</v>
      </c>
      <c r="J1629" s="3" t="s">
        <v>77</v>
      </c>
      <c r="K1629" s="3" t="s">
        <v>78</v>
      </c>
      <c r="L1629" s="3" t="s">
        <v>75</v>
      </c>
      <c r="M1629" s="3" t="s">
        <v>76</v>
      </c>
      <c r="N1629" s="3" t="s">
        <v>1905</v>
      </c>
      <c r="O1629" s="3" t="s">
        <v>82</v>
      </c>
      <c r="P1629" s="3" t="str">
        <f>"2170817433                    "</f>
        <v xml:space="preserve">2170817433                    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12.07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v>0</v>
      </c>
      <c r="BA1629" s="3">
        <v>0</v>
      </c>
      <c r="BB1629" s="3">
        <v>0</v>
      </c>
      <c r="BC1629" s="3">
        <v>0</v>
      </c>
      <c r="BD1629" s="3">
        <v>0</v>
      </c>
      <c r="BE1629" s="3">
        <v>0</v>
      </c>
      <c r="BF1629" s="3">
        <v>0</v>
      </c>
      <c r="BG1629" s="3">
        <v>0</v>
      </c>
      <c r="BH1629" s="3">
        <v>1</v>
      </c>
      <c r="BI1629" s="3">
        <v>4</v>
      </c>
      <c r="BJ1629" s="3">
        <v>2</v>
      </c>
      <c r="BK1629" s="3">
        <v>4</v>
      </c>
      <c r="BL1629" s="3">
        <v>46.08</v>
      </c>
      <c r="BM1629" s="3">
        <v>6.91</v>
      </c>
      <c r="BN1629" s="3">
        <v>52.99</v>
      </c>
      <c r="BO1629" s="3">
        <v>52.99</v>
      </c>
      <c r="BQ1629" s="3" t="s">
        <v>126</v>
      </c>
      <c r="BR1629" s="3" t="s">
        <v>84</v>
      </c>
      <c r="BS1629" s="4">
        <v>44581</v>
      </c>
      <c r="BT1629" s="5">
        <v>0.4201388888888889</v>
      </c>
      <c r="BU1629" s="3" t="s">
        <v>1906</v>
      </c>
      <c r="BV1629" s="3" t="s">
        <v>105</v>
      </c>
      <c r="BY1629" s="3">
        <v>9918</v>
      </c>
      <c r="CA1629" s="3" t="s">
        <v>1293</v>
      </c>
      <c r="CC1629" s="3" t="s">
        <v>76</v>
      </c>
      <c r="CD1629" s="3">
        <v>1645</v>
      </c>
      <c r="CE1629" s="3" t="s">
        <v>86</v>
      </c>
      <c r="CF1629" s="4">
        <v>44582</v>
      </c>
      <c r="CI1629" s="3">
        <v>1</v>
      </c>
      <c r="CJ1629" s="3">
        <v>1</v>
      </c>
      <c r="CK1629" s="3">
        <v>22</v>
      </c>
      <c r="CL1629" s="3" t="s">
        <v>87</v>
      </c>
    </row>
    <row r="1630" spans="1:90" x14ac:dyDescent="0.2">
      <c r="A1630" s="3" t="s">
        <v>72</v>
      </c>
      <c r="B1630" s="3" t="s">
        <v>73</v>
      </c>
      <c r="C1630" s="3" t="s">
        <v>74</v>
      </c>
      <c r="E1630" s="3" t="str">
        <f>"RFES1162844508"</f>
        <v>RFES1162844508</v>
      </c>
      <c r="F1630" s="4">
        <v>44580</v>
      </c>
      <c r="G1630" s="3">
        <v>202207</v>
      </c>
      <c r="H1630" s="3" t="s">
        <v>162</v>
      </c>
      <c r="I1630" s="3" t="s">
        <v>163</v>
      </c>
      <c r="J1630" s="3" t="s">
        <v>636</v>
      </c>
      <c r="K1630" s="3" t="s">
        <v>78</v>
      </c>
      <c r="L1630" s="3" t="s">
        <v>75</v>
      </c>
      <c r="M1630" s="3" t="s">
        <v>76</v>
      </c>
      <c r="N1630" s="3" t="s">
        <v>77</v>
      </c>
      <c r="O1630" s="3" t="s">
        <v>82</v>
      </c>
      <c r="P1630" s="3" t="str">
        <f>"2170815753                    "</f>
        <v xml:space="preserve">2170815753                    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12.07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v>0</v>
      </c>
      <c r="BA1630" s="3">
        <v>0</v>
      </c>
      <c r="BB1630" s="3">
        <v>0</v>
      </c>
      <c r="BC1630" s="3">
        <v>0</v>
      </c>
      <c r="BD1630" s="3">
        <v>0</v>
      </c>
      <c r="BE1630" s="3">
        <v>0</v>
      </c>
      <c r="BF1630" s="3">
        <v>0</v>
      </c>
      <c r="BG1630" s="3">
        <v>0</v>
      </c>
      <c r="BH1630" s="3">
        <v>1</v>
      </c>
      <c r="BI1630" s="3">
        <v>7</v>
      </c>
      <c r="BJ1630" s="3">
        <v>4.0999999999999996</v>
      </c>
      <c r="BK1630" s="3">
        <v>7</v>
      </c>
      <c r="BL1630" s="3">
        <v>46.08</v>
      </c>
      <c r="BM1630" s="3">
        <v>6.91</v>
      </c>
      <c r="BN1630" s="3">
        <v>52.99</v>
      </c>
      <c r="BO1630" s="3">
        <v>52.99</v>
      </c>
      <c r="BQ1630" s="3" t="s">
        <v>84</v>
      </c>
      <c r="BR1630" s="3" t="s">
        <v>637</v>
      </c>
      <c r="BS1630" s="4">
        <v>44588</v>
      </c>
      <c r="BT1630" s="5">
        <v>0.3833333333333333</v>
      </c>
      <c r="BU1630" s="3" t="s">
        <v>1517</v>
      </c>
      <c r="BV1630" s="3" t="s">
        <v>87</v>
      </c>
      <c r="BW1630" s="3" t="s">
        <v>617</v>
      </c>
      <c r="BX1630" s="3" t="s">
        <v>1118</v>
      </c>
      <c r="BY1630" s="3">
        <v>20358</v>
      </c>
      <c r="CA1630" s="3" t="s">
        <v>378</v>
      </c>
      <c r="CC1630" s="3" t="s">
        <v>76</v>
      </c>
      <c r="CD1630" s="3">
        <v>1601</v>
      </c>
      <c r="CE1630" s="3" t="s">
        <v>86</v>
      </c>
      <c r="CF1630" s="4">
        <v>44588</v>
      </c>
      <c r="CI1630" s="3">
        <v>1</v>
      </c>
      <c r="CJ1630" s="3">
        <v>6</v>
      </c>
      <c r="CK1630" s="3">
        <v>22</v>
      </c>
      <c r="CL1630" s="3" t="s">
        <v>87</v>
      </c>
    </row>
    <row r="1631" spans="1:90" x14ac:dyDescent="0.2">
      <c r="A1631" s="3" t="s">
        <v>72</v>
      </c>
      <c r="B1631" s="3" t="s">
        <v>73</v>
      </c>
      <c r="C1631" s="3" t="s">
        <v>74</v>
      </c>
      <c r="E1631" s="3" t="str">
        <f>"FES1162845954"</f>
        <v>FES1162845954</v>
      </c>
      <c r="F1631" s="4">
        <v>44580</v>
      </c>
      <c r="G1631" s="3">
        <v>202207</v>
      </c>
      <c r="H1631" s="3" t="s">
        <v>75</v>
      </c>
      <c r="I1631" s="3" t="s">
        <v>76</v>
      </c>
      <c r="J1631" s="3" t="s">
        <v>77</v>
      </c>
      <c r="K1631" s="3" t="s">
        <v>78</v>
      </c>
      <c r="L1631" s="3" t="s">
        <v>244</v>
      </c>
      <c r="M1631" s="3" t="s">
        <v>245</v>
      </c>
      <c r="N1631" s="3" t="s">
        <v>400</v>
      </c>
      <c r="O1631" s="3" t="s">
        <v>82</v>
      </c>
      <c r="P1631" s="3" t="str">
        <f>"2170813782                    "</f>
        <v xml:space="preserve">2170813782                    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84.05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v>0</v>
      </c>
      <c r="BA1631" s="3">
        <v>0</v>
      </c>
      <c r="BB1631" s="3">
        <v>0</v>
      </c>
      <c r="BC1631" s="3">
        <v>0</v>
      </c>
      <c r="BD1631" s="3">
        <v>0</v>
      </c>
      <c r="BE1631" s="3">
        <v>0</v>
      </c>
      <c r="BF1631" s="3">
        <v>0</v>
      </c>
      <c r="BG1631" s="3">
        <v>0</v>
      </c>
      <c r="BH1631" s="3">
        <v>1</v>
      </c>
      <c r="BI1631" s="3">
        <v>3</v>
      </c>
      <c r="BJ1631" s="3">
        <v>5.7</v>
      </c>
      <c r="BK1631" s="3">
        <v>6</v>
      </c>
      <c r="BL1631" s="3">
        <v>320.81</v>
      </c>
      <c r="BM1631" s="3">
        <v>48.12</v>
      </c>
      <c r="BN1631" s="3">
        <v>368.93</v>
      </c>
      <c r="BO1631" s="3">
        <v>368.93</v>
      </c>
      <c r="BQ1631" s="3" t="s">
        <v>83</v>
      </c>
      <c r="BR1631" s="3" t="s">
        <v>84</v>
      </c>
      <c r="BS1631" s="4">
        <v>44581</v>
      </c>
      <c r="BT1631" s="5">
        <v>0.4381944444444445</v>
      </c>
      <c r="BU1631" s="3" t="s">
        <v>1907</v>
      </c>
      <c r="BV1631" s="3" t="s">
        <v>87</v>
      </c>
      <c r="BW1631" s="3" t="s">
        <v>353</v>
      </c>
      <c r="BX1631" s="3" t="s">
        <v>618</v>
      </c>
      <c r="BY1631" s="3">
        <v>28275</v>
      </c>
      <c r="CA1631" s="3" t="s">
        <v>402</v>
      </c>
      <c r="CC1631" s="3" t="s">
        <v>245</v>
      </c>
      <c r="CD1631" s="3">
        <v>1947</v>
      </c>
      <c r="CE1631" s="3" t="s">
        <v>86</v>
      </c>
      <c r="CF1631" s="4">
        <v>44582</v>
      </c>
      <c r="CI1631" s="3">
        <v>1</v>
      </c>
      <c r="CJ1631" s="3">
        <v>1</v>
      </c>
      <c r="CK1631" s="3">
        <v>23</v>
      </c>
      <c r="CL1631" s="3" t="s">
        <v>87</v>
      </c>
    </row>
    <row r="1632" spans="1:90" x14ac:dyDescent="0.2">
      <c r="A1632" s="3" t="s">
        <v>72</v>
      </c>
      <c r="B1632" s="3" t="s">
        <v>73</v>
      </c>
      <c r="C1632" s="3" t="s">
        <v>74</v>
      </c>
      <c r="E1632" s="3" t="str">
        <f>"FES1162845891"</f>
        <v>FES1162845891</v>
      </c>
      <c r="F1632" s="4">
        <v>44580</v>
      </c>
      <c r="G1632" s="3">
        <v>202207</v>
      </c>
      <c r="H1632" s="3" t="s">
        <v>75</v>
      </c>
      <c r="I1632" s="3" t="s">
        <v>76</v>
      </c>
      <c r="J1632" s="3" t="s">
        <v>77</v>
      </c>
      <c r="K1632" s="3" t="s">
        <v>78</v>
      </c>
      <c r="L1632" s="3" t="s">
        <v>115</v>
      </c>
      <c r="M1632" s="3" t="s">
        <v>116</v>
      </c>
      <c r="N1632" s="3" t="s">
        <v>902</v>
      </c>
      <c r="O1632" s="3" t="s">
        <v>82</v>
      </c>
      <c r="P1632" s="3" t="str">
        <f>"2170817332                    "</f>
        <v xml:space="preserve">2170817332                    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12.07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0</v>
      </c>
      <c r="BF1632" s="3">
        <v>0</v>
      </c>
      <c r="BG1632" s="3">
        <v>0</v>
      </c>
      <c r="BH1632" s="3">
        <v>1</v>
      </c>
      <c r="BI1632" s="3">
        <v>1</v>
      </c>
      <c r="BJ1632" s="3">
        <v>0.2</v>
      </c>
      <c r="BK1632" s="3">
        <v>1</v>
      </c>
      <c r="BL1632" s="3">
        <v>46.08</v>
      </c>
      <c r="BM1632" s="3">
        <v>6.91</v>
      </c>
      <c r="BN1632" s="3">
        <v>52.99</v>
      </c>
      <c r="BO1632" s="3">
        <v>52.99</v>
      </c>
      <c r="BQ1632" s="3" t="s">
        <v>83</v>
      </c>
      <c r="BR1632" s="3" t="s">
        <v>84</v>
      </c>
      <c r="BS1632" s="4">
        <v>44581</v>
      </c>
      <c r="BT1632" s="5">
        <v>0.29236111111111113</v>
      </c>
      <c r="BU1632" s="3" t="s">
        <v>903</v>
      </c>
      <c r="BV1632" s="3" t="s">
        <v>105</v>
      </c>
      <c r="BY1632" s="3">
        <v>1200</v>
      </c>
      <c r="CA1632" s="3" t="s">
        <v>119</v>
      </c>
      <c r="CC1632" s="3" t="s">
        <v>116</v>
      </c>
      <c r="CD1632" s="3">
        <v>1559</v>
      </c>
      <c r="CE1632" s="3" t="s">
        <v>93</v>
      </c>
      <c r="CF1632" s="4">
        <v>44581</v>
      </c>
      <c r="CI1632" s="3">
        <v>1</v>
      </c>
      <c r="CJ1632" s="3">
        <v>1</v>
      </c>
      <c r="CK1632" s="3">
        <v>22</v>
      </c>
      <c r="CL1632" s="3" t="s">
        <v>87</v>
      </c>
    </row>
    <row r="1633" spans="1:90" x14ac:dyDescent="0.2">
      <c r="A1633" s="3" t="s">
        <v>72</v>
      </c>
      <c r="B1633" s="3" t="s">
        <v>73</v>
      </c>
      <c r="C1633" s="3" t="s">
        <v>74</v>
      </c>
      <c r="E1633" s="3" t="str">
        <f>"FES1162845883"</f>
        <v>FES1162845883</v>
      </c>
      <c r="F1633" s="4">
        <v>44580</v>
      </c>
      <c r="G1633" s="3">
        <v>202207</v>
      </c>
      <c r="H1633" s="3" t="s">
        <v>75</v>
      </c>
      <c r="I1633" s="3" t="s">
        <v>76</v>
      </c>
      <c r="J1633" s="3" t="s">
        <v>77</v>
      </c>
      <c r="K1633" s="3" t="s">
        <v>78</v>
      </c>
      <c r="L1633" s="3" t="s">
        <v>472</v>
      </c>
      <c r="M1633" s="3" t="s">
        <v>473</v>
      </c>
      <c r="N1633" s="3" t="s">
        <v>474</v>
      </c>
      <c r="O1633" s="3" t="s">
        <v>82</v>
      </c>
      <c r="P1633" s="3" t="str">
        <f>"2170817322                    "</f>
        <v xml:space="preserve">2170817322                    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29.95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v>0</v>
      </c>
      <c r="BA1633" s="3">
        <v>0</v>
      </c>
      <c r="BB1633" s="3">
        <v>0</v>
      </c>
      <c r="BC1633" s="3">
        <v>0</v>
      </c>
      <c r="BD1633" s="3">
        <v>0</v>
      </c>
      <c r="BE1633" s="3">
        <v>0</v>
      </c>
      <c r="BF1633" s="3">
        <v>0</v>
      </c>
      <c r="BG1633" s="3">
        <v>0</v>
      </c>
      <c r="BH1633" s="3">
        <v>1</v>
      </c>
      <c r="BI1633" s="3">
        <v>1</v>
      </c>
      <c r="BJ1633" s="3">
        <v>0.2</v>
      </c>
      <c r="BK1633" s="3">
        <v>1</v>
      </c>
      <c r="BL1633" s="3">
        <v>114.31</v>
      </c>
      <c r="BM1633" s="3">
        <v>17.149999999999999</v>
      </c>
      <c r="BN1633" s="3">
        <v>131.46</v>
      </c>
      <c r="BO1633" s="3">
        <v>131.46</v>
      </c>
      <c r="BQ1633" s="3" t="s">
        <v>83</v>
      </c>
      <c r="BR1633" s="3" t="s">
        <v>84</v>
      </c>
      <c r="BS1633" s="4">
        <v>44582</v>
      </c>
      <c r="BT1633" s="5">
        <v>0.41736111111111113</v>
      </c>
      <c r="BU1633" s="3" t="s">
        <v>1908</v>
      </c>
      <c r="BV1633" s="3" t="s">
        <v>87</v>
      </c>
      <c r="BW1633" s="3" t="s">
        <v>457</v>
      </c>
      <c r="BX1633" s="3" t="s">
        <v>605</v>
      </c>
      <c r="BY1633" s="3">
        <v>1200</v>
      </c>
      <c r="CA1633" s="3" t="s">
        <v>831</v>
      </c>
      <c r="CC1633" s="3" t="s">
        <v>473</v>
      </c>
      <c r="CD1633" s="3">
        <v>5257</v>
      </c>
      <c r="CE1633" s="3" t="s">
        <v>93</v>
      </c>
      <c r="CF1633" s="4">
        <v>44582</v>
      </c>
      <c r="CI1633" s="3">
        <v>1</v>
      </c>
      <c r="CJ1633" s="3">
        <v>2</v>
      </c>
      <c r="CK1633" s="3">
        <v>23</v>
      </c>
      <c r="CL1633" s="3" t="s">
        <v>87</v>
      </c>
    </row>
    <row r="1634" spans="1:90" x14ac:dyDescent="0.2">
      <c r="A1634" s="3" t="s">
        <v>72</v>
      </c>
      <c r="B1634" s="3" t="s">
        <v>73</v>
      </c>
      <c r="C1634" s="3" t="s">
        <v>74</v>
      </c>
      <c r="E1634" s="3" t="str">
        <f>"FES1162845890"</f>
        <v>FES1162845890</v>
      </c>
      <c r="F1634" s="4">
        <v>44580</v>
      </c>
      <c r="G1634" s="3">
        <v>202207</v>
      </c>
      <c r="H1634" s="3" t="s">
        <v>75</v>
      </c>
      <c r="I1634" s="3" t="s">
        <v>76</v>
      </c>
      <c r="J1634" s="3" t="s">
        <v>77</v>
      </c>
      <c r="K1634" s="3" t="s">
        <v>78</v>
      </c>
      <c r="L1634" s="3" t="s">
        <v>115</v>
      </c>
      <c r="M1634" s="3" t="s">
        <v>116</v>
      </c>
      <c r="N1634" s="3" t="s">
        <v>902</v>
      </c>
      <c r="O1634" s="3" t="s">
        <v>82</v>
      </c>
      <c r="P1634" s="3" t="str">
        <f>"2170817331                    "</f>
        <v xml:space="preserve">2170817331                    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12.07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v>0</v>
      </c>
      <c r="BA1634" s="3">
        <v>0</v>
      </c>
      <c r="BB1634" s="3">
        <v>0</v>
      </c>
      <c r="BC1634" s="3">
        <v>0</v>
      </c>
      <c r="BD1634" s="3">
        <v>0</v>
      </c>
      <c r="BE1634" s="3">
        <v>0</v>
      </c>
      <c r="BF1634" s="3">
        <v>0</v>
      </c>
      <c r="BG1634" s="3">
        <v>0</v>
      </c>
      <c r="BH1634" s="3">
        <v>1</v>
      </c>
      <c r="BI1634" s="3">
        <v>1</v>
      </c>
      <c r="BJ1634" s="3">
        <v>0.2</v>
      </c>
      <c r="BK1634" s="3">
        <v>1</v>
      </c>
      <c r="BL1634" s="3">
        <v>46.08</v>
      </c>
      <c r="BM1634" s="3">
        <v>6.91</v>
      </c>
      <c r="BN1634" s="3">
        <v>52.99</v>
      </c>
      <c r="BO1634" s="3">
        <v>52.99</v>
      </c>
      <c r="BQ1634" s="3" t="s">
        <v>83</v>
      </c>
      <c r="BR1634" s="3" t="s">
        <v>84</v>
      </c>
      <c r="BS1634" s="4">
        <v>44581</v>
      </c>
      <c r="BT1634" s="5">
        <v>0.29236111111111113</v>
      </c>
      <c r="BU1634" s="3" t="s">
        <v>903</v>
      </c>
      <c r="BV1634" s="3" t="s">
        <v>105</v>
      </c>
      <c r="BY1634" s="3">
        <v>1200</v>
      </c>
      <c r="CA1634" s="3" t="s">
        <v>119</v>
      </c>
      <c r="CC1634" s="3" t="s">
        <v>116</v>
      </c>
      <c r="CD1634" s="3">
        <v>1559</v>
      </c>
      <c r="CE1634" s="3" t="s">
        <v>93</v>
      </c>
      <c r="CF1634" s="4">
        <v>44581</v>
      </c>
      <c r="CI1634" s="3">
        <v>1</v>
      </c>
      <c r="CJ1634" s="3">
        <v>1</v>
      </c>
      <c r="CK1634" s="3">
        <v>22</v>
      </c>
      <c r="CL1634" s="3" t="s">
        <v>87</v>
      </c>
    </row>
    <row r="1635" spans="1:90" x14ac:dyDescent="0.2">
      <c r="A1635" s="3" t="s">
        <v>72</v>
      </c>
      <c r="B1635" s="3" t="s">
        <v>73</v>
      </c>
      <c r="C1635" s="3" t="s">
        <v>74</v>
      </c>
      <c r="E1635" s="3" t="str">
        <f>"FES1162845984"</f>
        <v>FES1162845984</v>
      </c>
      <c r="F1635" s="4">
        <v>44580</v>
      </c>
      <c r="G1635" s="3">
        <v>202207</v>
      </c>
      <c r="H1635" s="3" t="s">
        <v>75</v>
      </c>
      <c r="I1635" s="3" t="s">
        <v>76</v>
      </c>
      <c r="J1635" s="3" t="s">
        <v>77</v>
      </c>
      <c r="K1635" s="3" t="s">
        <v>78</v>
      </c>
      <c r="L1635" s="3" t="s">
        <v>75</v>
      </c>
      <c r="M1635" s="3" t="s">
        <v>76</v>
      </c>
      <c r="N1635" s="3" t="s">
        <v>688</v>
      </c>
      <c r="O1635" s="3" t="s">
        <v>82</v>
      </c>
      <c r="P1635" s="3" t="str">
        <f>"2170817427                    "</f>
        <v xml:space="preserve">2170817427                    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12.07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1</v>
      </c>
      <c r="BI1635" s="3">
        <v>1</v>
      </c>
      <c r="BJ1635" s="3">
        <v>1.1000000000000001</v>
      </c>
      <c r="BK1635" s="3">
        <v>1.5</v>
      </c>
      <c r="BL1635" s="3">
        <v>46.08</v>
      </c>
      <c r="BM1635" s="3">
        <v>6.91</v>
      </c>
      <c r="BN1635" s="3">
        <v>52.99</v>
      </c>
      <c r="BO1635" s="3">
        <v>52.99</v>
      </c>
      <c r="BQ1635" s="3" t="s">
        <v>83</v>
      </c>
      <c r="BR1635" s="3" t="s">
        <v>84</v>
      </c>
      <c r="BS1635" s="4">
        <v>44581</v>
      </c>
      <c r="BT1635" s="5">
        <v>0.30763888888888891</v>
      </c>
      <c r="BU1635" s="3" t="s">
        <v>1016</v>
      </c>
      <c r="BV1635" s="3" t="s">
        <v>105</v>
      </c>
      <c r="BY1635" s="3">
        <v>5320</v>
      </c>
      <c r="CA1635" s="3" t="s">
        <v>227</v>
      </c>
      <c r="CC1635" s="3" t="s">
        <v>76</v>
      </c>
      <c r="CD1635" s="3">
        <v>1620</v>
      </c>
      <c r="CE1635" s="3" t="s">
        <v>86</v>
      </c>
      <c r="CF1635" s="4">
        <v>44581</v>
      </c>
      <c r="CI1635" s="3">
        <v>1</v>
      </c>
      <c r="CJ1635" s="3">
        <v>1</v>
      </c>
      <c r="CK1635" s="3">
        <v>22</v>
      </c>
      <c r="CL1635" s="3" t="s">
        <v>87</v>
      </c>
    </row>
    <row r="1636" spans="1:90" x14ac:dyDescent="0.2">
      <c r="A1636" s="3" t="s">
        <v>72</v>
      </c>
      <c r="B1636" s="3" t="s">
        <v>73</v>
      </c>
      <c r="C1636" s="3" t="s">
        <v>74</v>
      </c>
      <c r="E1636" s="3" t="str">
        <f>"FES1162845934"</f>
        <v>FES1162845934</v>
      </c>
      <c r="F1636" s="4">
        <v>44580</v>
      </c>
      <c r="G1636" s="3">
        <v>202207</v>
      </c>
      <c r="H1636" s="3" t="s">
        <v>75</v>
      </c>
      <c r="I1636" s="3" t="s">
        <v>76</v>
      </c>
      <c r="J1636" s="3" t="s">
        <v>77</v>
      </c>
      <c r="K1636" s="3" t="s">
        <v>78</v>
      </c>
      <c r="L1636" s="3" t="s">
        <v>171</v>
      </c>
      <c r="M1636" s="3" t="s">
        <v>172</v>
      </c>
      <c r="N1636" s="3" t="s">
        <v>1694</v>
      </c>
      <c r="O1636" s="3" t="s">
        <v>82</v>
      </c>
      <c r="P1636" s="3" t="str">
        <f>"2170817162                    "</f>
        <v xml:space="preserve">2170817162                    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69.53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v>0</v>
      </c>
      <c r="BA1636" s="3">
        <v>0</v>
      </c>
      <c r="BB1636" s="3">
        <v>0</v>
      </c>
      <c r="BC1636" s="3">
        <v>0</v>
      </c>
      <c r="BD1636" s="3">
        <v>0</v>
      </c>
      <c r="BE1636" s="3">
        <v>0</v>
      </c>
      <c r="BF1636" s="3">
        <v>0</v>
      </c>
      <c r="BG1636" s="3">
        <v>0</v>
      </c>
      <c r="BH1636" s="3">
        <v>1</v>
      </c>
      <c r="BI1636" s="3">
        <v>9</v>
      </c>
      <c r="BJ1636" s="3">
        <v>2.8</v>
      </c>
      <c r="BK1636" s="3">
        <v>9</v>
      </c>
      <c r="BL1636" s="3">
        <v>265.39</v>
      </c>
      <c r="BM1636" s="3">
        <v>39.81</v>
      </c>
      <c r="BN1636" s="3">
        <v>305.2</v>
      </c>
      <c r="BO1636" s="3">
        <v>305.2</v>
      </c>
      <c r="BQ1636" s="3" t="s">
        <v>83</v>
      </c>
      <c r="BR1636" s="3" t="s">
        <v>84</v>
      </c>
      <c r="BS1636" s="4">
        <v>44581</v>
      </c>
      <c r="BT1636" s="5">
        <v>0.4236111111111111</v>
      </c>
      <c r="BU1636" s="3" t="s">
        <v>1695</v>
      </c>
      <c r="BV1636" s="3" t="s">
        <v>105</v>
      </c>
      <c r="BY1636" s="3">
        <v>14060</v>
      </c>
      <c r="CA1636" s="3" t="s">
        <v>1696</v>
      </c>
      <c r="CC1636" s="3" t="s">
        <v>172</v>
      </c>
      <c r="CD1636" s="3">
        <v>6001</v>
      </c>
      <c r="CE1636" s="3" t="s">
        <v>86</v>
      </c>
      <c r="CF1636" s="4">
        <v>44582</v>
      </c>
      <c r="CI1636" s="3">
        <v>1</v>
      </c>
      <c r="CJ1636" s="3">
        <v>1</v>
      </c>
      <c r="CK1636" s="3">
        <v>21</v>
      </c>
      <c r="CL1636" s="3" t="s">
        <v>87</v>
      </c>
    </row>
    <row r="1637" spans="1:90" x14ac:dyDescent="0.2">
      <c r="A1637" s="3" t="s">
        <v>72</v>
      </c>
      <c r="B1637" s="3" t="s">
        <v>73</v>
      </c>
      <c r="C1637" s="3" t="s">
        <v>74</v>
      </c>
      <c r="E1637" s="3" t="str">
        <f>"FES1162845930"</f>
        <v>FES1162845930</v>
      </c>
      <c r="F1637" s="4">
        <v>44580</v>
      </c>
      <c r="G1637" s="3">
        <v>202207</v>
      </c>
      <c r="H1637" s="3" t="s">
        <v>75</v>
      </c>
      <c r="I1637" s="3" t="s">
        <v>76</v>
      </c>
      <c r="J1637" s="3" t="s">
        <v>77</v>
      </c>
      <c r="K1637" s="3" t="s">
        <v>78</v>
      </c>
      <c r="L1637" s="3" t="s">
        <v>489</v>
      </c>
      <c r="M1637" s="3" t="s">
        <v>490</v>
      </c>
      <c r="N1637" s="3" t="s">
        <v>491</v>
      </c>
      <c r="O1637" s="3" t="s">
        <v>82</v>
      </c>
      <c r="P1637" s="3" t="str">
        <f>"2170816755                    "</f>
        <v xml:space="preserve">2170816755                    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70.52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15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v>0</v>
      </c>
      <c r="BA1637" s="3">
        <v>0</v>
      </c>
      <c r="BB1637" s="3">
        <v>0</v>
      </c>
      <c r="BC1637" s="3">
        <v>0</v>
      </c>
      <c r="BD1637" s="3">
        <v>0</v>
      </c>
      <c r="BE1637" s="3">
        <v>0</v>
      </c>
      <c r="BF1637" s="3">
        <v>0</v>
      </c>
      <c r="BG1637" s="3">
        <v>0</v>
      </c>
      <c r="BH1637" s="3">
        <v>1</v>
      </c>
      <c r="BI1637" s="3">
        <v>5</v>
      </c>
      <c r="BJ1637" s="3">
        <v>1.5</v>
      </c>
      <c r="BK1637" s="3">
        <v>5</v>
      </c>
      <c r="BL1637" s="3">
        <v>284.18</v>
      </c>
      <c r="BM1637" s="3">
        <v>42.63</v>
      </c>
      <c r="BN1637" s="3">
        <v>326.81</v>
      </c>
      <c r="BO1637" s="3">
        <v>326.81</v>
      </c>
      <c r="BQ1637" s="3" t="s">
        <v>83</v>
      </c>
      <c r="BR1637" s="3" t="s">
        <v>84</v>
      </c>
      <c r="BS1637" s="4">
        <v>44581</v>
      </c>
      <c r="BT1637" s="5">
        <v>0.75624999999999998</v>
      </c>
      <c r="BU1637" s="3" t="s">
        <v>492</v>
      </c>
      <c r="BV1637" s="3" t="s">
        <v>87</v>
      </c>
      <c r="BW1637" s="3" t="s">
        <v>453</v>
      </c>
      <c r="BX1637" s="3" t="s">
        <v>1269</v>
      </c>
      <c r="BY1637" s="3">
        <v>7252</v>
      </c>
      <c r="BZ1637" s="3" t="s">
        <v>30</v>
      </c>
      <c r="CA1637" s="3" t="s">
        <v>495</v>
      </c>
      <c r="CC1637" s="3" t="s">
        <v>490</v>
      </c>
      <c r="CD1637" s="3">
        <v>250</v>
      </c>
      <c r="CE1637" s="3" t="s">
        <v>86</v>
      </c>
      <c r="CF1637" s="4">
        <v>44581</v>
      </c>
      <c r="CI1637" s="3">
        <v>1</v>
      </c>
      <c r="CJ1637" s="3">
        <v>1</v>
      </c>
      <c r="CK1637" s="3">
        <v>23</v>
      </c>
      <c r="CL1637" s="3" t="s">
        <v>87</v>
      </c>
    </row>
    <row r="1638" spans="1:90" x14ac:dyDescent="0.2">
      <c r="A1638" s="3" t="s">
        <v>72</v>
      </c>
      <c r="B1638" s="3" t="s">
        <v>73</v>
      </c>
      <c r="C1638" s="3" t="s">
        <v>74</v>
      </c>
      <c r="E1638" s="3" t="str">
        <f>"FES1162845928"</f>
        <v>FES1162845928</v>
      </c>
      <c r="F1638" s="4">
        <v>44580</v>
      </c>
      <c r="G1638" s="3">
        <v>202207</v>
      </c>
      <c r="H1638" s="3" t="s">
        <v>75</v>
      </c>
      <c r="I1638" s="3" t="s">
        <v>76</v>
      </c>
      <c r="J1638" s="3" t="s">
        <v>77</v>
      </c>
      <c r="K1638" s="3" t="s">
        <v>78</v>
      </c>
      <c r="L1638" s="3" t="s">
        <v>79</v>
      </c>
      <c r="M1638" s="3" t="s">
        <v>80</v>
      </c>
      <c r="N1638" s="3" t="s">
        <v>208</v>
      </c>
      <c r="O1638" s="3" t="s">
        <v>82</v>
      </c>
      <c r="P1638" s="3" t="str">
        <f>"2170817375                    "</f>
        <v xml:space="preserve">2170817375                    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15.46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0</v>
      </c>
      <c r="BC1638" s="3">
        <v>0</v>
      </c>
      <c r="BD1638" s="3">
        <v>0</v>
      </c>
      <c r="BE1638" s="3">
        <v>0</v>
      </c>
      <c r="BF1638" s="3">
        <v>0</v>
      </c>
      <c r="BG1638" s="3">
        <v>0</v>
      </c>
      <c r="BH1638" s="3">
        <v>1</v>
      </c>
      <c r="BI1638" s="3">
        <v>2</v>
      </c>
      <c r="BJ1638" s="3">
        <v>1.1000000000000001</v>
      </c>
      <c r="BK1638" s="3">
        <v>2</v>
      </c>
      <c r="BL1638" s="3">
        <v>59</v>
      </c>
      <c r="BM1638" s="3">
        <v>8.85</v>
      </c>
      <c r="BN1638" s="3">
        <v>67.849999999999994</v>
      </c>
      <c r="BO1638" s="3">
        <v>67.849999999999994</v>
      </c>
      <c r="BQ1638" s="3" t="s">
        <v>450</v>
      </c>
      <c r="BR1638" s="3" t="s">
        <v>84</v>
      </c>
      <c r="BS1638" s="4">
        <v>44581</v>
      </c>
      <c r="BT1638" s="5">
        <v>0.3979166666666667</v>
      </c>
      <c r="BU1638" s="3" t="s">
        <v>1909</v>
      </c>
      <c r="BV1638" s="3" t="s">
        <v>105</v>
      </c>
      <c r="BY1638" s="3">
        <v>5320</v>
      </c>
      <c r="CA1638" s="3" t="s">
        <v>1358</v>
      </c>
      <c r="CC1638" s="3" t="s">
        <v>80</v>
      </c>
      <c r="CD1638" s="3">
        <v>183</v>
      </c>
      <c r="CE1638" s="3" t="s">
        <v>86</v>
      </c>
      <c r="CF1638" s="4">
        <v>44581</v>
      </c>
      <c r="CI1638" s="3">
        <v>1</v>
      </c>
      <c r="CJ1638" s="3">
        <v>1</v>
      </c>
      <c r="CK1638" s="3">
        <v>21</v>
      </c>
      <c r="CL1638" s="3" t="s">
        <v>87</v>
      </c>
    </row>
    <row r="1639" spans="1:90" x14ac:dyDescent="0.2">
      <c r="A1639" s="3" t="s">
        <v>72</v>
      </c>
      <c r="B1639" s="3" t="s">
        <v>73</v>
      </c>
      <c r="C1639" s="3" t="s">
        <v>74</v>
      </c>
      <c r="E1639" s="3" t="str">
        <f>"RFES1162844772"</f>
        <v>RFES1162844772</v>
      </c>
      <c r="F1639" s="4">
        <v>44582</v>
      </c>
      <c r="G1639" s="3">
        <v>202207</v>
      </c>
      <c r="H1639" s="3" t="s">
        <v>489</v>
      </c>
      <c r="I1639" s="3" t="s">
        <v>490</v>
      </c>
      <c r="J1639" s="3" t="s">
        <v>491</v>
      </c>
      <c r="K1639" s="3" t="s">
        <v>78</v>
      </c>
      <c r="L1639" s="3" t="s">
        <v>75</v>
      </c>
      <c r="M1639" s="3" t="s">
        <v>76</v>
      </c>
      <c r="N1639" s="3" t="s">
        <v>77</v>
      </c>
      <c r="O1639" s="3" t="s">
        <v>82</v>
      </c>
      <c r="P1639" s="3" t="str">
        <f>"2170816102                    "</f>
        <v xml:space="preserve">2170816102                    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15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29.95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1</v>
      </c>
      <c r="BI1639" s="3">
        <v>1</v>
      </c>
      <c r="BJ1639" s="3">
        <v>0.2</v>
      </c>
      <c r="BK1639" s="3">
        <v>1</v>
      </c>
      <c r="BL1639" s="3">
        <v>129.31</v>
      </c>
      <c r="BM1639" s="3">
        <v>19.399999999999999</v>
      </c>
      <c r="BN1639" s="3">
        <v>148.71</v>
      </c>
      <c r="BO1639" s="3">
        <v>148.71</v>
      </c>
      <c r="BQ1639" s="3" t="s">
        <v>84</v>
      </c>
      <c r="BR1639" s="3" t="s">
        <v>83</v>
      </c>
      <c r="BS1639" s="4">
        <v>44585</v>
      </c>
      <c r="BT1639" s="5">
        <v>0.43055555555555558</v>
      </c>
      <c r="BU1639" s="3" t="s">
        <v>1752</v>
      </c>
      <c r="BV1639" s="3" t="s">
        <v>105</v>
      </c>
      <c r="BY1639" s="3">
        <v>1200</v>
      </c>
      <c r="BZ1639" s="3" t="s">
        <v>21</v>
      </c>
      <c r="CA1639" s="3" t="s">
        <v>378</v>
      </c>
      <c r="CC1639" s="3" t="s">
        <v>76</v>
      </c>
      <c r="CD1639" s="3">
        <v>1601</v>
      </c>
      <c r="CE1639" s="3" t="s">
        <v>93</v>
      </c>
      <c r="CF1639" s="4">
        <v>44585</v>
      </c>
      <c r="CI1639" s="3">
        <v>1</v>
      </c>
      <c r="CJ1639" s="3">
        <v>1</v>
      </c>
      <c r="CK1639" s="3">
        <v>23</v>
      </c>
      <c r="CL1639" s="3" t="s">
        <v>87</v>
      </c>
    </row>
    <row r="1640" spans="1:90" x14ac:dyDescent="0.2">
      <c r="A1640" s="3" t="s">
        <v>72</v>
      </c>
      <c r="B1640" s="3" t="s">
        <v>73</v>
      </c>
      <c r="C1640" s="3" t="s">
        <v>74</v>
      </c>
      <c r="E1640" s="3" t="str">
        <f>"FES1162846228"</f>
        <v>FES1162846228</v>
      </c>
      <c r="F1640" s="4">
        <v>44582</v>
      </c>
      <c r="G1640" s="3">
        <v>202207</v>
      </c>
      <c r="H1640" s="3" t="s">
        <v>75</v>
      </c>
      <c r="I1640" s="3" t="s">
        <v>76</v>
      </c>
      <c r="J1640" s="3" t="s">
        <v>77</v>
      </c>
      <c r="K1640" s="3" t="s">
        <v>78</v>
      </c>
      <c r="L1640" s="3" t="s">
        <v>123</v>
      </c>
      <c r="M1640" s="3" t="s">
        <v>124</v>
      </c>
      <c r="N1640" s="3" t="s">
        <v>348</v>
      </c>
      <c r="O1640" s="3" t="s">
        <v>82</v>
      </c>
      <c r="P1640" s="3" t="str">
        <f>"2170817733                    "</f>
        <v xml:space="preserve">2170817733                    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12.07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1</v>
      </c>
      <c r="BI1640" s="3">
        <v>1</v>
      </c>
      <c r="BJ1640" s="3">
        <v>0.2</v>
      </c>
      <c r="BK1640" s="3">
        <v>1</v>
      </c>
      <c r="BL1640" s="3">
        <v>46.08</v>
      </c>
      <c r="BM1640" s="3">
        <v>6.91</v>
      </c>
      <c r="BN1640" s="3">
        <v>52.99</v>
      </c>
      <c r="BO1640" s="3">
        <v>52.99</v>
      </c>
      <c r="BQ1640" s="3" t="s">
        <v>349</v>
      </c>
      <c r="BR1640" s="3" t="s">
        <v>84</v>
      </c>
      <c r="BS1640" s="4">
        <v>44585</v>
      </c>
      <c r="BT1640" s="5">
        <v>0.3215277777777778</v>
      </c>
      <c r="BU1640" s="3" t="s">
        <v>1910</v>
      </c>
      <c r="BV1640" s="3" t="s">
        <v>105</v>
      </c>
      <c r="BY1640" s="3">
        <v>1200</v>
      </c>
      <c r="BZ1640" s="3" t="s">
        <v>165</v>
      </c>
      <c r="CA1640" s="3" t="s">
        <v>1911</v>
      </c>
      <c r="CC1640" s="3" t="s">
        <v>124</v>
      </c>
      <c r="CD1640" s="3">
        <v>1709</v>
      </c>
      <c r="CE1640" s="3" t="s">
        <v>93</v>
      </c>
      <c r="CF1640" s="4">
        <v>44586</v>
      </c>
      <c r="CI1640" s="3">
        <v>1</v>
      </c>
      <c r="CJ1640" s="3">
        <v>1</v>
      </c>
      <c r="CK1640" s="3">
        <v>22</v>
      </c>
      <c r="CL1640" s="3" t="s">
        <v>87</v>
      </c>
    </row>
    <row r="1641" spans="1:90" x14ac:dyDescent="0.2">
      <c r="A1641" s="3" t="s">
        <v>72</v>
      </c>
      <c r="B1641" s="3" t="s">
        <v>73</v>
      </c>
      <c r="C1641" s="3" t="s">
        <v>74</v>
      </c>
      <c r="E1641" s="3" t="str">
        <f>"FES1162846174"</f>
        <v>FES1162846174</v>
      </c>
      <c r="F1641" s="4">
        <v>44582</v>
      </c>
      <c r="G1641" s="3">
        <v>202207</v>
      </c>
      <c r="H1641" s="3" t="s">
        <v>75</v>
      </c>
      <c r="I1641" s="3" t="s">
        <v>76</v>
      </c>
      <c r="J1641" s="3" t="s">
        <v>77</v>
      </c>
      <c r="K1641" s="3" t="s">
        <v>78</v>
      </c>
      <c r="L1641" s="3" t="s">
        <v>1119</v>
      </c>
      <c r="M1641" s="3" t="s">
        <v>1120</v>
      </c>
      <c r="N1641" s="3" t="s">
        <v>1809</v>
      </c>
      <c r="O1641" s="3" t="s">
        <v>82</v>
      </c>
      <c r="P1641" s="3" t="str">
        <f>"2170817680                    "</f>
        <v xml:space="preserve">2170817680                    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29.95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1</v>
      </c>
      <c r="BI1641" s="3">
        <v>1</v>
      </c>
      <c r="BJ1641" s="3">
        <v>0.2</v>
      </c>
      <c r="BK1641" s="3">
        <v>1</v>
      </c>
      <c r="BL1641" s="3">
        <v>114.31</v>
      </c>
      <c r="BM1641" s="3">
        <v>17.149999999999999</v>
      </c>
      <c r="BN1641" s="3">
        <v>131.46</v>
      </c>
      <c r="BO1641" s="3">
        <v>131.46</v>
      </c>
      <c r="BR1641" s="3" t="s">
        <v>84</v>
      </c>
      <c r="BS1641" s="4">
        <v>44585</v>
      </c>
      <c r="BT1641" s="5">
        <v>0.48888888888888887</v>
      </c>
      <c r="BU1641" s="3" t="s">
        <v>559</v>
      </c>
      <c r="BV1641" s="3" t="s">
        <v>105</v>
      </c>
      <c r="BY1641" s="3">
        <v>1200</v>
      </c>
      <c r="BZ1641" s="3" t="s">
        <v>165</v>
      </c>
      <c r="CA1641" s="3" t="s">
        <v>809</v>
      </c>
      <c r="CC1641" s="3" t="s">
        <v>1120</v>
      </c>
      <c r="CD1641" s="3">
        <v>4380</v>
      </c>
      <c r="CE1641" s="3" t="s">
        <v>93</v>
      </c>
      <c r="CF1641" s="4">
        <v>44586</v>
      </c>
      <c r="CI1641" s="3">
        <v>1</v>
      </c>
      <c r="CJ1641" s="3">
        <v>1</v>
      </c>
      <c r="CK1641" s="3">
        <v>23</v>
      </c>
      <c r="CL1641" s="3" t="s">
        <v>87</v>
      </c>
    </row>
    <row r="1642" spans="1:90" x14ac:dyDescent="0.2">
      <c r="A1642" s="3" t="s">
        <v>72</v>
      </c>
      <c r="B1642" s="3" t="s">
        <v>73</v>
      </c>
      <c r="C1642" s="3" t="s">
        <v>74</v>
      </c>
      <c r="E1642" s="3" t="str">
        <f>"FES1162846163"</f>
        <v>FES1162846163</v>
      </c>
      <c r="F1642" s="4">
        <v>44582</v>
      </c>
      <c r="G1642" s="3">
        <v>202207</v>
      </c>
      <c r="H1642" s="3" t="s">
        <v>75</v>
      </c>
      <c r="I1642" s="3" t="s">
        <v>76</v>
      </c>
      <c r="J1642" s="3" t="s">
        <v>77</v>
      </c>
      <c r="K1642" s="3" t="s">
        <v>78</v>
      </c>
      <c r="L1642" s="3" t="s">
        <v>786</v>
      </c>
      <c r="M1642" s="3" t="s">
        <v>787</v>
      </c>
      <c r="N1642" s="3" t="s">
        <v>788</v>
      </c>
      <c r="O1642" s="3" t="s">
        <v>82</v>
      </c>
      <c r="P1642" s="3" t="str">
        <f>"2170817659                    "</f>
        <v xml:space="preserve">2170817659                    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21.74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3">
        <v>0</v>
      </c>
      <c r="AY1642" s="3">
        <v>0</v>
      </c>
      <c r="AZ1642" s="3">
        <v>0</v>
      </c>
      <c r="BA1642" s="3">
        <v>0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0</v>
      </c>
      <c r="BH1642" s="3">
        <v>1</v>
      </c>
      <c r="BI1642" s="3">
        <v>1</v>
      </c>
      <c r="BJ1642" s="3">
        <v>0.2</v>
      </c>
      <c r="BK1642" s="3">
        <v>1</v>
      </c>
      <c r="BL1642" s="3">
        <v>82.98</v>
      </c>
      <c r="BM1642" s="3">
        <v>12.45</v>
      </c>
      <c r="BN1642" s="3">
        <v>95.43</v>
      </c>
      <c r="BO1642" s="3">
        <v>95.43</v>
      </c>
      <c r="BQ1642" s="3" t="s">
        <v>83</v>
      </c>
      <c r="BR1642" s="3" t="s">
        <v>84</v>
      </c>
      <c r="BS1642" s="4">
        <v>44585</v>
      </c>
      <c r="BT1642" s="5">
        <v>0.45069444444444445</v>
      </c>
      <c r="BU1642" s="3" t="s">
        <v>658</v>
      </c>
      <c r="BV1642" s="3" t="s">
        <v>105</v>
      </c>
      <c r="BY1642" s="3">
        <v>1200</v>
      </c>
      <c r="BZ1642" s="3" t="s">
        <v>165</v>
      </c>
      <c r="CA1642" s="3" t="s">
        <v>790</v>
      </c>
      <c r="CC1642" s="3" t="s">
        <v>787</v>
      </c>
      <c r="CD1642" s="3">
        <v>2410</v>
      </c>
      <c r="CE1642" s="3" t="s">
        <v>93</v>
      </c>
      <c r="CF1642" s="4">
        <v>44586</v>
      </c>
      <c r="CI1642" s="3">
        <v>1</v>
      </c>
      <c r="CJ1642" s="3">
        <v>1</v>
      </c>
      <c r="CK1642" s="3">
        <v>24</v>
      </c>
      <c r="CL1642" s="3" t="s">
        <v>87</v>
      </c>
    </row>
    <row r="1643" spans="1:90" x14ac:dyDescent="0.2">
      <c r="A1643" s="3" t="s">
        <v>72</v>
      </c>
      <c r="B1643" s="3" t="s">
        <v>73</v>
      </c>
      <c r="C1643" s="3" t="s">
        <v>74</v>
      </c>
      <c r="E1643" s="3" t="str">
        <f>"FES1162846170"</f>
        <v>FES1162846170</v>
      </c>
      <c r="F1643" s="4">
        <v>44582</v>
      </c>
      <c r="G1643" s="3">
        <v>202207</v>
      </c>
      <c r="H1643" s="3" t="s">
        <v>75</v>
      </c>
      <c r="I1643" s="3" t="s">
        <v>76</v>
      </c>
      <c r="J1643" s="3" t="s">
        <v>77</v>
      </c>
      <c r="K1643" s="3" t="s">
        <v>78</v>
      </c>
      <c r="L1643" s="3" t="s">
        <v>180</v>
      </c>
      <c r="M1643" s="3" t="s">
        <v>181</v>
      </c>
      <c r="N1643" s="3" t="s">
        <v>1481</v>
      </c>
      <c r="O1643" s="3" t="s">
        <v>82</v>
      </c>
      <c r="P1643" s="3" t="str">
        <f>"2170817676                    "</f>
        <v xml:space="preserve">2170817676                    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21.74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0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0</v>
      </c>
      <c r="BH1643" s="3">
        <v>1</v>
      </c>
      <c r="BI1643" s="3">
        <v>1</v>
      </c>
      <c r="BJ1643" s="3">
        <v>0.2</v>
      </c>
      <c r="BK1643" s="3">
        <v>1</v>
      </c>
      <c r="BL1643" s="3">
        <v>82.98</v>
      </c>
      <c r="BM1643" s="3">
        <v>12.45</v>
      </c>
      <c r="BN1643" s="3">
        <v>95.43</v>
      </c>
      <c r="BO1643" s="3">
        <v>95.43</v>
      </c>
      <c r="BQ1643" s="3" t="s">
        <v>83</v>
      </c>
      <c r="BR1643" s="3" t="s">
        <v>84</v>
      </c>
      <c r="BS1643" s="4">
        <v>44585</v>
      </c>
      <c r="BT1643" s="5">
        <v>0.42152777777777778</v>
      </c>
      <c r="BU1643" s="3" t="s">
        <v>1912</v>
      </c>
      <c r="BV1643" s="3" t="s">
        <v>105</v>
      </c>
      <c r="BY1643" s="3">
        <v>1200</v>
      </c>
      <c r="BZ1643" s="3" t="s">
        <v>165</v>
      </c>
      <c r="CA1643" s="3" t="s">
        <v>1166</v>
      </c>
      <c r="CC1643" s="3" t="s">
        <v>181</v>
      </c>
      <c r="CD1643" s="3">
        <v>1934</v>
      </c>
      <c r="CE1643" s="3" t="s">
        <v>93</v>
      </c>
      <c r="CF1643" s="4">
        <v>44585</v>
      </c>
      <c r="CI1643" s="3">
        <v>1</v>
      </c>
      <c r="CJ1643" s="3">
        <v>1</v>
      </c>
      <c r="CK1643" s="3">
        <v>24</v>
      </c>
      <c r="CL1643" s="3" t="s">
        <v>87</v>
      </c>
    </row>
    <row r="1644" spans="1:90" x14ac:dyDescent="0.2">
      <c r="A1644" s="3" t="s">
        <v>72</v>
      </c>
      <c r="B1644" s="3" t="s">
        <v>73</v>
      </c>
      <c r="C1644" s="3" t="s">
        <v>74</v>
      </c>
      <c r="E1644" s="3" t="str">
        <f>"FES1162846167"</f>
        <v>FES1162846167</v>
      </c>
      <c r="F1644" s="4">
        <v>44582</v>
      </c>
      <c r="G1644" s="3">
        <v>202207</v>
      </c>
      <c r="H1644" s="3" t="s">
        <v>75</v>
      </c>
      <c r="I1644" s="3" t="s">
        <v>76</v>
      </c>
      <c r="J1644" s="3" t="s">
        <v>77</v>
      </c>
      <c r="K1644" s="3" t="s">
        <v>78</v>
      </c>
      <c r="L1644" s="3" t="s">
        <v>489</v>
      </c>
      <c r="M1644" s="3" t="s">
        <v>490</v>
      </c>
      <c r="N1644" s="3" t="s">
        <v>491</v>
      </c>
      <c r="O1644" s="3" t="s">
        <v>82</v>
      </c>
      <c r="P1644" s="3" t="str">
        <f>"2170817673                    "</f>
        <v xml:space="preserve">2170817673                    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29.95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15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0</v>
      </c>
      <c r="AZ1644" s="3">
        <v>0</v>
      </c>
      <c r="BA1644" s="3">
        <v>0</v>
      </c>
      <c r="BB1644" s="3">
        <v>0</v>
      </c>
      <c r="BC1644" s="3">
        <v>0</v>
      </c>
      <c r="BD1644" s="3">
        <v>0</v>
      </c>
      <c r="BE1644" s="3">
        <v>0</v>
      </c>
      <c r="BF1644" s="3">
        <v>0</v>
      </c>
      <c r="BG1644" s="3">
        <v>0</v>
      </c>
      <c r="BH1644" s="3">
        <v>1</v>
      </c>
      <c r="BI1644" s="3">
        <v>1</v>
      </c>
      <c r="BJ1644" s="3">
        <v>0.2</v>
      </c>
      <c r="BK1644" s="3">
        <v>1</v>
      </c>
      <c r="BL1644" s="3">
        <v>129.31</v>
      </c>
      <c r="BM1644" s="3">
        <v>19.399999999999999</v>
      </c>
      <c r="BN1644" s="3">
        <v>148.71</v>
      </c>
      <c r="BO1644" s="3">
        <v>148.71</v>
      </c>
      <c r="BQ1644" s="3" t="s">
        <v>83</v>
      </c>
      <c r="BR1644" s="3" t="s">
        <v>84</v>
      </c>
      <c r="BS1644" s="4">
        <v>44585</v>
      </c>
      <c r="BT1644" s="5">
        <v>0.51874999999999993</v>
      </c>
      <c r="BU1644" s="3" t="s">
        <v>1913</v>
      </c>
      <c r="BV1644" s="3" t="s">
        <v>105</v>
      </c>
      <c r="BY1644" s="3">
        <v>1200</v>
      </c>
      <c r="BZ1644" s="3" t="s">
        <v>446</v>
      </c>
      <c r="CA1644" s="3" t="s">
        <v>495</v>
      </c>
      <c r="CC1644" s="3" t="s">
        <v>490</v>
      </c>
      <c r="CD1644" s="3">
        <v>250</v>
      </c>
      <c r="CE1644" s="3" t="s">
        <v>93</v>
      </c>
      <c r="CF1644" s="4">
        <v>44586</v>
      </c>
      <c r="CI1644" s="3">
        <v>1</v>
      </c>
      <c r="CJ1644" s="3">
        <v>1</v>
      </c>
      <c r="CK1644" s="3">
        <v>23</v>
      </c>
      <c r="CL1644" s="3" t="s">
        <v>87</v>
      </c>
    </row>
    <row r="1645" spans="1:90" x14ac:dyDescent="0.2">
      <c r="A1645" s="3" t="s">
        <v>72</v>
      </c>
      <c r="B1645" s="3" t="s">
        <v>73</v>
      </c>
      <c r="C1645" s="3" t="s">
        <v>74</v>
      </c>
      <c r="E1645" s="3" t="str">
        <f>"FES1162846176"</f>
        <v>FES1162846176</v>
      </c>
      <c r="F1645" s="4">
        <v>44582</v>
      </c>
      <c r="G1645" s="3">
        <v>202207</v>
      </c>
      <c r="H1645" s="3" t="s">
        <v>75</v>
      </c>
      <c r="I1645" s="3" t="s">
        <v>76</v>
      </c>
      <c r="J1645" s="3" t="s">
        <v>77</v>
      </c>
      <c r="K1645" s="3" t="s">
        <v>78</v>
      </c>
      <c r="L1645" s="3" t="s">
        <v>244</v>
      </c>
      <c r="M1645" s="3" t="s">
        <v>245</v>
      </c>
      <c r="N1645" s="3" t="s">
        <v>400</v>
      </c>
      <c r="O1645" s="3" t="s">
        <v>82</v>
      </c>
      <c r="P1645" s="3" t="str">
        <f>"2170817682                    "</f>
        <v xml:space="preserve">2170817682                    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29.95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v>0</v>
      </c>
      <c r="BA1645" s="3">
        <v>0</v>
      </c>
      <c r="BB1645" s="3">
        <v>0</v>
      </c>
      <c r="BC1645" s="3">
        <v>0</v>
      </c>
      <c r="BD1645" s="3">
        <v>0</v>
      </c>
      <c r="BE1645" s="3">
        <v>0</v>
      </c>
      <c r="BF1645" s="3">
        <v>0</v>
      </c>
      <c r="BG1645" s="3">
        <v>0</v>
      </c>
      <c r="BH1645" s="3">
        <v>1</v>
      </c>
      <c r="BI1645" s="3">
        <v>1</v>
      </c>
      <c r="BJ1645" s="3">
        <v>0.2</v>
      </c>
      <c r="BK1645" s="3">
        <v>1</v>
      </c>
      <c r="BL1645" s="3">
        <v>114.31</v>
      </c>
      <c r="BM1645" s="3">
        <v>17.149999999999999</v>
      </c>
      <c r="BN1645" s="3">
        <v>131.46</v>
      </c>
      <c r="BO1645" s="3">
        <v>131.46</v>
      </c>
      <c r="BQ1645" s="3" t="s">
        <v>83</v>
      </c>
      <c r="BR1645" s="3" t="s">
        <v>84</v>
      </c>
      <c r="BS1645" s="4">
        <v>44585</v>
      </c>
      <c r="BT1645" s="5">
        <v>0.41666666666666669</v>
      </c>
      <c r="BU1645" s="3" t="s">
        <v>1914</v>
      </c>
      <c r="BV1645" s="3" t="s">
        <v>105</v>
      </c>
      <c r="BY1645" s="3">
        <v>1200</v>
      </c>
      <c r="BZ1645" s="3" t="s">
        <v>165</v>
      </c>
      <c r="CC1645" s="3" t="s">
        <v>245</v>
      </c>
      <c r="CD1645" s="3">
        <v>1947</v>
      </c>
      <c r="CE1645" s="3" t="s">
        <v>93</v>
      </c>
      <c r="CF1645" s="4">
        <v>44585</v>
      </c>
      <c r="CI1645" s="3">
        <v>1</v>
      </c>
      <c r="CJ1645" s="3">
        <v>1</v>
      </c>
      <c r="CK1645" s="3">
        <v>23</v>
      </c>
      <c r="CL1645" s="3" t="s">
        <v>87</v>
      </c>
    </row>
    <row r="1646" spans="1:90" x14ac:dyDescent="0.2">
      <c r="A1646" s="3" t="s">
        <v>72</v>
      </c>
      <c r="B1646" s="3" t="s">
        <v>73</v>
      </c>
      <c r="C1646" s="3" t="s">
        <v>74</v>
      </c>
      <c r="E1646" s="3" t="str">
        <f>"FES1162846172"</f>
        <v>FES1162846172</v>
      </c>
      <c r="F1646" s="4">
        <v>44582</v>
      </c>
      <c r="G1646" s="3">
        <v>202207</v>
      </c>
      <c r="H1646" s="3" t="s">
        <v>75</v>
      </c>
      <c r="I1646" s="3" t="s">
        <v>76</v>
      </c>
      <c r="J1646" s="3" t="s">
        <v>77</v>
      </c>
      <c r="K1646" s="3" t="s">
        <v>78</v>
      </c>
      <c r="L1646" s="3" t="s">
        <v>180</v>
      </c>
      <c r="M1646" s="3" t="s">
        <v>181</v>
      </c>
      <c r="N1646" s="3" t="s">
        <v>1481</v>
      </c>
      <c r="O1646" s="3" t="s">
        <v>82</v>
      </c>
      <c r="P1646" s="3" t="str">
        <f>"2170817678                    "</f>
        <v xml:space="preserve">2170817678                    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21.74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v>0</v>
      </c>
      <c r="BA1646" s="3">
        <v>0</v>
      </c>
      <c r="BB1646" s="3">
        <v>0</v>
      </c>
      <c r="BC1646" s="3">
        <v>0</v>
      </c>
      <c r="BD1646" s="3">
        <v>0</v>
      </c>
      <c r="BE1646" s="3">
        <v>0</v>
      </c>
      <c r="BF1646" s="3">
        <v>0</v>
      </c>
      <c r="BG1646" s="3">
        <v>0</v>
      </c>
      <c r="BH1646" s="3">
        <v>1</v>
      </c>
      <c r="BI1646" s="3">
        <v>1</v>
      </c>
      <c r="BJ1646" s="3">
        <v>0.2</v>
      </c>
      <c r="BK1646" s="3">
        <v>1</v>
      </c>
      <c r="BL1646" s="3">
        <v>82.98</v>
      </c>
      <c r="BM1646" s="3">
        <v>12.45</v>
      </c>
      <c r="BN1646" s="3">
        <v>95.43</v>
      </c>
      <c r="BO1646" s="3">
        <v>95.43</v>
      </c>
      <c r="BQ1646" s="3" t="s">
        <v>83</v>
      </c>
      <c r="BR1646" s="3" t="s">
        <v>84</v>
      </c>
      <c r="BS1646" s="4">
        <v>44585</v>
      </c>
      <c r="BT1646" s="5">
        <v>0.42222222222222222</v>
      </c>
      <c r="BU1646" s="3" t="s">
        <v>1912</v>
      </c>
      <c r="BV1646" s="3" t="s">
        <v>105</v>
      </c>
      <c r="BY1646" s="3">
        <v>1200</v>
      </c>
      <c r="BZ1646" s="3" t="s">
        <v>165</v>
      </c>
      <c r="CA1646" s="3" t="s">
        <v>1166</v>
      </c>
      <c r="CC1646" s="3" t="s">
        <v>181</v>
      </c>
      <c r="CD1646" s="3">
        <v>1934</v>
      </c>
      <c r="CE1646" s="3" t="s">
        <v>93</v>
      </c>
      <c r="CF1646" s="4">
        <v>44585</v>
      </c>
      <c r="CI1646" s="3">
        <v>1</v>
      </c>
      <c r="CJ1646" s="3">
        <v>1</v>
      </c>
      <c r="CK1646" s="3">
        <v>24</v>
      </c>
      <c r="CL1646" s="3" t="s">
        <v>87</v>
      </c>
    </row>
    <row r="1647" spans="1:90" x14ac:dyDescent="0.2">
      <c r="A1647" s="3" t="s">
        <v>72</v>
      </c>
      <c r="B1647" s="3" t="s">
        <v>73</v>
      </c>
      <c r="C1647" s="3" t="s">
        <v>74</v>
      </c>
      <c r="E1647" s="3" t="str">
        <f>"FES1162846258"</f>
        <v>FES1162846258</v>
      </c>
      <c r="F1647" s="4">
        <v>44582</v>
      </c>
      <c r="G1647" s="3">
        <v>202207</v>
      </c>
      <c r="H1647" s="3" t="s">
        <v>75</v>
      </c>
      <c r="I1647" s="3" t="s">
        <v>76</v>
      </c>
      <c r="J1647" s="3" t="s">
        <v>77</v>
      </c>
      <c r="K1647" s="3" t="s">
        <v>78</v>
      </c>
      <c r="L1647" s="3" t="s">
        <v>110</v>
      </c>
      <c r="M1647" s="3" t="s">
        <v>110</v>
      </c>
      <c r="N1647" s="3" t="s">
        <v>111</v>
      </c>
      <c r="O1647" s="3" t="s">
        <v>82</v>
      </c>
      <c r="P1647" s="3" t="str">
        <f>"2170817773                    "</f>
        <v xml:space="preserve">2170817773                    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29.95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1</v>
      </c>
      <c r="BI1647" s="3">
        <v>1</v>
      </c>
      <c r="BJ1647" s="3">
        <v>0.2</v>
      </c>
      <c r="BK1647" s="3">
        <v>1</v>
      </c>
      <c r="BL1647" s="3">
        <v>114.31</v>
      </c>
      <c r="BM1647" s="3">
        <v>17.149999999999999</v>
      </c>
      <c r="BN1647" s="3">
        <v>131.46</v>
      </c>
      <c r="BO1647" s="3">
        <v>131.46</v>
      </c>
      <c r="BQ1647" s="3" t="s">
        <v>89</v>
      </c>
      <c r="BR1647" s="3" t="s">
        <v>84</v>
      </c>
      <c r="BS1647" s="4">
        <v>44585</v>
      </c>
      <c r="BT1647" s="5">
        <v>0.57430555555555551</v>
      </c>
      <c r="BU1647" s="3" t="s">
        <v>1915</v>
      </c>
      <c r="BV1647" s="3" t="s">
        <v>87</v>
      </c>
      <c r="BW1647" s="3" t="s">
        <v>457</v>
      </c>
      <c r="BX1647" s="3" t="s">
        <v>602</v>
      </c>
      <c r="BY1647" s="3">
        <v>1200</v>
      </c>
      <c r="BZ1647" s="3" t="s">
        <v>165</v>
      </c>
      <c r="CA1647" s="3" t="s">
        <v>360</v>
      </c>
      <c r="CC1647" s="3" t="s">
        <v>110</v>
      </c>
      <c r="CD1647" s="3">
        <v>7646</v>
      </c>
      <c r="CE1647" s="3" t="s">
        <v>93</v>
      </c>
      <c r="CF1647" s="4">
        <v>44586</v>
      </c>
      <c r="CI1647" s="3">
        <v>1</v>
      </c>
      <c r="CJ1647" s="3">
        <v>1</v>
      </c>
      <c r="CK1647" s="3">
        <v>23</v>
      </c>
      <c r="CL1647" s="3" t="s">
        <v>87</v>
      </c>
    </row>
    <row r="1648" spans="1:90" x14ac:dyDescent="0.2">
      <c r="A1648" s="3" t="s">
        <v>72</v>
      </c>
      <c r="B1648" s="3" t="s">
        <v>73</v>
      </c>
      <c r="C1648" s="3" t="s">
        <v>74</v>
      </c>
      <c r="E1648" s="3" t="str">
        <f>"FES1162846227"</f>
        <v>FES1162846227</v>
      </c>
      <c r="F1648" s="4">
        <v>44582</v>
      </c>
      <c r="G1648" s="3">
        <v>202207</v>
      </c>
      <c r="H1648" s="3" t="s">
        <v>75</v>
      </c>
      <c r="I1648" s="3" t="s">
        <v>76</v>
      </c>
      <c r="J1648" s="3" t="s">
        <v>77</v>
      </c>
      <c r="K1648" s="3" t="s">
        <v>78</v>
      </c>
      <c r="L1648" s="3" t="s">
        <v>75</v>
      </c>
      <c r="M1648" s="3" t="s">
        <v>76</v>
      </c>
      <c r="N1648" s="3" t="s">
        <v>688</v>
      </c>
      <c r="O1648" s="3" t="s">
        <v>82</v>
      </c>
      <c r="P1648" s="3" t="str">
        <f>"2170817731                    "</f>
        <v xml:space="preserve">2170817731                    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12.07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0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v>0</v>
      </c>
      <c r="BA1648" s="3">
        <v>0</v>
      </c>
      <c r="BB1648" s="3">
        <v>0</v>
      </c>
      <c r="BC1648" s="3">
        <v>0</v>
      </c>
      <c r="BD1648" s="3">
        <v>0</v>
      </c>
      <c r="BE1648" s="3">
        <v>0</v>
      </c>
      <c r="BF1648" s="3">
        <v>0</v>
      </c>
      <c r="BG1648" s="3">
        <v>0</v>
      </c>
      <c r="BH1648" s="3">
        <v>1</v>
      </c>
      <c r="BI1648" s="3">
        <v>1</v>
      </c>
      <c r="BJ1648" s="3">
        <v>0.2</v>
      </c>
      <c r="BK1648" s="3">
        <v>1</v>
      </c>
      <c r="BL1648" s="3">
        <v>46.08</v>
      </c>
      <c r="BM1648" s="3">
        <v>6.91</v>
      </c>
      <c r="BN1648" s="3">
        <v>52.99</v>
      </c>
      <c r="BO1648" s="3">
        <v>52.99</v>
      </c>
      <c r="BQ1648" s="3" t="s">
        <v>83</v>
      </c>
      <c r="BR1648" s="3" t="s">
        <v>84</v>
      </c>
      <c r="BS1648" s="4">
        <v>44585</v>
      </c>
      <c r="BT1648" s="5">
        <v>0.31805555555555554</v>
      </c>
      <c r="BU1648" s="3" t="s">
        <v>689</v>
      </c>
      <c r="BV1648" s="3" t="s">
        <v>105</v>
      </c>
      <c r="BY1648" s="3">
        <v>1200</v>
      </c>
      <c r="BZ1648" s="3" t="s">
        <v>165</v>
      </c>
      <c r="CA1648" s="3" t="s">
        <v>227</v>
      </c>
      <c r="CC1648" s="3" t="s">
        <v>76</v>
      </c>
      <c r="CD1648" s="3">
        <v>1620</v>
      </c>
      <c r="CE1648" s="3" t="s">
        <v>93</v>
      </c>
      <c r="CF1648" s="4">
        <v>44585</v>
      </c>
      <c r="CI1648" s="3">
        <v>1</v>
      </c>
      <c r="CJ1648" s="3">
        <v>1</v>
      </c>
      <c r="CK1648" s="3">
        <v>22</v>
      </c>
      <c r="CL1648" s="3" t="s">
        <v>87</v>
      </c>
    </row>
    <row r="1649" spans="1:90" x14ac:dyDescent="0.2">
      <c r="A1649" s="3" t="s">
        <v>72</v>
      </c>
      <c r="B1649" s="3" t="s">
        <v>73</v>
      </c>
      <c r="C1649" s="3" t="s">
        <v>74</v>
      </c>
      <c r="E1649" s="3" t="str">
        <f>"FES1162846267"</f>
        <v>FES1162846267</v>
      </c>
      <c r="F1649" s="4">
        <v>44582</v>
      </c>
      <c r="G1649" s="3">
        <v>202207</v>
      </c>
      <c r="H1649" s="3" t="s">
        <v>75</v>
      </c>
      <c r="I1649" s="3" t="s">
        <v>76</v>
      </c>
      <c r="J1649" s="3" t="s">
        <v>77</v>
      </c>
      <c r="K1649" s="3" t="s">
        <v>78</v>
      </c>
      <c r="L1649" s="3" t="s">
        <v>79</v>
      </c>
      <c r="M1649" s="3" t="s">
        <v>80</v>
      </c>
      <c r="N1649" s="3" t="s">
        <v>1290</v>
      </c>
      <c r="O1649" s="3" t="s">
        <v>82</v>
      </c>
      <c r="P1649" s="3" t="str">
        <f>"2170817784                    "</f>
        <v xml:space="preserve">2170817784                    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15.46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0</v>
      </c>
      <c r="AZ1649" s="3">
        <v>0</v>
      </c>
      <c r="BA1649" s="3">
        <v>0</v>
      </c>
      <c r="BB1649" s="3">
        <v>0</v>
      </c>
      <c r="BC1649" s="3">
        <v>0</v>
      </c>
      <c r="BD1649" s="3">
        <v>0</v>
      </c>
      <c r="BE1649" s="3">
        <v>0</v>
      </c>
      <c r="BF1649" s="3">
        <v>0</v>
      </c>
      <c r="BG1649" s="3">
        <v>0</v>
      </c>
      <c r="BH1649" s="3">
        <v>1</v>
      </c>
      <c r="BI1649" s="3">
        <v>1</v>
      </c>
      <c r="BJ1649" s="3">
        <v>0.2</v>
      </c>
      <c r="BK1649" s="3">
        <v>1</v>
      </c>
      <c r="BL1649" s="3">
        <v>59</v>
      </c>
      <c r="BM1649" s="3">
        <v>8.85</v>
      </c>
      <c r="BN1649" s="3">
        <v>67.849999999999994</v>
      </c>
      <c r="BO1649" s="3">
        <v>67.849999999999994</v>
      </c>
      <c r="BQ1649" s="3" t="s">
        <v>89</v>
      </c>
      <c r="BR1649" s="3" t="s">
        <v>84</v>
      </c>
      <c r="BS1649" s="4">
        <v>44585</v>
      </c>
      <c r="BT1649" s="5">
        <v>0.41666666666666669</v>
      </c>
      <c r="BU1649" s="3" t="s">
        <v>1291</v>
      </c>
      <c r="BV1649" s="3" t="s">
        <v>105</v>
      </c>
      <c r="BY1649" s="3">
        <v>1200</v>
      </c>
      <c r="BZ1649" s="3" t="s">
        <v>165</v>
      </c>
      <c r="CA1649" s="3" t="s">
        <v>366</v>
      </c>
      <c r="CC1649" s="3" t="s">
        <v>80</v>
      </c>
      <c r="CD1649" s="3">
        <v>200</v>
      </c>
      <c r="CE1649" s="3" t="s">
        <v>93</v>
      </c>
      <c r="CF1649" s="4">
        <v>44586</v>
      </c>
      <c r="CI1649" s="3">
        <v>1</v>
      </c>
      <c r="CJ1649" s="3">
        <v>1</v>
      </c>
      <c r="CK1649" s="3">
        <v>21</v>
      </c>
      <c r="CL1649" s="3" t="s">
        <v>87</v>
      </c>
    </row>
    <row r="1650" spans="1:90" x14ac:dyDescent="0.2">
      <c r="A1650" s="3" t="s">
        <v>72</v>
      </c>
      <c r="B1650" s="3" t="s">
        <v>73</v>
      </c>
      <c r="C1650" s="3" t="s">
        <v>74</v>
      </c>
      <c r="E1650" s="3" t="str">
        <f>"FES1162846168"</f>
        <v>FES1162846168</v>
      </c>
      <c r="F1650" s="4">
        <v>44582</v>
      </c>
      <c r="G1650" s="3">
        <v>202207</v>
      </c>
      <c r="H1650" s="3" t="s">
        <v>75</v>
      </c>
      <c r="I1650" s="3" t="s">
        <v>76</v>
      </c>
      <c r="J1650" s="3" t="s">
        <v>77</v>
      </c>
      <c r="K1650" s="3" t="s">
        <v>78</v>
      </c>
      <c r="L1650" s="3" t="s">
        <v>1201</v>
      </c>
      <c r="M1650" s="3" t="s">
        <v>1202</v>
      </c>
      <c r="N1650" s="3" t="s">
        <v>1497</v>
      </c>
      <c r="O1650" s="3" t="s">
        <v>82</v>
      </c>
      <c r="P1650" s="3" t="str">
        <f>"2170817674                    "</f>
        <v xml:space="preserve">2170817674                    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29.95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0</v>
      </c>
      <c r="BF1650" s="3">
        <v>0</v>
      </c>
      <c r="BG1650" s="3">
        <v>0</v>
      </c>
      <c r="BH1650" s="3">
        <v>1</v>
      </c>
      <c r="BI1650" s="3">
        <v>1</v>
      </c>
      <c r="BJ1650" s="3">
        <v>0.2</v>
      </c>
      <c r="BK1650" s="3">
        <v>1</v>
      </c>
      <c r="BL1650" s="3">
        <v>114.31</v>
      </c>
      <c r="BM1650" s="3">
        <v>17.149999999999999</v>
      </c>
      <c r="BN1650" s="3">
        <v>131.46</v>
      </c>
      <c r="BO1650" s="3">
        <v>131.46</v>
      </c>
      <c r="BQ1650" s="3" t="s">
        <v>89</v>
      </c>
      <c r="BR1650" s="3" t="s">
        <v>84</v>
      </c>
      <c r="BS1650" s="4">
        <v>44585</v>
      </c>
      <c r="BT1650" s="5">
        <v>0.57916666666666672</v>
      </c>
      <c r="BU1650" s="3" t="s">
        <v>1438</v>
      </c>
      <c r="BV1650" s="3" t="s">
        <v>105</v>
      </c>
      <c r="BY1650" s="3">
        <v>1200</v>
      </c>
      <c r="BZ1650" s="3" t="s">
        <v>165</v>
      </c>
      <c r="CA1650" s="3" t="s">
        <v>1204</v>
      </c>
      <c r="CC1650" s="3" t="s">
        <v>1202</v>
      </c>
      <c r="CD1650" s="3">
        <v>9880</v>
      </c>
      <c r="CE1650" s="3" t="s">
        <v>93</v>
      </c>
      <c r="CF1650" s="4">
        <v>44586</v>
      </c>
      <c r="CI1650" s="3">
        <v>1</v>
      </c>
      <c r="CJ1650" s="3">
        <v>1</v>
      </c>
      <c r="CK1650" s="3">
        <v>23</v>
      </c>
      <c r="CL1650" s="3" t="s">
        <v>87</v>
      </c>
    </row>
    <row r="1651" spans="1:90" x14ac:dyDescent="0.2">
      <c r="A1651" s="3" t="s">
        <v>72</v>
      </c>
      <c r="B1651" s="3" t="s">
        <v>73</v>
      </c>
      <c r="C1651" s="3" t="s">
        <v>74</v>
      </c>
      <c r="E1651" s="3" t="str">
        <f>"FES1162846284"</f>
        <v>FES1162846284</v>
      </c>
      <c r="F1651" s="4">
        <v>44582</v>
      </c>
      <c r="G1651" s="3">
        <v>202207</v>
      </c>
      <c r="H1651" s="3" t="s">
        <v>75</v>
      </c>
      <c r="I1651" s="3" t="s">
        <v>76</v>
      </c>
      <c r="J1651" s="3" t="s">
        <v>77</v>
      </c>
      <c r="K1651" s="3" t="s">
        <v>78</v>
      </c>
      <c r="L1651" s="3" t="s">
        <v>1179</v>
      </c>
      <c r="M1651" s="3" t="s">
        <v>1180</v>
      </c>
      <c r="N1651" s="3" t="s">
        <v>1282</v>
      </c>
      <c r="O1651" s="3" t="s">
        <v>82</v>
      </c>
      <c r="P1651" s="3" t="str">
        <f>"2170817806                    "</f>
        <v xml:space="preserve">2170817806                    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29.95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15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v>0</v>
      </c>
      <c r="BA1651" s="3">
        <v>0</v>
      </c>
      <c r="BB1651" s="3">
        <v>0</v>
      </c>
      <c r="BC1651" s="3">
        <v>0</v>
      </c>
      <c r="BD1651" s="3">
        <v>0</v>
      </c>
      <c r="BE1651" s="3">
        <v>0</v>
      </c>
      <c r="BF1651" s="3">
        <v>0</v>
      </c>
      <c r="BG1651" s="3">
        <v>0</v>
      </c>
      <c r="BH1651" s="3">
        <v>1</v>
      </c>
      <c r="BI1651" s="3">
        <v>1</v>
      </c>
      <c r="BJ1651" s="3">
        <v>0.2</v>
      </c>
      <c r="BK1651" s="3">
        <v>1</v>
      </c>
      <c r="BL1651" s="3">
        <v>129.31</v>
      </c>
      <c r="BM1651" s="3">
        <v>19.399999999999999</v>
      </c>
      <c r="BN1651" s="3">
        <v>148.71</v>
      </c>
      <c r="BO1651" s="3">
        <v>148.71</v>
      </c>
      <c r="BQ1651" s="3" t="s">
        <v>1283</v>
      </c>
      <c r="BR1651" s="3" t="s">
        <v>84</v>
      </c>
      <c r="BS1651" s="4">
        <v>44585</v>
      </c>
      <c r="BT1651" s="5">
        <v>0.48194444444444445</v>
      </c>
      <c r="BU1651" s="3" t="s">
        <v>1916</v>
      </c>
      <c r="BV1651" s="3" t="s">
        <v>105</v>
      </c>
      <c r="BY1651" s="3">
        <v>1200</v>
      </c>
      <c r="BZ1651" s="3" t="s">
        <v>446</v>
      </c>
      <c r="CA1651" s="3" t="s">
        <v>1827</v>
      </c>
      <c r="CC1651" s="3" t="s">
        <v>1180</v>
      </c>
      <c r="CD1651" s="3">
        <v>208</v>
      </c>
      <c r="CE1651" s="3" t="s">
        <v>93</v>
      </c>
      <c r="CF1651" s="4">
        <v>44586</v>
      </c>
      <c r="CI1651" s="3">
        <v>1</v>
      </c>
      <c r="CJ1651" s="3">
        <v>1</v>
      </c>
      <c r="CK1651" s="3">
        <v>23</v>
      </c>
      <c r="CL1651" s="3" t="s">
        <v>87</v>
      </c>
    </row>
    <row r="1652" spans="1:90" x14ac:dyDescent="0.2">
      <c r="A1652" s="3" t="s">
        <v>72</v>
      </c>
      <c r="B1652" s="3" t="s">
        <v>73</v>
      </c>
      <c r="C1652" s="3" t="s">
        <v>74</v>
      </c>
      <c r="E1652" s="3" t="str">
        <f>"FES1162846254"</f>
        <v>FES1162846254</v>
      </c>
      <c r="F1652" s="4">
        <v>44582</v>
      </c>
      <c r="G1652" s="3">
        <v>202207</v>
      </c>
      <c r="H1652" s="3" t="s">
        <v>75</v>
      </c>
      <c r="I1652" s="3" t="s">
        <v>76</v>
      </c>
      <c r="J1652" s="3" t="s">
        <v>77</v>
      </c>
      <c r="K1652" s="3" t="s">
        <v>78</v>
      </c>
      <c r="L1652" s="3" t="s">
        <v>75</v>
      </c>
      <c r="M1652" s="3" t="s">
        <v>76</v>
      </c>
      <c r="N1652" s="3" t="s">
        <v>1328</v>
      </c>
      <c r="O1652" s="3" t="s">
        <v>82</v>
      </c>
      <c r="P1652" s="3" t="str">
        <f>"2170817768                    "</f>
        <v xml:space="preserve">2170817768                    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12.07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0</v>
      </c>
      <c r="BF1652" s="3">
        <v>0</v>
      </c>
      <c r="BG1652" s="3">
        <v>0</v>
      </c>
      <c r="BH1652" s="3">
        <v>1</v>
      </c>
      <c r="BI1652" s="3">
        <v>1</v>
      </c>
      <c r="BJ1652" s="3">
        <v>0.2</v>
      </c>
      <c r="BK1652" s="3">
        <v>1</v>
      </c>
      <c r="BL1652" s="3">
        <v>46.08</v>
      </c>
      <c r="BM1652" s="3">
        <v>6.91</v>
      </c>
      <c r="BN1652" s="3">
        <v>52.99</v>
      </c>
      <c r="BO1652" s="3">
        <v>52.99</v>
      </c>
      <c r="BQ1652" s="3" t="s">
        <v>83</v>
      </c>
      <c r="BR1652" s="3" t="s">
        <v>84</v>
      </c>
      <c r="BS1652" s="4">
        <v>44585</v>
      </c>
      <c r="BT1652" s="5">
        <v>0.4291666666666667</v>
      </c>
      <c r="BU1652" s="3" t="s">
        <v>1917</v>
      </c>
      <c r="BV1652" s="3" t="s">
        <v>105</v>
      </c>
      <c r="BY1652" s="3">
        <v>1200</v>
      </c>
      <c r="BZ1652" s="3" t="s">
        <v>165</v>
      </c>
      <c r="CA1652" s="3" t="s">
        <v>227</v>
      </c>
      <c r="CC1652" s="3" t="s">
        <v>76</v>
      </c>
      <c r="CD1652" s="3">
        <v>1624</v>
      </c>
      <c r="CE1652" s="3" t="s">
        <v>93</v>
      </c>
      <c r="CF1652" s="4">
        <v>44585</v>
      </c>
      <c r="CI1652" s="3">
        <v>1</v>
      </c>
      <c r="CJ1652" s="3">
        <v>1</v>
      </c>
      <c r="CK1652" s="3">
        <v>22</v>
      </c>
      <c r="CL1652" s="3" t="s">
        <v>87</v>
      </c>
    </row>
    <row r="1653" spans="1:90" x14ac:dyDescent="0.2">
      <c r="A1653" s="3" t="s">
        <v>72</v>
      </c>
      <c r="B1653" s="3" t="s">
        <v>73</v>
      </c>
      <c r="C1653" s="3" t="s">
        <v>74</v>
      </c>
      <c r="E1653" s="3" t="str">
        <f>"FES1162846260"</f>
        <v>FES1162846260</v>
      </c>
      <c r="F1653" s="4">
        <v>44582</v>
      </c>
      <c r="G1653" s="3">
        <v>202207</v>
      </c>
      <c r="H1653" s="3" t="s">
        <v>75</v>
      </c>
      <c r="I1653" s="3" t="s">
        <v>76</v>
      </c>
      <c r="J1653" s="3" t="s">
        <v>77</v>
      </c>
      <c r="K1653" s="3" t="s">
        <v>78</v>
      </c>
      <c r="L1653" s="3" t="s">
        <v>75</v>
      </c>
      <c r="M1653" s="3" t="s">
        <v>76</v>
      </c>
      <c r="N1653" s="3" t="s">
        <v>1918</v>
      </c>
      <c r="O1653" s="3" t="s">
        <v>82</v>
      </c>
      <c r="P1653" s="3" t="str">
        <f>"2170817775                    "</f>
        <v xml:space="preserve">2170817775                    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12.07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0</v>
      </c>
      <c r="BC1653" s="3">
        <v>0</v>
      </c>
      <c r="BD1653" s="3">
        <v>0</v>
      </c>
      <c r="BE1653" s="3">
        <v>0</v>
      </c>
      <c r="BF1653" s="3">
        <v>0</v>
      </c>
      <c r="BG1653" s="3">
        <v>0</v>
      </c>
      <c r="BH1653" s="3">
        <v>1</v>
      </c>
      <c r="BI1653" s="3">
        <v>1</v>
      </c>
      <c r="BJ1653" s="3">
        <v>1.1000000000000001</v>
      </c>
      <c r="BK1653" s="3">
        <v>1.5</v>
      </c>
      <c r="BL1653" s="3">
        <v>46.08</v>
      </c>
      <c r="BM1653" s="3">
        <v>6.91</v>
      </c>
      <c r="BN1653" s="3">
        <v>52.99</v>
      </c>
      <c r="BO1653" s="3">
        <v>52.99</v>
      </c>
      <c r="BR1653" s="3" t="s">
        <v>84</v>
      </c>
      <c r="BS1653" s="4">
        <v>44585</v>
      </c>
      <c r="BT1653" s="5">
        <v>0.40069444444444446</v>
      </c>
      <c r="BU1653" s="3" t="s">
        <v>1919</v>
      </c>
      <c r="BV1653" s="3" t="s">
        <v>105</v>
      </c>
      <c r="BY1653" s="3">
        <v>5320</v>
      </c>
      <c r="CA1653" s="3" t="s">
        <v>378</v>
      </c>
      <c r="CC1653" s="3" t="s">
        <v>76</v>
      </c>
      <c r="CD1653" s="3">
        <v>1601</v>
      </c>
      <c r="CE1653" s="3" t="s">
        <v>86</v>
      </c>
      <c r="CF1653" s="4">
        <v>44585</v>
      </c>
      <c r="CI1653" s="3">
        <v>1</v>
      </c>
      <c r="CJ1653" s="3">
        <v>1</v>
      </c>
      <c r="CK1653" s="3">
        <v>22</v>
      </c>
      <c r="CL1653" s="3" t="s">
        <v>87</v>
      </c>
    </row>
    <row r="1654" spans="1:90" x14ac:dyDescent="0.2">
      <c r="A1654" s="3" t="s">
        <v>72</v>
      </c>
      <c r="B1654" s="3" t="s">
        <v>73</v>
      </c>
      <c r="C1654" s="3" t="s">
        <v>74</v>
      </c>
      <c r="E1654" s="3" t="str">
        <f>"FES1162846234"</f>
        <v>FES1162846234</v>
      </c>
      <c r="F1654" s="4">
        <v>44582</v>
      </c>
      <c r="G1654" s="3">
        <v>202207</v>
      </c>
      <c r="H1654" s="3" t="s">
        <v>75</v>
      </c>
      <c r="I1654" s="3" t="s">
        <v>76</v>
      </c>
      <c r="J1654" s="3" t="s">
        <v>77</v>
      </c>
      <c r="K1654" s="3" t="s">
        <v>78</v>
      </c>
      <c r="L1654" s="3" t="s">
        <v>97</v>
      </c>
      <c r="M1654" s="3" t="s">
        <v>98</v>
      </c>
      <c r="N1654" s="3" t="s">
        <v>232</v>
      </c>
      <c r="O1654" s="3" t="s">
        <v>82</v>
      </c>
      <c r="P1654" s="3" t="str">
        <f>"2170817742                    "</f>
        <v xml:space="preserve">2170817742                    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12.07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0</v>
      </c>
      <c r="BC1654" s="3">
        <v>0</v>
      </c>
      <c r="BD1654" s="3">
        <v>0</v>
      </c>
      <c r="BE1654" s="3">
        <v>0</v>
      </c>
      <c r="BF1654" s="3">
        <v>0</v>
      </c>
      <c r="BG1654" s="3">
        <v>0</v>
      </c>
      <c r="BH1654" s="3">
        <v>1</v>
      </c>
      <c r="BI1654" s="3">
        <v>1</v>
      </c>
      <c r="BJ1654" s="3">
        <v>0.2</v>
      </c>
      <c r="BK1654" s="3">
        <v>1</v>
      </c>
      <c r="BL1654" s="3">
        <v>46.08</v>
      </c>
      <c r="BM1654" s="3">
        <v>6.91</v>
      </c>
      <c r="BN1654" s="3">
        <v>52.99</v>
      </c>
      <c r="BO1654" s="3">
        <v>52.99</v>
      </c>
      <c r="BQ1654" s="3" t="s">
        <v>83</v>
      </c>
      <c r="BR1654" s="3" t="s">
        <v>84</v>
      </c>
      <c r="BS1654" s="4">
        <v>44585</v>
      </c>
      <c r="BT1654" s="5">
        <v>0.36249999999999999</v>
      </c>
      <c r="BU1654" s="3" t="s">
        <v>1920</v>
      </c>
      <c r="BV1654" s="3" t="s">
        <v>105</v>
      </c>
      <c r="BY1654" s="3">
        <v>1080</v>
      </c>
      <c r="CA1654" s="3" t="s">
        <v>1921</v>
      </c>
      <c r="CC1654" s="3" t="s">
        <v>98</v>
      </c>
      <c r="CD1654" s="3">
        <v>2091</v>
      </c>
      <c r="CE1654" s="3" t="s">
        <v>86</v>
      </c>
      <c r="CF1654" s="4">
        <v>44586</v>
      </c>
      <c r="CI1654" s="3">
        <v>1</v>
      </c>
      <c r="CJ1654" s="3">
        <v>1</v>
      </c>
      <c r="CK1654" s="3">
        <v>22</v>
      </c>
      <c r="CL1654" s="3" t="s">
        <v>87</v>
      </c>
    </row>
    <row r="1655" spans="1:90" x14ac:dyDescent="0.2">
      <c r="A1655" s="3" t="s">
        <v>72</v>
      </c>
      <c r="B1655" s="3" t="s">
        <v>73</v>
      </c>
      <c r="C1655" s="3" t="s">
        <v>74</v>
      </c>
      <c r="E1655" s="3" t="str">
        <f>"FES1162846251"</f>
        <v>FES1162846251</v>
      </c>
      <c r="F1655" s="4">
        <v>44582</v>
      </c>
      <c r="G1655" s="3">
        <v>202207</v>
      </c>
      <c r="H1655" s="3" t="s">
        <v>75</v>
      </c>
      <c r="I1655" s="3" t="s">
        <v>76</v>
      </c>
      <c r="J1655" s="3" t="s">
        <v>77</v>
      </c>
      <c r="K1655" s="3" t="s">
        <v>78</v>
      </c>
      <c r="L1655" s="3" t="s">
        <v>158</v>
      </c>
      <c r="M1655" s="3" t="s">
        <v>159</v>
      </c>
      <c r="N1655" s="3" t="s">
        <v>970</v>
      </c>
      <c r="O1655" s="3" t="s">
        <v>82</v>
      </c>
      <c r="P1655" s="3" t="str">
        <f>"2170817763                    "</f>
        <v xml:space="preserve">2170817763                    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12.07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v>0</v>
      </c>
      <c r="BA1655" s="3">
        <v>0</v>
      </c>
      <c r="BB1655" s="3">
        <v>0</v>
      </c>
      <c r="BC1655" s="3">
        <v>0</v>
      </c>
      <c r="BD1655" s="3">
        <v>0</v>
      </c>
      <c r="BE1655" s="3">
        <v>0</v>
      </c>
      <c r="BF1655" s="3">
        <v>0</v>
      </c>
      <c r="BG1655" s="3">
        <v>0</v>
      </c>
      <c r="BH1655" s="3">
        <v>1</v>
      </c>
      <c r="BI1655" s="3">
        <v>1</v>
      </c>
      <c r="BJ1655" s="3">
        <v>0.9</v>
      </c>
      <c r="BK1655" s="3">
        <v>1</v>
      </c>
      <c r="BL1655" s="3">
        <v>46.08</v>
      </c>
      <c r="BM1655" s="3">
        <v>6.91</v>
      </c>
      <c r="BN1655" s="3">
        <v>52.99</v>
      </c>
      <c r="BO1655" s="3">
        <v>52.99</v>
      </c>
      <c r="BR1655" s="3" t="s">
        <v>84</v>
      </c>
      <c r="BS1655" s="4">
        <v>44585</v>
      </c>
      <c r="BT1655" s="5">
        <v>0.35000000000000003</v>
      </c>
      <c r="BU1655" s="3" t="s">
        <v>323</v>
      </c>
      <c r="BV1655" s="3" t="s">
        <v>105</v>
      </c>
      <c r="BY1655" s="3">
        <v>4275</v>
      </c>
      <c r="CA1655" s="3" t="s">
        <v>653</v>
      </c>
      <c r="CC1655" s="3" t="s">
        <v>159</v>
      </c>
      <c r="CD1655" s="3">
        <v>1469</v>
      </c>
      <c r="CE1655" s="3" t="s">
        <v>86</v>
      </c>
      <c r="CF1655" s="4">
        <v>44585</v>
      </c>
      <c r="CI1655" s="3">
        <v>1</v>
      </c>
      <c r="CJ1655" s="3">
        <v>1</v>
      </c>
      <c r="CK1655" s="3">
        <v>22</v>
      </c>
      <c r="CL1655" s="3" t="s">
        <v>87</v>
      </c>
    </row>
    <row r="1656" spans="1:90" x14ac:dyDescent="0.2">
      <c r="A1656" s="3" t="s">
        <v>72</v>
      </c>
      <c r="B1656" s="3" t="s">
        <v>73</v>
      </c>
      <c r="C1656" s="3" t="s">
        <v>74</v>
      </c>
      <c r="E1656" s="3" t="str">
        <f>"FES1162846309"</f>
        <v>FES1162846309</v>
      </c>
      <c r="F1656" s="4">
        <v>44582</v>
      </c>
      <c r="G1656" s="3">
        <v>202207</v>
      </c>
      <c r="H1656" s="3" t="s">
        <v>75</v>
      </c>
      <c r="I1656" s="3" t="s">
        <v>76</v>
      </c>
      <c r="J1656" s="3" t="s">
        <v>77</v>
      </c>
      <c r="K1656" s="3" t="s">
        <v>78</v>
      </c>
      <c r="L1656" s="3" t="s">
        <v>75</v>
      </c>
      <c r="M1656" s="3" t="s">
        <v>76</v>
      </c>
      <c r="N1656" s="3" t="s">
        <v>147</v>
      </c>
      <c r="O1656" s="3" t="s">
        <v>82</v>
      </c>
      <c r="P1656" s="3" t="str">
        <f>"2170817842                    "</f>
        <v xml:space="preserve">2170817842                    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12.07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0</v>
      </c>
      <c r="BC1656" s="3">
        <v>0</v>
      </c>
      <c r="BD1656" s="3">
        <v>0</v>
      </c>
      <c r="BE1656" s="3">
        <v>0</v>
      </c>
      <c r="BF1656" s="3">
        <v>0</v>
      </c>
      <c r="BG1656" s="3">
        <v>0</v>
      </c>
      <c r="BH1656" s="3">
        <v>1</v>
      </c>
      <c r="BI1656" s="3">
        <v>1</v>
      </c>
      <c r="BJ1656" s="3">
        <v>0.2</v>
      </c>
      <c r="BK1656" s="3">
        <v>1</v>
      </c>
      <c r="BL1656" s="3">
        <v>46.08</v>
      </c>
      <c r="BM1656" s="3">
        <v>6.91</v>
      </c>
      <c r="BN1656" s="3">
        <v>52.99</v>
      </c>
      <c r="BO1656" s="3">
        <v>52.99</v>
      </c>
      <c r="BQ1656" s="3" t="s">
        <v>89</v>
      </c>
      <c r="BR1656" s="3" t="s">
        <v>84</v>
      </c>
      <c r="BS1656" s="4">
        <v>44585</v>
      </c>
      <c r="BT1656" s="5">
        <v>0.36944444444444446</v>
      </c>
      <c r="BU1656" s="3" t="s">
        <v>1922</v>
      </c>
      <c r="BV1656" s="3" t="s">
        <v>105</v>
      </c>
      <c r="BY1656" s="3">
        <v>1200</v>
      </c>
      <c r="BZ1656" s="3" t="s">
        <v>165</v>
      </c>
      <c r="CA1656" s="3" t="s">
        <v>1293</v>
      </c>
      <c r="CC1656" s="3" t="s">
        <v>76</v>
      </c>
      <c r="CD1656" s="3">
        <v>1645</v>
      </c>
      <c r="CE1656" s="3" t="s">
        <v>93</v>
      </c>
      <c r="CF1656" s="4">
        <v>44586</v>
      </c>
      <c r="CI1656" s="3">
        <v>1</v>
      </c>
      <c r="CJ1656" s="3">
        <v>1</v>
      </c>
      <c r="CK1656" s="3">
        <v>22</v>
      </c>
      <c r="CL1656" s="3" t="s">
        <v>87</v>
      </c>
    </row>
    <row r="1657" spans="1:90" x14ac:dyDescent="0.2">
      <c r="A1657" s="3" t="s">
        <v>72</v>
      </c>
      <c r="B1657" s="3" t="s">
        <v>73</v>
      </c>
      <c r="C1657" s="3" t="s">
        <v>74</v>
      </c>
      <c r="E1657" s="3" t="str">
        <f>"FES1162846246"</f>
        <v>FES1162846246</v>
      </c>
      <c r="F1657" s="4">
        <v>44582</v>
      </c>
      <c r="G1657" s="3">
        <v>202207</v>
      </c>
      <c r="H1657" s="3" t="s">
        <v>75</v>
      </c>
      <c r="I1657" s="3" t="s">
        <v>76</v>
      </c>
      <c r="J1657" s="3" t="s">
        <v>77</v>
      </c>
      <c r="K1657" s="3" t="s">
        <v>78</v>
      </c>
      <c r="L1657" s="3" t="s">
        <v>993</v>
      </c>
      <c r="M1657" s="3" t="s">
        <v>994</v>
      </c>
      <c r="N1657" s="3" t="s">
        <v>995</v>
      </c>
      <c r="O1657" s="3" t="s">
        <v>82</v>
      </c>
      <c r="P1657" s="3" t="str">
        <f>"2170817757                    "</f>
        <v xml:space="preserve">2170817757                    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29.95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0</v>
      </c>
      <c r="BF1657" s="3">
        <v>0</v>
      </c>
      <c r="BG1657" s="3">
        <v>0</v>
      </c>
      <c r="BH1657" s="3">
        <v>1</v>
      </c>
      <c r="BI1657" s="3">
        <v>1</v>
      </c>
      <c r="BJ1657" s="3">
        <v>0.2</v>
      </c>
      <c r="BK1657" s="3">
        <v>1</v>
      </c>
      <c r="BL1657" s="3">
        <v>114.31</v>
      </c>
      <c r="BM1657" s="3">
        <v>17.149999999999999</v>
      </c>
      <c r="BN1657" s="3">
        <v>131.46</v>
      </c>
      <c r="BO1657" s="3">
        <v>131.46</v>
      </c>
      <c r="BR1657" s="3" t="s">
        <v>84</v>
      </c>
      <c r="BS1657" s="4">
        <v>44585</v>
      </c>
      <c r="BT1657" s="5">
        <v>0.59027777777777779</v>
      </c>
      <c r="BU1657" s="3" t="s">
        <v>1544</v>
      </c>
      <c r="BV1657" s="3" t="s">
        <v>87</v>
      </c>
      <c r="BY1657" s="3">
        <v>1200</v>
      </c>
      <c r="BZ1657" s="3" t="s">
        <v>165</v>
      </c>
      <c r="CA1657" s="3" t="s">
        <v>1545</v>
      </c>
      <c r="CC1657" s="3" t="s">
        <v>994</v>
      </c>
      <c r="CD1657" s="3">
        <v>850</v>
      </c>
      <c r="CE1657" s="3" t="s">
        <v>93</v>
      </c>
      <c r="CF1657" s="4">
        <v>44585</v>
      </c>
      <c r="CI1657" s="3">
        <v>1</v>
      </c>
      <c r="CJ1657" s="3">
        <v>1</v>
      </c>
      <c r="CK1657" s="3">
        <v>23</v>
      </c>
      <c r="CL1657" s="3" t="s">
        <v>87</v>
      </c>
    </row>
    <row r="1658" spans="1:90" x14ac:dyDescent="0.2">
      <c r="A1658" s="3" t="s">
        <v>72</v>
      </c>
      <c r="B1658" s="3" t="s">
        <v>73</v>
      </c>
      <c r="C1658" s="3" t="s">
        <v>74</v>
      </c>
      <c r="E1658" s="3" t="str">
        <f>"FES1162845975"</f>
        <v>FES1162845975</v>
      </c>
      <c r="F1658" s="4">
        <v>44582</v>
      </c>
      <c r="G1658" s="3">
        <v>202207</v>
      </c>
      <c r="H1658" s="3" t="s">
        <v>75</v>
      </c>
      <c r="I1658" s="3" t="s">
        <v>76</v>
      </c>
      <c r="J1658" s="3" t="s">
        <v>77</v>
      </c>
      <c r="K1658" s="3" t="s">
        <v>78</v>
      </c>
      <c r="L1658" s="3" t="s">
        <v>107</v>
      </c>
      <c r="M1658" s="3" t="s">
        <v>108</v>
      </c>
      <c r="N1658" s="3" t="s">
        <v>582</v>
      </c>
      <c r="O1658" s="3" t="s">
        <v>82</v>
      </c>
      <c r="P1658" s="3" t="str">
        <f>"2170817408                    "</f>
        <v xml:space="preserve">2170817408                    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29.95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0</v>
      </c>
      <c r="BC1658" s="3">
        <v>0</v>
      </c>
      <c r="BD1658" s="3">
        <v>0</v>
      </c>
      <c r="BE1658" s="3">
        <v>0</v>
      </c>
      <c r="BF1658" s="3">
        <v>0</v>
      </c>
      <c r="BG1658" s="3">
        <v>0</v>
      </c>
      <c r="BH1658" s="3">
        <v>1</v>
      </c>
      <c r="BI1658" s="3">
        <v>1</v>
      </c>
      <c r="BJ1658" s="3">
        <v>0.2</v>
      </c>
      <c r="BK1658" s="3">
        <v>1</v>
      </c>
      <c r="BL1658" s="3">
        <v>114.31</v>
      </c>
      <c r="BM1658" s="3">
        <v>17.149999999999999</v>
      </c>
      <c r="BN1658" s="3">
        <v>131.46</v>
      </c>
      <c r="BO1658" s="3">
        <v>131.46</v>
      </c>
      <c r="BQ1658" s="3" t="s">
        <v>126</v>
      </c>
      <c r="BR1658" s="3" t="s">
        <v>84</v>
      </c>
      <c r="BS1658" s="4">
        <v>44585</v>
      </c>
      <c r="BT1658" s="5">
        <v>0.43958333333333338</v>
      </c>
      <c r="BU1658" s="3" t="s">
        <v>1923</v>
      </c>
      <c r="BV1658" s="3" t="s">
        <v>105</v>
      </c>
      <c r="BY1658" s="3">
        <v>1200</v>
      </c>
      <c r="BZ1658" s="3" t="s">
        <v>165</v>
      </c>
      <c r="CA1658" s="3" t="s">
        <v>394</v>
      </c>
      <c r="CC1658" s="3" t="s">
        <v>108</v>
      </c>
      <c r="CD1658" s="3">
        <v>6850</v>
      </c>
      <c r="CE1658" s="3" t="s">
        <v>93</v>
      </c>
      <c r="CF1658" s="4">
        <v>44586</v>
      </c>
      <c r="CI1658" s="3">
        <v>2</v>
      </c>
      <c r="CJ1658" s="3">
        <v>1</v>
      </c>
      <c r="CK1658" s="3">
        <v>23</v>
      </c>
      <c r="CL1658" s="3" t="s">
        <v>87</v>
      </c>
    </row>
    <row r="1659" spans="1:90" x14ac:dyDescent="0.2">
      <c r="A1659" s="3" t="s">
        <v>72</v>
      </c>
      <c r="B1659" s="3" t="s">
        <v>73</v>
      </c>
      <c r="C1659" s="3" t="s">
        <v>74</v>
      </c>
      <c r="E1659" s="3" t="str">
        <f>"FES1162846304"</f>
        <v>FES1162846304</v>
      </c>
      <c r="F1659" s="4">
        <v>44582</v>
      </c>
      <c r="G1659" s="3">
        <v>202207</v>
      </c>
      <c r="H1659" s="3" t="s">
        <v>75</v>
      </c>
      <c r="I1659" s="3" t="s">
        <v>76</v>
      </c>
      <c r="J1659" s="3" t="s">
        <v>77</v>
      </c>
      <c r="K1659" s="3" t="s">
        <v>78</v>
      </c>
      <c r="L1659" s="3" t="s">
        <v>75</v>
      </c>
      <c r="M1659" s="3" t="s">
        <v>76</v>
      </c>
      <c r="N1659" s="3" t="s">
        <v>147</v>
      </c>
      <c r="O1659" s="3" t="s">
        <v>82</v>
      </c>
      <c r="P1659" s="3" t="str">
        <f>"2170817830                    "</f>
        <v xml:space="preserve">2170817830                    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12.07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1</v>
      </c>
      <c r="BI1659" s="3">
        <v>1</v>
      </c>
      <c r="BJ1659" s="3">
        <v>1.5</v>
      </c>
      <c r="BK1659" s="3">
        <v>1.5</v>
      </c>
      <c r="BL1659" s="3">
        <v>46.08</v>
      </c>
      <c r="BM1659" s="3">
        <v>6.91</v>
      </c>
      <c r="BN1659" s="3">
        <v>52.99</v>
      </c>
      <c r="BO1659" s="3">
        <v>52.99</v>
      </c>
      <c r="BQ1659" s="3" t="s">
        <v>89</v>
      </c>
      <c r="BR1659" s="3" t="s">
        <v>84</v>
      </c>
      <c r="BS1659" s="4">
        <v>44585</v>
      </c>
      <c r="BT1659" s="5">
        <v>0.36944444444444446</v>
      </c>
      <c r="BU1659" s="3" t="s">
        <v>1922</v>
      </c>
      <c r="BV1659" s="3" t="s">
        <v>105</v>
      </c>
      <c r="BY1659" s="3">
        <v>7540</v>
      </c>
      <c r="CA1659" s="3" t="s">
        <v>1293</v>
      </c>
      <c r="CC1659" s="3" t="s">
        <v>76</v>
      </c>
      <c r="CD1659" s="3">
        <v>1645</v>
      </c>
      <c r="CE1659" s="3" t="s">
        <v>86</v>
      </c>
      <c r="CF1659" s="4">
        <v>44586</v>
      </c>
      <c r="CI1659" s="3">
        <v>1</v>
      </c>
      <c r="CJ1659" s="3">
        <v>1</v>
      </c>
      <c r="CK1659" s="3">
        <v>22</v>
      </c>
      <c r="CL1659" s="3" t="s">
        <v>87</v>
      </c>
    </row>
    <row r="1660" spans="1:90" x14ac:dyDescent="0.2">
      <c r="A1660" s="3" t="s">
        <v>72</v>
      </c>
      <c r="B1660" s="3" t="s">
        <v>73</v>
      </c>
      <c r="C1660" s="3" t="s">
        <v>74</v>
      </c>
      <c r="E1660" s="3" t="str">
        <f>"FES1162846255"</f>
        <v>FES1162846255</v>
      </c>
      <c r="F1660" s="4">
        <v>44582</v>
      </c>
      <c r="G1660" s="3">
        <v>202207</v>
      </c>
      <c r="H1660" s="3" t="s">
        <v>75</v>
      </c>
      <c r="I1660" s="3" t="s">
        <v>76</v>
      </c>
      <c r="J1660" s="3" t="s">
        <v>77</v>
      </c>
      <c r="K1660" s="3" t="s">
        <v>78</v>
      </c>
      <c r="L1660" s="3" t="s">
        <v>110</v>
      </c>
      <c r="M1660" s="3" t="s">
        <v>110</v>
      </c>
      <c r="N1660" s="3" t="s">
        <v>764</v>
      </c>
      <c r="O1660" s="3" t="s">
        <v>82</v>
      </c>
      <c r="P1660" s="3" t="str">
        <f>"2170817769                    "</f>
        <v xml:space="preserve">2170817769                    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29.95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0</v>
      </c>
      <c r="BC1660" s="3">
        <v>0</v>
      </c>
      <c r="BD1660" s="3">
        <v>0</v>
      </c>
      <c r="BE1660" s="3">
        <v>0</v>
      </c>
      <c r="BF1660" s="3">
        <v>0</v>
      </c>
      <c r="BG1660" s="3">
        <v>0</v>
      </c>
      <c r="BH1660" s="3">
        <v>1</v>
      </c>
      <c r="BI1660" s="3">
        <v>1</v>
      </c>
      <c r="BJ1660" s="3">
        <v>0.2</v>
      </c>
      <c r="BK1660" s="3">
        <v>1</v>
      </c>
      <c r="BL1660" s="3">
        <v>114.31</v>
      </c>
      <c r="BM1660" s="3">
        <v>17.149999999999999</v>
      </c>
      <c r="BN1660" s="3">
        <v>131.46</v>
      </c>
      <c r="BO1660" s="3">
        <v>131.46</v>
      </c>
      <c r="BQ1660" s="3" t="s">
        <v>83</v>
      </c>
      <c r="BR1660" s="3" t="s">
        <v>84</v>
      </c>
      <c r="BS1660" s="4">
        <v>44585</v>
      </c>
      <c r="BT1660" s="5">
        <v>0.57847222222222217</v>
      </c>
      <c r="BU1660" s="3" t="s">
        <v>1924</v>
      </c>
      <c r="BV1660" s="3" t="s">
        <v>87</v>
      </c>
      <c r="BW1660" s="3" t="s">
        <v>457</v>
      </c>
      <c r="BX1660" s="3" t="s">
        <v>602</v>
      </c>
      <c r="BY1660" s="3">
        <v>1200</v>
      </c>
      <c r="BZ1660" s="3" t="s">
        <v>165</v>
      </c>
      <c r="CA1660" s="3" t="s">
        <v>360</v>
      </c>
      <c r="CC1660" s="3" t="s">
        <v>110</v>
      </c>
      <c r="CD1660" s="3">
        <v>7646</v>
      </c>
      <c r="CE1660" s="3" t="s">
        <v>93</v>
      </c>
      <c r="CF1660" s="4">
        <v>44586</v>
      </c>
      <c r="CI1660" s="3">
        <v>1</v>
      </c>
      <c r="CJ1660" s="3">
        <v>1</v>
      </c>
      <c r="CK1660" s="3">
        <v>23</v>
      </c>
      <c r="CL1660" s="3" t="s">
        <v>87</v>
      </c>
    </row>
    <row r="1661" spans="1:90" x14ac:dyDescent="0.2">
      <c r="A1661" s="3" t="s">
        <v>72</v>
      </c>
      <c r="B1661" s="3" t="s">
        <v>73</v>
      </c>
      <c r="C1661" s="3" t="s">
        <v>74</v>
      </c>
      <c r="E1661" s="3" t="str">
        <f>"FES1162846232"</f>
        <v>FES1162846232</v>
      </c>
      <c r="F1661" s="4">
        <v>44582</v>
      </c>
      <c r="G1661" s="3">
        <v>202207</v>
      </c>
      <c r="H1661" s="3" t="s">
        <v>75</v>
      </c>
      <c r="I1661" s="3" t="s">
        <v>76</v>
      </c>
      <c r="J1661" s="3" t="s">
        <v>77</v>
      </c>
      <c r="K1661" s="3" t="s">
        <v>78</v>
      </c>
      <c r="L1661" s="3" t="s">
        <v>75</v>
      </c>
      <c r="M1661" s="3" t="s">
        <v>76</v>
      </c>
      <c r="N1661" s="3" t="s">
        <v>1925</v>
      </c>
      <c r="O1661" s="3" t="s">
        <v>82</v>
      </c>
      <c r="P1661" s="3" t="str">
        <f>"2170817739                    "</f>
        <v xml:space="preserve">2170817739                    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12.07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1</v>
      </c>
      <c r="BI1661" s="3">
        <v>1</v>
      </c>
      <c r="BJ1661" s="3">
        <v>0.2</v>
      </c>
      <c r="BK1661" s="3">
        <v>1</v>
      </c>
      <c r="BL1661" s="3">
        <v>46.08</v>
      </c>
      <c r="BM1661" s="3">
        <v>6.91</v>
      </c>
      <c r="BN1661" s="3">
        <v>52.99</v>
      </c>
      <c r="BO1661" s="3">
        <v>52.99</v>
      </c>
      <c r="BQ1661" s="3" t="s">
        <v>1926</v>
      </c>
      <c r="BR1661" s="3" t="s">
        <v>84</v>
      </c>
      <c r="BS1661" s="4">
        <v>44585</v>
      </c>
      <c r="BT1661" s="5">
        <v>0.39652777777777781</v>
      </c>
      <c r="BU1661" s="3" t="s">
        <v>1927</v>
      </c>
      <c r="BV1661" s="3" t="s">
        <v>105</v>
      </c>
      <c r="BY1661" s="3">
        <v>1200</v>
      </c>
      <c r="BZ1661" s="3" t="s">
        <v>165</v>
      </c>
      <c r="CA1661" s="3" t="s">
        <v>378</v>
      </c>
      <c r="CC1661" s="3" t="s">
        <v>76</v>
      </c>
      <c r="CD1661" s="3">
        <v>1600</v>
      </c>
      <c r="CE1661" s="3" t="s">
        <v>93</v>
      </c>
      <c r="CF1661" s="4">
        <v>44585</v>
      </c>
      <c r="CI1661" s="3">
        <v>1</v>
      </c>
      <c r="CJ1661" s="3">
        <v>1</v>
      </c>
      <c r="CK1661" s="3">
        <v>22</v>
      </c>
      <c r="CL1661" s="3" t="s">
        <v>87</v>
      </c>
    </row>
    <row r="1662" spans="1:90" x14ac:dyDescent="0.2">
      <c r="A1662" s="3" t="s">
        <v>72</v>
      </c>
      <c r="B1662" s="3" t="s">
        <v>73</v>
      </c>
      <c r="C1662" s="3" t="s">
        <v>74</v>
      </c>
      <c r="E1662" s="3" t="str">
        <f>"FES1162846277"</f>
        <v>FES1162846277</v>
      </c>
      <c r="F1662" s="4">
        <v>44582</v>
      </c>
      <c r="G1662" s="3">
        <v>202207</v>
      </c>
      <c r="H1662" s="3" t="s">
        <v>75</v>
      </c>
      <c r="I1662" s="3" t="s">
        <v>76</v>
      </c>
      <c r="J1662" s="3" t="s">
        <v>77</v>
      </c>
      <c r="K1662" s="3" t="s">
        <v>78</v>
      </c>
      <c r="L1662" s="3" t="s">
        <v>97</v>
      </c>
      <c r="M1662" s="3" t="s">
        <v>98</v>
      </c>
      <c r="N1662" s="3" t="s">
        <v>1928</v>
      </c>
      <c r="O1662" s="3" t="s">
        <v>82</v>
      </c>
      <c r="P1662" s="3" t="str">
        <f>"2170817794                    "</f>
        <v xml:space="preserve">2170817794                    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12.07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v>0</v>
      </c>
      <c r="BA1662" s="3">
        <v>0</v>
      </c>
      <c r="BB1662" s="3">
        <v>0</v>
      </c>
      <c r="BC1662" s="3">
        <v>0</v>
      </c>
      <c r="BD1662" s="3">
        <v>0</v>
      </c>
      <c r="BE1662" s="3">
        <v>0</v>
      </c>
      <c r="BF1662" s="3">
        <v>0</v>
      </c>
      <c r="BG1662" s="3">
        <v>0</v>
      </c>
      <c r="BH1662" s="3">
        <v>1</v>
      </c>
      <c r="BI1662" s="3">
        <v>1</v>
      </c>
      <c r="BJ1662" s="3">
        <v>0.2</v>
      </c>
      <c r="BK1662" s="3">
        <v>1</v>
      </c>
      <c r="BL1662" s="3">
        <v>46.08</v>
      </c>
      <c r="BM1662" s="3">
        <v>6.91</v>
      </c>
      <c r="BN1662" s="3">
        <v>52.99</v>
      </c>
      <c r="BO1662" s="3">
        <v>52.99</v>
      </c>
      <c r="BQ1662" s="3" t="s">
        <v>145</v>
      </c>
      <c r="BR1662" s="3" t="s">
        <v>84</v>
      </c>
      <c r="BS1662" s="4">
        <v>44585</v>
      </c>
      <c r="BT1662" s="5">
        <v>0.36458333333333331</v>
      </c>
      <c r="BU1662" s="3" t="s">
        <v>1929</v>
      </c>
      <c r="BV1662" s="3" t="s">
        <v>105</v>
      </c>
      <c r="BY1662" s="3">
        <v>1200</v>
      </c>
      <c r="BZ1662" s="3" t="s">
        <v>165</v>
      </c>
      <c r="CA1662" s="3" t="s">
        <v>1151</v>
      </c>
      <c r="CC1662" s="3" t="s">
        <v>98</v>
      </c>
      <c r="CD1662" s="3">
        <v>2094</v>
      </c>
      <c r="CE1662" s="3" t="s">
        <v>93</v>
      </c>
      <c r="CF1662" s="4">
        <v>44585</v>
      </c>
      <c r="CI1662" s="3">
        <v>1</v>
      </c>
      <c r="CJ1662" s="3">
        <v>1</v>
      </c>
      <c r="CK1662" s="3">
        <v>22</v>
      </c>
      <c r="CL1662" s="3" t="s">
        <v>87</v>
      </c>
    </row>
    <row r="1663" spans="1:90" x14ac:dyDescent="0.2">
      <c r="A1663" s="3" t="s">
        <v>72</v>
      </c>
      <c r="B1663" s="3" t="s">
        <v>73</v>
      </c>
      <c r="C1663" s="3" t="s">
        <v>74</v>
      </c>
      <c r="E1663" s="3" t="str">
        <f>"FES1162846286"</f>
        <v>FES1162846286</v>
      </c>
      <c r="F1663" s="4">
        <v>44582</v>
      </c>
      <c r="G1663" s="3">
        <v>202207</v>
      </c>
      <c r="H1663" s="3" t="s">
        <v>75</v>
      </c>
      <c r="I1663" s="3" t="s">
        <v>76</v>
      </c>
      <c r="J1663" s="3" t="s">
        <v>77</v>
      </c>
      <c r="K1663" s="3" t="s">
        <v>78</v>
      </c>
      <c r="L1663" s="3" t="s">
        <v>158</v>
      </c>
      <c r="M1663" s="3" t="s">
        <v>159</v>
      </c>
      <c r="N1663" s="3" t="s">
        <v>832</v>
      </c>
      <c r="O1663" s="3" t="s">
        <v>82</v>
      </c>
      <c r="P1663" s="3" t="str">
        <f>"2170817809                    "</f>
        <v xml:space="preserve">2170817809                    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12.07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0</v>
      </c>
      <c r="BC1663" s="3">
        <v>0</v>
      </c>
      <c r="BD1663" s="3">
        <v>0</v>
      </c>
      <c r="BE1663" s="3">
        <v>0</v>
      </c>
      <c r="BF1663" s="3">
        <v>0</v>
      </c>
      <c r="BG1663" s="3">
        <v>0</v>
      </c>
      <c r="BH1663" s="3">
        <v>1</v>
      </c>
      <c r="BI1663" s="3">
        <v>1</v>
      </c>
      <c r="BJ1663" s="3">
        <v>0.2</v>
      </c>
      <c r="BK1663" s="3">
        <v>1</v>
      </c>
      <c r="BL1663" s="3">
        <v>46.08</v>
      </c>
      <c r="BM1663" s="3">
        <v>6.91</v>
      </c>
      <c r="BN1663" s="3">
        <v>52.99</v>
      </c>
      <c r="BO1663" s="3">
        <v>52.99</v>
      </c>
      <c r="BQ1663" s="3" t="s">
        <v>83</v>
      </c>
      <c r="BR1663" s="3" t="s">
        <v>84</v>
      </c>
      <c r="BS1663" s="4">
        <v>44585</v>
      </c>
      <c r="BT1663" s="5">
        <v>0.29097222222222224</v>
      </c>
      <c r="BU1663" s="3" t="s">
        <v>833</v>
      </c>
      <c r="BV1663" s="3" t="s">
        <v>105</v>
      </c>
      <c r="BY1663" s="3">
        <v>1200</v>
      </c>
      <c r="BZ1663" s="3" t="s">
        <v>165</v>
      </c>
      <c r="CA1663" s="3" t="s">
        <v>763</v>
      </c>
      <c r="CC1663" s="3" t="s">
        <v>159</v>
      </c>
      <c r="CD1663" s="3">
        <v>1460</v>
      </c>
      <c r="CE1663" s="3" t="s">
        <v>93</v>
      </c>
      <c r="CF1663" s="4">
        <v>44585</v>
      </c>
      <c r="CI1663" s="3">
        <v>1</v>
      </c>
      <c r="CJ1663" s="3">
        <v>1</v>
      </c>
      <c r="CK1663" s="3">
        <v>22</v>
      </c>
      <c r="CL1663" s="3" t="s">
        <v>87</v>
      </c>
    </row>
    <row r="1664" spans="1:90" x14ac:dyDescent="0.2">
      <c r="A1664" s="3" t="s">
        <v>72</v>
      </c>
      <c r="B1664" s="3" t="s">
        <v>73</v>
      </c>
      <c r="C1664" s="3" t="s">
        <v>74</v>
      </c>
      <c r="E1664" s="3" t="str">
        <f>"FES1162846299"</f>
        <v>FES1162846299</v>
      </c>
      <c r="F1664" s="4">
        <v>44582</v>
      </c>
      <c r="G1664" s="3">
        <v>202207</v>
      </c>
      <c r="H1664" s="3" t="s">
        <v>75</v>
      </c>
      <c r="I1664" s="3" t="s">
        <v>76</v>
      </c>
      <c r="J1664" s="3" t="s">
        <v>77</v>
      </c>
      <c r="K1664" s="3" t="s">
        <v>78</v>
      </c>
      <c r="L1664" s="3" t="s">
        <v>79</v>
      </c>
      <c r="M1664" s="3" t="s">
        <v>80</v>
      </c>
      <c r="N1664" s="3" t="s">
        <v>1930</v>
      </c>
      <c r="O1664" s="3" t="s">
        <v>82</v>
      </c>
      <c r="P1664" s="3" t="str">
        <f>"2170817824                    "</f>
        <v xml:space="preserve">2170817824                    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15.46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0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v>0</v>
      </c>
      <c r="BA1664" s="3">
        <v>0</v>
      </c>
      <c r="BB1664" s="3">
        <v>0</v>
      </c>
      <c r="BC1664" s="3">
        <v>0</v>
      </c>
      <c r="BD1664" s="3">
        <v>0</v>
      </c>
      <c r="BE1664" s="3">
        <v>0</v>
      </c>
      <c r="BF1664" s="3">
        <v>0</v>
      </c>
      <c r="BG1664" s="3">
        <v>0</v>
      </c>
      <c r="BH1664" s="3">
        <v>1</v>
      </c>
      <c r="BI1664" s="3">
        <v>1</v>
      </c>
      <c r="BJ1664" s="3">
        <v>0.2</v>
      </c>
      <c r="BK1664" s="3">
        <v>1</v>
      </c>
      <c r="BL1664" s="3">
        <v>59</v>
      </c>
      <c r="BM1664" s="3">
        <v>8.85</v>
      </c>
      <c r="BN1664" s="3">
        <v>67.849999999999994</v>
      </c>
      <c r="BO1664" s="3">
        <v>67.849999999999994</v>
      </c>
      <c r="BR1664" s="3" t="s">
        <v>84</v>
      </c>
      <c r="BS1664" s="4">
        <v>44585</v>
      </c>
      <c r="BT1664" s="5">
        <v>0.41666666666666669</v>
      </c>
      <c r="BU1664" s="3" t="s">
        <v>1931</v>
      </c>
      <c r="BV1664" s="3" t="s">
        <v>105</v>
      </c>
      <c r="BY1664" s="3">
        <v>1200</v>
      </c>
      <c r="BZ1664" s="3" t="s">
        <v>165</v>
      </c>
      <c r="CA1664" s="3" t="s">
        <v>287</v>
      </c>
      <c r="CC1664" s="3" t="s">
        <v>80</v>
      </c>
      <c r="CD1664" s="3">
        <v>127</v>
      </c>
      <c r="CE1664" s="3" t="s">
        <v>93</v>
      </c>
      <c r="CF1664" s="4">
        <v>44586</v>
      </c>
      <c r="CI1664" s="3">
        <v>1</v>
      </c>
      <c r="CJ1664" s="3">
        <v>1</v>
      </c>
      <c r="CK1664" s="3">
        <v>21</v>
      </c>
      <c r="CL1664" s="3" t="s">
        <v>87</v>
      </c>
    </row>
    <row r="1665" spans="1:90" x14ac:dyDescent="0.2">
      <c r="A1665" s="3" t="s">
        <v>72</v>
      </c>
      <c r="B1665" s="3" t="s">
        <v>73</v>
      </c>
      <c r="C1665" s="3" t="s">
        <v>74</v>
      </c>
      <c r="E1665" s="3" t="str">
        <f>"FES1162846180"</f>
        <v>FES1162846180</v>
      </c>
      <c r="F1665" s="4">
        <v>44582</v>
      </c>
      <c r="G1665" s="3">
        <v>202207</v>
      </c>
      <c r="H1665" s="3" t="s">
        <v>75</v>
      </c>
      <c r="I1665" s="3" t="s">
        <v>76</v>
      </c>
      <c r="J1665" s="3" t="s">
        <v>77</v>
      </c>
      <c r="K1665" s="3" t="s">
        <v>78</v>
      </c>
      <c r="L1665" s="3" t="s">
        <v>258</v>
      </c>
      <c r="M1665" s="3" t="s">
        <v>259</v>
      </c>
      <c r="N1665" s="3" t="s">
        <v>260</v>
      </c>
      <c r="O1665" s="3" t="s">
        <v>82</v>
      </c>
      <c r="P1665" s="3" t="str">
        <f>"2170817687                    "</f>
        <v xml:space="preserve">2170817687                    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21.74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0</v>
      </c>
      <c r="BC1665" s="3">
        <v>0</v>
      </c>
      <c r="BD1665" s="3">
        <v>0</v>
      </c>
      <c r="BE1665" s="3">
        <v>0</v>
      </c>
      <c r="BF1665" s="3">
        <v>0</v>
      </c>
      <c r="BG1665" s="3">
        <v>0</v>
      </c>
      <c r="BH1665" s="3">
        <v>1</v>
      </c>
      <c r="BI1665" s="3">
        <v>1</v>
      </c>
      <c r="BJ1665" s="3">
        <v>0.2</v>
      </c>
      <c r="BK1665" s="3">
        <v>1</v>
      </c>
      <c r="BL1665" s="3">
        <v>82.98</v>
      </c>
      <c r="BM1665" s="3">
        <v>12.45</v>
      </c>
      <c r="BN1665" s="3">
        <v>95.43</v>
      </c>
      <c r="BO1665" s="3">
        <v>95.43</v>
      </c>
      <c r="BQ1665" s="3" t="s">
        <v>83</v>
      </c>
      <c r="BR1665" s="3" t="s">
        <v>84</v>
      </c>
      <c r="BS1665" s="4">
        <v>44585</v>
      </c>
      <c r="BT1665" s="5">
        <v>0.4375</v>
      </c>
      <c r="BU1665" s="3" t="s">
        <v>1086</v>
      </c>
      <c r="BV1665" s="3" t="s">
        <v>105</v>
      </c>
      <c r="BY1665" s="3">
        <v>1200</v>
      </c>
      <c r="BZ1665" s="3" t="s">
        <v>165</v>
      </c>
      <c r="CA1665" s="3" t="s">
        <v>328</v>
      </c>
      <c r="CC1665" s="3" t="s">
        <v>259</v>
      </c>
      <c r="CD1665" s="3">
        <v>2302</v>
      </c>
      <c r="CE1665" s="3" t="s">
        <v>93</v>
      </c>
      <c r="CF1665" s="4">
        <v>44586</v>
      </c>
      <c r="CI1665" s="3">
        <v>1</v>
      </c>
      <c r="CJ1665" s="3">
        <v>1</v>
      </c>
      <c r="CK1665" s="3">
        <v>24</v>
      </c>
      <c r="CL1665" s="3" t="s">
        <v>87</v>
      </c>
    </row>
    <row r="1666" spans="1:90" x14ac:dyDescent="0.2">
      <c r="A1666" s="3" t="s">
        <v>72</v>
      </c>
      <c r="B1666" s="3" t="s">
        <v>73</v>
      </c>
      <c r="C1666" s="3" t="s">
        <v>74</v>
      </c>
      <c r="E1666" s="3" t="str">
        <f>"FES1162846287"</f>
        <v>FES1162846287</v>
      </c>
      <c r="F1666" s="4">
        <v>44582</v>
      </c>
      <c r="G1666" s="3">
        <v>202207</v>
      </c>
      <c r="H1666" s="3" t="s">
        <v>75</v>
      </c>
      <c r="I1666" s="3" t="s">
        <v>76</v>
      </c>
      <c r="J1666" s="3" t="s">
        <v>77</v>
      </c>
      <c r="K1666" s="3" t="s">
        <v>78</v>
      </c>
      <c r="L1666" s="3" t="s">
        <v>167</v>
      </c>
      <c r="M1666" s="3" t="s">
        <v>168</v>
      </c>
      <c r="N1666" s="3" t="s">
        <v>169</v>
      </c>
      <c r="O1666" s="3" t="s">
        <v>82</v>
      </c>
      <c r="P1666" s="3" t="str">
        <f>"2170817810                    "</f>
        <v xml:space="preserve">2170817810                    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15.46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0</v>
      </c>
      <c r="AV1666" s="3">
        <v>0</v>
      </c>
      <c r="AW1666" s="3">
        <v>0</v>
      </c>
      <c r="AX1666" s="3">
        <v>0</v>
      </c>
      <c r="AY1666" s="3">
        <v>0</v>
      </c>
      <c r="AZ1666" s="3">
        <v>0</v>
      </c>
      <c r="BA1666" s="3">
        <v>0</v>
      </c>
      <c r="BB1666" s="3">
        <v>0</v>
      </c>
      <c r="BC1666" s="3">
        <v>0</v>
      </c>
      <c r="BD1666" s="3">
        <v>0</v>
      </c>
      <c r="BE1666" s="3">
        <v>0</v>
      </c>
      <c r="BF1666" s="3">
        <v>0</v>
      </c>
      <c r="BG1666" s="3">
        <v>0</v>
      </c>
      <c r="BH1666" s="3">
        <v>1</v>
      </c>
      <c r="BI1666" s="3">
        <v>1</v>
      </c>
      <c r="BJ1666" s="3">
        <v>0.2</v>
      </c>
      <c r="BK1666" s="3">
        <v>1</v>
      </c>
      <c r="BL1666" s="3">
        <v>59</v>
      </c>
      <c r="BM1666" s="3">
        <v>8.85</v>
      </c>
      <c r="BN1666" s="3">
        <v>67.849999999999994</v>
      </c>
      <c r="BO1666" s="3">
        <v>67.849999999999994</v>
      </c>
      <c r="BQ1666" s="3" t="s">
        <v>83</v>
      </c>
      <c r="BR1666" s="3" t="s">
        <v>84</v>
      </c>
      <c r="BS1666" s="4">
        <v>44585</v>
      </c>
      <c r="BT1666" s="5">
        <v>0.35833333333333334</v>
      </c>
      <c r="BU1666" s="3" t="s">
        <v>262</v>
      </c>
      <c r="BV1666" s="3" t="s">
        <v>105</v>
      </c>
      <c r="BY1666" s="3">
        <v>1200</v>
      </c>
      <c r="BZ1666" s="3" t="s">
        <v>165</v>
      </c>
      <c r="CA1666" s="3" t="s">
        <v>1580</v>
      </c>
      <c r="CC1666" s="3" t="s">
        <v>168</v>
      </c>
      <c r="CD1666" s="3">
        <v>6220</v>
      </c>
      <c r="CE1666" s="3" t="s">
        <v>93</v>
      </c>
      <c r="CF1666" s="4">
        <v>44585</v>
      </c>
      <c r="CI1666" s="3">
        <v>1</v>
      </c>
      <c r="CJ1666" s="3">
        <v>1</v>
      </c>
      <c r="CK1666" s="3">
        <v>21</v>
      </c>
      <c r="CL1666" s="3" t="s">
        <v>87</v>
      </c>
    </row>
    <row r="1667" spans="1:90" x14ac:dyDescent="0.2">
      <c r="A1667" s="3" t="s">
        <v>72</v>
      </c>
      <c r="B1667" s="3" t="s">
        <v>73</v>
      </c>
      <c r="C1667" s="3" t="s">
        <v>74</v>
      </c>
      <c r="E1667" s="3" t="str">
        <f>"FES1162846281"</f>
        <v>FES1162846281</v>
      </c>
      <c r="F1667" s="4">
        <v>44582</v>
      </c>
      <c r="G1667" s="3">
        <v>202207</v>
      </c>
      <c r="H1667" s="3" t="s">
        <v>75</v>
      </c>
      <c r="I1667" s="3" t="s">
        <v>76</v>
      </c>
      <c r="J1667" s="3" t="s">
        <v>77</v>
      </c>
      <c r="K1667" s="3" t="s">
        <v>78</v>
      </c>
      <c r="L1667" s="3" t="s">
        <v>162</v>
      </c>
      <c r="M1667" s="3" t="s">
        <v>163</v>
      </c>
      <c r="N1667" s="3" t="s">
        <v>940</v>
      </c>
      <c r="O1667" s="3" t="s">
        <v>82</v>
      </c>
      <c r="P1667" s="3" t="str">
        <f>"2170817801                    "</f>
        <v xml:space="preserve">2170817801                    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0</v>
      </c>
      <c r="AJ1667" s="3">
        <v>0</v>
      </c>
      <c r="AK1667" s="3">
        <v>12.07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v>0</v>
      </c>
      <c r="BA1667" s="3">
        <v>0</v>
      </c>
      <c r="BB1667" s="3">
        <v>0</v>
      </c>
      <c r="BC1667" s="3">
        <v>0</v>
      </c>
      <c r="BD1667" s="3">
        <v>0</v>
      </c>
      <c r="BE1667" s="3">
        <v>0</v>
      </c>
      <c r="BF1667" s="3">
        <v>0</v>
      </c>
      <c r="BG1667" s="3">
        <v>0</v>
      </c>
      <c r="BH1667" s="3">
        <v>1</v>
      </c>
      <c r="BI1667" s="3">
        <v>1</v>
      </c>
      <c r="BJ1667" s="3">
        <v>0.2</v>
      </c>
      <c r="BK1667" s="3">
        <v>1</v>
      </c>
      <c r="BL1667" s="3">
        <v>46.08</v>
      </c>
      <c r="BM1667" s="3">
        <v>6.91</v>
      </c>
      <c r="BN1667" s="3">
        <v>52.99</v>
      </c>
      <c r="BO1667" s="3">
        <v>52.99</v>
      </c>
      <c r="BQ1667" s="3" t="s">
        <v>941</v>
      </c>
      <c r="BR1667" s="3" t="s">
        <v>84</v>
      </c>
      <c r="BS1667" s="4">
        <v>44585</v>
      </c>
      <c r="BT1667" s="5">
        <v>0.37847222222222227</v>
      </c>
      <c r="BU1667" s="3" t="s">
        <v>1932</v>
      </c>
      <c r="BV1667" s="3" t="s">
        <v>105</v>
      </c>
      <c r="BY1667" s="3">
        <v>1200</v>
      </c>
      <c r="BZ1667" s="3" t="s">
        <v>165</v>
      </c>
      <c r="CA1667" s="3" t="s">
        <v>591</v>
      </c>
      <c r="CC1667" s="3" t="s">
        <v>163</v>
      </c>
      <c r="CD1667" s="3">
        <v>1428</v>
      </c>
      <c r="CE1667" s="3" t="s">
        <v>93</v>
      </c>
      <c r="CF1667" s="4">
        <v>44585</v>
      </c>
      <c r="CI1667" s="3">
        <v>1</v>
      </c>
      <c r="CJ1667" s="3">
        <v>1</v>
      </c>
      <c r="CK1667" s="3">
        <v>22</v>
      </c>
      <c r="CL1667" s="3" t="s">
        <v>87</v>
      </c>
    </row>
    <row r="1668" spans="1:90" x14ac:dyDescent="0.2">
      <c r="A1668" s="3" t="s">
        <v>72</v>
      </c>
      <c r="B1668" s="3" t="s">
        <v>73</v>
      </c>
      <c r="C1668" s="3" t="s">
        <v>74</v>
      </c>
      <c r="E1668" s="3" t="str">
        <f>"FES1162846294"</f>
        <v>FES1162846294</v>
      </c>
      <c r="F1668" s="4">
        <v>44582</v>
      </c>
      <c r="G1668" s="3">
        <v>202207</v>
      </c>
      <c r="H1668" s="3" t="s">
        <v>75</v>
      </c>
      <c r="I1668" s="3" t="s">
        <v>76</v>
      </c>
      <c r="J1668" s="3" t="s">
        <v>77</v>
      </c>
      <c r="K1668" s="3" t="s">
        <v>78</v>
      </c>
      <c r="L1668" s="3" t="s">
        <v>138</v>
      </c>
      <c r="M1668" s="3" t="s">
        <v>139</v>
      </c>
      <c r="N1668" s="3" t="s">
        <v>214</v>
      </c>
      <c r="O1668" s="3" t="s">
        <v>82</v>
      </c>
      <c r="P1668" s="3" t="str">
        <f>"2170817817                    "</f>
        <v xml:space="preserve">2170817817                    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0</v>
      </c>
      <c r="AJ1668" s="3">
        <v>0</v>
      </c>
      <c r="AK1668" s="3">
        <v>15.46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0</v>
      </c>
      <c r="BF1668" s="3">
        <v>0</v>
      </c>
      <c r="BG1668" s="3">
        <v>0</v>
      </c>
      <c r="BH1668" s="3">
        <v>1</v>
      </c>
      <c r="BI1668" s="3">
        <v>1</v>
      </c>
      <c r="BJ1668" s="3">
        <v>0.2</v>
      </c>
      <c r="BK1668" s="3">
        <v>1</v>
      </c>
      <c r="BL1668" s="3">
        <v>59</v>
      </c>
      <c r="BM1668" s="3">
        <v>8.85</v>
      </c>
      <c r="BN1668" s="3">
        <v>67.849999999999994</v>
      </c>
      <c r="BO1668" s="3">
        <v>67.849999999999994</v>
      </c>
      <c r="BQ1668" s="3" t="s">
        <v>126</v>
      </c>
      <c r="BR1668" s="3" t="s">
        <v>84</v>
      </c>
      <c r="BS1668" s="4">
        <v>44585</v>
      </c>
      <c r="BT1668" s="5">
        <v>0.54166666666666663</v>
      </c>
      <c r="BU1668" s="3" t="s">
        <v>770</v>
      </c>
      <c r="BV1668" s="3" t="s">
        <v>105</v>
      </c>
      <c r="BY1668" s="3">
        <v>1200</v>
      </c>
      <c r="BZ1668" s="3" t="s">
        <v>165</v>
      </c>
      <c r="CA1668" s="3" t="s">
        <v>303</v>
      </c>
      <c r="CC1668" s="3" t="s">
        <v>139</v>
      </c>
      <c r="CD1668" s="3">
        <v>3610</v>
      </c>
      <c r="CE1668" s="3" t="s">
        <v>93</v>
      </c>
      <c r="CF1668" s="4">
        <v>44586</v>
      </c>
      <c r="CI1668" s="3">
        <v>1</v>
      </c>
      <c r="CJ1668" s="3">
        <v>1</v>
      </c>
      <c r="CK1668" s="3">
        <v>21</v>
      </c>
      <c r="CL1668" s="3" t="s">
        <v>87</v>
      </c>
    </row>
    <row r="1669" spans="1:90" x14ac:dyDescent="0.2">
      <c r="A1669" s="3" t="s">
        <v>72</v>
      </c>
      <c r="B1669" s="3" t="s">
        <v>73</v>
      </c>
      <c r="C1669" s="3" t="s">
        <v>74</v>
      </c>
      <c r="E1669" s="3" t="str">
        <f>"FES1162846209"</f>
        <v>FES1162846209</v>
      </c>
      <c r="F1669" s="4">
        <v>44582</v>
      </c>
      <c r="G1669" s="3">
        <v>202207</v>
      </c>
      <c r="H1669" s="3" t="s">
        <v>75</v>
      </c>
      <c r="I1669" s="3" t="s">
        <v>76</v>
      </c>
      <c r="J1669" s="3" t="s">
        <v>77</v>
      </c>
      <c r="K1669" s="3" t="s">
        <v>78</v>
      </c>
      <c r="L1669" s="3" t="s">
        <v>75</v>
      </c>
      <c r="M1669" s="3" t="s">
        <v>76</v>
      </c>
      <c r="N1669" s="3" t="s">
        <v>1933</v>
      </c>
      <c r="O1669" s="3" t="s">
        <v>82</v>
      </c>
      <c r="P1669" s="3" t="str">
        <f>"2170817713                    "</f>
        <v xml:space="preserve">2170817713                    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12.07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1</v>
      </c>
      <c r="BI1669" s="3">
        <v>1</v>
      </c>
      <c r="BJ1669" s="3">
        <v>0.2</v>
      </c>
      <c r="BK1669" s="3">
        <v>1</v>
      </c>
      <c r="BL1669" s="3">
        <v>46.08</v>
      </c>
      <c r="BM1669" s="3">
        <v>6.91</v>
      </c>
      <c r="BN1669" s="3">
        <v>52.99</v>
      </c>
      <c r="BO1669" s="3">
        <v>52.99</v>
      </c>
      <c r="BQ1669" s="3" t="s">
        <v>89</v>
      </c>
      <c r="BR1669" s="3" t="s">
        <v>84</v>
      </c>
      <c r="BS1669" s="4">
        <v>44585</v>
      </c>
      <c r="BT1669" s="5">
        <v>0.35000000000000003</v>
      </c>
      <c r="BU1669" s="3" t="s">
        <v>1934</v>
      </c>
      <c r="BV1669" s="3" t="s">
        <v>105</v>
      </c>
      <c r="BY1669" s="3">
        <v>1200</v>
      </c>
      <c r="BZ1669" s="3" t="s">
        <v>165</v>
      </c>
      <c r="CA1669" s="3" t="s">
        <v>607</v>
      </c>
      <c r="CC1669" s="3" t="s">
        <v>76</v>
      </c>
      <c r="CD1669" s="3">
        <v>1665</v>
      </c>
      <c r="CE1669" s="3" t="s">
        <v>93</v>
      </c>
      <c r="CF1669" s="4">
        <v>44586</v>
      </c>
      <c r="CI1669" s="3">
        <v>1</v>
      </c>
      <c r="CJ1669" s="3">
        <v>1</v>
      </c>
      <c r="CK1669" s="3">
        <v>22</v>
      </c>
      <c r="CL1669" s="3" t="s">
        <v>87</v>
      </c>
    </row>
    <row r="1670" spans="1:90" x14ac:dyDescent="0.2">
      <c r="A1670" s="3" t="s">
        <v>72</v>
      </c>
      <c r="B1670" s="3" t="s">
        <v>73</v>
      </c>
      <c r="C1670" s="3" t="s">
        <v>74</v>
      </c>
      <c r="E1670" s="3" t="str">
        <f>"FES1162846242"</f>
        <v>FES1162846242</v>
      </c>
      <c r="F1670" s="4">
        <v>44582</v>
      </c>
      <c r="G1670" s="3">
        <v>202207</v>
      </c>
      <c r="H1670" s="3" t="s">
        <v>75</v>
      </c>
      <c r="I1670" s="3" t="s">
        <v>76</v>
      </c>
      <c r="J1670" s="3" t="s">
        <v>77</v>
      </c>
      <c r="K1670" s="3" t="s">
        <v>78</v>
      </c>
      <c r="L1670" s="3" t="s">
        <v>75</v>
      </c>
      <c r="M1670" s="3" t="s">
        <v>76</v>
      </c>
      <c r="N1670" s="3" t="s">
        <v>153</v>
      </c>
      <c r="O1670" s="3" t="s">
        <v>82</v>
      </c>
      <c r="P1670" s="3" t="str">
        <f>"2170817753                    "</f>
        <v xml:space="preserve">2170817753                    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12.07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v>0</v>
      </c>
      <c r="BA1670" s="3">
        <v>0</v>
      </c>
      <c r="BB1670" s="3">
        <v>0</v>
      </c>
      <c r="BC1670" s="3">
        <v>0</v>
      </c>
      <c r="BD1670" s="3">
        <v>0</v>
      </c>
      <c r="BE1670" s="3">
        <v>0</v>
      </c>
      <c r="BF1670" s="3">
        <v>0</v>
      </c>
      <c r="BG1670" s="3">
        <v>0</v>
      </c>
      <c r="BH1670" s="3">
        <v>1</v>
      </c>
      <c r="BI1670" s="3">
        <v>1</v>
      </c>
      <c r="BJ1670" s="3">
        <v>0.2</v>
      </c>
      <c r="BK1670" s="3">
        <v>1</v>
      </c>
      <c r="BL1670" s="3">
        <v>46.08</v>
      </c>
      <c r="BM1670" s="3">
        <v>6.91</v>
      </c>
      <c r="BN1670" s="3">
        <v>52.99</v>
      </c>
      <c r="BO1670" s="3">
        <v>52.99</v>
      </c>
      <c r="BR1670" s="3" t="s">
        <v>84</v>
      </c>
      <c r="BS1670" s="4">
        <v>44585</v>
      </c>
      <c r="BT1670" s="5">
        <v>0.39166666666666666</v>
      </c>
      <c r="BU1670" s="3" t="s">
        <v>804</v>
      </c>
      <c r="BV1670" s="3" t="s">
        <v>105</v>
      </c>
      <c r="BY1670" s="3">
        <v>1200</v>
      </c>
      <c r="BZ1670" s="3" t="s">
        <v>165</v>
      </c>
      <c r="CA1670" s="3" t="s">
        <v>227</v>
      </c>
      <c r="CC1670" s="3" t="s">
        <v>76</v>
      </c>
      <c r="CD1670" s="3">
        <v>1600</v>
      </c>
      <c r="CE1670" s="3" t="s">
        <v>93</v>
      </c>
      <c r="CF1670" s="4">
        <v>44585</v>
      </c>
      <c r="CI1670" s="3">
        <v>1</v>
      </c>
      <c r="CJ1670" s="3">
        <v>1</v>
      </c>
      <c r="CK1670" s="3">
        <v>22</v>
      </c>
      <c r="CL1670" s="3" t="s">
        <v>87</v>
      </c>
    </row>
    <row r="1671" spans="1:90" x14ac:dyDescent="0.2">
      <c r="A1671" s="3" t="s">
        <v>72</v>
      </c>
      <c r="B1671" s="3" t="s">
        <v>73</v>
      </c>
      <c r="C1671" s="3" t="s">
        <v>74</v>
      </c>
      <c r="E1671" s="3" t="str">
        <f>"FES1162846186"</f>
        <v>FES1162846186</v>
      </c>
      <c r="F1671" s="4">
        <v>44582</v>
      </c>
      <c r="G1671" s="3">
        <v>202207</v>
      </c>
      <c r="H1671" s="3" t="s">
        <v>75</v>
      </c>
      <c r="I1671" s="3" t="s">
        <v>76</v>
      </c>
      <c r="J1671" s="3" t="s">
        <v>77</v>
      </c>
      <c r="K1671" s="3" t="s">
        <v>78</v>
      </c>
      <c r="L1671" s="3" t="s">
        <v>142</v>
      </c>
      <c r="M1671" s="3" t="s">
        <v>143</v>
      </c>
      <c r="N1671" s="3" t="s">
        <v>1935</v>
      </c>
      <c r="O1671" s="3" t="s">
        <v>82</v>
      </c>
      <c r="P1671" s="3" t="str">
        <f>"2170817158                    "</f>
        <v xml:space="preserve">2170817158                    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12.07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v>0</v>
      </c>
      <c r="BA1671" s="3">
        <v>0</v>
      </c>
      <c r="BB1671" s="3">
        <v>0</v>
      </c>
      <c r="BC1671" s="3">
        <v>0</v>
      </c>
      <c r="BD1671" s="3">
        <v>0</v>
      </c>
      <c r="BE1671" s="3">
        <v>0</v>
      </c>
      <c r="BF1671" s="3">
        <v>0</v>
      </c>
      <c r="BG1671" s="3">
        <v>0</v>
      </c>
      <c r="BH1671" s="3">
        <v>1</v>
      </c>
      <c r="BI1671" s="3">
        <v>1</v>
      </c>
      <c r="BJ1671" s="3">
        <v>0.2</v>
      </c>
      <c r="BK1671" s="3">
        <v>1</v>
      </c>
      <c r="BL1671" s="3">
        <v>46.08</v>
      </c>
      <c r="BM1671" s="3">
        <v>6.91</v>
      </c>
      <c r="BN1671" s="3">
        <v>52.99</v>
      </c>
      <c r="BO1671" s="3">
        <v>52.99</v>
      </c>
      <c r="BQ1671" s="3" t="s">
        <v>83</v>
      </c>
      <c r="BR1671" s="3" t="s">
        <v>84</v>
      </c>
      <c r="BS1671" s="4">
        <v>44585</v>
      </c>
      <c r="BT1671" s="5">
        <v>0.40347222222222223</v>
      </c>
      <c r="BU1671" s="3" t="s">
        <v>1936</v>
      </c>
      <c r="BV1671" s="3" t="s">
        <v>105</v>
      </c>
      <c r="BY1671" s="3">
        <v>1200</v>
      </c>
      <c r="BZ1671" s="3" t="s">
        <v>165</v>
      </c>
      <c r="CA1671" s="3" t="s">
        <v>471</v>
      </c>
      <c r="CC1671" s="3" t="s">
        <v>143</v>
      </c>
      <c r="CD1671" s="3">
        <v>1449</v>
      </c>
      <c r="CE1671" s="3" t="s">
        <v>93</v>
      </c>
      <c r="CF1671" s="4">
        <v>44585</v>
      </c>
      <c r="CI1671" s="3">
        <v>1</v>
      </c>
      <c r="CJ1671" s="3">
        <v>1</v>
      </c>
      <c r="CK1671" s="3">
        <v>22</v>
      </c>
      <c r="CL1671" s="3" t="s">
        <v>87</v>
      </c>
    </row>
    <row r="1672" spans="1:90" x14ac:dyDescent="0.2">
      <c r="A1672" s="3" t="s">
        <v>72</v>
      </c>
      <c r="B1672" s="3" t="s">
        <v>73</v>
      </c>
      <c r="C1672" s="3" t="s">
        <v>74</v>
      </c>
      <c r="E1672" s="3" t="str">
        <f>"FES1162846192"</f>
        <v>FES1162846192</v>
      </c>
      <c r="F1672" s="4">
        <v>44582</v>
      </c>
      <c r="G1672" s="3">
        <v>202207</v>
      </c>
      <c r="H1672" s="3" t="s">
        <v>75</v>
      </c>
      <c r="I1672" s="3" t="s">
        <v>76</v>
      </c>
      <c r="J1672" s="3" t="s">
        <v>77</v>
      </c>
      <c r="K1672" s="3" t="s">
        <v>78</v>
      </c>
      <c r="L1672" s="3" t="s">
        <v>158</v>
      </c>
      <c r="M1672" s="3" t="s">
        <v>159</v>
      </c>
      <c r="N1672" s="3" t="s">
        <v>823</v>
      </c>
      <c r="O1672" s="3" t="s">
        <v>82</v>
      </c>
      <c r="P1672" s="3" t="str">
        <f>"2170817691                    "</f>
        <v xml:space="preserve">2170817691                    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12.07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0</v>
      </c>
      <c r="BC1672" s="3">
        <v>0</v>
      </c>
      <c r="BD1672" s="3">
        <v>0</v>
      </c>
      <c r="BE1672" s="3">
        <v>0</v>
      </c>
      <c r="BF1672" s="3">
        <v>0</v>
      </c>
      <c r="BG1672" s="3">
        <v>0</v>
      </c>
      <c r="BH1672" s="3">
        <v>1</v>
      </c>
      <c r="BI1672" s="3">
        <v>1</v>
      </c>
      <c r="BJ1672" s="3">
        <v>0.2</v>
      </c>
      <c r="BK1672" s="3">
        <v>1</v>
      </c>
      <c r="BL1672" s="3">
        <v>46.08</v>
      </c>
      <c r="BM1672" s="3">
        <v>6.91</v>
      </c>
      <c r="BN1672" s="3">
        <v>52.99</v>
      </c>
      <c r="BO1672" s="3">
        <v>52.99</v>
      </c>
      <c r="BQ1672" s="3" t="s">
        <v>89</v>
      </c>
      <c r="BR1672" s="3" t="s">
        <v>84</v>
      </c>
      <c r="BS1672" s="4">
        <v>44585</v>
      </c>
      <c r="BT1672" s="5">
        <v>0.37083333333333335</v>
      </c>
      <c r="BU1672" s="3" t="s">
        <v>1937</v>
      </c>
      <c r="BV1672" s="3" t="s">
        <v>105</v>
      </c>
      <c r="BY1672" s="3">
        <v>1200</v>
      </c>
      <c r="BZ1672" s="3" t="s">
        <v>165</v>
      </c>
      <c r="CA1672" s="3" t="s">
        <v>653</v>
      </c>
      <c r="CC1672" s="3" t="s">
        <v>159</v>
      </c>
      <c r="CD1672" s="3">
        <v>1459</v>
      </c>
      <c r="CE1672" s="3" t="s">
        <v>93</v>
      </c>
      <c r="CF1672" s="4">
        <v>44585</v>
      </c>
      <c r="CI1672" s="3">
        <v>1</v>
      </c>
      <c r="CJ1672" s="3">
        <v>1</v>
      </c>
      <c r="CK1672" s="3">
        <v>22</v>
      </c>
      <c r="CL1672" s="3" t="s">
        <v>87</v>
      </c>
    </row>
    <row r="1673" spans="1:90" x14ac:dyDescent="0.2">
      <c r="A1673" s="3" t="s">
        <v>72</v>
      </c>
      <c r="B1673" s="3" t="s">
        <v>73</v>
      </c>
      <c r="C1673" s="3" t="s">
        <v>74</v>
      </c>
      <c r="E1673" s="3" t="str">
        <f>"FES1162846203"</f>
        <v>FES1162846203</v>
      </c>
      <c r="F1673" s="4">
        <v>44582</v>
      </c>
      <c r="G1673" s="3">
        <v>202207</v>
      </c>
      <c r="H1673" s="3" t="s">
        <v>75</v>
      </c>
      <c r="I1673" s="3" t="s">
        <v>76</v>
      </c>
      <c r="J1673" s="3" t="s">
        <v>77</v>
      </c>
      <c r="K1673" s="3" t="s">
        <v>78</v>
      </c>
      <c r="L1673" s="3" t="s">
        <v>206</v>
      </c>
      <c r="M1673" s="3" t="s">
        <v>207</v>
      </c>
      <c r="N1673" s="3" t="s">
        <v>548</v>
      </c>
      <c r="O1673" s="3" t="s">
        <v>82</v>
      </c>
      <c r="P1673" s="3" t="str">
        <f>"2170817707                    "</f>
        <v xml:space="preserve">2170817707                    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21.74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0</v>
      </c>
      <c r="BF1673" s="3">
        <v>0</v>
      </c>
      <c r="BG1673" s="3">
        <v>0</v>
      </c>
      <c r="BH1673" s="3">
        <v>1</v>
      </c>
      <c r="BI1673" s="3">
        <v>1</v>
      </c>
      <c r="BJ1673" s="3">
        <v>0.2</v>
      </c>
      <c r="BK1673" s="3">
        <v>1</v>
      </c>
      <c r="BL1673" s="3">
        <v>82.98</v>
      </c>
      <c r="BM1673" s="3">
        <v>12.45</v>
      </c>
      <c r="BN1673" s="3">
        <v>95.43</v>
      </c>
      <c r="BO1673" s="3">
        <v>95.43</v>
      </c>
      <c r="BQ1673" s="3" t="s">
        <v>83</v>
      </c>
      <c r="BR1673" s="3" t="s">
        <v>84</v>
      </c>
      <c r="BS1673" s="4">
        <v>44585</v>
      </c>
      <c r="BT1673" s="5">
        <v>0.4375</v>
      </c>
      <c r="BU1673" s="3" t="s">
        <v>97</v>
      </c>
      <c r="BV1673" s="3" t="s">
        <v>105</v>
      </c>
      <c r="BY1673" s="3">
        <v>1200</v>
      </c>
      <c r="BZ1673" s="3" t="s">
        <v>165</v>
      </c>
      <c r="CC1673" s="3" t="s">
        <v>207</v>
      </c>
      <c r="CD1673" s="3">
        <v>1739</v>
      </c>
      <c r="CE1673" s="3" t="s">
        <v>93</v>
      </c>
      <c r="CF1673" s="4">
        <v>44585</v>
      </c>
      <c r="CI1673" s="3">
        <v>1</v>
      </c>
      <c r="CJ1673" s="3">
        <v>1</v>
      </c>
      <c r="CK1673" s="3">
        <v>24</v>
      </c>
      <c r="CL1673" s="3" t="s">
        <v>87</v>
      </c>
    </row>
    <row r="1674" spans="1:90" x14ac:dyDescent="0.2">
      <c r="A1674" s="3" t="s">
        <v>72</v>
      </c>
      <c r="B1674" s="3" t="s">
        <v>73</v>
      </c>
      <c r="C1674" s="3" t="s">
        <v>74</v>
      </c>
      <c r="E1674" s="3" t="str">
        <f>"FES1162846189"</f>
        <v>FES1162846189</v>
      </c>
      <c r="F1674" s="4">
        <v>44582</v>
      </c>
      <c r="G1674" s="3">
        <v>202207</v>
      </c>
      <c r="H1674" s="3" t="s">
        <v>75</v>
      </c>
      <c r="I1674" s="3" t="s">
        <v>76</v>
      </c>
      <c r="J1674" s="3" t="s">
        <v>77</v>
      </c>
      <c r="K1674" s="3" t="s">
        <v>78</v>
      </c>
      <c r="L1674" s="3" t="s">
        <v>184</v>
      </c>
      <c r="M1674" s="3" t="s">
        <v>185</v>
      </c>
      <c r="N1674" s="3" t="s">
        <v>1938</v>
      </c>
      <c r="O1674" s="3" t="s">
        <v>82</v>
      </c>
      <c r="P1674" s="3" t="str">
        <f>"2170817454                    "</f>
        <v xml:space="preserve">2170817454                    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15.46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0</v>
      </c>
      <c r="BC1674" s="3">
        <v>0</v>
      </c>
      <c r="BD1674" s="3">
        <v>0</v>
      </c>
      <c r="BE1674" s="3">
        <v>0</v>
      </c>
      <c r="BF1674" s="3">
        <v>0</v>
      </c>
      <c r="BG1674" s="3">
        <v>0</v>
      </c>
      <c r="BH1674" s="3">
        <v>1</v>
      </c>
      <c r="BI1674" s="3">
        <v>1.2</v>
      </c>
      <c r="BJ1674" s="3">
        <v>0.2</v>
      </c>
      <c r="BK1674" s="3">
        <v>1.5</v>
      </c>
      <c r="BL1674" s="3">
        <v>59</v>
      </c>
      <c r="BM1674" s="3">
        <v>8.85</v>
      </c>
      <c r="BN1674" s="3">
        <v>67.849999999999994</v>
      </c>
      <c r="BO1674" s="3">
        <v>67.849999999999994</v>
      </c>
      <c r="BQ1674" s="3" t="s">
        <v>83</v>
      </c>
      <c r="BR1674" s="3" t="s">
        <v>84</v>
      </c>
      <c r="BS1674" s="4">
        <v>44585</v>
      </c>
      <c r="BT1674" s="5">
        <v>0.37986111111111115</v>
      </c>
      <c r="BU1674" s="3" t="s">
        <v>1939</v>
      </c>
      <c r="BV1674" s="3" t="s">
        <v>105</v>
      </c>
      <c r="BY1674" s="3">
        <v>1200</v>
      </c>
      <c r="BZ1674" s="3" t="s">
        <v>165</v>
      </c>
      <c r="CA1674" s="3" t="s">
        <v>1785</v>
      </c>
      <c r="CC1674" s="3" t="s">
        <v>185</v>
      </c>
      <c r="CD1674" s="3">
        <v>5200</v>
      </c>
      <c r="CE1674" s="3" t="s">
        <v>93</v>
      </c>
      <c r="CF1674" s="4">
        <v>44585</v>
      </c>
      <c r="CI1674" s="3">
        <v>1</v>
      </c>
      <c r="CJ1674" s="3">
        <v>1</v>
      </c>
      <c r="CK1674" s="3">
        <v>21</v>
      </c>
      <c r="CL1674" s="3" t="s">
        <v>87</v>
      </c>
    </row>
    <row r="1675" spans="1:90" x14ac:dyDescent="0.2">
      <c r="A1675" s="3" t="s">
        <v>72</v>
      </c>
      <c r="B1675" s="3" t="s">
        <v>73</v>
      </c>
      <c r="C1675" s="3" t="s">
        <v>74</v>
      </c>
      <c r="E1675" s="3" t="str">
        <f>"FES1162846223"</f>
        <v>FES1162846223</v>
      </c>
      <c r="F1675" s="4">
        <v>44582</v>
      </c>
      <c r="G1675" s="3">
        <v>202207</v>
      </c>
      <c r="H1675" s="3" t="s">
        <v>75</v>
      </c>
      <c r="I1675" s="3" t="s">
        <v>76</v>
      </c>
      <c r="J1675" s="3" t="s">
        <v>77</v>
      </c>
      <c r="K1675" s="3" t="s">
        <v>78</v>
      </c>
      <c r="L1675" s="3" t="s">
        <v>75</v>
      </c>
      <c r="M1675" s="3" t="s">
        <v>76</v>
      </c>
      <c r="N1675" s="3" t="s">
        <v>688</v>
      </c>
      <c r="O1675" s="3" t="s">
        <v>82</v>
      </c>
      <c r="P1675" s="3" t="str">
        <f>"2170817724                    "</f>
        <v xml:space="preserve">2170817724                    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12.07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0</v>
      </c>
      <c r="BC1675" s="3">
        <v>0</v>
      </c>
      <c r="BD1675" s="3">
        <v>0</v>
      </c>
      <c r="BE1675" s="3">
        <v>0</v>
      </c>
      <c r="BF1675" s="3">
        <v>0</v>
      </c>
      <c r="BG1675" s="3">
        <v>0</v>
      </c>
      <c r="BH1675" s="3">
        <v>1</v>
      </c>
      <c r="BI1675" s="3">
        <v>1</v>
      </c>
      <c r="BJ1675" s="3">
        <v>0.2</v>
      </c>
      <c r="BK1675" s="3">
        <v>1</v>
      </c>
      <c r="BL1675" s="3">
        <v>46.08</v>
      </c>
      <c r="BM1675" s="3">
        <v>6.91</v>
      </c>
      <c r="BN1675" s="3">
        <v>52.99</v>
      </c>
      <c r="BO1675" s="3">
        <v>52.99</v>
      </c>
      <c r="BQ1675" s="3" t="s">
        <v>83</v>
      </c>
      <c r="BR1675" s="3" t="s">
        <v>84</v>
      </c>
      <c r="BS1675" s="4">
        <v>44585</v>
      </c>
      <c r="BT1675" s="5">
        <v>0.31805555555555554</v>
      </c>
      <c r="BU1675" s="3" t="s">
        <v>689</v>
      </c>
      <c r="BV1675" s="3" t="s">
        <v>105</v>
      </c>
      <c r="BY1675" s="3">
        <v>1200</v>
      </c>
      <c r="BZ1675" s="3" t="s">
        <v>165</v>
      </c>
      <c r="CA1675" s="3" t="s">
        <v>227</v>
      </c>
      <c r="CC1675" s="3" t="s">
        <v>76</v>
      </c>
      <c r="CD1675" s="3">
        <v>1620</v>
      </c>
      <c r="CE1675" s="3" t="s">
        <v>93</v>
      </c>
      <c r="CF1675" s="4">
        <v>44585</v>
      </c>
      <c r="CI1675" s="3">
        <v>1</v>
      </c>
      <c r="CJ1675" s="3">
        <v>1</v>
      </c>
      <c r="CK1675" s="3">
        <v>22</v>
      </c>
      <c r="CL1675" s="3" t="s">
        <v>87</v>
      </c>
    </row>
    <row r="1676" spans="1:90" x14ac:dyDescent="0.2">
      <c r="A1676" s="3" t="s">
        <v>72</v>
      </c>
      <c r="B1676" s="3" t="s">
        <v>73</v>
      </c>
      <c r="C1676" s="3" t="s">
        <v>74</v>
      </c>
      <c r="E1676" s="3" t="str">
        <f>"FES1162846243"</f>
        <v>FES1162846243</v>
      </c>
      <c r="F1676" s="4">
        <v>44582</v>
      </c>
      <c r="G1676" s="3">
        <v>202207</v>
      </c>
      <c r="H1676" s="3" t="s">
        <v>75</v>
      </c>
      <c r="I1676" s="3" t="s">
        <v>76</v>
      </c>
      <c r="J1676" s="3" t="s">
        <v>77</v>
      </c>
      <c r="K1676" s="3" t="s">
        <v>78</v>
      </c>
      <c r="L1676" s="3" t="s">
        <v>171</v>
      </c>
      <c r="M1676" s="3" t="s">
        <v>172</v>
      </c>
      <c r="N1676" s="3" t="s">
        <v>1129</v>
      </c>
      <c r="O1676" s="3" t="s">
        <v>82</v>
      </c>
      <c r="P1676" s="3" t="str">
        <f>"2170817754                    "</f>
        <v xml:space="preserve">2170817754                    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15.46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0</v>
      </c>
      <c r="BF1676" s="3">
        <v>0</v>
      </c>
      <c r="BG1676" s="3">
        <v>0</v>
      </c>
      <c r="BH1676" s="3">
        <v>1</v>
      </c>
      <c r="BI1676" s="3">
        <v>1</v>
      </c>
      <c r="BJ1676" s="3">
        <v>0.2</v>
      </c>
      <c r="BK1676" s="3">
        <v>1</v>
      </c>
      <c r="BL1676" s="3">
        <v>59</v>
      </c>
      <c r="BM1676" s="3">
        <v>8.85</v>
      </c>
      <c r="BN1676" s="3">
        <v>67.849999999999994</v>
      </c>
      <c r="BO1676" s="3">
        <v>67.849999999999994</v>
      </c>
      <c r="BQ1676" s="3" t="s">
        <v>89</v>
      </c>
      <c r="BR1676" s="3" t="s">
        <v>84</v>
      </c>
      <c r="BS1676" s="4">
        <v>44585</v>
      </c>
      <c r="BT1676" s="5">
        <v>0.40138888888888885</v>
      </c>
      <c r="BU1676" s="3" t="s">
        <v>1130</v>
      </c>
      <c r="BV1676" s="3" t="s">
        <v>105</v>
      </c>
      <c r="BY1676" s="3">
        <v>1200</v>
      </c>
      <c r="BZ1676" s="3" t="s">
        <v>165</v>
      </c>
      <c r="CA1676" s="3" t="s">
        <v>509</v>
      </c>
      <c r="CC1676" s="3" t="s">
        <v>172</v>
      </c>
      <c r="CD1676" s="3">
        <v>6000</v>
      </c>
      <c r="CE1676" s="3" t="s">
        <v>93</v>
      </c>
      <c r="CF1676" s="4">
        <v>44585</v>
      </c>
      <c r="CI1676" s="3">
        <v>1</v>
      </c>
      <c r="CJ1676" s="3">
        <v>1</v>
      </c>
      <c r="CK1676" s="3">
        <v>21</v>
      </c>
      <c r="CL1676" s="3" t="s">
        <v>87</v>
      </c>
    </row>
    <row r="1677" spans="1:90" x14ac:dyDescent="0.2">
      <c r="A1677" s="3" t="s">
        <v>72</v>
      </c>
      <c r="B1677" s="3" t="s">
        <v>73</v>
      </c>
      <c r="C1677" s="3" t="s">
        <v>74</v>
      </c>
      <c r="E1677" s="3" t="str">
        <f>"FES1162846229"</f>
        <v>FES1162846229</v>
      </c>
      <c r="F1677" s="4">
        <v>44582</v>
      </c>
      <c r="G1677" s="3">
        <v>202207</v>
      </c>
      <c r="H1677" s="3" t="s">
        <v>75</v>
      </c>
      <c r="I1677" s="3" t="s">
        <v>76</v>
      </c>
      <c r="J1677" s="3" t="s">
        <v>77</v>
      </c>
      <c r="K1677" s="3" t="s">
        <v>78</v>
      </c>
      <c r="L1677" s="3" t="s">
        <v>101</v>
      </c>
      <c r="M1677" s="3" t="s">
        <v>102</v>
      </c>
      <c r="N1677" s="3" t="s">
        <v>686</v>
      </c>
      <c r="O1677" s="3" t="s">
        <v>82</v>
      </c>
      <c r="P1677" s="3" t="str">
        <f>"2170817735                    "</f>
        <v xml:space="preserve">2170817735                    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15.46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v>0</v>
      </c>
      <c r="BA1677" s="3">
        <v>0</v>
      </c>
      <c r="BB1677" s="3">
        <v>0</v>
      </c>
      <c r="BC1677" s="3">
        <v>0</v>
      </c>
      <c r="BD1677" s="3">
        <v>0</v>
      </c>
      <c r="BE1677" s="3">
        <v>0</v>
      </c>
      <c r="BF1677" s="3">
        <v>0</v>
      </c>
      <c r="BG1677" s="3">
        <v>0</v>
      </c>
      <c r="BH1677" s="3">
        <v>1</v>
      </c>
      <c r="BI1677" s="3">
        <v>1.8</v>
      </c>
      <c r="BJ1677" s="3">
        <v>0.2</v>
      </c>
      <c r="BK1677" s="3">
        <v>2</v>
      </c>
      <c r="BL1677" s="3">
        <v>59</v>
      </c>
      <c r="BM1677" s="3">
        <v>8.85</v>
      </c>
      <c r="BN1677" s="3">
        <v>67.849999999999994</v>
      </c>
      <c r="BO1677" s="3">
        <v>67.849999999999994</v>
      </c>
      <c r="BQ1677" s="3" t="s">
        <v>83</v>
      </c>
      <c r="BR1677" s="3" t="s">
        <v>84</v>
      </c>
      <c r="BS1677" s="4">
        <v>44585</v>
      </c>
      <c r="BT1677" s="5">
        <v>0.63472222222222219</v>
      </c>
      <c r="BU1677" s="3" t="s">
        <v>1940</v>
      </c>
      <c r="BV1677" s="3" t="s">
        <v>87</v>
      </c>
      <c r="BW1677" s="3" t="s">
        <v>278</v>
      </c>
      <c r="BX1677" s="3" t="s">
        <v>279</v>
      </c>
      <c r="BY1677" s="3">
        <v>1200</v>
      </c>
      <c r="BZ1677" s="3" t="s">
        <v>165</v>
      </c>
      <c r="CA1677" s="3" t="s">
        <v>280</v>
      </c>
      <c r="CC1677" s="3" t="s">
        <v>102</v>
      </c>
      <c r="CD1677" s="3">
        <v>4001</v>
      </c>
      <c r="CE1677" s="3" t="s">
        <v>93</v>
      </c>
      <c r="CF1677" s="4">
        <v>44586</v>
      </c>
      <c r="CI1677" s="3">
        <v>1</v>
      </c>
      <c r="CJ1677" s="3">
        <v>1</v>
      </c>
      <c r="CK1677" s="3">
        <v>21</v>
      </c>
      <c r="CL1677" s="3" t="s">
        <v>87</v>
      </c>
    </row>
    <row r="1678" spans="1:90" x14ac:dyDescent="0.2">
      <c r="A1678" s="3" t="s">
        <v>72</v>
      </c>
      <c r="B1678" s="3" t="s">
        <v>73</v>
      </c>
      <c r="C1678" s="3" t="s">
        <v>74</v>
      </c>
      <c r="E1678" s="3" t="str">
        <f>"FES1162846233"</f>
        <v>FES1162846233</v>
      </c>
      <c r="F1678" s="4">
        <v>44582</v>
      </c>
      <c r="G1678" s="3">
        <v>202207</v>
      </c>
      <c r="H1678" s="3" t="s">
        <v>75</v>
      </c>
      <c r="I1678" s="3" t="s">
        <v>76</v>
      </c>
      <c r="J1678" s="3" t="s">
        <v>77</v>
      </c>
      <c r="K1678" s="3" t="s">
        <v>78</v>
      </c>
      <c r="L1678" s="3" t="s">
        <v>171</v>
      </c>
      <c r="M1678" s="3" t="s">
        <v>172</v>
      </c>
      <c r="N1678" s="3" t="s">
        <v>1129</v>
      </c>
      <c r="O1678" s="3" t="s">
        <v>82</v>
      </c>
      <c r="P1678" s="3" t="str">
        <f>"2170817741                    "</f>
        <v xml:space="preserve">2170817741                    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15.46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0</v>
      </c>
      <c r="BF1678" s="3">
        <v>0</v>
      </c>
      <c r="BG1678" s="3">
        <v>0</v>
      </c>
      <c r="BH1678" s="3">
        <v>1</v>
      </c>
      <c r="BI1678" s="3">
        <v>1.4</v>
      </c>
      <c r="BJ1678" s="3">
        <v>0.2</v>
      </c>
      <c r="BK1678" s="3">
        <v>1.5</v>
      </c>
      <c r="BL1678" s="3">
        <v>59</v>
      </c>
      <c r="BM1678" s="3">
        <v>8.85</v>
      </c>
      <c r="BN1678" s="3">
        <v>67.849999999999994</v>
      </c>
      <c r="BO1678" s="3">
        <v>67.849999999999994</v>
      </c>
      <c r="BQ1678" s="3" t="s">
        <v>89</v>
      </c>
      <c r="BR1678" s="3" t="s">
        <v>84</v>
      </c>
      <c r="BS1678" s="4">
        <v>44585</v>
      </c>
      <c r="BT1678" s="5">
        <v>0.40138888888888885</v>
      </c>
      <c r="BU1678" s="3" t="s">
        <v>1130</v>
      </c>
      <c r="BV1678" s="3" t="s">
        <v>105</v>
      </c>
      <c r="BY1678" s="3">
        <v>1200</v>
      </c>
      <c r="BZ1678" s="3" t="s">
        <v>165</v>
      </c>
      <c r="CA1678" s="3" t="s">
        <v>509</v>
      </c>
      <c r="CC1678" s="3" t="s">
        <v>172</v>
      </c>
      <c r="CD1678" s="3">
        <v>6000</v>
      </c>
      <c r="CE1678" s="3" t="s">
        <v>93</v>
      </c>
      <c r="CF1678" s="4">
        <v>44585</v>
      </c>
      <c r="CI1678" s="3">
        <v>1</v>
      </c>
      <c r="CJ1678" s="3">
        <v>1</v>
      </c>
      <c r="CK1678" s="3">
        <v>21</v>
      </c>
      <c r="CL1678" s="3" t="s">
        <v>87</v>
      </c>
    </row>
    <row r="1679" spans="1:90" x14ac:dyDescent="0.2">
      <c r="A1679" s="3" t="s">
        <v>72</v>
      </c>
      <c r="B1679" s="3" t="s">
        <v>73</v>
      </c>
      <c r="C1679" s="3" t="s">
        <v>74</v>
      </c>
      <c r="E1679" s="3" t="str">
        <f>"FES1162846188"</f>
        <v>FES1162846188</v>
      </c>
      <c r="F1679" s="4">
        <v>44582</v>
      </c>
      <c r="G1679" s="3">
        <v>202207</v>
      </c>
      <c r="H1679" s="3" t="s">
        <v>75</v>
      </c>
      <c r="I1679" s="3" t="s">
        <v>76</v>
      </c>
      <c r="J1679" s="3" t="s">
        <v>77</v>
      </c>
      <c r="K1679" s="3" t="s">
        <v>78</v>
      </c>
      <c r="L1679" s="3" t="s">
        <v>133</v>
      </c>
      <c r="M1679" s="3" t="s">
        <v>134</v>
      </c>
      <c r="N1679" s="3" t="s">
        <v>1115</v>
      </c>
      <c r="O1679" s="3" t="s">
        <v>1237</v>
      </c>
      <c r="P1679" s="3" t="str">
        <f>"2170817440                    "</f>
        <v xml:space="preserve">2170817440                    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54.36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v>0</v>
      </c>
      <c r="BA1679" s="3">
        <v>0</v>
      </c>
      <c r="BB1679" s="3">
        <v>0</v>
      </c>
      <c r="BC1679" s="3">
        <v>0</v>
      </c>
      <c r="BD1679" s="3">
        <v>0</v>
      </c>
      <c r="BE1679" s="3">
        <v>0</v>
      </c>
      <c r="BF1679" s="3">
        <v>0</v>
      </c>
      <c r="BG1679" s="3">
        <v>0</v>
      </c>
      <c r="BH1679" s="3">
        <v>1</v>
      </c>
      <c r="BI1679" s="3">
        <v>9</v>
      </c>
      <c r="BJ1679" s="3">
        <v>5.0999999999999996</v>
      </c>
      <c r="BK1679" s="3">
        <v>9</v>
      </c>
      <c r="BL1679" s="3">
        <v>207.5</v>
      </c>
      <c r="BM1679" s="3">
        <v>31.13</v>
      </c>
      <c r="BN1679" s="3">
        <v>238.63</v>
      </c>
      <c r="BO1679" s="3">
        <v>238.63</v>
      </c>
      <c r="BQ1679" s="3" t="s">
        <v>89</v>
      </c>
      <c r="BR1679" s="3" t="s">
        <v>84</v>
      </c>
      <c r="BS1679" s="4">
        <v>44585</v>
      </c>
      <c r="BT1679" s="5">
        <v>0.41250000000000003</v>
      </c>
      <c r="BU1679" s="3" t="s">
        <v>1675</v>
      </c>
      <c r="BV1679" s="3" t="s">
        <v>105</v>
      </c>
      <c r="BY1679" s="3">
        <v>25346</v>
      </c>
      <c r="CA1679" s="3" t="s">
        <v>673</v>
      </c>
      <c r="CC1679" s="3" t="s">
        <v>134</v>
      </c>
      <c r="CD1679" s="3">
        <v>1900</v>
      </c>
      <c r="CE1679" s="3" t="s">
        <v>86</v>
      </c>
      <c r="CF1679" s="4">
        <v>44585</v>
      </c>
      <c r="CI1679" s="3">
        <v>1</v>
      </c>
      <c r="CJ1679" s="3">
        <v>1</v>
      </c>
      <c r="CK1679" s="3">
        <v>34</v>
      </c>
      <c r="CL1679" s="3" t="s">
        <v>87</v>
      </c>
    </row>
    <row r="1680" spans="1:90" x14ac:dyDescent="0.2">
      <c r="A1680" s="3" t="s">
        <v>72</v>
      </c>
      <c r="B1680" s="3" t="s">
        <v>73</v>
      </c>
      <c r="C1680" s="3" t="s">
        <v>74</v>
      </c>
      <c r="E1680" s="3" t="str">
        <f>"FES1162846239"</f>
        <v>FES1162846239</v>
      </c>
      <c r="F1680" s="4">
        <v>44582</v>
      </c>
      <c r="G1680" s="3">
        <v>202207</v>
      </c>
      <c r="H1680" s="3" t="s">
        <v>75</v>
      </c>
      <c r="I1680" s="3" t="s">
        <v>76</v>
      </c>
      <c r="J1680" s="3" t="s">
        <v>77</v>
      </c>
      <c r="K1680" s="3" t="s">
        <v>78</v>
      </c>
      <c r="L1680" s="3" t="s">
        <v>218</v>
      </c>
      <c r="M1680" s="3" t="s">
        <v>219</v>
      </c>
      <c r="N1680" s="3" t="s">
        <v>1174</v>
      </c>
      <c r="O1680" s="3" t="s">
        <v>82</v>
      </c>
      <c r="P1680" s="3" t="str">
        <f>"2170817750                    "</f>
        <v xml:space="preserve">2170817750                    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15.46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0</v>
      </c>
      <c r="BF1680" s="3">
        <v>0</v>
      </c>
      <c r="BG1680" s="3">
        <v>0</v>
      </c>
      <c r="BH1680" s="3">
        <v>1</v>
      </c>
      <c r="BI1680" s="3">
        <v>1</v>
      </c>
      <c r="BJ1680" s="3">
        <v>0.2</v>
      </c>
      <c r="BK1680" s="3">
        <v>1</v>
      </c>
      <c r="BL1680" s="3">
        <v>59</v>
      </c>
      <c r="BM1680" s="3">
        <v>8.85</v>
      </c>
      <c r="BN1680" s="3">
        <v>67.849999999999994</v>
      </c>
      <c r="BO1680" s="3">
        <v>67.849999999999994</v>
      </c>
      <c r="BQ1680" s="3" t="s">
        <v>273</v>
      </c>
      <c r="BR1680" s="3" t="s">
        <v>84</v>
      </c>
      <c r="BS1680" s="4">
        <v>44585</v>
      </c>
      <c r="BT1680" s="5">
        <v>0.38472222222222219</v>
      </c>
      <c r="BU1680" s="3" t="s">
        <v>1941</v>
      </c>
      <c r="BV1680" s="3" t="s">
        <v>105</v>
      </c>
      <c r="BY1680" s="3">
        <v>1200</v>
      </c>
      <c r="BZ1680" s="3" t="s">
        <v>165</v>
      </c>
      <c r="CA1680" s="3" t="s">
        <v>362</v>
      </c>
      <c r="CC1680" s="3" t="s">
        <v>219</v>
      </c>
      <c r="CD1680" s="3">
        <v>157</v>
      </c>
      <c r="CE1680" s="3" t="s">
        <v>93</v>
      </c>
      <c r="CF1680" s="4">
        <v>44586</v>
      </c>
      <c r="CI1680" s="3">
        <v>1</v>
      </c>
      <c r="CJ1680" s="3">
        <v>1</v>
      </c>
      <c r="CK1680" s="3">
        <v>21</v>
      </c>
      <c r="CL1680" s="3" t="s">
        <v>87</v>
      </c>
    </row>
    <row r="1681" spans="1:90" x14ac:dyDescent="0.2">
      <c r="A1681" s="3" t="s">
        <v>72</v>
      </c>
      <c r="B1681" s="3" t="s">
        <v>73</v>
      </c>
      <c r="C1681" s="3" t="s">
        <v>74</v>
      </c>
      <c r="E1681" s="3" t="str">
        <f>"00991162846195"</f>
        <v>00991162846195</v>
      </c>
      <c r="F1681" s="4">
        <v>44582</v>
      </c>
      <c r="G1681" s="3">
        <v>202207</v>
      </c>
      <c r="H1681" s="3" t="s">
        <v>75</v>
      </c>
      <c r="I1681" s="3" t="s">
        <v>76</v>
      </c>
      <c r="J1681" s="3" t="s">
        <v>77</v>
      </c>
      <c r="K1681" s="3" t="s">
        <v>78</v>
      </c>
      <c r="L1681" s="3" t="s">
        <v>427</v>
      </c>
      <c r="M1681" s="3" t="s">
        <v>428</v>
      </c>
      <c r="N1681" s="3" t="s">
        <v>429</v>
      </c>
      <c r="O1681" s="3" t="s">
        <v>82</v>
      </c>
      <c r="P1681" s="3" t="str">
        <f>"2170817697                    "</f>
        <v xml:space="preserve">2170817697                    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29.95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0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1</v>
      </c>
      <c r="BI1681" s="3">
        <v>1</v>
      </c>
      <c r="BJ1681" s="3">
        <v>0.2</v>
      </c>
      <c r="BK1681" s="3">
        <v>1</v>
      </c>
      <c r="BL1681" s="3">
        <v>114.31</v>
      </c>
      <c r="BM1681" s="3">
        <v>17.149999999999999</v>
      </c>
      <c r="BN1681" s="3">
        <v>131.46</v>
      </c>
      <c r="BO1681" s="3">
        <v>131.46</v>
      </c>
      <c r="BQ1681" s="3" t="s">
        <v>83</v>
      </c>
      <c r="BR1681" s="3" t="s">
        <v>84</v>
      </c>
      <c r="BS1681" s="4">
        <v>44585</v>
      </c>
      <c r="BT1681" s="5">
        <v>0.68263888888888891</v>
      </c>
      <c r="BU1681" s="3" t="s">
        <v>1942</v>
      </c>
      <c r="BV1681" s="3" t="s">
        <v>87</v>
      </c>
      <c r="BW1681" s="3" t="s">
        <v>353</v>
      </c>
      <c r="BX1681" s="3" t="s">
        <v>354</v>
      </c>
      <c r="BY1681" s="3">
        <v>1200</v>
      </c>
      <c r="BZ1681" s="3" t="s">
        <v>165</v>
      </c>
      <c r="CA1681" s="3" t="s">
        <v>488</v>
      </c>
      <c r="CC1681" s="3" t="s">
        <v>428</v>
      </c>
      <c r="CD1681" s="3">
        <v>7130</v>
      </c>
      <c r="CE1681" s="3" t="s">
        <v>93</v>
      </c>
      <c r="CF1681" s="4">
        <v>44586</v>
      </c>
      <c r="CI1681" s="3">
        <v>1</v>
      </c>
      <c r="CJ1681" s="3">
        <v>1</v>
      </c>
      <c r="CK1681" s="3">
        <v>23</v>
      </c>
      <c r="CL1681" s="3" t="s">
        <v>87</v>
      </c>
    </row>
    <row r="1682" spans="1:90" x14ac:dyDescent="0.2">
      <c r="A1682" s="3" t="s">
        <v>72</v>
      </c>
      <c r="B1682" s="3" t="s">
        <v>73</v>
      </c>
      <c r="C1682" s="3" t="s">
        <v>74</v>
      </c>
      <c r="E1682" s="3" t="str">
        <f>"FES1162846256"</f>
        <v>FES1162846256</v>
      </c>
      <c r="F1682" s="4">
        <v>44582</v>
      </c>
      <c r="G1682" s="3">
        <v>202207</v>
      </c>
      <c r="H1682" s="3" t="s">
        <v>75</v>
      </c>
      <c r="I1682" s="3" t="s">
        <v>76</v>
      </c>
      <c r="J1682" s="3" t="s">
        <v>77</v>
      </c>
      <c r="K1682" s="3" t="s">
        <v>78</v>
      </c>
      <c r="L1682" s="3" t="s">
        <v>90</v>
      </c>
      <c r="M1682" s="3" t="s">
        <v>91</v>
      </c>
      <c r="N1682" s="3" t="s">
        <v>157</v>
      </c>
      <c r="O1682" s="3" t="s">
        <v>82</v>
      </c>
      <c r="P1682" s="3" t="str">
        <f>"2170817771                    "</f>
        <v xml:space="preserve">2170817771                    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30.91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0</v>
      </c>
      <c r="BC1682" s="3">
        <v>0</v>
      </c>
      <c r="BD1682" s="3">
        <v>0</v>
      </c>
      <c r="BE1682" s="3">
        <v>0</v>
      </c>
      <c r="BF1682" s="3">
        <v>0</v>
      </c>
      <c r="BG1682" s="3">
        <v>0</v>
      </c>
      <c r="BH1682" s="3">
        <v>1</v>
      </c>
      <c r="BI1682" s="3">
        <v>4</v>
      </c>
      <c r="BJ1682" s="3">
        <v>1.8</v>
      </c>
      <c r="BK1682" s="3">
        <v>4</v>
      </c>
      <c r="BL1682" s="3">
        <v>117.97</v>
      </c>
      <c r="BM1682" s="3">
        <v>17.7</v>
      </c>
      <c r="BN1682" s="3">
        <v>135.66999999999999</v>
      </c>
      <c r="BO1682" s="3">
        <v>135.66999999999999</v>
      </c>
      <c r="BQ1682" s="3" t="s">
        <v>89</v>
      </c>
      <c r="BR1682" s="3" t="s">
        <v>84</v>
      </c>
      <c r="BS1682" s="4">
        <v>44585</v>
      </c>
      <c r="BT1682" s="5">
        <v>0.39097222222222222</v>
      </c>
      <c r="BU1682" s="3" t="s">
        <v>1943</v>
      </c>
      <c r="BV1682" s="3" t="s">
        <v>105</v>
      </c>
      <c r="BY1682" s="3">
        <v>8775</v>
      </c>
      <c r="CA1682" s="3" t="s">
        <v>692</v>
      </c>
      <c r="CC1682" s="3" t="s">
        <v>91</v>
      </c>
      <c r="CD1682" s="3">
        <v>7441</v>
      </c>
      <c r="CE1682" s="3" t="s">
        <v>86</v>
      </c>
      <c r="CF1682" s="4">
        <v>44586</v>
      </c>
      <c r="CI1682" s="3">
        <v>1</v>
      </c>
      <c r="CJ1682" s="3">
        <v>1</v>
      </c>
      <c r="CK1682" s="3">
        <v>21</v>
      </c>
      <c r="CL1682" s="3" t="s">
        <v>87</v>
      </c>
    </row>
    <row r="1683" spans="1:90" x14ac:dyDescent="0.2">
      <c r="A1683" s="3" t="s">
        <v>72</v>
      </c>
      <c r="B1683" s="3" t="s">
        <v>73</v>
      </c>
      <c r="C1683" s="3" t="s">
        <v>74</v>
      </c>
      <c r="E1683" s="3" t="str">
        <f>"FES1162846264"</f>
        <v>FES1162846264</v>
      </c>
      <c r="F1683" s="4">
        <v>44582</v>
      </c>
      <c r="G1683" s="3">
        <v>202207</v>
      </c>
      <c r="H1683" s="3" t="s">
        <v>75</v>
      </c>
      <c r="I1683" s="3" t="s">
        <v>76</v>
      </c>
      <c r="J1683" s="3" t="s">
        <v>77</v>
      </c>
      <c r="K1683" s="3" t="s">
        <v>78</v>
      </c>
      <c r="L1683" s="3" t="s">
        <v>138</v>
      </c>
      <c r="M1683" s="3" t="s">
        <v>139</v>
      </c>
      <c r="N1683" s="3" t="s">
        <v>546</v>
      </c>
      <c r="O1683" s="3" t="s">
        <v>82</v>
      </c>
      <c r="P1683" s="3" t="str">
        <f>"2170817779                    "</f>
        <v xml:space="preserve">2170817779                    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15.46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v>0</v>
      </c>
      <c r="BA1683" s="3">
        <v>0</v>
      </c>
      <c r="BB1683" s="3">
        <v>0</v>
      </c>
      <c r="BC1683" s="3">
        <v>0</v>
      </c>
      <c r="BD1683" s="3">
        <v>0</v>
      </c>
      <c r="BE1683" s="3">
        <v>0</v>
      </c>
      <c r="BF1683" s="3">
        <v>0</v>
      </c>
      <c r="BG1683" s="3">
        <v>0</v>
      </c>
      <c r="BH1683" s="3">
        <v>1</v>
      </c>
      <c r="BI1683" s="3">
        <v>1</v>
      </c>
      <c r="BJ1683" s="3">
        <v>0.2</v>
      </c>
      <c r="BK1683" s="3">
        <v>1</v>
      </c>
      <c r="BL1683" s="3">
        <v>59</v>
      </c>
      <c r="BM1683" s="3">
        <v>8.85</v>
      </c>
      <c r="BN1683" s="3">
        <v>67.849999999999994</v>
      </c>
      <c r="BO1683" s="3">
        <v>67.849999999999994</v>
      </c>
      <c r="BQ1683" s="3" t="s">
        <v>83</v>
      </c>
      <c r="BR1683" s="3" t="s">
        <v>84</v>
      </c>
      <c r="BS1683" s="4">
        <v>44585</v>
      </c>
      <c r="BT1683" s="5">
        <v>0.42083333333333334</v>
      </c>
      <c r="BU1683" s="3" t="s">
        <v>1944</v>
      </c>
      <c r="BV1683" s="3" t="s">
        <v>105</v>
      </c>
      <c r="BY1683" s="3">
        <v>1200</v>
      </c>
      <c r="BZ1683" s="3" t="s">
        <v>165</v>
      </c>
      <c r="CA1683" s="3" t="s">
        <v>334</v>
      </c>
      <c r="CC1683" s="3" t="s">
        <v>139</v>
      </c>
      <c r="CD1683" s="3">
        <v>3610</v>
      </c>
      <c r="CE1683" s="3" t="s">
        <v>93</v>
      </c>
      <c r="CF1683" s="4">
        <v>44586</v>
      </c>
      <c r="CI1683" s="3">
        <v>1</v>
      </c>
      <c r="CJ1683" s="3">
        <v>1</v>
      </c>
      <c r="CK1683" s="3">
        <v>21</v>
      </c>
      <c r="CL1683" s="3" t="s">
        <v>87</v>
      </c>
    </row>
    <row r="1684" spans="1:90" x14ac:dyDescent="0.2">
      <c r="A1684" s="3" t="s">
        <v>72</v>
      </c>
      <c r="B1684" s="3" t="s">
        <v>73</v>
      </c>
      <c r="C1684" s="3" t="s">
        <v>74</v>
      </c>
      <c r="E1684" s="3" t="str">
        <f>"FES1162846245"</f>
        <v>FES1162846245</v>
      </c>
      <c r="F1684" s="4">
        <v>44582</v>
      </c>
      <c r="G1684" s="3">
        <v>202207</v>
      </c>
      <c r="H1684" s="3" t="s">
        <v>75</v>
      </c>
      <c r="I1684" s="3" t="s">
        <v>76</v>
      </c>
      <c r="J1684" s="3" t="s">
        <v>77</v>
      </c>
      <c r="K1684" s="3" t="s">
        <v>78</v>
      </c>
      <c r="L1684" s="3" t="s">
        <v>90</v>
      </c>
      <c r="M1684" s="3" t="s">
        <v>91</v>
      </c>
      <c r="N1684" s="3" t="s">
        <v>157</v>
      </c>
      <c r="O1684" s="3" t="s">
        <v>82</v>
      </c>
      <c r="P1684" s="3" t="str">
        <f>"2170817756                    "</f>
        <v xml:space="preserve">2170817756                    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15.46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0</v>
      </c>
      <c r="BC1684" s="3">
        <v>0</v>
      </c>
      <c r="BD1684" s="3">
        <v>0</v>
      </c>
      <c r="BE1684" s="3">
        <v>0</v>
      </c>
      <c r="BF1684" s="3">
        <v>0</v>
      </c>
      <c r="BG1684" s="3">
        <v>0</v>
      </c>
      <c r="BH1684" s="3">
        <v>1</v>
      </c>
      <c r="BI1684" s="3">
        <v>2</v>
      </c>
      <c r="BJ1684" s="3">
        <v>1.5</v>
      </c>
      <c r="BK1684" s="3">
        <v>2</v>
      </c>
      <c r="BL1684" s="3">
        <v>59</v>
      </c>
      <c r="BM1684" s="3">
        <v>8.85</v>
      </c>
      <c r="BN1684" s="3">
        <v>67.849999999999994</v>
      </c>
      <c r="BO1684" s="3">
        <v>67.849999999999994</v>
      </c>
      <c r="BQ1684" s="3" t="s">
        <v>89</v>
      </c>
      <c r="BR1684" s="3" t="s">
        <v>84</v>
      </c>
      <c r="BS1684" s="4">
        <v>44585</v>
      </c>
      <c r="BT1684" s="5">
        <v>0.39097222222222222</v>
      </c>
      <c r="BU1684" s="3" t="s">
        <v>1943</v>
      </c>
      <c r="BV1684" s="3" t="s">
        <v>105</v>
      </c>
      <c r="BY1684" s="3">
        <v>7540</v>
      </c>
      <c r="CA1684" s="3" t="s">
        <v>692</v>
      </c>
      <c r="CC1684" s="3" t="s">
        <v>91</v>
      </c>
      <c r="CD1684" s="3">
        <v>7441</v>
      </c>
      <c r="CE1684" s="3" t="s">
        <v>86</v>
      </c>
      <c r="CF1684" s="4">
        <v>44586</v>
      </c>
      <c r="CI1684" s="3">
        <v>1</v>
      </c>
      <c r="CJ1684" s="3">
        <v>1</v>
      </c>
      <c r="CK1684" s="3">
        <v>21</v>
      </c>
      <c r="CL1684" s="3" t="s">
        <v>87</v>
      </c>
    </row>
    <row r="1685" spans="1:90" x14ac:dyDescent="0.2">
      <c r="A1685" s="3" t="s">
        <v>72</v>
      </c>
      <c r="B1685" s="3" t="s">
        <v>73</v>
      </c>
      <c r="C1685" s="3" t="s">
        <v>74</v>
      </c>
      <c r="E1685" s="3" t="str">
        <f>"FES1162846166"</f>
        <v>FES1162846166</v>
      </c>
      <c r="F1685" s="4">
        <v>44582</v>
      </c>
      <c r="G1685" s="3">
        <v>202207</v>
      </c>
      <c r="H1685" s="3" t="s">
        <v>75</v>
      </c>
      <c r="I1685" s="3" t="s">
        <v>76</v>
      </c>
      <c r="J1685" s="3" t="s">
        <v>77</v>
      </c>
      <c r="K1685" s="3" t="s">
        <v>78</v>
      </c>
      <c r="L1685" s="3" t="s">
        <v>489</v>
      </c>
      <c r="M1685" s="3" t="s">
        <v>490</v>
      </c>
      <c r="N1685" s="3" t="s">
        <v>491</v>
      </c>
      <c r="O1685" s="3" t="s">
        <v>82</v>
      </c>
      <c r="P1685" s="3" t="str">
        <f>"2170817671                    "</f>
        <v xml:space="preserve">2170817671                    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29.95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15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0</v>
      </c>
      <c r="BD1685" s="3">
        <v>0</v>
      </c>
      <c r="BE1685" s="3">
        <v>0</v>
      </c>
      <c r="BF1685" s="3">
        <v>0</v>
      </c>
      <c r="BG1685" s="3">
        <v>0</v>
      </c>
      <c r="BH1685" s="3">
        <v>1</v>
      </c>
      <c r="BI1685" s="3">
        <v>1</v>
      </c>
      <c r="BJ1685" s="3">
        <v>2</v>
      </c>
      <c r="BK1685" s="3">
        <v>2</v>
      </c>
      <c r="BL1685" s="3">
        <v>129.31</v>
      </c>
      <c r="BM1685" s="3">
        <v>19.399999999999999</v>
      </c>
      <c r="BN1685" s="3">
        <v>148.71</v>
      </c>
      <c r="BO1685" s="3">
        <v>148.71</v>
      </c>
      <c r="BQ1685" s="3" t="s">
        <v>83</v>
      </c>
      <c r="BR1685" s="3" t="s">
        <v>84</v>
      </c>
      <c r="BS1685" s="4">
        <v>44585</v>
      </c>
      <c r="BT1685" s="5">
        <v>0.51874999999999993</v>
      </c>
      <c r="BU1685" s="3" t="s">
        <v>492</v>
      </c>
      <c r="BV1685" s="3" t="s">
        <v>105</v>
      </c>
      <c r="BY1685" s="3">
        <v>9918</v>
      </c>
      <c r="BZ1685" s="3" t="s">
        <v>30</v>
      </c>
      <c r="CA1685" s="3" t="s">
        <v>495</v>
      </c>
      <c r="CC1685" s="3" t="s">
        <v>490</v>
      </c>
      <c r="CD1685" s="3">
        <v>250</v>
      </c>
      <c r="CE1685" s="3" t="s">
        <v>86</v>
      </c>
      <c r="CF1685" s="4">
        <v>44586</v>
      </c>
      <c r="CI1685" s="3">
        <v>1</v>
      </c>
      <c r="CJ1685" s="3">
        <v>1</v>
      </c>
      <c r="CK1685" s="3">
        <v>23</v>
      </c>
      <c r="CL1685" s="3" t="s">
        <v>87</v>
      </c>
    </row>
    <row r="1686" spans="1:90" x14ac:dyDescent="0.2">
      <c r="A1686" s="3" t="s">
        <v>72</v>
      </c>
      <c r="B1686" s="3" t="s">
        <v>73</v>
      </c>
      <c r="C1686" s="3" t="s">
        <v>74</v>
      </c>
      <c r="E1686" s="3" t="str">
        <f>"FES1162846253"</f>
        <v>FES1162846253</v>
      </c>
      <c r="F1686" s="4">
        <v>44582</v>
      </c>
      <c r="G1686" s="3">
        <v>202207</v>
      </c>
      <c r="H1686" s="3" t="s">
        <v>75</v>
      </c>
      <c r="I1686" s="3" t="s">
        <v>76</v>
      </c>
      <c r="J1686" s="3" t="s">
        <v>77</v>
      </c>
      <c r="K1686" s="3" t="s">
        <v>78</v>
      </c>
      <c r="L1686" s="3" t="s">
        <v>101</v>
      </c>
      <c r="M1686" s="3" t="s">
        <v>102</v>
      </c>
      <c r="N1686" s="3" t="s">
        <v>170</v>
      </c>
      <c r="O1686" s="3" t="s">
        <v>82</v>
      </c>
      <c r="P1686" s="3" t="str">
        <f>"2170817765                    "</f>
        <v xml:space="preserve">2170817765                    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15.46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0</v>
      </c>
      <c r="BC1686" s="3">
        <v>0</v>
      </c>
      <c r="BD1686" s="3">
        <v>0</v>
      </c>
      <c r="BE1686" s="3">
        <v>0</v>
      </c>
      <c r="BF1686" s="3">
        <v>0</v>
      </c>
      <c r="BG1686" s="3">
        <v>0</v>
      </c>
      <c r="BH1686" s="3">
        <v>1</v>
      </c>
      <c r="BI1686" s="3">
        <v>1</v>
      </c>
      <c r="BJ1686" s="3">
        <v>0.2</v>
      </c>
      <c r="BK1686" s="3">
        <v>1</v>
      </c>
      <c r="BL1686" s="3">
        <v>59</v>
      </c>
      <c r="BM1686" s="3">
        <v>8.85</v>
      </c>
      <c r="BN1686" s="3">
        <v>67.849999999999994</v>
      </c>
      <c r="BO1686" s="3">
        <v>67.849999999999994</v>
      </c>
      <c r="BQ1686" s="3" t="s">
        <v>89</v>
      </c>
      <c r="BR1686" s="3" t="s">
        <v>84</v>
      </c>
      <c r="BS1686" s="4">
        <v>44585</v>
      </c>
      <c r="BT1686" s="5">
        <v>0.62361111111111112</v>
      </c>
      <c r="BU1686" s="3" t="s">
        <v>369</v>
      </c>
      <c r="BV1686" s="3" t="s">
        <v>87</v>
      </c>
      <c r="BW1686" s="3" t="s">
        <v>278</v>
      </c>
      <c r="BX1686" s="3" t="s">
        <v>279</v>
      </c>
      <c r="BY1686" s="3">
        <v>1200</v>
      </c>
      <c r="BZ1686" s="3" t="s">
        <v>165</v>
      </c>
      <c r="CA1686" s="3" t="s">
        <v>280</v>
      </c>
      <c r="CC1686" s="3" t="s">
        <v>102</v>
      </c>
      <c r="CD1686" s="3">
        <v>4001</v>
      </c>
      <c r="CE1686" s="3" t="s">
        <v>93</v>
      </c>
      <c r="CF1686" s="4">
        <v>44586</v>
      </c>
      <c r="CI1686" s="3">
        <v>1</v>
      </c>
      <c r="CJ1686" s="3">
        <v>1</v>
      </c>
      <c r="CK1686" s="3">
        <v>21</v>
      </c>
      <c r="CL1686" s="3" t="s">
        <v>87</v>
      </c>
    </row>
    <row r="1687" spans="1:90" x14ac:dyDescent="0.2">
      <c r="A1687" s="3" t="s">
        <v>72</v>
      </c>
      <c r="B1687" s="3" t="s">
        <v>73</v>
      </c>
      <c r="C1687" s="3" t="s">
        <v>74</v>
      </c>
      <c r="E1687" s="3" t="str">
        <f>"FES1162846238"</f>
        <v>FES1162846238</v>
      </c>
      <c r="F1687" s="4">
        <v>44582</v>
      </c>
      <c r="G1687" s="3">
        <v>202207</v>
      </c>
      <c r="H1687" s="3" t="s">
        <v>75</v>
      </c>
      <c r="I1687" s="3" t="s">
        <v>76</v>
      </c>
      <c r="J1687" s="3" t="s">
        <v>77</v>
      </c>
      <c r="K1687" s="3" t="s">
        <v>78</v>
      </c>
      <c r="L1687" s="3" t="s">
        <v>1179</v>
      </c>
      <c r="M1687" s="3" t="s">
        <v>1180</v>
      </c>
      <c r="N1687" s="3" t="s">
        <v>1282</v>
      </c>
      <c r="O1687" s="3" t="s">
        <v>82</v>
      </c>
      <c r="P1687" s="3" t="str">
        <f>"2170817748                    "</f>
        <v xml:space="preserve">2170817748                    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29.95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15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0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  <c r="BH1687" s="3">
        <v>1</v>
      </c>
      <c r="BI1687" s="3">
        <v>2</v>
      </c>
      <c r="BJ1687" s="3">
        <v>1.1000000000000001</v>
      </c>
      <c r="BK1687" s="3">
        <v>2</v>
      </c>
      <c r="BL1687" s="3">
        <v>129.31</v>
      </c>
      <c r="BM1687" s="3">
        <v>19.399999999999999</v>
      </c>
      <c r="BN1687" s="3">
        <v>148.71</v>
      </c>
      <c r="BO1687" s="3">
        <v>148.71</v>
      </c>
      <c r="BQ1687" s="3" t="s">
        <v>1283</v>
      </c>
      <c r="BR1687" s="3" t="s">
        <v>84</v>
      </c>
      <c r="BS1687" s="4">
        <v>44585</v>
      </c>
      <c r="BT1687" s="5">
        <v>0.48402777777777778</v>
      </c>
      <c r="BU1687" s="3" t="s">
        <v>1916</v>
      </c>
      <c r="BV1687" s="3" t="s">
        <v>105</v>
      </c>
      <c r="BY1687" s="3">
        <v>5320</v>
      </c>
      <c r="BZ1687" s="3" t="s">
        <v>30</v>
      </c>
      <c r="CA1687" s="3" t="s">
        <v>1827</v>
      </c>
      <c r="CC1687" s="3" t="s">
        <v>1180</v>
      </c>
      <c r="CD1687" s="3">
        <v>208</v>
      </c>
      <c r="CE1687" s="3" t="s">
        <v>86</v>
      </c>
      <c r="CF1687" s="4">
        <v>44586</v>
      </c>
      <c r="CI1687" s="3">
        <v>1</v>
      </c>
      <c r="CJ1687" s="3">
        <v>1</v>
      </c>
      <c r="CK1687" s="3">
        <v>23</v>
      </c>
      <c r="CL1687" s="3" t="s">
        <v>87</v>
      </c>
    </row>
    <row r="1688" spans="1:90" x14ac:dyDescent="0.2">
      <c r="A1688" s="3" t="s">
        <v>72</v>
      </c>
      <c r="B1688" s="3" t="s">
        <v>73</v>
      </c>
      <c r="C1688" s="3" t="s">
        <v>74</v>
      </c>
      <c r="E1688" s="3" t="str">
        <f>"FES1162846230"</f>
        <v>FES1162846230</v>
      </c>
      <c r="F1688" s="4">
        <v>44582</v>
      </c>
      <c r="G1688" s="3">
        <v>202207</v>
      </c>
      <c r="H1688" s="3" t="s">
        <v>75</v>
      </c>
      <c r="I1688" s="3" t="s">
        <v>76</v>
      </c>
      <c r="J1688" s="3" t="s">
        <v>77</v>
      </c>
      <c r="K1688" s="3" t="s">
        <v>78</v>
      </c>
      <c r="L1688" s="3" t="s">
        <v>97</v>
      </c>
      <c r="M1688" s="3" t="s">
        <v>98</v>
      </c>
      <c r="N1688" s="3" t="s">
        <v>295</v>
      </c>
      <c r="O1688" s="3" t="s">
        <v>82</v>
      </c>
      <c r="P1688" s="3" t="str">
        <f>"2170817737                    "</f>
        <v xml:space="preserve">2170817737                    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12.07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  <c r="BH1688" s="3">
        <v>1</v>
      </c>
      <c r="BI1688" s="3">
        <v>1</v>
      </c>
      <c r="BJ1688" s="3">
        <v>0.2</v>
      </c>
      <c r="BK1688" s="3">
        <v>1</v>
      </c>
      <c r="BL1688" s="3">
        <v>46.08</v>
      </c>
      <c r="BM1688" s="3">
        <v>6.91</v>
      </c>
      <c r="BN1688" s="3">
        <v>52.99</v>
      </c>
      <c r="BO1688" s="3">
        <v>52.99</v>
      </c>
      <c r="BR1688" s="3" t="s">
        <v>84</v>
      </c>
      <c r="BS1688" s="4">
        <v>44585</v>
      </c>
      <c r="BT1688" s="5">
        <v>0.30833333333333335</v>
      </c>
      <c r="BU1688" s="3" t="s">
        <v>1945</v>
      </c>
      <c r="BV1688" s="3" t="s">
        <v>105</v>
      </c>
      <c r="BY1688" s="3">
        <v>1200</v>
      </c>
      <c r="BZ1688" s="3" t="s">
        <v>165</v>
      </c>
      <c r="CA1688" s="3" t="s">
        <v>1921</v>
      </c>
      <c r="CC1688" s="3" t="s">
        <v>98</v>
      </c>
      <c r="CD1688" s="3">
        <v>2013</v>
      </c>
      <c r="CE1688" s="3" t="s">
        <v>93</v>
      </c>
      <c r="CF1688" s="4">
        <v>44586</v>
      </c>
      <c r="CI1688" s="3">
        <v>1</v>
      </c>
      <c r="CJ1688" s="3">
        <v>1</v>
      </c>
      <c r="CK1688" s="3">
        <v>22</v>
      </c>
      <c r="CL1688" s="3" t="s">
        <v>87</v>
      </c>
    </row>
    <row r="1689" spans="1:90" x14ac:dyDescent="0.2">
      <c r="A1689" s="3" t="s">
        <v>72</v>
      </c>
      <c r="B1689" s="3" t="s">
        <v>73</v>
      </c>
      <c r="C1689" s="3" t="s">
        <v>74</v>
      </c>
      <c r="E1689" s="3" t="str">
        <f>"FES1162846265"</f>
        <v>FES1162846265</v>
      </c>
      <c r="F1689" s="4">
        <v>44582</v>
      </c>
      <c r="G1689" s="3">
        <v>202207</v>
      </c>
      <c r="H1689" s="3" t="s">
        <v>75</v>
      </c>
      <c r="I1689" s="3" t="s">
        <v>76</v>
      </c>
      <c r="J1689" s="3" t="s">
        <v>77</v>
      </c>
      <c r="K1689" s="3" t="s">
        <v>78</v>
      </c>
      <c r="L1689" s="3" t="s">
        <v>101</v>
      </c>
      <c r="M1689" s="3" t="s">
        <v>102</v>
      </c>
      <c r="N1689" s="3" t="s">
        <v>1689</v>
      </c>
      <c r="O1689" s="3" t="s">
        <v>82</v>
      </c>
      <c r="P1689" s="3" t="str">
        <f>"2170817782                    "</f>
        <v xml:space="preserve">2170817782                    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15.46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  <c r="BH1689" s="3">
        <v>1</v>
      </c>
      <c r="BI1689" s="3">
        <v>1</v>
      </c>
      <c r="BJ1689" s="3">
        <v>0.2</v>
      </c>
      <c r="BK1689" s="3">
        <v>1</v>
      </c>
      <c r="BL1689" s="3">
        <v>59</v>
      </c>
      <c r="BM1689" s="3">
        <v>8.85</v>
      </c>
      <c r="BN1689" s="3">
        <v>67.849999999999994</v>
      </c>
      <c r="BO1689" s="3">
        <v>67.849999999999994</v>
      </c>
      <c r="BQ1689" s="3" t="s">
        <v>83</v>
      </c>
      <c r="BR1689" s="3" t="s">
        <v>84</v>
      </c>
      <c r="BS1689" s="4">
        <v>44585</v>
      </c>
      <c r="BT1689" s="5">
        <v>0.35486111111111113</v>
      </c>
      <c r="BU1689" s="3" t="s">
        <v>538</v>
      </c>
      <c r="BV1689" s="3" t="s">
        <v>105</v>
      </c>
      <c r="BY1689" s="3">
        <v>1200</v>
      </c>
      <c r="BZ1689" s="3" t="s">
        <v>165</v>
      </c>
      <c r="CA1689" s="3" t="s">
        <v>528</v>
      </c>
      <c r="CC1689" s="3" t="s">
        <v>102</v>
      </c>
      <c r="CD1689" s="3">
        <v>4052</v>
      </c>
      <c r="CE1689" s="3" t="s">
        <v>93</v>
      </c>
      <c r="CF1689" s="4">
        <v>44586</v>
      </c>
      <c r="CI1689" s="3">
        <v>1</v>
      </c>
      <c r="CJ1689" s="3">
        <v>1</v>
      </c>
      <c r="CK1689" s="3">
        <v>21</v>
      </c>
      <c r="CL1689" s="3" t="s">
        <v>87</v>
      </c>
    </row>
    <row r="1690" spans="1:90" x14ac:dyDescent="0.2">
      <c r="A1690" s="3" t="s">
        <v>72</v>
      </c>
      <c r="B1690" s="3" t="s">
        <v>73</v>
      </c>
      <c r="C1690" s="3" t="s">
        <v>74</v>
      </c>
      <c r="E1690" s="3" t="str">
        <f>"FES1162846198"</f>
        <v>FES1162846198</v>
      </c>
      <c r="F1690" s="4">
        <v>44582</v>
      </c>
      <c r="G1690" s="3">
        <v>202207</v>
      </c>
      <c r="H1690" s="3" t="s">
        <v>75</v>
      </c>
      <c r="I1690" s="3" t="s">
        <v>76</v>
      </c>
      <c r="J1690" s="3" t="s">
        <v>77</v>
      </c>
      <c r="K1690" s="3" t="s">
        <v>78</v>
      </c>
      <c r="L1690" s="3" t="s">
        <v>101</v>
      </c>
      <c r="M1690" s="3" t="s">
        <v>102</v>
      </c>
      <c r="N1690" s="3" t="s">
        <v>272</v>
      </c>
      <c r="O1690" s="3" t="s">
        <v>82</v>
      </c>
      <c r="P1690" s="3" t="str">
        <f>"2170817700                    "</f>
        <v xml:space="preserve">2170817700                    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15.46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  <c r="BH1690" s="3">
        <v>1</v>
      </c>
      <c r="BI1690" s="3">
        <v>2</v>
      </c>
      <c r="BJ1690" s="3">
        <v>1.1000000000000001</v>
      </c>
      <c r="BK1690" s="3">
        <v>2</v>
      </c>
      <c r="BL1690" s="3">
        <v>59</v>
      </c>
      <c r="BM1690" s="3">
        <v>8.85</v>
      </c>
      <c r="BN1690" s="3">
        <v>67.849999999999994</v>
      </c>
      <c r="BO1690" s="3">
        <v>67.849999999999994</v>
      </c>
      <c r="BQ1690" s="3" t="s">
        <v>273</v>
      </c>
      <c r="BR1690" s="3" t="s">
        <v>84</v>
      </c>
      <c r="BS1690" s="4">
        <v>44585</v>
      </c>
      <c r="BT1690" s="5">
        <v>0.38194444444444442</v>
      </c>
      <c r="BU1690" s="3" t="s">
        <v>274</v>
      </c>
      <c r="BV1690" s="3" t="s">
        <v>105</v>
      </c>
      <c r="BY1690" s="3">
        <v>5320</v>
      </c>
      <c r="CA1690" s="3" t="s">
        <v>275</v>
      </c>
      <c r="CC1690" s="3" t="s">
        <v>102</v>
      </c>
      <c r="CD1690" s="3">
        <v>4000</v>
      </c>
      <c r="CE1690" s="3" t="s">
        <v>86</v>
      </c>
      <c r="CF1690" s="4">
        <v>44586</v>
      </c>
      <c r="CI1690" s="3">
        <v>1</v>
      </c>
      <c r="CJ1690" s="3">
        <v>1</v>
      </c>
      <c r="CK1690" s="3">
        <v>21</v>
      </c>
      <c r="CL1690" s="3" t="s">
        <v>87</v>
      </c>
    </row>
    <row r="1691" spans="1:90" x14ac:dyDescent="0.2">
      <c r="A1691" s="3" t="s">
        <v>72</v>
      </c>
      <c r="B1691" s="3" t="s">
        <v>73</v>
      </c>
      <c r="C1691" s="3" t="s">
        <v>74</v>
      </c>
      <c r="E1691" s="3" t="str">
        <f>"FES1162846156"</f>
        <v>FES1162846156</v>
      </c>
      <c r="F1691" s="4">
        <v>44582</v>
      </c>
      <c r="G1691" s="3">
        <v>202207</v>
      </c>
      <c r="H1691" s="3" t="s">
        <v>75</v>
      </c>
      <c r="I1691" s="3" t="s">
        <v>76</v>
      </c>
      <c r="J1691" s="3" t="s">
        <v>77</v>
      </c>
      <c r="K1691" s="3" t="s">
        <v>78</v>
      </c>
      <c r="L1691" s="3" t="s">
        <v>158</v>
      </c>
      <c r="M1691" s="3" t="s">
        <v>159</v>
      </c>
      <c r="N1691" s="3" t="s">
        <v>832</v>
      </c>
      <c r="O1691" s="3" t="s">
        <v>82</v>
      </c>
      <c r="P1691" s="3" t="str">
        <f>"2170817658                    "</f>
        <v xml:space="preserve">2170817658                    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12.07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1</v>
      </c>
      <c r="BI1691" s="3">
        <v>1</v>
      </c>
      <c r="BJ1691" s="3">
        <v>2</v>
      </c>
      <c r="BK1691" s="3">
        <v>2</v>
      </c>
      <c r="BL1691" s="3">
        <v>46.08</v>
      </c>
      <c r="BM1691" s="3">
        <v>6.91</v>
      </c>
      <c r="BN1691" s="3">
        <v>52.99</v>
      </c>
      <c r="BO1691" s="3">
        <v>52.99</v>
      </c>
      <c r="BQ1691" s="3" t="s">
        <v>83</v>
      </c>
      <c r="BR1691" s="3" t="s">
        <v>84</v>
      </c>
      <c r="BS1691" s="4">
        <v>44585</v>
      </c>
      <c r="BT1691" s="5">
        <v>0.29166666666666669</v>
      </c>
      <c r="BU1691" s="3" t="s">
        <v>1946</v>
      </c>
      <c r="BV1691" s="3" t="s">
        <v>105</v>
      </c>
      <c r="BY1691" s="3">
        <v>9900</v>
      </c>
      <c r="CC1691" s="3" t="s">
        <v>159</v>
      </c>
      <c r="CD1691" s="3">
        <v>1460</v>
      </c>
      <c r="CE1691" s="3" t="s">
        <v>86</v>
      </c>
      <c r="CF1691" s="4">
        <v>44585</v>
      </c>
      <c r="CI1691" s="3">
        <v>1</v>
      </c>
      <c r="CJ1691" s="3">
        <v>1</v>
      </c>
      <c r="CK1691" s="3">
        <v>22</v>
      </c>
      <c r="CL1691" s="3" t="s">
        <v>87</v>
      </c>
    </row>
    <row r="1692" spans="1:90" x14ac:dyDescent="0.2">
      <c r="A1692" s="3" t="s">
        <v>72</v>
      </c>
      <c r="B1692" s="3" t="s">
        <v>73</v>
      </c>
      <c r="C1692" s="3" t="s">
        <v>74</v>
      </c>
      <c r="E1692" s="3" t="str">
        <f>"FES1162846248"</f>
        <v>FES1162846248</v>
      </c>
      <c r="F1692" s="4">
        <v>44582</v>
      </c>
      <c r="G1692" s="3">
        <v>202207</v>
      </c>
      <c r="H1692" s="3" t="s">
        <v>75</v>
      </c>
      <c r="I1692" s="3" t="s">
        <v>76</v>
      </c>
      <c r="J1692" s="3" t="s">
        <v>77</v>
      </c>
      <c r="K1692" s="3" t="s">
        <v>78</v>
      </c>
      <c r="L1692" s="3" t="s">
        <v>90</v>
      </c>
      <c r="M1692" s="3" t="s">
        <v>91</v>
      </c>
      <c r="N1692" s="3" t="s">
        <v>112</v>
      </c>
      <c r="O1692" s="3" t="s">
        <v>82</v>
      </c>
      <c r="P1692" s="3" t="str">
        <f>"2170817759                    "</f>
        <v xml:space="preserve">2170817759                    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15.46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1</v>
      </c>
      <c r="BI1692" s="3">
        <v>1</v>
      </c>
      <c r="BJ1692" s="3">
        <v>0.2</v>
      </c>
      <c r="BK1692" s="3">
        <v>1</v>
      </c>
      <c r="BL1692" s="3">
        <v>59</v>
      </c>
      <c r="BM1692" s="3">
        <v>8.85</v>
      </c>
      <c r="BN1692" s="3">
        <v>67.849999999999994</v>
      </c>
      <c r="BO1692" s="3">
        <v>67.849999999999994</v>
      </c>
      <c r="BQ1692" s="3" t="s">
        <v>113</v>
      </c>
      <c r="BR1692" s="3" t="s">
        <v>84</v>
      </c>
      <c r="BS1692" s="4">
        <v>44585</v>
      </c>
      <c r="BT1692" s="5">
        <v>0.36458333333333331</v>
      </c>
      <c r="BU1692" s="3" t="s">
        <v>1947</v>
      </c>
      <c r="BV1692" s="3" t="s">
        <v>105</v>
      </c>
      <c r="BY1692" s="3">
        <v>1200</v>
      </c>
      <c r="BZ1692" s="3" t="s">
        <v>165</v>
      </c>
      <c r="CA1692" s="3" t="s">
        <v>1948</v>
      </c>
      <c r="CC1692" s="3" t="s">
        <v>91</v>
      </c>
      <c r="CD1692" s="3">
        <v>7405</v>
      </c>
      <c r="CE1692" s="3" t="s">
        <v>93</v>
      </c>
      <c r="CF1692" s="4">
        <v>44586</v>
      </c>
      <c r="CI1692" s="3">
        <v>1</v>
      </c>
      <c r="CJ1692" s="3">
        <v>1</v>
      </c>
      <c r="CK1692" s="3">
        <v>21</v>
      </c>
      <c r="CL1692" s="3" t="s">
        <v>87</v>
      </c>
    </row>
    <row r="1693" spans="1:90" x14ac:dyDescent="0.2">
      <c r="A1693" s="3" t="s">
        <v>72</v>
      </c>
      <c r="B1693" s="3" t="s">
        <v>73</v>
      </c>
      <c r="C1693" s="3" t="s">
        <v>74</v>
      </c>
      <c r="E1693" s="3" t="str">
        <f>"FES1162845886"</f>
        <v>FES1162845886</v>
      </c>
      <c r="F1693" s="4">
        <v>44580</v>
      </c>
      <c r="G1693" s="3">
        <v>202207</v>
      </c>
      <c r="H1693" s="3" t="s">
        <v>75</v>
      </c>
      <c r="I1693" s="3" t="s">
        <v>76</v>
      </c>
      <c r="J1693" s="3" t="s">
        <v>77</v>
      </c>
      <c r="K1693" s="3" t="s">
        <v>78</v>
      </c>
      <c r="L1693" s="3" t="s">
        <v>489</v>
      </c>
      <c r="M1693" s="3" t="s">
        <v>490</v>
      </c>
      <c r="N1693" s="3" t="s">
        <v>1765</v>
      </c>
      <c r="O1693" s="3" t="s">
        <v>82</v>
      </c>
      <c r="P1693" s="3" t="str">
        <f>"2170817326                    "</f>
        <v xml:space="preserve">2170817326                    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29.95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0</v>
      </c>
      <c r="AZ1693" s="3">
        <v>0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  <c r="BH1693" s="3">
        <v>1</v>
      </c>
      <c r="BI1693" s="3">
        <v>2</v>
      </c>
      <c r="BJ1693" s="3">
        <v>1.1000000000000001</v>
      </c>
      <c r="BK1693" s="3">
        <v>2</v>
      </c>
      <c r="BL1693" s="3">
        <v>114.31</v>
      </c>
      <c r="BM1693" s="3">
        <v>17.149999999999999</v>
      </c>
      <c r="BN1693" s="3">
        <v>131.46</v>
      </c>
      <c r="BO1693" s="3">
        <v>131.46</v>
      </c>
      <c r="BR1693" s="3" t="s">
        <v>84</v>
      </c>
      <c r="BS1693" s="4">
        <v>44585</v>
      </c>
      <c r="BT1693" s="5">
        <v>0.60347222222222219</v>
      </c>
      <c r="BU1693" s="3" t="s">
        <v>1949</v>
      </c>
      <c r="BV1693" s="3" t="s">
        <v>87</v>
      </c>
      <c r="BW1693" s="3" t="s">
        <v>453</v>
      </c>
      <c r="BX1693" s="3" t="s">
        <v>1950</v>
      </c>
      <c r="BY1693" s="3">
        <v>5320</v>
      </c>
      <c r="BZ1693" s="3" t="s">
        <v>165</v>
      </c>
      <c r="CA1693" s="3" t="s">
        <v>1732</v>
      </c>
      <c r="CC1693" s="3" t="s">
        <v>490</v>
      </c>
      <c r="CD1693" s="3">
        <v>216</v>
      </c>
      <c r="CE1693" s="3" t="s">
        <v>86</v>
      </c>
      <c r="CF1693" s="4">
        <v>44586</v>
      </c>
      <c r="CI1693" s="3">
        <v>1</v>
      </c>
      <c r="CJ1693" s="3">
        <v>3</v>
      </c>
      <c r="CK1693" s="3">
        <v>23</v>
      </c>
      <c r="CL1693" s="3" t="s">
        <v>87</v>
      </c>
    </row>
    <row r="1694" spans="1:90" x14ac:dyDescent="0.2">
      <c r="A1694" s="3" t="s">
        <v>72</v>
      </c>
      <c r="B1694" s="3" t="s">
        <v>73</v>
      </c>
      <c r="C1694" s="3" t="s">
        <v>74</v>
      </c>
      <c r="E1694" s="3" t="str">
        <f>"FES1162845397"</f>
        <v>FES1162845397</v>
      </c>
      <c r="F1694" s="4">
        <v>44578</v>
      </c>
      <c r="G1694" s="3">
        <v>202207</v>
      </c>
      <c r="H1694" s="3" t="s">
        <v>75</v>
      </c>
      <c r="I1694" s="3" t="s">
        <v>76</v>
      </c>
      <c r="J1694" s="3" t="s">
        <v>77</v>
      </c>
      <c r="K1694" s="3" t="s">
        <v>78</v>
      </c>
      <c r="L1694" s="3" t="s">
        <v>129</v>
      </c>
      <c r="M1694" s="3" t="s">
        <v>130</v>
      </c>
      <c r="N1694" s="3" t="s">
        <v>404</v>
      </c>
      <c r="O1694" s="3" t="s">
        <v>82</v>
      </c>
      <c r="P1694" s="3" t="str">
        <f>"2170816928                    "</f>
        <v xml:space="preserve">2170816928                    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29.95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1</v>
      </c>
      <c r="BI1694" s="3">
        <v>1</v>
      </c>
      <c r="BJ1694" s="3">
        <v>0.2</v>
      </c>
      <c r="BK1694" s="3">
        <v>1</v>
      </c>
      <c r="BL1694" s="3">
        <v>114.31</v>
      </c>
      <c r="BM1694" s="3">
        <v>17.149999999999999</v>
      </c>
      <c r="BN1694" s="3">
        <v>131.46</v>
      </c>
      <c r="BO1694" s="3">
        <v>131.46</v>
      </c>
      <c r="BQ1694" s="3" t="s">
        <v>83</v>
      </c>
      <c r="BR1694" s="3" t="s">
        <v>84</v>
      </c>
      <c r="BS1694" s="4">
        <v>44579</v>
      </c>
      <c r="BT1694" s="5">
        <v>0.5</v>
      </c>
      <c r="BU1694" s="3" t="s">
        <v>405</v>
      </c>
      <c r="BV1694" s="3" t="s">
        <v>105</v>
      </c>
      <c r="BY1694" s="3">
        <v>1200</v>
      </c>
      <c r="CA1694" s="3" t="s">
        <v>406</v>
      </c>
      <c r="CC1694" s="3" t="s">
        <v>130</v>
      </c>
      <c r="CD1694" s="3">
        <v>3370</v>
      </c>
      <c r="CE1694" s="3" t="s">
        <v>93</v>
      </c>
      <c r="CF1694" s="4">
        <v>44580</v>
      </c>
      <c r="CI1694" s="3">
        <v>2</v>
      </c>
      <c r="CJ1694" s="3">
        <v>1</v>
      </c>
      <c r="CK1694" s="3">
        <v>23</v>
      </c>
      <c r="CL1694" s="3" t="s">
        <v>87</v>
      </c>
    </row>
    <row r="1695" spans="1:90" x14ac:dyDescent="0.2">
      <c r="A1695" s="3" t="s">
        <v>72</v>
      </c>
      <c r="B1695" s="3" t="s">
        <v>73</v>
      </c>
      <c r="C1695" s="3" t="s">
        <v>74</v>
      </c>
      <c r="E1695" s="3" t="str">
        <f>"RFES1162841533"</f>
        <v>RFES1162841533</v>
      </c>
      <c r="F1695" s="4">
        <v>44585</v>
      </c>
      <c r="G1695" s="3">
        <v>202207</v>
      </c>
      <c r="H1695" s="3" t="s">
        <v>75</v>
      </c>
      <c r="I1695" s="3" t="s">
        <v>76</v>
      </c>
      <c r="J1695" s="3" t="s">
        <v>1951</v>
      </c>
      <c r="K1695" s="3" t="s">
        <v>78</v>
      </c>
      <c r="L1695" s="3" t="s">
        <v>75</v>
      </c>
      <c r="M1695" s="3" t="s">
        <v>76</v>
      </c>
      <c r="N1695" s="3" t="s">
        <v>77</v>
      </c>
      <c r="O1695" s="3" t="s">
        <v>82</v>
      </c>
      <c r="P1695" s="3" t="str">
        <f>"2170791924                    "</f>
        <v xml:space="preserve">2170791924                    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12.07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1</v>
      </c>
      <c r="BI1695" s="3">
        <v>1</v>
      </c>
      <c r="BJ1695" s="3">
        <v>0.2</v>
      </c>
      <c r="BK1695" s="3">
        <v>1</v>
      </c>
      <c r="BL1695" s="3">
        <v>46.08</v>
      </c>
      <c r="BM1695" s="3">
        <v>6.91</v>
      </c>
      <c r="BN1695" s="3">
        <v>52.99</v>
      </c>
      <c r="BO1695" s="3">
        <v>52.99</v>
      </c>
      <c r="BQ1695" s="3" t="s">
        <v>308</v>
      </c>
      <c r="BR1695" s="3" t="s">
        <v>83</v>
      </c>
      <c r="BS1695" s="4">
        <v>44586</v>
      </c>
      <c r="BT1695" s="5">
        <v>0.37986111111111115</v>
      </c>
      <c r="BU1695" s="3" t="s">
        <v>1952</v>
      </c>
      <c r="BV1695" s="3" t="s">
        <v>105</v>
      </c>
      <c r="BY1695" s="3">
        <v>1200</v>
      </c>
      <c r="CA1695" s="3" t="s">
        <v>378</v>
      </c>
      <c r="CC1695" s="3" t="s">
        <v>76</v>
      </c>
      <c r="CD1695" s="3">
        <v>1601</v>
      </c>
      <c r="CE1695" s="3" t="s">
        <v>93</v>
      </c>
      <c r="CF1695" s="4">
        <v>44586</v>
      </c>
      <c r="CI1695" s="3">
        <v>1</v>
      </c>
      <c r="CJ1695" s="3">
        <v>1</v>
      </c>
      <c r="CK1695" s="3">
        <v>22</v>
      </c>
      <c r="CL1695" s="3" t="s">
        <v>87</v>
      </c>
    </row>
    <row r="1696" spans="1:90" x14ac:dyDescent="0.2">
      <c r="A1696" s="3" t="s">
        <v>72</v>
      </c>
      <c r="B1696" s="3" t="s">
        <v>73</v>
      </c>
      <c r="C1696" s="3" t="s">
        <v>74</v>
      </c>
      <c r="E1696" s="3" t="str">
        <f>"FES1162846302"</f>
        <v>FES1162846302</v>
      </c>
      <c r="F1696" s="4">
        <v>44582</v>
      </c>
      <c r="G1696" s="3">
        <v>202207</v>
      </c>
      <c r="H1696" s="3" t="s">
        <v>75</v>
      </c>
      <c r="I1696" s="3" t="s">
        <v>76</v>
      </c>
      <c r="J1696" s="3" t="s">
        <v>77</v>
      </c>
      <c r="K1696" s="3" t="s">
        <v>78</v>
      </c>
      <c r="L1696" s="3" t="s">
        <v>75</v>
      </c>
      <c r="M1696" s="3" t="s">
        <v>76</v>
      </c>
      <c r="N1696" s="3" t="s">
        <v>688</v>
      </c>
      <c r="O1696" s="3" t="s">
        <v>82</v>
      </c>
      <c r="P1696" s="3" t="str">
        <f>"2170817828                    "</f>
        <v xml:space="preserve">2170817828                    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12.07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1</v>
      </c>
      <c r="BI1696" s="3">
        <v>1</v>
      </c>
      <c r="BJ1696" s="3">
        <v>0.2</v>
      </c>
      <c r="BK1696" s="3">
        <v>1</v>
      </c>
      <c r="BL1696" s="3">
        <v>46.08</v>
      </c>
      <c r="BM1696" s="3">
        <v>6.91</v>
      </c>
      <c r="BN1696" s="3">
        <v>52.99</v>
      </c>
      <c r="BO1696" s="3">
        <v>52.99</v>
      </c>
      <c r="BQ1696" s="3" t="s">
        <v>83</v>
      </c>
      <c r="BR1696" s="3" t="s">
        <v>84</v>
      </c>
      <c r="BS1696" s="4">
        <v>44585</v>
      </c>
      <c r="BT1696" s="5">
        <v>0.31805555555555554</v>
      </c>
      <c r="BU1696" s="3" t="s">
        <v>689</v>
      </c>
      <c r="BV1696" s="3" t="s">
        <v>105</v>
      </c>
      <c r="BY1696" s="3">
        <v>1200</v>
      </c>
      <c r="BZ1696" s="3" t="s">
        <v>165</v>
      </c>
      <c r="CA1696" s="3" t="s">
        <v>227</v>
      </c>
      <c r="CC1696" s="3" t="s">
        <v>76</v>
      </c>
      <c r="CD1696" s="3">
        <v>1620</v>
      </c>
      <c r="CE1696" s="3" t="s">
        <v>93</v>
      </c>
      <c r="CF1696" s="4">
        <v>44585</v>
      </c>
      <c r="CI1696" s="3">
        <v>1</v>
      </c>
      <c r="CJ1696" s="3">
        <v>1</v>
      </c>
      <c r="CK1696" s="3">
        <v>22</v>
      </c>
      <c r="CL1696" s="3" t="s">
        <v>87</v>
      </c>
    </row>
    <row r="1697" spans="1:90" x14ac:dyDescent="0.2">
      <c r="A1697" s="3" t="s">
        <v>72</v>
      </c>
      <c r="B1697" s="3" t="s">
        <v>73</v>
      </c>
      <c r="C1697" s="3" t="s">
        <v>74</v>
      </c>
      <c r="E1697" s="3" t="str">
        <f>"FES1162846202"</f>
        <v>FES1162846202</v>
      </c>
      <c r="F1697" s="4">
        <v>44582</v>
      </c>
      <c r="G1697" s="3">
        <v>202207</v>
      </c>
      <c r="H1697" s="3" t="s">
        <v>75</v>
      </c>
      <c r="I1697" s="3" t="s">
        <v>76</v>
      </c>
      <c r="J1697" s="3" t="s">
        <v>77</v>
      </c>
      <c r="K1697" s="3" t="s">
        <v>78</v>
      </c>
      <c r="L1697" s="3" t="s">
        <v>75</v>
      </c>
      <c r="M1697" s="3" t="s">
        <v>76</v>
      </c>
      <c r="N1697" s="3" t="s">
        <v>688</v>
      </c>
      <c r="O1697" s="3" t="s">
        <v>82</v>
      </c>
      <c r="P1697" s="3" t="str">
        <f>"2170817706                    "</f>
        <v xml:space="preserve">2170817706                    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12.07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1</v>
      </c>
      <c r="BI1697" s="3">
        <v>1</v>
      </c>
      <c r="BJ1697" s="3">
        <v>0.2</v>
      </c>
      <c r="BK1697" s="3">
        <v>1</v>
      </c>
      <c r="BL1697" s="3">
        <v>46.08</v>
      </c>
      <c r="BM1697" s="3">
        <v>6.91</v>
      </c>
      <c r="BN1697" s="3">
        <v>52.99</v>
      </c>
      <c r="BO1697" s="3">
        <v>52.99</v>
      </c>
      <c r="BQ1697" s="3" t="s">
        <v>83</v>
      </c>
      <c r="BR1697" s="3" t="s">
        <v>84</v>
      </c>
      <c r="BS1697" s="4">
        <v>44585</v>
      </c>
      <c r="BT1697" s="5">
        <v>0.31805555555555554</v>
      </c>
      <c r="BU1697" s="3" t="s">
        <v>689</v>
      </c>
      <c r="BV1697" s="3" t="s">
        <v>105</v>
      </c>
      <c r="BY1697" s="3">
        <v>1200</v>
      </c>
      <c r="BZ1697" s="3" t="s">
        <v>165</v>
      </c>
      <c r="CA1697" s="3" t="s">
        <v>227</v>
      </c>
      <c r="CC1697" s="3" t="s">
        <v>76</v>
      </c>
      <c r="CD1697" s="3">
        <v>1620</v>
      </c>
      <c r="CE1697" s="3" t="s">
        <v>93</v>
      </c>
      <c r="CF1697" s="4">
        <v>44585</v>
      </c>
      <c r="CI1697" s="3">
        <v>1</v>
      </c>
      <c r="CJ1697" s="3">
        <v>1</v>
      </c>
      <c r="CK1697" s="3">
        <v>22</v>
      </c>
      <c r="CL1697" s="3" t="s">
        <v>87</v>
      </c>
    </row>
    <row r="1698" spans="1:90" x14ac:dyDescent="0.2">
      <c r="A1698" s="3" t="s">
        <v>72</v>
      </c>
      <c r="B1698" s="3" t="s">
        <v>73</v>
      </c>
      <c r="C1698" s="3" t="s">
        <v>74</v>
      </c>
      <c r="E1698" s="3" t="str">
        <f>"FES1162846292"</f>
        <v>FES1162846292</v>
      </c>
      <c r="F1698" s="4">
        <v>44582</v>
      </c>
      <c r="G1698" s="3">
        <v>202207</v>
      </c>
      <c r="H1698" s="3" t="s">
        <v>75</v>
      </c>
      <c r="I1698" s="3" t="s">
        <v>76</v>
      </c>
      <c r="J1698" s="3" t="s">
        <v>77</v>
      </c>
      <c r="K1698" s="3" t="s">
        <v>78</v>
      </c>
      <c r="L1698" s="3" t="s">
        <v>171</v>
      </c>
      <c r="M1698" s="3" t="s">
        <v>172</v>
      </c>
      <c r="N1698" s="3" t="s">
        <v>329</v>
      </c>
      <c r="O1698" s="3" t="s">
        <v>82</v>
      </c>
      <c r="P1698" s="3" t="str">
        <f>"2170805612                    "</f>
        <v xml:space="preserve">2170805612                    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30.91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  <c r="BH1698" s="3">
        <v>1</v>
      </c>
      <c r="BI1698" s="3">
        <v>4</v>
      </c>
      <c r="BJ1698" s="3">
        <v>1.1000000000000001</v>
      </c>
      <c r="BK1698" s="3">
        <v>4</v>
      </c>
      <c r="BL1698" s="3">
        <v>117.97</v>
      </c>
      <c r="BM1698" s="3">
        <v>17.7</v>
      </c>
      <c r="BN1698" s="3">
        <v>135.66999999999999</v>
      </c>
      <c r="BO1698" s="3">
        <v>135.66999999999999</v>
      </c>
      <c r="BQ1698" s="3" t="s">
        <v>83</v>
      </c>
      <c r="BR1698" s="3" t="s">
        <v>84</v>
      </c>
      <c r="BS1698" s="4">
        <v>44585</v>
      </c>
      <c r="BT1698" s="5">
        <v>0.31527777777777777</v>
      </c>
      <c r="BU1698" s="3" t="s">
        <v>854</v>
      </c>
      <c r="BV1698" s="3" t="s">
        <v>105</v>
      </c>
      <c r="BY1698" s="3">
        <v>5320</v>
      </c>
      <c r="CA1698" s="3" t="s">
        <v>331</v>
      </c>
      <c r="CC1698" s="3" t="s">
        <v>172</v>
      </c>
      <c r="CD1698" s="3">
        <v>6001</v>
      </c>
      <c r="CE1698" s="3" t="s">
        <v>86</v>
      </c>
      <c r="CF1698" s="4">
        <v>44585</v>
      </c>
      <c r="CI1698" s="3">
        <v>1</v>
      </c>
      <c r="CJ1698" s="3">
        <v>1</v>
      </c>
      <c r="CK1698" s="3">
        <v>21</v>
      </c>
      <c r="CL1698" s="3" t="s">
        <v>87</v>
      </c>
    </row>
    <row r="1699" spans="1:90" x14ac:dyDescent="0.2">
      <c r="A1699" s="3" t="s">
        <v>72</v>
      </c>
      <c r="B1699" s="3" t="s">
        <v>73</v>
      </c>
      <c r="C1699" s="3" t="s">
        <v>74</v>
      </c>
      <c r="E1699" s="3" t="str">
        <f>"FES1162846291"</f>
        <v>FES1162846291</v>
      </c>
      <c r="F1699" s="4">
        <v>44582</v>
      </c>
      <c r="G1699" s="3">
        <v>202207</v>
      </c>
      <c r="H1699" s="3" t="s">
        <v>75</v>
      </c>
      <c r="I1699" s="3" t="s">
        <v>76</v>
      </c>
      <c r="J1699" s="3" t="s">
        <v>77</v>
      </c>
      <c r="K1699" s="3" t="s">
        <v>78</v>
      </c>
      <c r="L1699" s="3" t="s">
        <v>97</v>
      </c>
      <c r="M1699" s="3" t="s">
        <v>98</v>
      </c>
      <c r="N1699" s="3" t="s">
        <v>1953</v>
      </c>
      <c r="O1699" s="3" t="s">
        <v>82</v>
      </c>
      <c r="P1699" s="3" t="str">
        <f>"2170817814                    "</f>
        <v xml:space="preserve">2170817814                    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12.07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v>0</v>
      </c>
      <c r="BA1699" s="3">
        <v>0</v>
      </c>
      <c r="BB1699" s="3">
        <v>0</v>
      </c>
      <c r="BC1699" s="3">
        <v>0</v>
      </c>
      <c r="BD1699" s="3">
        <v>0</v>
      </c>
      <c r="BE1699" s="3">
        <v>0</v>
      </c>
      <c r="BF1699" s="3">
        <v>0</v>
      </c>
      <c r="BG1699" s="3">
        <v>0</v>
      </c>
      <c r="BH1699" s="3">
        <v>1</v>
      </c>
      <c r="BI1699" s="3">
        <v>1</v>
      </c>
      <c r="BJ1699" s="3">
        <v>0.2</v>
      </c>
      <c r="BK1699" s="3">
        <v>1</v>
      </c>
      <c r="BL1699" s="3">
        <v>46.08</v>
      </c>
      <c r="BM1699" s="3">
        <v>6.91</v>
      </c>
      <c r="BN1699" s="3">
        <v>52.99</v>
      </c>
      <c r="BO1699" s="3">
        <v>52.99</v>
      </c>
      <c r="BR1699" s="3" t="s">
        <v>84</v>
      </c>
      <c r="BS1699" s="4">
        <v>44585</v>
      </c>
      <c r="BT1699" s="5">
        <v>0.4375</v>
      </c>
      <c r="BU1699" s="3" t="s">
        <v>1954</v>
      </c>
      <c r="BV1699" s="3" t="s">
        <v>105</v>
      </c>
      <c r="BY1699" s="3">
        <v>1200</v>
      </c>
      <c r="BZ1699" s="3" t="s">
        <v>165</v>
      </c>
      <c r="CA1699" s="3" t="s">
        <v>1955</v>
      </c>
      <c r="CC1699" s="3" t="s">
        <v>98</v>
      </c>
      <c r="CD1699" s="3">
        <v>2191</v>
      </c>
      <c r="CE1699" s="3" t="s">
        <v>93</v>
      </c>
      <c r="CF1699" s="4">
        <v>44585</v>
      </c>
      <c r="CI1699" s="3">
        <v>1</v>
      </c>
      <c r="CJ1699" s="3">
        <v>1</v>
      </c>
      <c r="CK1699" s="3">
        <v>22</v>
      </c>
      <c r="CL1699" s="3" t="s">
        <v>87</v>
      </c>
    </row>
    <row r="1700" spans="1:90" x14ac:dyDescent="0.2">
      <c r="A1700" s="3" t="s">
        <v>72</v>
      </c>
      <c r="B1700" s="3" t="s">
        <v>73</v>
      </c>
      <c r="C1700" s="3" t="s">
        <v>74</v>
      </c>
      <c r="E1700" s="3" t="str">
        <f>"FES1162846271"</f>
        <v>FES1162846271</v>
      </c>
      <c r="F1700" s="4">
        <v>44582</v>
      </c>
      <c r="G1700" s="3">
        <v>202207</v>
      </c>
      <c r="H1700" s="3" t="s">
        <v>75</v>
      </c>
      <c r="I1700" s="3" t="s">
        <v>76</v>
      </c>
      <c r="J1700" s="3" t="s">
        <v>77</v>
      </c>
      <c r="K1700" s="3" t="s">
        <v>78</v>
      </c>
      <c r="L1700" s="3" t="s">
        <v>97</v>
      </c>
      <c r="M1700" s="3" t="s">
        <v>98</v>
      </c>
      <c r="N1700" s="3" t="s">
        <v>1956</v>
      </c>
      <c r="O1700" s="3" t="s">
        <v>82</v>
      </c>
      <c r="P1700" s="3" t="str">
        <f>"2170817661                    "</f>
        <v xml:space="preserve">2170817661                    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12.07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v>0</v>
      </c>
      <c r="BA1700" s="3">
        <v>0</v>
      </c>
      <c r="BB1700" s="3">
        <v>0</v>
      </c>
      <c r="BC1700" s="3">
        <v>0</v>
      </c>
      <c r="BD1700" s="3">
        <v>0</v>
      </c>
      <c r="BE1700" s="3">
        <v>0</v>
      </c>
      <c r="BF1700" s="3">
        <v>0</v>
      </c>
      <c r="BG1700" s="3">
        <v>0</v>
      </c>
      <c r="BH1700" s="3">
        <v>1</v>
      </c>
      <c r="BI1700" s="3">
        <v>1</v>
      </c>
      <c r="BJ1700" s="3">
        <v>1.5</v>
      </c>
      <c r="BK1700" s="3">
        <v>1.5</v>
      </c>
      <c r="BL1700" s="3">
        <v>46.08</v>
      </c>
      <c r="BM1700" s="3">
        <v>6.91</v>
      </c>
      <c r="BN1700" s="3">
        <v>52.99</v>
      </c>
      <c r="BO1700" s="3">
        <v>52.99</v>
      </c>
      <c r="BQ1700" s="3" t="s">
        <v>145</v>
      </c>
      <c r="BR1700" s="3" t="s">
        <v>84</v>
      </c>
      <c r="BS1700" s="4">
        <v>44585</v>
      </c>
      <c r="BT1700" s="5">
        <v>0.39583333333333331</v>
      </c>
      <c r="BU1700" s="3" t="s">
        <v>1957</v>
      </c>
      <c r="BV1700" s="3" t="s">
        <v>105</v>
      </c>
      <c r="BY1700" s="3">
        <v>7540</v>
      </c>
      <c r="CA1700" s="3" t="s">
        <v>1958</v>
      </c>
      <c r="CC1700" s="3" t="s">
        <v>98</v>
      </c>
      <c r="CD1700" s="3">
        <v>2196</v>
      </c>
      <c r="CE1700" s="3" t="s">
        <v>86</v>
      </c>
      <c r="CF1700" s="4">
        <v>44585</v>
      </c>
      <c r="CI1700" s="3">
        <v>1</v>
      </c>
      <c r="CJ1700" s="3">
        <v>1</v>
      </c>
      <c r="CK1700" s="3">
        <v>22</v>
      </c>
      <c r="CL1700" s="3" t="s">
        <v>87</v>
      </c>
    </row>
    <row r="1701" spans="1:90" x14ac:dyDescent="0.2">
      <c r="A1701" s="3" t="s">
        <v>72</v>
      </c>
      <c r="B1701" s="3" t="s">
        <v>73</v>
      </c>
      <c r="C1701" s="3" t="s">
        <v>74</v>
      </c>
      <c r="E1701" s="3" t="str">
        <f>"FES1162846184"</f>
        <v>FES1162846184</v>
      </c>
      <c r="F1701" s="4">
        <v>44582</v>
      </c>
      <c r="G1701" s="3">
        <v>202207</v>
      </c>
      <c r="H1701" s="3" t="s">
        <v>75</v>
      </c>
      <c r="I1701" s="3" t="s">
        <v>76</v>
      </c>
      <c r="J1701" s="3" t="s">
        <v>77</v>
      </c>
      <c r="K1701" s="3" t="s">
        <v>78</v>
      </c>
      <c r="L1701" s="3" t="s">
        <v>120</v>
      </c>
      <c r="M1701" s="3" t="s">
        <v>121</v>
      </c>
      <c r="N1701" s="3" t="s">
        <v>122</v>
      </c>
      <c r="O1701" s="3" t="s">
        <v>82</v>
      </c>
      <c r="P1701" s="3" t="str">
        <f>"2170816042                    "</f>
        <v xml:space="preserve">2170816042                    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15.46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v>0</v>
      </c>
      <c r="BA1701" s="3">
        <v>0</v>
      </c>
      <c r="BB1701" s="3">
        <v>0</v>
      </c>
      <c r="BC1701" s="3">
        <v>0</v>
      </c>
      <c r="BD1701" s="3">
        <v>0</v>
      </c>
      <c r="BE1701" s="3">
        <v>0</v>
      </c>
      <c r="BF1701" s="3">
        <v>0</v>
      </c>
      <c r="BG1701" s="3">
        <v>0</v>
      </c>
      <c r="BH1701" s="3">
        <v>1</v>
      </c>
      <c r="BI1701" s="3">
        <v>1</v>
      </c>
      <c r="BJ1701" s="3">
        <v>0.2</v>
      </c>
      <c r="BK1701" s="3">
        <v>1</v>
      </c>
      <c r="BL1701" s="3">
        <v>59</v>
      </c>
      <c r="BM1701" s="3">
        <v>8.85</v>
      </c>
      <c r="BN1701" s="3">
        <v>67.849999999999994</v>
      </c>
      <c r="BO1701" s="3">
        <v>67.849999999999994</v>
      </c>
      <c r="BQ1701" s="3" t="s">
        <v>89</v>
      </c>
      <c r="BR1701" s="3" t="s">
        <v>84</v>
      </c>
      <c r="BS1701" s="4">
        <v>44585</v>
      </c>
      <c r="BT1701" s="5">
        <v>0.31736111111111115</v>
      </c>
      <c r="BU1701" s="3" t="s">
        <v>1959</v>
      </c>
      <c r="BV1701" s="3" t="s">
        <v>105</v>
      </c>
      <c r="BY1701" s="3">
        <v>1200</v>
      </c>
      <c r="BZ1701" s="3" t="s">
        <v>165</v>
      </c>
      <c r="CA1701" s="3" t="s">
        <v>553</v>
      </c>
      <c r="CC1701" s="3" t="s">
        <v>121</v>
      </c>
      <c r="CD1701" s="3">
        <v>6230</v>
      </c>
      <c r="CE1701" s="3" t="s">
        <v>93</v>
      </c>
      <c r="CF1701" s="4">
        <v>44585</v>
      </c>
      <c r="CI1701" s="3">
        <v>1</v>
      </c>
      <c r="CJ1701" s="3">
        <v>1</v>
      </c>
      <c r="CK1701" s="3">
        <v>21</v>
      </c>
      <c r="CL1701" s="3" t="s">
        <v>87</v>
      </c>
    </row>
    <row r="1702" spans="1:90" x14ac:dyDescent="0.2">
      <c r="A1702" s="3" t="s">
        <v>72</v>
      </c>
      <c r="B1702" s="3" t="s">
        <v>73</v>
      </c>
      <c r="C1702" s="3" t="s">
        <v>74</v>
      </c>
      <c r="E1702" s="3" t="str">
        <f>"FES1162846289"</f>
        <v>FES1162846289</v>
      </c>
      <c r="F1702" s="4">
        <v>44582</v>
      </c>
      <c r="G1702" s="3">
        <v>202207</v>
      </c>
      <c r="H1702" s="3" t="s">
        <v>75</v>
      </c>
      <c r="I1702" s="3" t="s">
        <v>76</v>
      </c>
      <c r="J1702" s="3" t="s">
        <v>77</v>
      </c>
      <c r="K1702" s="3" t="s">
        <v>78</v>
      </c>
      <c r="L1702" s="3" t="s">
        <v>101</v>
      </c>
      <c r="M1702" s="3" t="s">
        <v>102</v>
      </c>
      <c r="N1702" s="3" t="s">
        <v>170</v>
      </c>
      <c r="O1702" s="3" t="s">
        <v>82</v>
      </c>
      <c r="P1702" s="3" t="str">
        <f>"2170817812                    "</f>
        <v xml:space="preserve">2170817812                    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15.46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v>0</v>
      </c>
      <c r="BA1702" s="3">
        <v>0</v>
      </c>
      <c r="BB1702" s="3">
        <v>0</v>
      </c>
      <c r="BC1702" s="3">
        <v>0</v>
      </c>
      <c r="BD1702" s="3">
        <v>0</v>
      </c>
      <c r="BE1702" s="3">
        <v>0</v>
      </c>
      <c r="BF1702" s="3">
        <v>0</v>
      </c>
      <c r="BG1702" s="3">
        <v>0</v>
      </c>
      <c r="BH1702" s="3">
        <v>1</v>
      </c>
      <c r="BI1702" s="3">
        <v>1</v>
      </c>
      <c r="BJ1702" s="3">
        <v>0.2</v>
      </c>
      <c r="BK1702" s="3">
        <v>1</v>
      </c>
      <c r="BL1702" s="3">
        <v>59</v>
      </c>
      <c r="BM1702" s="3">
        <v>8.85</v>
      </c>
      <c r="BN1702" s="3">
        <v>67.849999999999994</v>
      </c>
      <c r="BO1702" s="3">
        <v>67.849999999999994</v>
      </c>
      <c r="BQ1702" s="3" t="s">
        <v>89</v>
      </c>
      <c r="BR1702" s="3" t="s">
        <v>84</v>
      </c>
      <c r="BS1702" s="4">
        <v>44585</v>
      </c>
      <c r="BT1702" s="5">
        <v>0.6333333333333333</v>
      </c>
      <c r="BU1702" s="3" t="s">
        <v>369</v>
      </c>
      <c r="BV1702" s="3" t="s">
        <v>87</v>
      </c>
      <c r="BW1702" s="3" t="s">
        <v>278</v>
      </c>
      <c r="BX1702" s="3" t="s">
        <v>279</v>
      </c>
      <c r="BY1702" s="3">
        <v>1200</v>
      </c>
      <c r="BZ1702" s="3" t="s">
        <v>165</v>
      </c>
      <c r="CA1702" s="3" t="s">
        <v>280</v>
      </c>
      <c r="CC1702" s="3" t="s">
        <v>102</v>
      </c>
      <c r="CD1702" s="3">
        <v>4001</v>
      </c>
      <c r="CE1702" s="3" t="s">
        <v>93</v>
      </c>
      <c r="CF1702" s="4">
        <v>44586</v>
      </c>
      <c r="CI1702" s="3">
        <v>1</v>
      </c>
      <c r="CJ1702" s="3">
        <v>1</v>
      </c>
      <c r="CK1702" s="3">
        <v>21</v>
      </c>
      <c r="CL1702" s="3" t="s">
        <v>87</v>
      </c>
    </row>
    <row r="1703" spans="1:90" x14ac:dyDescent="0.2">
      <c r="A1703" s="3" t="s">
        <v>72</v>
      </c>
      <c r="B1703" s="3" t="s">
        <v>73</v>
      </c>
      <c r="C1703" s="3" t="s">
        <v>74</v>
      </c>
      <c r="E1703" s="3" t="str">
        <f>"FES1162846305"</f>
        <v>FES1162846305</v>
      </c>
      <c r="F1703" s="4">
        <v>44582</v>
      </c>
      <c r="G1703" s="3">
        <v>202207</v>
      </c>
      <c r="H1703" s="3" t="s">
        <v>75</v>
      </c>
      <c r="I1703" s="3" t="s">
        <v>76</v>
      </c>
      <c r="J1703" s="3" t="s">
        <v>77</v>
      </c>
      <c r="K1703" s="3" t="s">
        <v>78</v>
      </c>
      <c r="L1703" s="3" t="s">
        <v>184</v>
      </c>
      <c r="M1703" s="3" t="s">
        <v>185</v>
      </c>
      <c r="N1703" s="3" t="s">
        <v>186</v>
      </c>
      <c r="O1703" s="3" t="s">
        <v>82</v>
      </c>
      <c r="P1703" s="3" t="str">
        <f>"2170817831                    "</f>
        <v xml:space="preserve">2170817831                    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15.46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0</v>
      </c>
      <c r="BF1703" s="3">
        <v>0</v>
      </c>
      <c r="BG1703" s="3">
        <v>0</v>
      </c>
      <c r="BH1703" s="3">
        <v>1</v>
      </c>
      <c r="BI1703" s="3">
        <v>1</v>
      </c>
      <c r="BJ1703" s="3">
        <v>0.2</v>
      </c>
      <c r="BK1703" s="3">
        <v>1</v>
      </c>
      <c r="BL1703" s="3">
        <v>59</v>
      </c>
      <c r="BM1703" s="3">
        <v>8.85</v>
      </c>
      <c r="BN1703" s="3">
        <v>67.849999999999994</v>
      </c>
      <c r="BO1703" s="3">
        <v>67.849999999999994</v>
      </c>
      <c r="BQ1703" s="3" t="s">
        <v>83</v>
      </c>
      <c r="BR1703" s="3" t="s">
        <v>84</v>
      </c>
      <c r="BS1703" s="4">
        <v>44585</v>
      </c>
      <c r="BT1703" s="5">
        <v>0.59791666666666665</v>
      </c>
      <c r="BU1703" s="3" t="s">
        <v>1680</v>
      </c>
      <c r="BV1703" s="3" t="s">
        <v>87</v>
      </c>
      <c r="BW1703" s="3" t="s">
        <v>617</v>
      </c>
      <c r="BX1703" s="3" t="s">
        <v>605</v>
      </c>
      <c r="BY1703" s="3">
        <v>1200</v>
      </c>
      <c r="BZ1703" s="3" t="s">
        <v>165</v>
      </c>
      <c r="CA1703" s="3" t="s">
        <v>1681</v>
      </c>
      <c r="CC1703" s="3" t="s">
        <v>185</v>
      </c>
      <c r="CD1703" s="3">
        <v>5201</v>
      </c>
      <c r="CE1703" s="3" t="s">
        <v>93</v>
      </c>
      <c r="CF1703" s="4">
        <v>44585</v>
      </c>
      <c r="CI1703" s="3">
        <v>1</v>
      </c>
      <c r="CJ1703" s="3">
        <v>1</v>
      </c>
      <c r="CK1703" s="3">
        <v>21</v>
      </c>
      <c r="CL1703" s="3" t="s">
        <v>87</v>
      </c>
    </row>
    <row r="1704" spans="1:90" x14ac:dyDescent="0.2">
      <c r="A1704" s="3" t="s">
        <v>72</v>
      </c>
      <c r="B1704" s="3" t="s">
        <v>73</v>
      </c>
      <c r="C1704" s="3" t="s">
        <v>74</v>
      </c>
      <c r="E1704" s="3" t="str">
        <f>"FES1162846194"</f>
        <v>FES1162846194</v>
      </c>
      <c r="F1704" s="4">
        <v>44582</v>
      </c>
      <c r="G1704" s="3">
        <v>202207</v>
      </c>
      <c r="H1704" s="3" t="s">
        <v>75</v>
      </c>
      <c r="I1704" s="3" t="s">
        <v>76</v>
      </c>
      <c r="J1704" s="3" t="s">
        <v>77</v>
      </c>
      <c r="K1704" s="3" t="s">
        <v>78</v>
      </c>
      <c r="L1704" s="3" t="s">
        <v>427</v>
      </c>
      <c r="M1704" s="3" t="s">
        <v>428</v>
      </c>
      <c r="N1704" s="3" t="s">
        <v>447</v>
      </c>
      <c r="O1704" s="3" t="s">
        <v>82</v>
      </c>
      <c r="P1704" s="3" t="str">
        <f>"2170817695                    "</f>
        <v xml:space="preserve">2170817695                    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57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v>0</v>
      </c>
      <c r="BA1704" s="3">
        <v>0</v>
      </c>
      <c r="BB1704" s="3">
        <v>0</v>
      </c>
      <c r="BC1704" s="3">
        <v>0</v>
      </c>
      <c r="BD1704" s="3">
        <v>0</v>
      </c>
      <c r="BE1704" s="3">
        <v>0</v>
      </c>
      <c r="BF1704" s="3">
        <v>0</v>
      </c>
      <c r="BG1704" s="3">
        <v>0</v>
      </c>
      <c r="BH1704" s="3">
        <v>1</v>
      </c>
      <c r="BI1704" s="3">
        <v>4</v>
      </c>
      <c r="BJ1704" s="3">
        <v>1.1000000000000001</v>
      </c>
      <c r="BK1704" s="3">
        <v>4</v>
      </c>
      <c r="BL1704" s="3">
        <v>217.56</v>
      </c>
      <c r="BM1704" s="3">
        <v>32.630000000000003</v>
      </c>
      <c r="BN1704" s="3">
        <v>250.19</v>
      </c>
      <c r="BO1704" s="3">
        <v>250.19</v>
      </c>
      <c r="BQ1704" s="3" t="s">
        <v>89</v>
      </c>
      <c r="BR1704" s="3" t="s">
        <v>84</v>
      </c>
      <c r="BS1704" s="4">
        <v>44585</v>
      </c>
      <c r="BT1704" s="5">
        <v>0.62430555555555556</v>
      </c>
      <c r="BU1704" s="3" t="s">
        <v>1448</v>
      </c>
      <c r="BV1704" s="3" t="s">
        <v>87</v>
      </c>
      <c r="BW1704" s="3" t="s">
        <v>353</v>
      </c>
      <c r="BX1704" s="3" t="s">
        <v>354</v>
      </c>
      <c r="BY1704" s="3">
        <v>5320</v>
      </c>
      <c r="CA1704" s="3" t="s">
        <v>488</v>
      </c>
      <c r="CC1704" s="3" t="s">
        <v>428</v>
      </c>
      <c r="CD1704" s="3">
        <v>7130</v>
      </c>
      <c r="CE1704" s="3" t="s">
        <v>86</v>
      </c>
      <c r="CF1704" s="4">
        <v>44586</v>
      </c>
      <c r="CI1704" s="3">
        <v>1</v>
      </c>
      <c r="CJ1704" s="3">
        <v>1</v>
      </c>
      <c r="CK1704" s="3">
        <v>23</v>
      </c>
      <c r="CL1704" s="3" t="s">
        <v>87</v>
      </c>
    </row>
    <row r="1705" spans="1:90" x14ac:dyDescent="0.2">
      <c r="A1705" s="3" t="s">
        <v>72</v>
      </c>
      <c r="B1705" s="3" t="s">
        <v>73</v>
      </c>
      <c r="C1705" s="3" t="s">
        <v>74</v>
      </c>
      <c r="E1705" s="3" t="str">
        <f>"FES1162846214"</f>
        <v>FES1162846214</v>
      </c>
      <c r="F1705" s="4">
        <v>44582</v>
      </c>
      <c r="G1705" s="3">
        <v>202207</v>
      </c>
      <c r="H1705" s="3" t="s">
        <v>75</v>
      </c>
      <c r="I1705" s="3" t="s">
        <v>76</v>
      </c>
      <c r="J1705" s="3" t="s">
        <v>77</v>
      </c>
      <c r="K1705" s="3" t="s">
        <v>78</v>
      </c>
      <c r="L1705" s="3" t="s">
        <v>171</v>
      </c>
      <c r="M1705" s="3" t="s">
        <v>172</v>
      </c>
      <c r="N1705" s="3" t="s">
        <v>454</v>
      </c>
      <c r="O1705" s="3" t="s">
        <v>82</v>
      </c>
      <c r="P1705" s="3" t="str">
        <f>"2170817717                    "</f>
        <v xml:space="preserve">2170817717                    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15.46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v>0</v>
      </c>
      <c r="BA1705" s="3">
        <v>0</v>
      </c>
      <c r="BB1705" s="3">
        <v>0</v>
      </c>
      <c r="BC1705" s="3">
        <v>0</v>
      </c>
      <c r="BD1705" s="3">
        <v>0</v>
      </c>
      <c r="BE1705" s="3">
        <v>0</v>
      </c>
      <c r="BF1705" s="3">
        <v>0</v>
      </c>
      <c r="BG1705" s="3">
        <v>0</v>
      </c>
      <c r="BH1705" s="3">
        <v>1</v>
      </c>
      <c r="BI1705" s="3">
        <v>1</v>
      </c>
      <c r="BJ1705" s="3">
        <v>0.2</v>
      </c>
      <c r="BK1705" s="3">
        <v>1</v>
      </c>
      <c r="BL1705" s="3">
        <v>59</v>
      </c>
      <c r="BM1705" s="3">
        <v>8.85</v>
      </c>
      <c r="BN1705" s="3">
        <v>67.849999999999994</v>
      </c>
      <c r="BO1705" s="3">
        <v>67.849999999999994</v>
      </c>
      <c r="BQ1705" s="3" t="s">
        <v>89</v>
      </c>
      <c r="BR1705" s="3" t="s">
        <v>84</v>
      </c>
      <c r="BS1705" s="4">
        <v>44585</v>
      </c>
      <c r="BT1705" s="5">
        <v>0.38055555555555554</v>
      </c>
      <c r="BU1705" s="3" t="s">
        <v>1155</v>
      </c>
      <c r="BV1705" s="3" t="s">
        <v>105</v>
      </c>
      <c r="BY1705" s="3">
        <v>1200</v>
      </c>
      <c r="BZ1705" s="3" t="s">
        <v>165</v>
      </c>
      <c r="CA1705" s="3" t="s">
        <v>509</v>
      </c>
      <c r="CC1705" s="3" t="s">
        <v>172</v>
      </c>
      <c r="CD1705" s="3">
        <v>6001</v>
      </c>
      <c r="CE1705" s="3" t="s">
        <v>93</v>
      </c>
      <c r="CF1705" s="4">
        <v>44585</v>
      </c>
      <c r="CI1705" s="3">
        <v>1</v>
      </c>
      <c r="CJ1705" s="3">
        <v>1</v>
      </c>
      <c r="CK1705" s="3">
        <v>21</v>
      </c>
      <c r="CL1705" s="3" t="s">
        <v>87</v>
      </c>
    </row>
    <row r="1706" spans="1:90" x14ac:dyDescent="0.2">
      <c r="A1706" s="3" t="s">
        <v>72</v>
      </c>
      <c r="B1706" s="3" t="s">
        <v>73</v>
      </c>
      <c r="C1706" s="3" t="s">
        <v>74</v>
      </c>
      <c r="E1706" s="3" t="str">
        <f>"FES1162846282"</f>
        <v>FES1162846282</v>
      </c>
      <c r="F1706" s="4">
        <v>44582</v>
      </c>
      <c r="G1706" s="3">
        <v>202207</v>
      </c>
      <c r="H1706" s="3" t="s">
        <v>75</v>
      </c>
      <c r="I1706" s="3" t="s">
        <v>76</v>
      </c>
      <c r="J1706" s="3" t="s">
        <v>77</v>
      </c>
      <c r="K1706" s="3" t="s">
        <v>78</v>
      </c>
      <c r="L1706" s="3" t="s">
        <v>158</v>
      </c>
      <c r="M1706" s="3" t="s">
        <v>159</v>
      </c>
      <c r="N1706" s="3" t="s">
        <v>832</v>
      </c>
      <c r="O1706" s="3" t="s">
        <v>82</v>
      </c>
      <c r="P1706" s="3" t="str">
        <f>"2170817804                    "</f>
        <v xml:space="preserve">2170817804                    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12.07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v>0</v>
      </c>
      <c r="BA1706" s="3">
        <v>0</v>
      </c>
      <c r="BB1706" s="3">
        <v>0</v>
      </c>
      <c r="BC1706" s="3">
        <v>0</v>
      </c>
      <c r="BD1706" s="3">
        <v>0</v>
      </c>
      <c r="BE1706" s="3">
        <v>0</v>
      </c>
      <c r="BF1706" s="3">
        <v>0</v>
      </c>
      <c r="BG1706" s="3">
        <v>0</v>
      </c>
      <c r="BH1706" s="3">
        <v>1</v>
      </c>
      <c r="BI1706" s="3">
        <v>1</v>
      </c>
      <c r="BJ1706" s="3">
        <v>0.2</v>
      </c>
      <c r="BK1706" s="3">
        <v>1</v>
      </c>
      <c r="BL1706" s="3">
        <v>46.08</v>
      </c>
      <c r="BM1706" s="3">
        <v>6.91</v>
      </c>
      <c r="BN1706" s="3">
        <v>52.99</v>
      </c>
      <c r="BO1706" s="3">
        <v>52.99</v>
      </c>
      <c r="BQ1706" s="3" t="s">
        <v>83</v>
      </c>
      <c r="BR1706" s="3" t="s">
        <v>84</v>
      </c>
      <c r="BS1706" s="4">
        <v>44585</v>
      </c>
      <c r="BT1706" s="5">
        <v>0.29166666666666669</v>
      </c>
      <c r="BU1706" s="3" t="s">
        <v>833</v>
      </c>
      <c r="BV1706" s="3" t="s">
        <v>105</v>
      </c>
      <c r="BY1706" s="3">
        <v>1200</v>
      </c>
      <c r="BZ1706" s="3" t="s">
        <v>165</v>
      </c>
      <c r="CA1706" s="3" t="s">
        <v>763</v>
      </c>
      <c r="CC1706" s="3" t="s">
        <v>159</v>
      </c>
      <c r="CD1706" s="3">
        <v>1460</v>
      </c>
      <c r="CE1706" s="3" t="s">
        <v>93</v>
      </c>
      <c r="CF1706" s="4">
        <v>44585</v>
      </c>
      <c r="CI1706" s="3">
        <v>1</v>
      </c>
      <c r="CJ1706" s="3">
        <v>1</v>
      </c>
      <c r="CK1706" s="3">
        <v>22</v>
      </c>
      <c r="CL1706" s="3" t="s">
        <v>87</v>
      </c>
    </row>
    <row r="1707" spans="1:90" x14ac:dyDescent="0.2">
      <c r="A1707" s="3" t="s">
        <v>72</v>
      </c>
      <c r="B1707" s="3" t="s">
        <v>73</v>
      </c>
      <c r="C1707" s="3" t="s">
        <v>74</v>
      </c>
      <c r="E1707" s="3" t="str">
        <f>"FES1162846297"</f>
        <v>FES1162846297</v>
      </c>
      <c r="F1707" s="4">
        <v>44582</v>
      </c>
      <c r="G1707" s="3">
        <v>202207</v>
      </c>
      <c r="H1707" s="3" t="s">
        <v>75</v>
      </c>
      <c r="I1707" s="3" t="s">
        <v>76</v>
      </c>
      <c r="J1707" s="3" t="s">
        <v>77</v>
      </c>
      <c r="K1707" s="3" t="s">
        <v>78</v>
      </c>
      <c r="L1707" s="3" t="s">
        <v>154</v>
      </c>
      <c r="M1707" s="3" t="s">
        <v>155</v>
      </c>
      <c r="N1707" s="3" t="s">
        <v>1960</v>
      </c>
      <c r="O1707" s="3" t="s">
        <v>82</v>
      </c>
      <c r="P1707" s="3" t="str">
        <f>"2170817820                    "</f>
        <v xml:space="preserve">2170817820                    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12.07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v>0</v>
      </c>
      <c r="BA1707" s="3">
        <v>0</v>
      </c>
      <c r="BB1707" s="3">
        <v>0</v>
      </c>
      <c r="BC1707" s="3">
        <v>0</v>
      </c>
      <c r="BD1707" s="3">
        <v>0</v>
      </c>
      <c r="BE1707" s="3">
        <v>0</v>
      </c>
      <c r="BF1707" s="3">
        <v>0</v>
      </c>
      <c r="BG1707" s="3">
        <v>0</v>
      </c>
      <c r="BH1707" s="3">
        <v>1</v>
      </c>
      <c r="BI1707" s="3">
        <v>1</v>
      </c>
      <c r="BJ1707" s="3">
        <v>0.2</v>
      </c>
      <c r="BK1707" s="3">
        <v>1</v>
      </c>
      <c r="BL1707" s="3">
        <v>46.08</v>
      </c>
      <c r="BM1707" s="3">
        <v>6.91</v>
      </c>
      <c r="BN1707" s="3">
        <v>52.99</v>
      </c>
      <c r="BO1707" s="3">
        <v>52.99</v>
      </c>
      <c r="BR1707" s="3" t="s">
        <v>84</v>
      </c>
      <c r="BS1707" s="4">
        <v>44585</v>
      </c>
      <c r="BT1707" s="5">
        <v>0.41111111111111115</v>
      </c>
      <c r="BU1707" s="3" t="s">
        <v>1961</v>
      </c>
      <c r="BV1707" s="3" t="s">
        <v>105</v>
      </c>
      <c r="BY1707" s="3">
        <v>1200</v>
      </c>
      <c r="BZ1707" s="3" t="s">
        <v>165</v>
      </c>
      <c r="CA1707" s="3" t="s">
        <v>708</v>
      </c>
      <c r="CC1707" s="3" t="s">
        <v>155</v>
      </c>
      <c r="CD1707" s="3">
        <v>1682</v>
      </c>
      <c r="CE1707" s="3" t="s">
        <v>93</v>
      </c>
      <c r="CF1707" s="4">
        <v>44585</v>
      </c>
      <c r="CI1707" s="3">
        <v>1</v>
      </c>
      <c r="CJ1707" s="3">
        <v>1</v>
      </c>
      <c r="CK1707" s="3">
        <v>22</v>
      </c>
      <c r="CL1707" s="3" t="s">
        <v>87</v>
      </c>
    </row>
    <row r="1708" spans="1:90" x14ac:dyDescent="0.2">
      <c r="A1708" s="3" t="s">
        <v>72</v>
      </c>
      <c r="B1708" s="3" t="s">
        <v>73</v>
      </c>
      <c r="C1708" s="3" t="s">
        <v>74</v>
      </c>
      <c r="E1708" s="3" t="str">
        <f>"FES1162846257"</f>
        <v>FES1162846257</v>
      </c>
      <c r="F1708" s="4">
        <v>44582</v>
      </c>
      <c r="G1708" s="3">
        <v>202207</v>
      </c>
      <c r="H1708" s="3" t="s">
        <v>75</v>
      </c>
      <c r="I1708" s="3" t="s">
        <v>76</v>
      </c>
      <c r="J1708" s="3" t="s">
        <v>77</v>
      </c>
      <c r="K1708" s="3" t="s">
        <v>78</v>
      </c>
      <c r="L1708" s="3" t="s">
        <v>75</v>
      </c>
      <c r="M1708" s="3" t="s">
        <v>76</v>
      </c>
      <c r="N1708" s="3" t="s">
        <v>1918</v>
      </c>
      <c r="O1708" s="3" t="s">
        <v>82</v>
      </c>
      <c r="P1708" s="3" t="str">
        <f>"2170817772                    "</f>
        <v xml:space="preserve">2170817772                    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12.07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0</v>
      </c>
      <c r="BC1708" s="3">
        <v>0</v>
      </c>
      <c r="BD1708" s="3">
        <v>0</v>
      </c>
      <c r="BE1708" s="3">
        <v>0</v>
      </c>
      <c r="BF1708" s="3">
        <v>0</v>
      </c>
      <c r="BG1708" s="3">
        <v>0</v>
      </c>
      <c r="BH1708" s="3">
        <v>1</v>
      </c>
      <c r="BI1708" s="3">
        <v>2</v>
      </c>
      <c r="BJ1708" s="3">
        <v>1.1000000000000001</v>
      </c>
      <c r="BK1708" s="3">
        <v>2</v>
      </c>
      <c r="BL1708" s="3">
        <v>46.08</v>
      </c>
      <c r="BM1708" s="3">
        <v>6.91</v>
      </c>
      <c r="BN1708" s="3">
        <v>52.99</v>
      </c>
      <c r="BO1708" s="3">
        <v>52.99</v>
      </c>
      <c r="BR1708" s="3" t="s">
        <v>84</v>
      </c>
      <c r="BS1708" s="4">
        <v>44585</v>
      </c>
      <c r="BT1708" s="5">
        <v>0.40069444444444446</v>
      </c>
      <c r="BU1708" s="3" t="s">
        <v>1919</v>
      </c>
      <c r="BV1708" s="3" t="s">
        <v>105</v>
      </c>
      <c r="BY1708" s="3">
        <v>5320</v>
      </c>
      <c r="CA1708" s="3" t="s">
        <v>378</v>
      </c>
      <c r="CC1708" s="3" t="s">
        <v>76</v>
      </c>
      <c r="CD1708" s="3">
        <v>1601</v>
      </c>
      <c r="CE1708" s="3" t="s">
        <v>86</v>
      </c>
      <c r="CF1708" s="4">
        <v>44585</v>
      </c>
      <c r="CI1708" s="3">
        <v>1</v>
      </c>
      <c r="CJ1708" s="3">
        <v>1</v>
      </c>
      <c r="CK1708" s="3">
        <v>22</v>
      </c>
      <c r="CL1708" s="3" t="s">
        <v>87</v>
      </c>
    </row>
    <row r="1709" spans="1:90" x14ac:dyDescent="0.2">
      <c r="A1709" s="3" t="s">
        <v>72</v>
      </c>
      <c r="B1709" s="3" t="s">
        <v>73</v>
      </c>
      <c r="C1709" s="3" t="s">
        <v>74</v>
      </c>
      <c r="E1709" s="3" t="str">
        <f>"FES1162846280"</f>
        <v>FES1162846280</v>
      </c>
      <c r="F1709" s="4">
        <v>44582</v>
      </c>
      <c r="G1709" s="3">
        <v>202207</v>
      </c>
      <c r="H1709" s="3" t="s">
        <v>75</v>
      </c>
      <c r="I1709" s="3" t="s">
        <v>76</v>
      </c>
      <c r="J1709" s="3" t="s">
        <v>77</v>
      </c>
      <c r="K1709" s="3" t="s">
        <v>78</v>
      </c>
      <c r="L1709" s="3" t="s">
        <v>97</v>
      </c>
      <c r="M1709" s="3" t="s">
        <v>98</v>
      </c>
      <c r="N1709" s="3" t="s">
        <v>1962</v>
      </c>
      <c r="O1709" s="3" t="s">
        <v>82</v>
      </c>
      <c r="P1709" s="3" t="str">
        <f>"21708174466                   "</f>
        <v xml:space="preserve">21708174466                   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12.07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0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  <c r="BH1709" s="3">
        <v>1</v>
      </c>
      <c r="BI1709" s="3">
        <v>7</v>
      </c>
      <c r="BJ1709" s="3">
        <v>4.0999999999999996</v>
      </c>
      <c r="BK1709" s="3">
        <v>7</v>
      </c>
      <c r="BL1709" s="3">
        <v>46.08</v>
      </c>
      <c r="BM1709" s="3">
        <v>6.91</v>
      </c>
      <c r="BN1709" s="3">
        <v>52.99</v>
      </c>
      <c r="BO1709" s="3">
        <v>52.99</v>
      </c>
      <c r="BQ1709" s="3" t="s">
        <v>83</v>
      </c>
      <c r="BR1709" s="3" t="s">
        <v>84</v>
      </c>
      <c r="BS1709" s="4">
        <v>44585</v>
      </c>
      <c r="BT1709" s="5">
        <v>0.37083333333333335</v>
      </c>
      <c r="BU1709" s="3" t="s">
        <v>1963</v>
      </c>
      <c r="BV1709" s="3" t="s">
        <v>105</v>
      </c>
      <c r="BY1709" s="3">
        <v>20358</v>
      </c>
      <c r="CA1709" s="3" t="s">
        <v>1151</v>
      </c>
      <c r="CC1709" s="3" t="s">
        <v>98</v>
      </c>
      <c r="CD1709" s="3">
        <v>2094</v>
      </c>
      <c r="CE1709" s="3" t="s">
        <v>86</v>
      </c>
      <c r="CF1709" s="4">
        <v>44585</v>
      </c>
      <c r="CI1709" s="3">
        <v>1</v>
      </c>
      <c r="CJ1709" s="3">
        <v>1</v>
      </c>
      <c r="CK1709" s="3">
        <v>22</v>
      </c>
      <c r="CL1709" s="3" t="s">
        <v>87</v>
      </c>
    </row>
    <row r="1710" spans="1:90" x14ac:dyDescent="0.2">
      <c r="A1710" s="3" t="s">
        <v>72</v>
      </c>
      <c r="B1710" s="3" t="s">
        <v>73</v>
      </c>
      <c r="C1710" s="3" t="s">
        <v>74</v>
      </c>
      <c r="E1710" s="3" t="str">
        <f>"FES1162846307"</f>
        <v>FES1162846307</v>
      </c>
      <c r="F1710" s="4">
        <v>44582</v>
      </c>
      <c r="G1710" s="3">
        <v>202207</v>
      </c>
      <c r="H1710" s="3" t="s">
        <v>75</v>
      </c>
      <c r="I1710" s="3" t="s">
        <v>76</v>
      </c>
      <c r="J1710" s="3" t="s">
        <v>77</v>
      </c>
      <c r="K1710" s="3" t="s">
        <v>78</v>
      </c>
      <c r="L1710" s="3" t="s">
        <v>120</v>
      </c>
      <c r="M1710" s="3" t="s">
        <v>121</v>
      </c>
      <c r="N1710" s="3" t="s">
        <v>1194</v>
      </c>
      <c r="O1710" s="3" t="s">
        <v>82</v>
      </c>
      <c r="P1710" s="3" t="str">
        <f>"2170817836                    "</f>
        <v xml:space="preserve">2170817836                    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15.46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0</v>
      </c>
      <c r="BC1710" s="3">
        <v>0</v>
      </c>
      <c r="BD1710" s="3">
        <v>0</v>
      </c>
      <c r="BE1710" s="3">
        <v>0</v>
      </c>
      <c r="BF1710" s="3">
        <v>0</v>
      </c>
      <c r="BG1710" s="3">
        <v>0</v>
      </c>
      <c r="BH1710" s="3">
        <v>1</v>
      </c>
      <c r="BI1710" s="3">
        <v>1</v>
      </c>
      <c r="BJ1710" s="3">
        <v>0.2</v>
      </c>
      <c r="BK1710" s="3">
        <v>1</v>
      </c>
      <c r="BL1710" s="3">
        <v>59</v>
      </c>
      <c r="BM1710" s="3">
        <v>8.85</v>
      </c>
      <c r="BN1710" s="3">
        <v>67.849999999999994</v>
      </c>
      <c r="BO1710" s="3">
        <v>67.849999999999994</v>
      </c>
      <c r="BQ1710" s="3" t="s">
        <v>89</v>
      </c>
      <c r="BR1710" s="3" t="s">
        <v>84</v>
      </c>
      <c r="BS1710" s="4">
        <v>44585</v>
      </c>
      <c r="BT1710" s="5">
        <v>0.39999999999999997</v>
      </c>
      <c r="BU1710" s="3" t="s">
        <v>1964</v>
      </c>
      <c r="BV1710" s="3" t="s">
        <v>105</v>
      </c>
      <c r="BY1710" s="3">
        <v>1200</v>
      </c>
      <c r="BZ1710" s="3" t="s">
        <v>165</v>
      </c>
      <c r="CA1710" s="3" t="s">
        <v>553</v>
      </c>
      <c r="CC1710" s="3" t="s">
        <v>121</v>
      </c>
      <c r="CD1710" s="3">
        <v>6230</v>
      </c>
      <c r="CE1710" s="3" t="s">
        <v>93</v>
      </c>
      <c r="CF1710" s="4">
        <v>44585</v>
      </c>
      <c r="CI1710" s="3">
        <v>1</v>
      </c>
      <c r="CJ1710" s="3">
        <v>1</v>
      </c>
      <c r="CK1710" s="3">
        <v>21</v>
      </c>
      <c r="CL1710" s="3" t="s">
        <v>87</v>
      </c>
    </row>
    <row r="1711" spans="1:90" x14ac:dyDescent="0.2">
      <c r="A1711" s="3" t="s">
        <v>72</v>
      </c>
      <c r="B1711" s="3" t="s">
        <v>73</v>
      </c>
      <c r="C1711" s="3" t="s">
        <v>74</v>
      </c>
      <c r="E1711" s="3" t="str">
        <f>"FES1162846261"</f>
        <v>FES1162846261</v>
      </c>
      <c r="F1711" s="4">
        <v>44582</v>
      </c>
      <c r="G1711" s="3">
        <v>202207</v>
      </c>
      <c r="H1711" s="3" t="s">
        <v>75</v>
      </c>
      <c r="I1711" s="3" t="s">
        <v>76</v>
      </c>
      <c r="J1711" s="3" t="s">
        <v>77</v>
      </c>
      <c r="K1711" s="3" t="s">
        <v>78</v>
      </c>
      <c r="L1711" s="3" t="s">
        <v>79</v>
      </c>
      <c r="M1711" s="3" t="s">
        <v>80</v>
      </c>
      <c r="N1711" s="3" t="s">
        <v>136</v>
      </c>
      <c r="O1711" s="3" t="s">
        <v>82</v>
      </c>
      <c r="P1711" s="3" t="str">
        <f>"2170817776                    "</f>
        <v xml:space="preserve">2170817776                    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15.46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v>0</v>
      </c>
      <c r="BA1711" s="3">
        <v>0</v>
      </c>
      <c r="BB1711" s="3">
        <v>0</v>
      </c>
      <c r="BC1711" s="3">
        <v>0</v>
      </c>
      <c r="BD1711" s="3">
        <v>0</v>
      </c>
      <c r="BE1711" s="3">
        <v>0</v>
      </c>
      <c r="BF1711" s="3">
        <v>0</v>
      </c>
      <c r="BG1711" s="3">
        <v>0</v>
      </c>
      <c r="BH1711" s="3">
        <v>1</v>
      </c>
      <c r="BI1711" s="3">
        <v>1</v>
      </c>
      <c r="BJ1711" s="3">
        <v>0.2</v>
      </c>
      <c r="BK1711" s="3">
        <v>1</v>
      </c>
      <c r="BL1711" s="3">
        <v>59</v>
      </c>
      <c r="BM1711" s="3">
        <v>8.85</v>
      </c>
      <c r="BN1711" s="3">
        <v>67.849999999999994</v>
      </c>
      <c r="BO1711" s="3">
        <v>67.849999999999994</v>
      </c>
      <c r="BQ1711" s="3" t="s">
        <v>89</v>
      </c>
      <c r="BR1711" s="3" t="s">
        <v>84</v>
      </c>
      <c r="BS1711" s="4">
        <v>44585</v>
      </c>
      <c r="BT1711" s="5">
        <v>0.3923611111111111</v>
      </c>
      <c r="BU1711" s="3" t="s">
        <v>1965</v>
      </c>
      <c r="BV1711" s="3" t="s">
        <v>105</v>
      </c>
      <c r="BY1711" s="3">
        <v>1200</v>
      </c>
      <c r="BZ1711" s="3" t="s">
        <v>165</v>
      </c>
      <c r="CA1711" s="3" t="s">
        <v>1966</v>
      </c>
      <c r="CC1711" s="3" t="s">
        <v>80</v>
      </c>
      <c r="CD1711" s="3">
        <v>82</v>
      </c>
      <c r="CE1711" s="3" t="s">
        <v>93</v>
      </c>
      <c r="CF1711" s="4">
        <v>44586</v>
      </c>
      <c r="CI1711" s="3">
        <v>1</v>
      </c>
      <c r="CJ1711" s="3">
        <v>1</v>
      </c>
      <c r="CK1711" s="3">
        <v>21</v>
      </c>
      <c r="CL1711" s="3" t="s">
        <v>87</v>
      </c>
    </row>
    <row r="1712" spans="1:90" x14ac:dyDescent="0.2">
      <c r="A1712" s="3" t="s">
        <v>72</v>
      </c>
      <c r="B1712" s="3" t="s">
        <v>73</v>
      </c>
      <c r="C1712" s="3" t="s">
        <v>74</v>
      </c>
      <c r="E1712" s="3" t="str">
        <f>"FES1162846160"</f>
        <v>FES1162846160</v>
      </c>
      <c r="F1712" s="4">
        <v>44582</v>
      </c>
      <c r="G1712" s="3">
        <v>202207</v>
      </c>
      <c r="H1712" s="3" t="s">
        <v>75</v>
      </c>
      <c r="I1712" s="3" t="s">
        <v>76</v>
      </c>
      <c r="J1712" s="3" t="s">
        <v>77</v>
      </c>
      <c r="K1712" s="3" t="s">
        <v>78</v>
      </c>
      <c r="L1712" s="3" t="s">
        <v>184</v>
      </c>
      <c r="M1712" s="3" t="s">
        <v>185</v>
      </c>
      <c r="N1712" s="3" t="s">
        <v>1938</v>
      </c>
      <c r="O1712" s="3" t="s">
        <v>82</v>
      </c>
      <c r="P1712" s="3" t="str">
        <f>"2170817456                    "</f>
        <v xml:space="preserve">2170817456                    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92.7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v>0</v>
      </c>
      <c r="BA1712" s="3">
        <v>0</v>
      </c>
      <c r="BB1712" s="3">
        <v>0</v>
      </c>
      <c r="BC1712" s="3">
        <v>0</v>
      </c>
      <c r="BD1712" s="3">
        <v>0</v>
      </c>
      <c r="BE1712" s="3">
        <v>0</v>
      </c>
      <c r="BF1712" s="3">
        <v>0</v>
      </c>
      <c r="BG1712" s="3">
        <v>0</v>
      </c>
      <c r="BH1712" s="3">
        <v>2</v>
      </c>
      <c r="BI1712" s="3">
        <v>12</v>
      </c>
      <c r="BJ1712" s="3">
        <v>3.9</v>
      </c>
      <c r="BK1712" s="3">
        <v>12</v>
      </c>
      <c r="BL1712" s="3">
        <v>353.84</v>
      </c>
      <c r="BM1712" s="3">
        <v>53.08</v>
      </c>
      <c r="BN1712" s="3">
        <v>406.92</v>
      </c>
      <c r="BO1712" s="3">
        <v>406.92</v>
      </c>
      <c r="BQ1712" s="3" t="s">
        <v>83</v>
      </c>
      <c r="BR1712" s="3" t="s">
        <v>84</v>
      </c>
      <c r="BS1712" s="4">
        <v>44585</v>
      </c>
      <c r="BT1712" s="5">
        <v>0.37986111111111115</v>
      </c>
      <c r="BU1712" s="3" t="s">
        <v>1967</v>
      </c>
      <c r="BV1712" s="3" t="s">
        <v>105</v>
      </c>
      <c r="BY1712" s="3">
        <v>9802</v>
      </c>
      <c r="CA1712" s="3" t="s">
        <v>1785</v>
      </c>
      <c r="CC1712" s="3" t="s">
        <v>185</v>
      </c>
      <c r="CD1712" s="3">
        <v>5200</v>
      </c>
      <c r="CE1712" s="3" t="s">
        <v>221</v>
      </c>
      <c r="CF1712" s="4">
        <v>44585</v>
      </c>
      <c r="CI1712" s="3">
        <v>1</v>
      </c>
      <c r="CJ1712" s="3">
        <v>1</v>
      </c>
      <c r="CK1712" s="3">
        <v>21</v>
      </c>
      <c r="CL1712" s="3" t="s">
        <v>87</v>
      </c>
    </row>
    <row r="1713" spans="1:90" x14ac:dyDescent="0.2">
      <c r="A1713" s="3" t="s">
        <v>72</v>
      </c>
      <c r="B1713" s="3" t="s">
        <v>73</v>
      </c>
      <c r="C1713" s="3" t="s">
        <v>74</v>
      </c>
      <c r="E1713" s="3" t="str">
        <f>"FES1162846199"</f>
        <v>FES1162846199</v>
      </c>
      <c r="F1713" s="4">
        <v>44582</v>
      </c>
      <c r="G1713" s="3">
        <v>202207</v>
      </c>
      <c r="H1713" s="3" t="s">
        <v>75</v>
      </c>
      <c r="I1713" s="3" t="s">
        <v>76</v>
      </c>
      <c r="J1713" s="3" t="s">
        <v>77</v>
      </c>
      <c r="K1713" s="3" t="s">
        <v>78</v>
      </c>
      <c r="L1713" s="3" t="s">
        <v>115</v>
      </c>
      <c r="M1713" s="3" t="s">
        <v>116</v>
      </c>
      <c r="N1713" s="3" t="s">
        <v>877</v>
      </c>
      <c r="O1713" s="3" t="s">
        <v>82</v>
      </c>
      <c r="P1713" s="3" t="str">
        <f>"2170817701                    "</f>
        <v xml:space="preserve">2170817701                    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12.07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0</v>
      </c>
      <c r="AZ1713" s="3">
        <v>0</v>
      </c>
      <c r="BA1713" s="3">
        <v>0</v>
      </c>
      <c r="BB1713" s="3">
        <v>0</v>
      </c>
      <c r="BC1713" s="3">
        <v>0</v>
      </c>
      <c r="BD1713" s="3">
        <v>0</v>
      </c>
      <c r="BE1713" s="3">
        <v>0</v>
      </c>
      <c r="BF1713" s="3">
        <v>0</v>
      </c>
      <c r="BG1713" s="3">
        <v>0</v>
      </c>
      <c r="BH1713" s="3">
        <v>1</v>
      </c>
      <c r="BI1713" s="3">
        <v>1</v>
      </c>
      <c r="BJ1713" s="3">
        <v>0.2</v>
      </c>
      <c r="BK1713" s="3">
        <v>1</v>
      </c>
      <c r="BL1713" s="3">
        <v>46.08</v>
      </c>
      <c r="BM1713" s="3">
        <v>6.91</v>
      </c>
      <c r="BN1713" s="3">
        <v>52.99</v>
      </c>
      <c r="BO1713" s="3">
        <v>52.99</v>
      </c>
      <c r="BQ1713" s="3" t="s">
        <v>126</v>
      </c>
      <c r="BR1713" s="3" t="s">
        <v>84</v>
      </c>
      <c r="BS1713" s="4">
        <v>44585</v>
      </c>
      <c r="BT1713" s="5">
        <v>0.40347222222222223</v>
      </c>
      <c r="BU1713" s="3" t="s">
        <v>1428</v>
      </c>
      <c r="BV1713" s="3" t="s">
        <v>105</v>
      </c>
      <c r="BY1713" s="3">
        <v>1200</v>
      </c>
      <c r="BZ1713" s="3" t="s">
        <v>165</v>
      </c>
      <c r="CA1713" s="3" t="s">
        <v>1350</v>
      </c>
      <c r="CC1713" s="3" t="s">
        <v>116</v>
      </c>
      <c r="CD1713" s="3">
        <v>1559</v>
      </c>
      <c r="CE1713" s="3" t="s">
        <v>93</v>
      </c>
      <c r="CF1713" s="4">
        <v>44585</v>
      </c>
      <c r="CI1713" s="3">
        <v>1</v>
      </c>
      <c r="CJ1713" s="3">
        <v>1</v>
      </c>
      <c r="CK1713" s="3">
        <v>22</v>
      </c>
      <c r="CL1713" s="3" t="s">
        <v>87</v>
      </c>
    </row>
    <row r="1714" spans="1:90" x14ac:dyDescent="0.2">
      <c r="A1714" s="3" t="s">
        <v>72</v>
      </c>
      <c r="B1714" s="3" t="s">
        <v>73</v>
      </c>
      <c r="C1714" s="3" t="s">
        <v>74</v>
      </c>
      <c r="E1714" s="3" t="str">
        <f>"FES1162846276"</f>
        <v>FES1162846276</v>
      </c>
      <c r="F1714" s="4">
        <v>44582</v>
      </c>
      <c r="G1714" s="3">
        <v>202207</v>
      </c>
      <c r="H1714" s="3" t="s">
        <v>75</v>
      </c>
      <c r="I1714" s="3" t="s">
        <v>76</v>
      </c>
      <c r="J1714" s="3" t="s">
        <v>77</v>
      </c>
      <c r="K1714" s="3" t="s">
        <v>78</v>
      </c>
      <c r="L1714" s="3" t="s">
        <v>138</v>
      </c>
      <c r="M1714" s="3" t="s">
        <v>139</v>
      </c>
      <c r="N1714" s="3" t="s">
        <v>140</v>
      </c>
      <c r="O1714" s="3" t="s">
        <v>82</v>
      </c>
      <c r="P1714" s="3" t="str">
        <f>"2170817793                    "</f>
        <v xml:space="preserve">2170817793                    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15.46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0</v>
      </c>
      <c r="BC1714" s="3">
        <v>0</v>
      </c>
      <c r="BD1714" s="3">
        <v>0</v>
      </c>
      <c r="BE1714" s="3">
        <v>0</v>
      </c>
      <c r="BF1714" s="3">
        <v>0</v>
      </c>
      <c r="BG1714" s="3">
        <v>0</v>
      </c>
      <c r="BH1714" s="3">
        <v>1</v>
      </c>
      <c r="BI1714" s="3">
        <v>1</v>
      </c>
      <c r="BJ1714" s="3">
        <v>0.2</v>
      </c>
      <c r="BK1714" s="3">
        <v>1</v>
      </c>
      <c r="BL1714" s="3">
        <v>59</v>
      </c>
      <c r="BM1714" s="3">
        <v>8.85</v>
      </c>
      <c r="BN1714" s="3">
        <v>67.849999999999994</v>
      </c>
      <c r="BO1714" s="3">
        <v>67.849999999999994</v>
      </c>
      <c r="BQ1714" s="3" t="s">
        <v>126</v>
      </c>
      <c r="BR1714" s="3" t="s">
        <v>84</v>
      </c>
      <c r="BS1714" s="4">
        <v>44585</v>
      </c>
      <c r="BT1714" s="5">
        <v>0.31527777777777777</v>
      </c>
      <c r="BU1714" s="3" t="s">
        <v>1968</v>
      </c>
      <c r="BV1714" s="3" t="s">
        <v>105</v>
      </c>
      <c r="BY1714" s="3">
        <v>1200</v>
      </c>
      <c r="BZ1714" s="3" t="s">
        <v>165</v>
      </c>
      <c r="CA1714" s="3" t="s">
        <v>334</v>
      </c>
      <c r="CC1714" s="3" t="s">
        <v>139</v>
      </c>
      <c r="CD1714" s="3">
        <v>3610</v>
      </c>
      <c r="CE1714" s="3" t="s">
        <v>93</v>
      </c>
      <c r="CF1714" s="4">
        <v>44586</v>
      </c>
      <c r="CI1714" s="3">
        <v>1</v>
      </c>
      <c r="CJ1714" s="3">
        <v>1</v>
      </c>
      <c r="CK1714" s="3">
        <v>21</v>
      </c>
      <c r="CL1714" s="3" t="s">
        <v>87</v>
      </c>
    </row>
    <row r="1715" spans="1:90" x14ac:dyDescent="0.2">
      <c r="A1715" s="3" t="s">
        <v>72</v>
      </c>
      <c r="B1715" s="3" t="s">
        <v>73</v>
      </c>
      <c r="C1715" s="3" t="s">
        <v>74</v>
      </c>
      <c r="E1715" s="3" t="str">
        <f>"FES1162846225"</f>
        <v>FES1162846225</v>
      </c>
      <c r="F1715" s="4">
        <v>44582</v>
      </c>
      <c r="G1715" s="3">
        <v>202207</v>
      </c>
      <c r="H1715" s="3" t="s">
        <v>75</v>
      </c>
      <c r="I1715" s="3" t="s">
        <v>76</v>
      </c>
      <c r="J1715" s="3" t="s">
        <v>77</v>
      </c>
      <c r="K1715" s="3" t="s">
        <v>78</v>
      </c>
      <c r="L1715" s="3" t="s">
        <v>529</v>
      </c>
      <c r="M1715" s="3" t="s">
        <v>530</v>
      </c>
      <c r="N1715" s="3" t="s">
        <v>531</v>
      </c>
      <c r="O1715" s="3" t="s">
        <v>82</v>
      </c>
      <c r="P1715" s="3" t="str">
        <f>"2170817728                    "</f>
        <v xml:space="preserve">2170817728                    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63.76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0</v>
      </c>
      <c r="BF1715" s="3">
        <v>0</v>
      </c>
      <c r="BG1715" s="3">
        <v>0</v>
      </c>
      <c r="BH1715" s="3">
        <v>1</v>
      </c>
      <c r="BI1715" s="3">
        <v>1</v>
      </c>
      <c r="BJ1715" s="3">
        <v>4.0999999999999996</v>
      </c>
      <c r="BK1715" s="3">
        <v>4.5</v>
      </c>
      <c r="BL1715" s="3">
        <v>243.37</v>
      </c>
      <c r="BM1715" s="3">
        <v>36.51</v>
      </c>
      <c r="BN1715" s="3">
        <v>279.88</v>
      </c>
      <c r="BO1715" s="3">
        <v>279.88</v>
      </c>
      <c r="BQ1715" s="3" t="s">
        <v>83</v>
      </c>
      <c r="BR1715" s="3" t="s">
        <v>84</v>
      </c>
      <c r="BS1715" s="4">
        <v>44585</v>
      </c>
      <c r="BT1715" s="5">
        <v>0.5229166666666667</v>
      </c>
      <c r="BU1715" s="3" t="s">
        <v>1866</v>
      </c>
      <c r="BV1715" s="3" t="s">
        <v>105</v>
      </c>
      <c r="BY1715" s="3">
        <v>20358</v>
      </c>
      <c r="CC1715" s="3" t="s">
        <v>530</v>
      </c>
      <c r="CD1715" s="3">
        <v>6500</v>
      </c>
      <c r="CE1715" s="3" t="s">
        <v>86</v>
      </c>
      <c r="CF1715" s="4">
        <v>44586</v>
      </c>
      <c r="CI1715" s="3">
        <v>1</v>
      </c>
      <c r="CJ1715" s="3">
        <v>1</v>
      </c>
      <c r="CK1715" s="3">
        <v>23</v>
      </c>
      <c r="CL1715" s="3" t="s">
        <v>87</v>
      </c>
    </row>
    <row r="1716" spans="1:90" x14ac:dyDescent="0.2">
      <c r="A1716" s="3" t="s">
        <v>72</v>
      </c>
      <c r="B1716" s="3" t="s">
        <v>73</v>
      </c>
      <c r="C1716" s="3" t="s">
        <v>74</v>
      </c>
      <c r="E1716" s="3" t="str">
        <f>"FES1162846244"</f>
        <v>FES1162846244</v>
      </c>
      <c r="F1716" s="4">
        <v>44582</v>
      </c>
      <c r="G1716" s="3">
        <v>202207</v>
      </c>
      <c r="H1716" s="3" t="s">
        <v>75</v>
      </c>
      <c r="I1716" s="3" t="s">
        <v>76</v>
      </c>
      <c r="J1716" s="3" t="s">
        <v>77</v>
      </c>
      <c r="K1716" s="3" t="s">
        <v>78</v>
      </c>
      <c r="L1716" s="3" t="s">
        <v>167</v>
      </c>
      <c r="M1716" s="3" t="s">
        <v>168</v>
      </c>
      <c r="N1716" s="3" t="s">
        <v>337</v>
      </c>
      <c r="O1716" s="3" t="s">
        <v>82</v>
      </c>
      <c r="P1716" s="3" t="str">
        <f>"2170817749                    "</f>
        <v xml:space="preserve">2170817749                    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54.08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v>0</v>
      </c>
      <c r="BA1716" s="3">
        <v>0</v>
      </c>
      <c r="BB1716" s="3">
        <v>0</v>
      </c>
      <c r="BC1716" s="3">
        <v>0</v>
      </c>
      <c r="BD1716" s="3">
        <v>0</v>
      </c>
      <c r="BE1716" s="3">
        <v>0</v>
      </c>
      <c r="BF1716" s="3">
        <v>0</v>
      </c>
      <c r="BG1716" s="3">
        <v>0</v>
      </c>
      <c r="BH1716" s="3">
        <v>1</v>
      </c>
      <c r="BI1716" s="3">
        <v>7</v>
      </c>
      <c r="BJ1716" s="3">
        <v>4.0999999999999996</v>
      </c>
      <c r="BK1716" s="3">
        <v>7</v>
      </c>
      <c r="BL1716" s="3">
        <v>206.42</v>
      </c>
      <c r="BM1716" s="3">
        <v>30.96</v>
      </c>
      <c r="BN1716" s="3">
        <v>237.38</v>
      </c>
      <c r="BO1716" s="3">
        <v>237.38</v>
      </c>
      <c r="BQ1716" s="3" t="s">
        <v>89</v>
      </c>
      <c r="BR1716" s="3" t="s">
        <v>84</v>
      </c>
      <c r="BS1716" s="4">
        <v>44585</v>
      </c>
      <c r="BT1716" s="5">
        <v>0.35347222222222219</v>
      </c>
      <c r="BU1716" s="3" t="s">
        <v>485</v>
      </c>
      <c r="BV1716" s="3" t="s">
        <v>105</v>
      </c>
      <c r="BY1716" s="3">
        <v>20358</v>
      </c>
      <c r="CA1716" s="3" t="s">
        <v>1580</v>
      </c>
      <c r="CC1716" s="3" t="s">
        <v>168</v>
      </c>
      <c r="CD1716" s="3">
        <v>6220</v>
      </c>
      <c r="CE1716" s="3" t="s">
        <v>86</v>
      </c>
      <c r="CF1716" s="4">
        <v>44585</v>
      </c>
      <c r="CI1716" s="3">
        <v>1</v>
      </c>
      <c r="CJ1716" s="3">
        <v>1</v>
      </c>
      <c r="CK1716" s="3">
        <v>21</v>
      </c>
      <c r="CL1716" s="3" t="s">
        <v>87</v>
      </c>
    </row>
    <row r="1717" spans="1:90" x14ac:dyDescent="0.2">
      <c r="A1717" s="3" t="s">
        <v>72</v>
      </c>
      <c r="B1717" s="3" t="s">
        <v>73</v>
      </c>
      <c r="C1717" s="3" t="s">
        <v>74</v>
      </c>
      <c r="E1717" s="3" t="str">
        <f>"FES1162846197"</f>
        <v>FES1162846197</v>
      </c>
      <c r="F1717" s="4">
        <v>44582</v>
      </c>
      <c r="G1717" s="3">
        <v>202207</v>
      </c>
      <c r="H1717" s="3" t="s">
        <v>75</v>
      </c>
      <c r="I1717" s="3" t="s">
        <v>76</v>
      </c>
      <c r="J1717" s="3" t="s">
        <v>77</v>
      </c>
      <c r="K1717" s="3" t="s">
        <v>78</v>
      </c>
      <c r="L1717" s="3" t="s">
        <v>110</v>
      </c>
      <c r="M1717" s="3" t="s">
        <v>110</v>
      </c>
      <c r="N1717" s="3" t="s">
        <v>146</v>
      </c>
      <c r="O1717" s="3" t="s">
        <v>82</v>
      </c>
      <c r="P1717" s="3" t="str">
        <f>"2170817699                    "</f>
        <v xml:space="preserve">2170817699                    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29.95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v>0</v>
      </c>
      <c r="BA1717" s="3">
        <v>0</v>
      </c>
      <c r="BB1717" s="3">
        <v>0</v>
      </c>
      <c r="BC1717" s="3">
        <v>0</v>
      </c>
      <c r="BD1717" s="3">
        <v>0</v>
      </c>
      <c r="BE1717" s="3">
        <v>0</v>
      </c>
      <c r="BF1717" s="3">
        <v>0</v>
      </c>
      <c r="BG1717" s="3">
        <v>0</v>
      </c>
      <c r="BH1717" s="3">
        <v>1</v>
      </c>
      <c r="BI1717" s="3">
        <v>1</v>
      </c>
      <c r="BJ1717" s="3">
        <v>1.1000000000000001</v>
      </c>
      <c r="BK1717" s="3">
        <v>1.5</v>
      </c>
      <c r="BL1717" s="3">
        <v>114.31</v>
      </c>
      <c r="BM1717" s="3">
        <v>17.149999999999999</v>
      </c>
      <c r="BN1717" s="3">
        <v>131.46</v>
      </c>
      <c r="BO1717" s="3">
        <v>131.46</v>
      </c>
      <c r="BQ1717" s="3" t="s">
        <v>89</v>
      </c>
      <c r="BR1717" s="3" t="s">
        <v>84</v>
      </c>
      <c r="BS1717" s="4">
        <v>44585</v>
      </c>
      <c r="BT1717" s="5">
        <v>0.58402777777777781</v>
      </c>
      <c r="BU1717" s="3" t="s">
        <v>562</v>
      </c>
      <c r="BV1717" s="3" t="s">
        <v>87</v>
      </c>
      <c r="BW1717" s="3" t="s">
        <v>457</v>
      </c>
      <c r="BX1717" s="3" t="s">
        <v>602</v>
      </c>
      <c r="BY1717" s="3">
        <v>5320</v>
      </c>
      <c r="CA1717" s="3" t="s">
        <v>360</v>
      </c>
      <c r="CC1717" s="3" t="s">
        <v>110</v>
      </c>
      <c r="CD1717" s="3">
        <v>7646</v>
      </c>
      <c r="CE1717" s="3" t="s">
        <v>86</v>
      </c>
      <c r="CF1717" s="4">
        <v>44586</v>
      </c>
      <c r="CI1717" s="3">
        <v>1</v>
      </c>
      <c r="CJ1717" s="3">
        <v>1</v>
      </c>
      <c r="CK1717" s="3">
        <v>23</v>
      </c>
      <c r="CL1717" s="3" t="s">
        <v>87</v>
      </c>
    </row>
    <row r="1718" spans="1:90" x14ac:dyDescent="0.2">
      <c r="A1718" s="3" t="s">
        <v>72</v>
      </c>
      <c r="B1718" s="3" t="s">
        <v>73</v>
      </c>
      <c r="C1718" s="3" t="s">
        <v>74</v>
      </c>
      <c r="E1718" s="3" t="str">
        <f>"FES1162846300"</f>
        <v>FES1162846300</v>
      </c>
      <c r="F1718" s="4">
        <v>44582</v>
      </c>
      <c r="G1718" s="3">
        <v>202207</v>
      </c>
      <c r="H1718" s="3" t="s">
        <v>75</v>
      </c>
      <c r="I1718" s="3" t="s">
        <v>76</v>
      </c>
      <c r="J1718" s="3" t="s">
        <v>77</v>
      </c>
      <c r="K1718" s="3" t="s">
        <v>78</v>
      </c>
      <c r="L1718" s="3" t="s">
        <v>75</v>
      </c>
      <c r="M1718" s="3" t="s">
        <v>76</v>
      </c>
      <c r="N1718" s="3" t="s">
        <v>688</v>
      </c>
      <c r="O1718" s="3" t="s">
        <v>82</v>
      </c>
      <c r="P1718" s="3" t="str">
        <f>"2170817825                    "</f>
        <v xml:space="preserve">2170817825                    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12.07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0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3">
        <v>0</v>
      </c>
      <c r="AY1718" s="3">
        <v>0</v>
      </c>
      <c r="AZ1718" s="3">
        <v>0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1</v>
      </c>
      <c r="BI1718" s="3">
        <v>1</v>
      </c>
      <c r="BJ1718" s="3">
        <v>0.2</v>
      </c>
      <c r="BK1718" s="3">
        <v>1</v>
      </c>
      <c r="BL1718" s="3">
        <v>46.08</v>
      </c>
      <c r="BM1718" s="3">
        <v>6.91</v>
      </c>
      <c r="BN1718" s="3">
        <v>52.99</v>
      </c>
      <c r="BO1718" s="3">
        <v>52.99</v>
      </c>
      <c r="BQ1718" s="3" t="s">
        <v>83</v>
      </c>
      <c r="BR1718" s="3" t="s">
        <v>84</v>
      </c>
      <c r="BS1718" s="4">
        <v>44585</v>
      </c>
      <c r="BT1718" s="5">
        <v>0.31805555555555554</v>
      </c>
      <c r="BU1718" s="3" t="s">
        <v>689</v>
      </c>
      <c r="BV1718" s="3" t="s">
        <v>105</v>
      </c>
      <c r="BY1718" s="3">
        <v>1200</v>
      </c>
      <c r="BZ1718" s="3" t="s">
        <v>165</v>
      </c>
      <c r="CA1718" s="3" t="s">
        <v>227</v>
      </c>
      <c r="CC1718" s="3" t="s">
        <v>76</v>
      </c>
      <c r="CD1718" s="3">
        <v>1620</v>
      </c>
      <c r="CE1718" s="3" t="s">
        <v>93</v>
      </c>
      <c r="CF1718" s="4">
        <v>44585</v>
      </c>
      <c r="CI1718" s="3">
        <v>1</v>
      </c>
      <c r="CJ1718" s="3">
        <v>1</v>
      </c>
      <c r="CK1718" s="3">
        <v>22</v>
      </c>
      <c r="CL1718" s="3" t="s">
        <v>87</v>
      </c>
    </row>
    <row r="1719" spans="1:90" x14ac:dyDescent="0.2">
      <c r="A1719" s="3" t="s">
        <v>72</v>
      </c>
      <c r="B1719" s="3" t="s">
        <v>73</v>
      </c>
      <c r="C1719" s="3" t="s">
        <v>74</v>
      </c>
      <c r="E1719" s="3" t="str">
        <f>"FES1162846165"</f>
        <v>FES1162846165</v>
      </c>
      <c r="F1719" s="4">
        <v>44582</v>
      </c>
      <c r="G1719" s="3">
        <v>202207</v>
      </c>
      <c r="H1719" s="3" t="s">
        <v>75</v>
      </c>
      <c r="I1719" s="3" t="s">
        <v>76</v>
      </c>
      <c r="J1719" s="3" t="s">
        <v>77</v>
      </c>
      <c r="K1719" s="3" t="s">
        <v>78</v>
      </c>
      <c r="L1719" s="3" t="s">
        <v>176</v>
      </c>
      <c r="M1719" s="3" t="s">
        <v>177</v>
      </c>
      <c r="N1719" s="3" t="s">
        <v>178</v>
      </c>
      <c r="O1719" s="3" t="s">
        <v>82</v>
      </c>
      <c r="P1719" s="3" t="str">
        <f>"2170817669                    "</f>
        <v xml:space="preserve">2170817669                    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15.46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0</v>
      </c>
      <c r="BF1719" s="3">
        <v>0</v>
      </c>
      <c r="BG1719" s="3">
        <v>0</v>
      </c>
      <c r="BH1719" s="3">
        <v>1</v>
      </c>
      <c r="BI1719" s="3">
        <v>1</v>
      </c>
      <c r="BJ1719" s="3">
        <v>1.1000000000000001</v>
      </c>
      <c r="BK1719" s="3">
        <v>1.5</v>
      </c>
      <c r="BL1719" s="3">
        <v>59</v>
      </c>
      <c r="BM1719" s="3">
        <v>8.85</v>
      </c>
      <c r="BN1719" s="3">
        <v>67.849999999999994</v>
      </c>
      <c r="BO1719" s="3">
        <v>67.849999999999994</v>
      </c>
      <c r="BQ1719" s="3" t="s">
        <v>83</v>
      </c>
      <c r="BR1719" s="3" t="s">
        <v>84</v>
      </c>
      <c r="BS1719" s="4">
        <v>44585</v>
      </c>
      <c r="BT1719" s="5">
        <v>0.3888888888888889</v>
      </c>
      <c r="BU1719" s="3" t="s">
        <v>551</v>
      </c>
      <c r="BV1719" s="3" t="s">
        <v>105</v>
      </c>
      <c r="BY1719" s="3">
        <v>5320</v>
      </c>
      <c r="CA1719" s="3" t="s">
        <v>528</v>
      </c>
      <c r="CC1719" s="3" t="s">
        <v>177</v>
      </c>
      <c r="CD1719" s="3">
        <v>4026</v>
      </c>
      <c r="CE1719" s="3" t="s">
        <v>86</v>
      </c>
      <c r="CF1719" s="4">
        <v>44586</v>
      </c>
      <c r="CI1719" s="3">
        <v>1</v>
      </c>
      <c r="CJ1719" s="3">
        <v>1</v>
      </c>
      <c r="CK1719" s="3">
        <v>21</v>
      </c>
      <c r="CL1719" s="3" t="s">
        <v>87</v>
      </c>
    </row>
    <row r="1720" spans="1:90" x14ac:dyDescent="0.2">
      <c r="A1720" s="3" t="s">
        <v>72</v>
      </c>
      <c r="B1720" s="3" t="s">
        <v>73</v>
      </c>
      <c r="C1720" s="3" t="s">
        <v>74</v>
      </c>
      <c r="E1720" s="3" t="str">
        <f>"FES1162846183"</f>
        <v>FES1162846183</v>
      </c>
      <c r="F1720" s="4">
        <v>44582</v>
      </c>
      <c r="G1720" s="3">
        <v>202207</v>
      </c>
      <c r="H1720" s="3" t="s">
        <v>75</v>
      </c>
      <c r="I1720" s="3" t="s">
        <v>76</v>
      </c>
      <c r="J1720" s="3" t="s">
        <v>77</v>
      </c>
      <c r="K1720" s="3" t="s">
        <v>78</v>
      </c>
      <c r="L1720" s="3" t="s">
        <v>123</v>
      </c>
      <c r="M1720" s="3" t="s">
        <v>124</v>
      </c>
      <c r="N1720" s="3" t="s">
        <v>1969</v>
      </c>
      <c r="O1720" s="3" t="s">
        <v>82</v>
      </c>
      <c r="P1720" s="3" t="str">
        <f>"2170815384                    "</f>
        <v xml:space="preserve">2170815384                    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12.07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0</v>
      </c>
      <c r="AZ1720" s="3">
        <v>0</v>
      </c>
      <c r="BA1720" s="3">
        <v>0</v>
      </c>
      <c r="BB1720" s="3">
        <v>0</v>
      </c>
      <c r="BC1720" s="3">
        <v>0</v>
      </c>
      <c r="BD1720" s="3">
        <v>0</v>
      </c>
      <c r="BE1720" s="3">
        <v>0</v>
      </c>
      <c r="BF1720" s="3">
        <v>0</v>
      </c>
      <c r="BG1720" s="3">
        <v>0</v>
      </c>
      <c r="BH1720" s="3">
        <v>1</v>
      </c>
      <c r="BI1720" s="3">
        <v>3</v>
      </c>
      <c r="BJ1720" s="3">
        <v>1.1000000000000001</v>
      </c>
      <c r="BK1720" s="3">
        <v>3</v>
      </c>
      <c r="BL1720" s="3">
        <v>46.08</v>
      </c>
      <c r="BM1720" s="3">
        <v>6.91</v>
      </c>
      <c r="BN1720" s="3">
        <v>52.99</v>
      </c>
      <c r="BO1720" s="3">
        <v>52.99</v>
      </c>
      <c r="BR1720" s="3" t="s">
        <v>84</v>
      </c>
      <c r="BS1720" s="4">
        <v>44589</v>
      </c>
      <c r="BT1720" s="5">
        <v>0.33888888888888885</v>
      </c>
      <c r="BU1720" s="3" t="s">
        <v>1970</v>
      </c>
      <c r="BV1720" s="3" t="s">
        <v>87</v>
      </c>
      <c r="BW1720" s="3" t="s">
        <v>617</v>
      </c>
      <c r="BX1720" s="3" t="s">
        <v>618</v>
      </c>
      <c r="BY1720" s="3">
        <v>5320</v>
      </c>
      <c r="CA1720" s="3" t="s">
        <v>320</v>
      </c>
      <c r="CC1720" s="3" t="s">
        <v>124</v>
      </c>
      <c r="CD1720" s="3">
        <v>1709</v>
      </c>
      <c r="CE1720" s="3" t="s">
        <v>86</v>
      </c>
      <c r="CF1720" s="4">
        <v>44590</v>
      </c>
      <c r="CI1720" s="3">
        <v>1</v>
      </c>
      <c r="CJ1720" s="3">
        <v>5</v>
      </c>
      <c r="CK1720" s="3">
        <v>22</v>
      </c>
      <c r="CL1720" s="3" t="s">
        <v>87</v>
      </c>
    </row>
    <row r="1721" spans="1:90" x14ac:dyDescent="0.2">
      <c r="A1721" s="3" t="s">
        <v>72</v>
      </c>
      <c r="B1721" s="3" t="s">
        <v>73</v>
      </c>
      <c r="C1721" s="3" t="s">
        <v>74</v>
      </c>
      <c r="E1721" s="3" t="str">
        <f>"009942045030"</f>
        <v>009942045030</v>
      </c>
      <c r="F1721" s="4">
        <v>44582</v>
      </c>
      <c r="G1721" s="3">
        <v>202207</v>
      </c>
      <c r="H1721" s="3" t="s">
        <v>75</v>
      </c>
      <c r="I1721" s="3" t="s">
        <v>76</v>
      </c>
      <c r="J1721" s="3" t="s">
        <v>77</v>
      </c>
      <c r="K1721" s="3" t="s">
        <v>78</v>
      </c>
      <c r="L1721" s="3" t="s">
        <v>101</v>
      </c>
      <c r="M1721" s="3" t="s">
        <v>102</v>
      </c>
      <c r="N1721" s="3" t="s">
        <v>272</v>
      </c>
      <c r="O1721" s="3" t="s">
        <v>82</v>
      </c>
      <c r="P1721" s="3" t="str">
        <f>"1162841078                    "</f>
        <v xml:space="preserve">1162841078                    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77.260000000000005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1</v>
      </c>
      <c r="BI1721" s="3">
        <v>10</v>
      </c>
      <c r="BJ1721" s="3">
        <v>4</v>
      </c>
      <c r="BK1721" s="3">
        <v>10</v>
      </c>
      <c r="BL1721" s="3">
        <v>294.88</v>
      </c>
      <c r="BM1721" s="3">
        <v>44.23</v>
      </c>
      <c r="BN1721" s="3">
        <v>339.11</v>
      </c>
      <c r="BO1721" s="3">
        <v>339.11</v>
      </c>
      <c r="BQ1721" s="3" t="s">
        <v>273</v>
      </c>
      <c r="BR1721" s="3" t="s">
        <v>84</v>
      </c>
      <c r="BS1721" s="4">
        <v>44585</v>
      </c>
      <c r="BT1721" s="5">
        <v>0.38263888888888892</v>
      </c>
      <c r="BU1721" s="3" t="s">
        <v>274</v>
      </c>
      <c r="BV1721" s="3" t="s">
        <v>105</v>
      </c>
      <c r="BY1721" s="3">
        <v>20000</v>
      </c>
      <c r="CA1721" s="3" t="s">
        <v>275</v>
      </c>
      <c r="CC1721" s="3" t="s">
        <v>102</v>
      </c>
      <c r="CD1721" s="3">
        <v>4000</v>
      </c>
      <c r="CE1721" s="3" t="s">
        <v>86</v>
      </c>
      <c r="CF1721" s="4">
        <v>44586</v>
      </c>
      <c r="CI1721" s="3">
        <v>1</v>
      </c>
      <c r="CJ1721" s="3">
        <v>1</v>
      </c>
      <c r="CK1721" s="3">
        <v>21</v>
      </c>
      <c r="CL1721" s="3" t="s">
        <v>87</v>
      </c>
    </row>
    <row r="1722" spans="1:90" x14ac:dyDescent="0.2">
      <c r="A1722" s="3" t="s">
        <v>72</v>
      </c>
      <c r="B1722" s="3" t="s">
        <v>73</v>
      </c>
      <c r="C1722" s="3" t="s">
        <v>74</v>
      </c>
      <c r="E1722" s="3" t="str">
        <f>"FES1162846290"</f>
        <v>FES1162846290</v>
      </c>
      <c r="F1722" s="4">
        <v>44582</v>
      </c>
      <c r="G1722" s="3">
        <v>202207</v>
      </c>
      <c r="H1722" s="3" t="s">
        <v>75</v>
      </c>
      <c r="I1722" s="3" t="s">
        <v>76</v>
      </c>
      <c r="J1722" s="3" t="s">
        <v>77</v>
      </c>
      <c r="K1722" s="3" t="s">
        <v>78</v>
      </c>
      <c r="L1722" s="3" t="s">
        <v>218</v>
      </c>
      <c r="M1722" s="3" t="s">
        <v>219</v>
      </c>
      <c r="N1722" s="3" t="s">
        <v>1174</v>
      </c>
      <c r="O1722" s="3" t="s">
        <v>82</v>
      </c>
      <c r="P1722" s="3" t="str">
        <f>"2170817813                    "</f>
        <v xml:space="preserve">2170817813                    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15.46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v>0</v>
      </c>
      <c r="BA1722" s="3">
        <v>0</v>
      </c>
      <c r="BB1722" s="3">
        <v>0</v>
      </c>
      <c r="BC1722" s="3">
        <v>0</v>
      </c>
      <c r="BD1722" s="3">
        <v>0</v>
      </c>
      <c r="BE1722" s="3">
        <v>0</v>
      </c>
      <c r="BF1722" s="3">
        <v>0</v>
      </c>
      <c r="BG1722" s="3">
        <v>0</v>
      </c>
      <c r="BH1722" s="3">
        <v>1</v>
      </c>
      <c r="BI1722" s="3">
        <v>1</v>
      </c>
      <c r="BJ1722" s="3">
        <v>0.2</v>
      </c>
      <c r="BK1722" s="3">
        <v>1</v>
      </c>
      <c r="BL1722" s="3">
        <v>59</v>
      </c>
      <c r="BM1722" s="3">
        <v>8.85</v>
      </c>
      <c r="BN1722" s="3">
        <v>67.849999999999994</v>
      </c>
      <c r="BO1722" s="3">
        <v>67.849999999999994</v>
      </c>
      <c r="BQ1722" s="3" t="s">
        <v>273</v>
      </c>
      <c r="BR1722" s="3" t="s">
        <v>84</v>
      </c>
      <c r="BS1722" s="4">
        <v>44585</v>
      </c>
      <c r="BT1722" s="5">
        <v>0.38472222222222219</v>
      </c>
      <c r="BU1722" s="3" t="s">
        <v>1941</v>
      </c>
      <c r="BV1722" s="3" t="s">
        <v>105</v>
      </c>
      <c r="BY1722" s="3">
        <v>1200</v>
      </c>
      <c r="BZ1722" s="3" t="s">
        <v>165</v>
      </c>
      <c r="CA1722" s="3" t="s">
        <v>362</v>
      </c>
      <c r="CC1722" s="3" t="s">
        <v>219</v>
      </c>
      <c r="CD1722" s="3">
        <v>157</v>
      </c>
      <c r="CE1722" s="3" t="s">
        <v>93</v>
      </c>
      <c r="CF1722" s="4">
        <v>44586</v>
      </c>
      <c r="CI1722" s="3">
        <v>1</v>
      </c>
      <c r="CJ1722" s="3">
        <v>1</v>
      </c>
      <c r="CK1722" s="3">
        <v>21</v>
      </c>
      <c r="CL1722" s="3" t="s">
        <v>87</v>
      </c>
    </row>
    <row r="1723" spans="1:90" x14ac:dyDescent="0.2">
      <c r="A1723" s="3" t="s">
        <v>72</v>
      </c>
      <c r="B1723" s="3" t="s">
        <v>73</v>
      </c>
      <c r="C1723" s="3" t="s">
        <v>74</v>
      </c>
      <c r="E1723" s="3" t="str">
        <f>"FES1162846178"</f>
        <v>FES1162846178</v>
      </c>
      <c r="F1723" s="4">
        <v>44582</v>
      </c>
      <c r="G1723" s="3">
        <v>202207</v>
      </c>
      <c r="H1723" s="3" t="s">
        <v>75</v>
      </c>
      <c r="I1723" s="3" t="s">
        <v>76</v>
      </c>
      <c r="J1723" s="3" t="s">
        <v>77</v>
      </c>
      <c r="K1723" s="3" t="s">
        <v>78</v>
      </c>
      <c r="L1723" s="3" t="s">
        <v>258</v>
      </c>
      <c r="M1723" s="3" t="s">
        <v>259</v>
      </c>
      <c r="N1723" s="3" t="s">
        <v>260</v>
      </c>
      <c r="O1723" s="3" t="s">
        <v>82</v>
      </c>
      <c r="P1723" s="3" t="str">
        <f>"2170817684                    "</f>
        <v xml:space="preserve">2170817684                    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48.21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v>0</v>
      </c>
      <c r="BA1723" s="3">
        <v>0</v>
      </c>
      <c r="BB1723" s="3">
        <v>0</v>
      </c>
      <c r="BC1723" s="3">
        <v>0</v>
      </c>
      <c r="BD1723" s="3">
        <v>0</v>
      </c>
      <c r="BE1723" s="3">
        <v>0</v>
      </c>
      <c r="BF1723" s="3">
        <v>0</v>
      </c>
      <c r="BG1723" s="3">
        <v>0</v>
      </c>
      <c r="BH1723" s="3">
        <v>1</v>
      </c>
      <c r="BI1723" s="3">
        <v>2</v>
      </c>
      <c r="BJ1723" s="3">
        <v>4.0999999999999996</v>
      </c>
      <c r="BK1723" s="3">
        <v>4.5</v>
      </c>
      <c r="BL1723" s="3">
        <v>184</v>
      </c>
      <c r="BM1723" s="3">
        <v>27.6</v>
      </c>
      <c r="BN1723" s="3">
        <v>211.6</v>
      </c>
      <c r="BO1723" s="3">
        <v>211.6</v>
      </c>
      <c r="BQ1723" s="3" t="s">
        <v>83</v>
      </c>
      <c r="BR1723" s="3" t="s">
        <v>84</v>
      </c>
      <c r="BS1723" s="4">
        <v>44585</v>
      </c>
      <c r="BT1723" s="5">
        <v>0.53680555555555554</v>
      </c>
      <c r="BU1723" s="3" t="s">
        <v>722</v>
      </c>
      <c r="BV1723" s="3" t="s">
        <v>87</v>
      </c>
      <c r="BW1723" s="3" t="s">
        <v>353</v>
      </c>
      <c r="BX1723" s="3" t="s">
        <v>723</v>
      </c>
      <c r="BY1723" s="3">
        <v>20358</v>
      </c>
      <c r="CA1723" s="3" t="s">
        <v>724</v>
      </c>
      <c r="CC1723" s="3" t="s">
        <v>259</v>
      </c>
      <c r="CD1723" s="3">
        <v>2302</v>
      </c>
      <c r="CE1723" s="3" t="s">
        <v>86</v>
      </c>
      <c r="CF1723" s="4">
        <v>44586</v>
      </c>
      <c r="CI1723" s="3">
        <v>1</v>
      </c>
      <c r="CJ1723" s="3">
        <v>1</v>
      </c>
      <c r="CK1723" s="3">
        <v>24</v>
      </c>
      <c r="CL1723" s="3" t="s">
        <v>87</v>
      </c>
    </row>
    <row r="1724" spans="1:90" x14ac:dyDescent="0.2">
      <c r="A1724" s="3" t="s">
        <v>72</v>
      </c>
      <c r="B1724" s="3" t="s">
        <v>73</v>
      </c>
      <c r="C1724" s="3" t="s">
        <v>74</v>
      </c>
      <c r="E1724" s="3" t="str">
        <f>"FES1162846190"</f>
        <v>FES1162846190</v>
      </c>
      <c r="F1724" s="4">
        <v>44582</v>
      </c>
      <c r="G1724" s="3">
        <v>202207</v>
      </c>
      <c r="H1724" s="3" t="s">
        <v>75</v>
      </c>
      <c r="I1724" s="3" t="s">
        <v>76</v>
      </c>
      <c r="J1724" s="3" t="s">
        <v>77</v>
      </c>
      <c r="K1724" s="3" t="s">
        <v>78</v>
      </c>
      <c r="L1724" s="3" t="s">
        <v>167</v>
      </c>
      <c r="M1724" s="3" t="s">
        <v>168</v>
      </c>
      <c r="N1724" s="3" t="s">
        <v>1532</v>
      </c>
      <c r="O1724" s="3" t="s">
        <v>82</v>
      </c>
      <c r="P1724" s="3" t="str">
        <f>"2170817472                    "</f>
        <v xml:space="preserve">2170817472                    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15.46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0</v>
      </c>
      <c r="BF1724" s="3">
        <v>0</v>
      </c>
      <c r="BG1724" s="3">
        <v>0</v>
      </c>
      <c r="BH1724" s="3">
        <v>1</v>
      </c>
      <c r="BI1724" s="3">
        <v>1</v>
      </c>
      <c r="BJ1724" s="3">
        <v>0.2</v>
      </c>
      <c r="BK1724" s="3">
        <v>1</v>
      </c>
      <c r="BL1724" s="3">
        <v>59</v>
      </c>
      <c r="BM1724" s="3">
        <v>8.85</v>
      </c>
      <c r="BN1724" s="3">
        <v>67.849999999999994</v>
      </c>
      <c r="BO1724" s="3">
        <v>67.849999999999994</v>
      </c>
      <c r="BQ1724" s="3" t="s">
        <v>126</v>
      </c>
      <c r="BR1724" s="3" t="s">
        <v>84</v>
      </c>
      <c r="BS1724" s="4">
        <v>44585</v>
      </c>
      <c r="BT1724" s="5">
        <v>0.34375</v>
      </c>
      <c r="BU1724" s="3" t="s">
        <v>1971</v>
      </c>
      <c r="BV1724" s="3" t="s">
        <v>105</v>
      </c>
      <c r="BY1724" s="3">
        <v>1200</v>
      </c>
      <c r="BZ1724" s="3" t="s">
        <v>165</v>
      </c>
      <c r="CA1724" s="3" t="s">
        <v>553</v>
      </c>
      <c r="CC1724" s="3" t="s">
        <v>168</v>
      </c>
      <c r="CD1724" s="3">
        <v>6229</v>
      </c>
      <c r="CE1724" s="3" t="s">
        <v>93</v>
      </c>
      <c r="CF1724" s="4">
        <v>44585</v>
      </c>
      <c r="CI1724" s="3">
        <v>1</v>
      </c>
      <c r="CJ1724" s="3">
        <v>1</v>
      </c>
      <c r="CK1724" s="3">
        <v>21</v>
      </c>
      <c r="CL1724" s="3" t="s">
        <v>87</v>
      </c>
    </row>
    <row r="1725" spans="1:90" x14ac:dyDescent="0.2">
      <c r="A1725" s="3" t="s">
        <v>72</v>
      </c>
      <c r="B1725" s="3" t="s">
        <v>73</v>
      </c>
      <c r="C1725" s="3" t="s">
        <v>74</v>
      </c>
      <c r="E1725" s="3" t="str">
        <f>"FES1162846185"</f>
        <v>FES1162846185</v>
      </c>
      <c r="F1725" s="4">
        <v>44582</v>
      </c>
      <c r="G1725" s="3">
        <v>202207</v>
      </c>
      <c r="H1725" s="3" t="s">
        <v>75</v>
      </c>
      <c r="I1725" s="3" t="s">
        <v>76</v>
      </c>
      <c r="J1725" s="3" t="s">
        <v>77</v>
      </c>
      <c r="K1725" s="3" t="s">
        <v>78</v>
      </c>
      <c r="L1725" s="3" t="s">
        <v>206</v>
      </c>
      <c r="M1725" s="3" t="s">
        <v>207</v>
      </c>
      <c r="N1725" s="3" t="s">
        <v>1275</v>
      </c>
      <c r="O1725" s="3" t="s">
        <v>82</v>
      </c>
      <c r="P1725" s="3" t="str">
        <f>"2170816406                    "</f>
        <v xml:space="preserve">2170816406                    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21.74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0</v>
      </c>
      <c r="BF1725" s="3">
        <v>0</v>
      </c>
      <c r="BG1725" s="3">
        <v>0</v>
      </c>
      <c r="BH1725" s="3">
        <v>1</v>
      </c>
      <c r="BI1725" s="3">
        <v>1</v>
      </c>
      <c r="BJ1725" s="3">
        <v>1.5</v>
      </c>
      <c r="BK1725" s="3">
        <v>1.5</v>
      </c>
      <c r="BL1725" s="3">
        <v>82.98</v>
      </c>
      <c r="BM1725" s="3">
        <v>12.45</v>
      </c>
      <c r="BN1725" s="3">
        <v>95.43</v>
      </c>
      <c r="BO1725" s="3">
        <v>95.43</v>
      </c>
      <c r="BR1725" s="3" t="s">
        <v>84</v>
      </c>
      <c r="BS1725" s="4">
        <v>44585</v>
      </c>
      <c r="BT1725" s="5">
        <v>0.41319444444444442</v>
      </c>
      <c r="BU1725" s="3" t="s">
        <v>604</v>
      </c>
      <c r="BV1725" s="3" t="s">
        <v>105</v>
      </c>
      <c r="BY1725" s="3">
        <v>7540</v>
      </c>
      <c r="CC1725" s="3" t="s">
        <v>207</v>
      </c>
      <c r="CD1725" s="3">
        <v>1739</v>
      </c>
      <c r="CE1725" s="3" t="s">
        <v>86</v>
      </c>
      <c r="CF1725" s="4">
        <v>44585</v>
      </c>
      <c r="CI1725" s="3">
        <v>1</v>
      </c>
      <c r="CJ1725" s="3">
        <v>1</v>
      </c>
      <c r="CK1725" s="3">
        <v>24</v>
      </c>
      <c r="CL1725" s="3" t="s">
        <v>87</v>
      </c>
    </row>
    <row r="1726" spans="1:90" x14ac:dyDescent="0.2">
      <c r="A1726" s="3" t="s">
        <v>72</v>
      </c>
      <c r="B1726" s="3" t="s">
        <v>73</v>
      </c>
      <c r="C1726" s="3" t="s">
        <v>74</v>
      </c>
      <c r="E1726" s="3" t="str">
        <f>"FES1162846196"</f>
        <v>FES1162846196</v>
      </c>
      <c r="F1726" s="4">
        <v>44582</v>
      </c>
      <c r="G1726" s="3">
        <v>202207</v>
      </c>
      <c r="H1726" s="3" t="s">
        <v>75</v>
      </c>
      <c r="I1726" s="3" t="s">
        <v>76</v>
      </c>
      <c r="J1726" s="3" t="s">
        <v>77</v>
      </c>
      <c r="K1726" s="3" t="s">
        <v>78</v>
      </c>
      <c r="L1726" s="3" t="s">
        <v>171</v>
      </c>
      <c r="M1726" s="3" t="s">
        <v>172</v>
      </c>
      <c r="N1726" s="3" t="s">
        <v>1972</v>
      </c>
      <c r="O1726" s="3" t="s">
        <v>82</v>
      </c>
      <c r="P1726" s="3" t="str">
        <f>"2170817698                    "</f>
        <v xml:space="preserve">2170817698                    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15.46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0</v>
      </c>
      <c r="BC1726" s="3">
        <v>0</v>
      </c>
      <c r="BD1726" s="3">
        <v>0</v>
      </c>
      <c r="BE1726" s="3">
        <v>0</v>
      </c>
      <c r="BF1726" s="3">
        <v>0</v>
      </c>
      <c r="BG1726" s="3">
        <v>0</v>
      </c>
      <c r="BH1726" s="3">
        <v>1</v>
      </c>
      <c r="BI1726" s="3">
        <v>1</v>
      </c>
      <c r="BJ1726" s="3">
        <v>0.2</v>
      </c>
      <c r="BK1726" s="3">
        <v>1</v>
      </c>
      <c r="BL1726" s="3">
        <v>59</v>
      </c>
      <c r="BM1726" s="3">
        <v>8.85</v>
      </c>
      <c r="BN1726" s="3">
        <v>67.849999999999994</v>
      </c>
      <c r="BO1726" s="3">
        <v>67.849999999999994</v>
      </c>
      <c r="BQ1726" s="3" t="s">
        <v>126</v>
      </c>
      <c r="BR1726" s="3" t="s">
        <v>84</v>
      </c>
      <c r="BS1726" s="4">
        <v>44586</v>
      </c>
      <c r="BT1726" s="5">
        <v>0.42569444444444443</v>
      </c>
      <c r="BU1726" s="3" t="s">
        <v>1973</v>
      </c>
      <c r="BV1726" s="3" t="s">
        <v>87</v>
      </c>
      <c r="BW1726" s="3" t="s">
        <v>457</v>
      </c>
      <c r="BX1726" s="3" t="s">
        <v>486</v>
      </c>
      <c r="BY1726" s="3">
        <v>1200</v>
      </c>
      <c r="BZ1726" s="3" t="s">
        <v>165</v>
      </c>
      <c r="CA1726" s="3" t="s">
        <v>1580</v>
      </c>
      <c r="CC1726" s="3" t="s">
        <v>172</v>
      </c>
      <c r="CD1726" s="3">
        <v>6012</v>
      </c>
      <c r="CE1726" s="3" t="s">
        <v>93</v>
      </c>
      <c r="CF1726" s="4">
        <v>44586</v>
      </c>
      <c r="CI1726" s="3">
        <v>1</v>
      </c>
      <c r="CJ1726" s="3">
        <v>2</v>
      </c>
      <c r="CK1726" s="3">
        <v>21</v>
      </c>
      <c r="CL1726" s="3" t="s">
        <v>87</v>
      </c>
    </row>
    <row r="1727" spans="1:90" x14ac:dyDescent="0.2">
      <c r="A1727" s="3" t="s">
        <v>72</v>
      </c>
      <c r="B1727" s="3" t="s">
        <v>73</v>
      </c>
      <c r="C1727" s="3" t="s">
        <v>74</v>
      </c>
      <c r="E1727" s="3" t="str">
        <f>"FES1162846517"</f>
        <v>FES1162846517</v>
      </c>
      <c r="F1727" s="4">
        <v>44585</v>
      </c>
      <c r="G1727" s="3">
        <v>202207</v>
      </c>
      <c r="H1727" s="3" t="s">
        <v>75</v>
      </c>
      <c r="I1727" s="3" t="s">
        <v>76</v>
      </c>
      <c r="J1727" s="3" t="s">
        <v>77</v>
      </c>
      <c r="K1727" s="3" t="s">
        <v>78</v>
      </c>
      <c r="L1727" s="3" t="s">
        <v>1491</v>
      </c>
      <c r="M1727" s="3" t="s">
        <v>1492</v>
      </c>
      <c r="N1727" s="3" t="s">
        <v>1493</v>
      </c>
      <c r="O1727" s="3" t="s">
        <v>82</v>
      </c>
      <c r="P1727" s="3" t="str">
        <f>"2170816720                    "</f>
        <v xml:space="preserve">2170816720                    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15.46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v>0</v>
      </c>
      <c r="BA1727" s="3">
        <v>0</v>
      </c>
      <c r="BB1727" s="3">
        <v>0</v>
      </c>
      <c r="BC1727" s="3">
        <v>0</v>
      </c>
      <c r="BD1727" s="3">
        <v>0</v>
      </c>
      <c r="BE1727" s="3">
        <v>0</v>
      </c>
      <c r="BF1727" s="3">
        <v>0</v>
      </c>
      <c r="BG1727" s="3">
        <v>0</v>
      </c>
      <c r="BH1727" s="3">
        <v>1</v>
      </c>
      <c r="BI1727" s="3">
        <v>1</v>
      </c>
      <c r="BJ1727" s="3">
        <v>0.2</v>
      </c>
      <c r="BK1727" s="3">
        <v>1</v>
      </c>
      <c r="BL1727" s="3">
        <v>59</v>
      </c>
      <c r="BM1727" s="3">
        <v>8.85</v>
      </c>
      <c r="BN1727" s="3">
        <v>67.849999999999994</v>
      </c>
      <c r="BO1727" s="3">
        <v>67.849999999999994</v>
      </c>
      <c r="BQ1727" s="3" t="s">
        <v>1494</v>
      </c>
      <c r="BR1727" s="3" t="s">
        <v>84</v>
      </c>
      <c r="BS1727" s="4">
        <v>44586</v>
      </c>
      <c r="BT1727" s="5">
        <v>0.3888888888888889</v>
      </c>
      <c r="BU1727" s="3" t="s">
        <v>1974</v>
      </c>
      <c r="BV1727" s="3" t="s">
        <v>105</v>
      </c>
      <c r="BY1727" s="3">
        <v>1200</v>
      </c>
      <c r="BZ1727" s="3" t="s">
        <v>165</v>
      </c>
      <c r="CA1727" s="3" t="s">
        <v>1496</v>
      </c>
      <c r="CC1727" s="3" t="s">
        <v>1492</v>
      </c>
      <c r="CD1727" s="3">
        <v>4120</v>
      </c>
      <c r="CE1727" s="3" t="s">
        <v>93</v>
      </c>
      <c r="CF1727" s="4">
        <v>44587</v>
      </c>
      <c r="CI1727" s="3">
        <v>1</v>
      </c>
      <c r="CJ1727" s="3">
        <v>1</v>
      </c>
      <c r="CK1727" s="3">
        <v>21</v>
      </c>
      <c r="CL1727" s="3" t="s">
        <v>87</v>
      </c>
    </row>
    <row r="1728" spans="1:90" x14ac:dyDescent="0.2">
      <c r="A1728" s="3" t="s">
        <v>72</v>
      </c>
      <c r="B1728" s="3" t="s">
        <v>73</v>
      </c>
      <c r="C1728" s="3" t="s">
        <v>74</v>
      </c>
      <c r="E1728" s="3" t="str">
        <f>"FES1162846435"</f>
        <v>FES1162846435</v>
      </c>
      <c r="F1728" s="4">
        <v>44585</v>
      </c>
      <c r="G1728" s="3">
        <v>202207</v>
      </c>
      <c r="H1728" s="3" t="s">
        <v>75</v>
      </c>
      <c r="I1728" s="3" t="s">
        <v>76</v>
      </c>
      <c r="J1728" s="3" t="s">
        <v>77</v>
      </c>
      <c r="K1728" s="3" t="s">
        <v>78</v>
      </c>
      <c r="L1728" s="3" t="s">
        <v>94</v>
      </c>
      <c r="M1728" s="3" t="s">
        <v>95</v>
      </c>
      <c r="N1728" s="3" t="s">
        <v>96</v>
      </c>
      <c r="O1728" s="3" t="s">
        <v>82</v>
      </c>
      <c r="P1728" s="3" t="str">
        <f>"2170814505                    "</f>
        <v xml:space="preserve">2170814505                    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15.46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v>0</v>
      </c>
      <c r="BA1728" s="3">
        <v>0</v>
      </c>
      <c r="BB1728" s="3">
        <v>0</v>
      </c>
      <c r="BC1728" s="3">
        <v>0</v>
      </c>
      <c r="BD1728" s="3">
        <v>0</v>
      </c>
      <c r="BE1728" s="3">
        <v>0</v>
      </c>
      <c r="BF1728" s="3">
        <v>0</v>
      </c>
      <c r="BG1728" s="3">
        <v>0</v>
      </c>
      <c r="BH1728" s="3">
        <v>1</v>
      </c>
      <c r="BI1728" s="3">
        <v>1</v>
      </c>
      <c r="BJ1728" s="3">
        <v>0.2</v>
      </c>
      <c r="BK1728" s="3">
        <v>1</v>
      </c>
      <c r="BL1728" s="3">
        <v>59</v>
      </c>
      <c r="BM1728" s="3">
        <v>8.85</v>
      </c>
      <c r="BN1728" s="3">
        <v>67.849999999999994</v>
      </c>
      <c r="BO1728" s="3">
        <v>67.849999999999994</v>
      </c>
      <c r="BQ1728" s="3" t="s">
        <v>89</v>
      </c>
      <c r="BR1728" s="3" t="s">
        <v>84</v>
      </c>
      <c r="BS1728" s="4">
        <v>44586</v>
      </c>
      <c r="BT1728" s="5">
        <v>0.57847222222222217</v>
      </c>
      <c r="BU1728" s="3" t="s">
        <v>897</v>
      </c>
      <c r="BV1728" s="3" t="s">
        <v>87</v>
      </c>
      <c r="BW1728" s="3" t="s">
        <v>453</v>
      </c>
      <c r="BX1728" s="3" t="s">
        <v>279</v>
      </c>
      <c r="BY1728" s="3">
        <v>1200</v>
      </c>
      <c r="BZ1728" s="3" t="s">
        <v>165</v>
      </c>
      <c r="CC1728" s="3" t="s">
        <v>95</v>
      </c>
      <c r="CD1728" s="3">
        <v>3201</v>
      </c>
      <c r="CE1728" s="3" t="s">
        <v>93</v>
      </c>
      <c r="CF1728" s="4">
        <v>44589</v>
      </c>
      <c r="CI1728" s="3">
        <v>1</v>
      </c>
      <c r="CJ1728" s="3">
        <v>1</v>
      </c>
      <c r="CK1728" s="3">
        <v>21</v>
      </c>
      <c r="CL1728" s="3" t="s">
        <v>87</v>
      </c>
    </row>
    <row r="1729" spans="1:90" x14ac:dyDescent="0.2">
      <c r="A1729" s="3" t="s">
        <v>72</v>
      </c>
      <c r="B1729" s="3" t="s">
        <v>73</v>
      </c>
      <c r="C1729" s="3" t="s">
        <v>74</v>
      </c>
      <c r="E1729" s="3" t="str">
        <f>"FES1162846520"</f>
        <v>FES1162846520</v>
      </c>
      <c r="F1729" s="4">
        <v>44585</v>
      </c>
      <c r="G1729" s="3">
        <v>202207</v>
      </c>
      <c r="H1729" s="3" t="s">
        <v>75</v>
      </c>
      <c r="I1729" s="3" t="s">
        <v>76</v>
      </c>
      <c r="J1729" s="3" t="s">
        <v>77</v>
      </c>
      <c r="K1729" s="3" t="s">
        <v>78</v>
      </c>
      <c r="L1729" s="3" t="s">
        <v>90</v>
      </c>
      <c r="M1729" s="3" t="s">
        <v>91</v>
      </c>
      <c r="N1729" s="3" t="s">
        <v>791</v>
      </c>
      <c r="O1729" s="3" t="s">
        <v>82</v>
      </c>
      <c r="P1729" s="3" t="str">
        <f>"2170816994                    "</f>
        <v xml:space="preserve">2170816994                    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15.46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v>0</v>
      </c>
      <c r="BA1729" s="3">
        <v>0</v>
      </c>
      <c r="BB1729" s="3">
        <v>0</v>
      </c>
      <c r="BC1729" s="3">
        <v>0</v>
      </c>
      <c r="BD1729" s="3">
        <v>0</v>
      </c>
      <c r="BE1729" s="3">
        <v>0</v>
      </c>
      <c r="BF1729" s="3">
        <v>0</v>
      </c>
      <c r="BG1729" s="3">
        <v>0</v>
      </c>
      <c r="BH1729" s="3">
        <v>1</v>
      </c>
      <c r="BI1729" s="3">
        <v>1</v>
      </c>
      <c r="BJ1729" s="3">
        <v>1.5</v>
      </c>
      <c r="BK1729" s="3">
        <v>1.5</v>
      </c>
      <c r="BL1729" s="3">
        <v>59</v>
      </c>
      <c r="BM1729" s="3">
        <v>8.85</v>
      </c>
      <c r="BN1729" s="3">
        <v>67.849999999999994</v>
      </c>
      <c r="BO1729" s="3">
        <v>67.849999999999994</v>
      </c>
      <c r="BQ1729" s="3" t="s">
        <v>145</v>
      </c>
      <c r="BR1729" s="3" t="s">
        <v>84</v>
      </c>
      <c r="BS1729" s="4">
        <v>44586</v>
      </c>
      <c r="BT1729" s="5">
        <v>0.55763888888888891</v>
      </c>
      <c r="BU1729" s="3" t="s">
        <v>1975</v>
      </c>
      <c r="BV1729" s="3" t="s">
        <v>87</v>
      </c>
      <c r="BW1729" s="3" t="s">
        <v>376</v>
      </c>
      <c r="BX1729" s="3" t="s">
        <v>602</v>
      </c>
      <c r="BY1729" s="3">
        <v>7540</v>
      </c>
      <c r="BZ1729" s="3" t="s">
        <v>165</v>
      </c>
      <c r="CA1729" s="3" t="s">
        <v>1976</v>
      </c>
      <c r="CC1729" s="3" t="s">
        <v>91</v>
      </c>
      <c r="CD1729" s="3">
        <v>7945</v>
      </c>
      <c r="CE1729" s="3" t="s">
        <v>86</v>
      </c>
      <c r="CF1729" s="4">
        <v>44587</v>
      </c>
      <c r="CI1729" s="3">
        <v>1</v>
      </c>
      <c r="CJ1729" s="3">
        <v>1</v>
      </c>
      <c r="CK1729" s="3">
        <v>21</v>
      </c>
      <c r="CL1729" s="3" t="s">
        <v>87</v>
      </c>
    </row>
    <row r="1730" spans="1:90" x14ac:dyDescent="0.2">
      <c r="A1730" s="3" t="s">
        <v>72</v>
      </c>
      <c r="B1730" s="3" t="s">
        <v>73</v>
      </c>
      <c r="C1730" s="3" t="s">
        <v>74</v>
      </c>
      <c r="E1730" s="3" t="str">
        <f>"FES1162846395"</f>
        <v>FES1162846395</v>
      </c>
      <c r="F1730" s="4">
        <v>44585</v>
      </c>
      <c r="G1730" s="3">
        <v>202207</v>
      </c>
      <c r="H1730" s="3" t="s">
        <v>75</v>
      </c>
      <c r="I1730" s="3" t="s">
        <v>76</v>
      </c>
      <c r="J1730" s="3" t="s">
        <v>77</v>
      </c>
      <c r="K1730" s="3" t="s">
        <v>78</v>
      </c>
      <c r="L1730" s="3" t="s">
        <v>1119</v>
      </c>
      <c r="M1730" s="3" t="s">
        <v>1120</v>
      </c>
      <c r="N1730" s="3" t="s">
        <v>1809</v>
      </c>
      <c r="O1730" s="3" t="s">
        <v>82</v>
      </c>
      <c r="P1730" s="3" t="str">
        <f>"2170817906                    "</f>
        <v xml:space="preserve">2170817906                    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29.95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v>0</v>
      </c>
      <c r="BA1730" s="3">
        <v>0</v>
      </c>
      <c r="BB1730" s="3">
        <v>0</v>
      </c>
      <c r="BC1730" s="3">
        <v>0</v>
      </c>
      <c r="BD1730" s="3">
        <v>0</v>
      </c>
      <c r="BE1730" s="3">
        <v>0</v>
      </c>
      <c r="BF1730" s="3">
        <v>0</v>
      </c>
      <c r="BG1730" s="3">
        <v>0</v>
      </c>
      <c r="BH1730" s="3">
        <v>1</v>
      </c>
      <c r="BI1730" s="3">
        <v>1</v>
      </c>
      <c r="BJ1730" s="3">
        <v>0.2</v>
      </c>
      <c r="BK1730" s="3">
        <v>1</v>
      </c>
      <c r="BL1730" s="3">
        <v>114.31</v>
      </c>
      <c r="BM1730" s="3">
        <v>17.149999999999999</v>
      </c>
      <c r="BN1730" s="3">
        <v>131.46</v>
      </c>
      <c r="BO1730" s="3">
        <v>131.46</v>
      </c>
      <c r="BR1730" s="3" t="s">
        <v>84</v>
      </c>
      <c r="BS1730" s="4">
        <v>44586</v>
      </c>
      <c r="BT1730" s="5">
        <v>0.56458333333333333</v>
      </c>
      <c r="BU1730" s="3" t="s">
        <v>559</v>
      </c>
      <c r="BV1730" s="3" t="s">
        <v>105</v>
      </c>
      <c r="BY1730" s="3">
        <v>1200</v>
      </c>
      <c r="BZ1730" s="3" t="s">
        <v>165</v>
      </c>
      <c r="CA1730" s="3" t="s">
        <v>809</v>
      </c>
      <c r="CC1730" s="3" t="s">
        <v>1120</v>
      </c>
      <c r="CD1730" s="3">
        <v>4380</v>
      </c>
      <c r="CE1730" s="3" t="s">
        <v>93</v>
      </c>
      <c r="CF1730" s="4">
        <v>44587</v>
      </c>
      <c r="CI1730" s="3">
        <v>1</v>
      </c>
      <c r="CJ1730" s="3">
        <v>1</v>
      </c>
      <c r="CK1730" s="3">
        <v>23</v>
      </c>
      <c r="CL1730" s="3" t="s">
        <v>87</v>
      </c>
    </row>
    <row r="1731" spans="1:90" x14ac:dyDescent="0.2">
      <c r="A1731" s="3" t="s">
        <v>72</v>
      </c>
      <c r="B1731" s="3" t="s">
        <v>73</v>
      </c>
      <c r="C1731" s="3" t="s">
        <v>74</v>
      </c>
      <c r="E1731" s="3" t="str">
        <f>"FES1162846347"</f>
        <v>FES1162846347</v>
      </c>
      <c r="F1731" s="4">
        <v>44585</v>
      </c>
      <c r="G1731" s="3">
        <v>202207</v>
      </c>
      <c r="H1731" s="3" t="s">
        <v>75</v>
      </c>
      <c r="I1731" s="3" t="s">
        <v>76</v>
      </c>
      <c r="J1731" s="3" t="s">
        <v>77</v>
      </c>
      <c r="K1731" s="3" t="s">
        <v>78</v>
      </c>
      <c r="L1731" s="3" t="s">
        <v>158</v>
      </c>
      <c r="M1731" s="3" t="s">
        <v>159</v>
      </c>
      <c r="N1731" s="3" t="s">
        <v>1977</v>
      </c>
      <c r="O1731" s="3" t="s">
        <v>82</v>
      </c>
      <c r="P1731" s="3" t="str">
        <f>"2170817715                    "</f>
        <v xml:space="preserve">2170817715                    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12.07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v>0</v>
      </c>
      <c r="BA1731" s="3">
        <v>0</v>
      </c>
      <c r="BB1731" s="3">
        <v>0</v>
      </c>
      <c r="BC1731" s="3">
        <v>0</v>
      </c>
      <c r="BD1731" s="3">
        <v>0</v>
      </c>
      <c r="BE1731" s="3">
        <v>0</v>
      </c>
      <c r="BF1731" s="3">
        <v>0</v>
      </c>
      <c r="BG1731" s="3">
        <v>0</v>
      </c>
      <c r="BH1731" s="3">
        <v>1</v>
      </c>
      <c r="BI1731" s="3">
        <v>2</v>
      </c>
      <c r="BJ1731" s="3">
        <v>3</v>
      </c>
      <c r="BK1731" s="3">
        <v>3</v>
      </c>
      <c r="BL1731" s="3">
        <v>46.08</v>
      </c>
      <c r="BM1731" s="3">
        <v>6.91</v>
      </c>
      <c r="BN1731" s="3">
        <v>52.99</v>
      </c>
      <c r="BO1731" s="3">
        <v>52.99</v>
      </c>
      <c r="BQ1731" s="3" t="s">
        <v>89</v>
      </c>
      <c r="BR1731" s="3" t="s">
        <v>84</v>
      </c>
      <c r="BS1731" s="4">
        <v>44586</v>
      </c>
      <c r="BT1731" s="5">
        <v>0.30277777777777776</v>
      </c>
      <c r="BU1731" s="3" t="s">
        <v>1978</v>
      </c>
      <c r="BV1731" s="3" t="s">
        <v>105</v>
      </c>
      <c r="BY1731" s="3">
        <v>15246</v>
      </c>
      <c r="BZ1731" s="3" t="s">
        <v>165</v>
      </c>
      <c r="CA1731" s="3" t="s">
        <v>653</v>
      </c>
      <c r="CC1731" s="3" t="s">
        <v>159</v>
      </c>
      <c r="CD1731" s="3">
        <v>1459</v>
      </c>
      <c r="CE1731" s="3" t="s">
        <v>86</v>
      </c>
      <c r="CF1731" s="4">
        <v>44587</v>
      </c>
      <c r="CI1731" s="3">
        <v>1</v>
      </c>
      <c r="CJ1731" s="3">
        <v>1</v>
      </c>
      <c r="CK1731" s="3">
        <v>22</v>
      </c>
      <c r="CL1731" s="3" t="s">
        <v>87</v>
      </c>
    </row>
    <row r="1732" spans="1:90" x14ac:dyDescent="0.2">
      <c r="A1732" s="3" t="s">
        <v>72</v>
      </c>
      <c r="B1732" s="3" t="s">
        <v>73</v>
      </c>
      <c r="C1732" s="3" t="s">
        <v>74</v>
      </c>
      <c r="E1732" s="3" t="str">
        <f>"FES1162846453"</f>
        <v>FES1162846453</v>
      </c>
      <c r="F1732" s="4">
        <v>44585</v>
      </c>
      <c r="G1732" s="3">
        <v>202207</v>
      </c>
      <c r="H1732" s="3" t="s">
        <v>75</v>
      </c>
      <c r="I1732" s="3" t="s">
        <v>76</v>
      </c>
      <c r="J1732" s="3" t="s">
        <v>77</v>
      </c>
      <c r="K1732" s="3" t="s">
        <v>78</v>
      </c>
      <c r="L1732" s="3" t="s">
        <v>171</v>
      </c>
      <c r="M1732" s="3" t="s">
        <v>172</v>
      </c>
      <c r="N1732" s="3" t="s">
        <v>249</v>
      </c>
      <c r="O1732" s="3" t="s">
        <v>82</v>
      </c>
      <c r="P1732" s="3" t="str">
        <f>"2170815515                    "</f>
        <v xml:space="preserve">2170815515                    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15.46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0</v>
      </c>
      <c r="BC1732" s="3">
        <v>0</v>
      </c>
      <c r="BD1732" s="3">
        <v>0</v>
      </c>
      <c r="BE1732" s="3">
        <v>0</v>
      </c>
      <c r="BF1732" s="3">
        <v>0</v>
      </c>
      <c r="BG1732" s="3">
        <v>0</v>
      </c>
      <c r="BH1732" s="3">
        <v>1</v>
      </c>
      <c r="BI1732" s="3">
        <v>1</v>
      </c>
      <c r="BJ1732" s="3">
        <v>0.2</v>
      </c>
      <c r="BK1732" s="3">
        <v>1</v>
      </c>
      <c r="BL1732" s="3">
        <v>59</v>
      </c>
      <c r="BM1732" s="3">
        <v>8.85</v>
      </c>
      <c r="BN1732" s="3">
        <v>67.849999999999994</v>
      </c>
      <c r="BO1732" s="3">
        <v>67.849999999999994</v>
      </c>
      <c r="BQ1732" s="3" t="s">
        <v>89</v>
      </c>
      <c r="BR1732" s="3" t="s">
        <v>84</v>
      </c>
      <c r="BS1732" s="4">
        <v>44586</v>
      </c>
      <c r="BT1732" s="5">
        <v>0.38680555555555557</v>
      </c>
      <c r="BU1732" s="3" t="s">
        <v>1979</v>
      </c>
      <c r="BV1732" s="3" t="s">
        <v>105</v>
      </c>
      <c r="BY1732" s="3">
        <v>1200</v>
      </c>
      <c r="BZ1732" s="3" t="s">
        <v>165</v>
      </c>
      <c r="CA1732" s="3" t="s">
        <v>509</v>
      </c>
      <c r="CC1732" s="3" t="s">
        <v>172</v>
      </c>
      <c r="CD1732" s="3">
        <v>6001</v>
      </c>
      <c r="CE1732" s="3" t="s">
        <v>93</v>
      </c>
      <c r="CF1732" s="4">
        <v>44586</v>
      </c>
      <c r="CI1732" s="3">
        <v>1</v>
      </c>
      <c r="CJ1732" s="3">
        <v>1</v>
      </c>
      <c r="CK1732" s="3">
        <v>21</v>
      </c>
      <c r="CL1732" s="3" t="s">
        <v>87</v>
      </c>
    </row>
    <row r="1733" spans="1:90" x14ac:dyDescent="0.2">
      <c r="A1733" s="3" t="s">
        <v>72</v>
      </c>
      <c r="B1733" s="3" t="s">
        <v>73</v>
      </c>
      <c r="C1733" s="3" t="s">
        <v>74</v>
      </c>
      <c r="E1733" s="3" t="str">
        <f>"FES1162846475"</f>
        <v>FES1162846475</v>
      </c>
      <c r="F1733" s="4">
        <v>44585</v>
      </c>
      <c r="G1733" s="3">
        <v>202207</v>
      </c>
      <c r="H1733" s="3" t="s">
        <v>75</v>
      </c>
      <c r="I1733" s="3" t="s">
        <v>76</v>
      </c>
      <c r="J1733" s="3" t="s">
        <v>77</v>
      </c>
      <c r="K1733" s="3" t="s">
        <v>78</v>
      </c>
      <c r="L1733" s="3" t="s">
        <v>731</v>
      </c>
      <c r="M1733" s="3" t="s">
        <v>732</v>
      </c>
      <c r="N1733" s="3" t="s">
        <v>733</v>
      </c>
      <c r="O1733" s="3" t="s">
        <v>82</v>
      </c>
      <c r="P1733" s="3" t="str">
        <f>"2170815694                    "</f>
        <v xml:space="preserve">2170815694                    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29.95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0</v>
      </c>
      <c r="BF1733" s="3">
        <v>0</v>
      </c>
      <c r="BG1733" s="3">
        <v>0</v>
      </c>
      <c r="BH1733" s="3">
        <v>1</v>
      </c>
      <c r="BI1733" s="3">
        <v>1</v>
      </c>
      <c r="BJ1733" s="3">
        <v>0.2</v>
      </c>
      <c r="BK1733" s="3">
        <v>1</v>
      </c>
      <c r="BL1733" s="3">
        <v>114.31</v>
      </c>
      <c r="BM1733" s="3">
        <v>17.149999999999999</v>
      </c>
      <c r="BN1733" s="3">
        <v>131.46</v>
      </c>
      <c r="BO1733" s="3">
        <v>131.46</v>
      </c>
      <c r="BQ1733" s="3" t="s">
        <v>89</v>
      </c>
      <c r="BR1733" s="3" t="s">
        <v>84</v>
      </c>
      <c r="BS1733" s="4">
        <v>44587</v>
      </c>
      <c r="BT1733" s="5">
        <v>0.44791666666666669</v>
      </c>
      <c r="BU1733" s="3" t="s">
        <v>1980</v>
      </c>
      <c r="BV1733" s="3" t="s">
        <v>87</v>
      </c>
      <c r="BW1733" s="3" t="s">
        <v>453</v>
      </c>
      <c r="BX1733" s="3" t="s">
        <v>279</v>
      </c>
      <c r="BY1733" s="3">
        <v>1200</v>
      </c>
      <c r="BZ1733" s="3" t="s">
        <v>165</v>
      </c>
      <c r="CC1733" s="3" t="s">
        <v>732</v>
      </c>
      <c r="CD1733" s="3">
        <v>3290</v>
      </c>
      <c r="CE1733" s="3" t="s">
        <v>93</v>
      </c>
      <c r="CF1733" s="4">
        <v>44589</v>
      </c>
      <c r="CI1733" s="3">
        <v>1</v>
      </c>
      <c r="CJ1733" s="3">
        <v>2</v>
      </c>
      <c r="CK1733" s="3">
        <v>23</v>
      </c>
      <c r="CL1733" s="3" t="s">
        <v>87</v>
      </c>
    </row>
    <row r="1734" spans="1:90" x14ac:dyDescent="0.2">
      <c r="A1734" s="3" t="s">
        <v>72</v>
      </c>
      <c r="B1734" s="3" t="s">
        <v>73</v>
      </c>
      <c r="C1734" s="3" t="s">
        <v>74</v>
      </c>
      <c r="E1734" s="3" t="str">
        <f>"FES1162846354"</f>
        <v>FES1162846354</v>
      </c>
      <c r="F1734" s="4">
        <v>44585</v>
      </c>
      <c r="G1734" s="3">
        <v>202207</v>
      </c>
      <c r="H1734" s="3" t="s">
        <v>75</v>
      </c>
      <c r="I1734" s="3" t="s">
        <v>76</v>
      </c>
      <c r="J1734" s="3" t="s">
        <v>77</v>
      </c>
      <c r="K1734" s="3" t="s">
        <v>78</v>
      </c>
      <c r="L1734" s="3" t="s">
        <v>510</v>
      </c>
      <c r="M1734" s="3" t="s">
        <v>511</v>
      </c>
      <c r="N1734" s="3" t="s">
        <v>1981</v>
      </c>
      <c r="O1734" s="3" t="s">
        <v>82</v>
      </c>
      <c r="P1734" s="3" t="str">
        <f>"2170817777                    "</f>
        <v xml:space="preserve">2170817777                    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12.07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1</v>
      </c>
      <c r="BI1734" s="3">
        <v>2</v>
      </c>
      <c r="BJ1734" s="3">
        <v>2.9</v>
      </c>
      <c r="BK1734" s="3">
        <v>3</v>
      </c>
      <c r="BL1734" s="3">
        <v>46.08</v>
      </c>
      <c r="BM1734" s="3">
        <v>6.91</v>
      </c>
      <c r="BN1734" s="3">
        <v>52.99</v>
      </c>
      <c r="BO1734" s="3">
        <v>52.99</v>
      </c>
      <c r="BQ1734" s="3" t="s">
        <v>83</v>
      </c>
      <c r="BR1734" s="3" t="s">
        <v>84</v>
      </c>
      <c r="BS1734" s="4">
        <v>44586</v>
      </c>
      <c r="BT1734" s="5">
        <v>0.34027777777777773</v>
      </c>
      <c r="BU1734" s="3" t="s">
        <v>1982</v>
      </c>
      <c r="BV1734" s="3" t="s">
        <v>105</v>
      </c>
      <c r="BY1734" s="3">
        <v>14336</v>
      </c>
      <c r="BZ1734" s="3" t="s">
        <v>165</v>
      </c>
      <c r="CA1734" s="3" t="s">
        <v>1684</v>
      </c>
      <c r="CC1734" s="3" t="s">
        <v>511</v>
      </c>
      <c r="CD1734" s="3">
        <v>1540</v>
      </c>
      <c r="CE1734" s="3" t="s">
        <v>86</v>
      </c>
      <c r="CF1734" s="4">
        <v>44587</v>
      </c>
      <c r="CI1734" s="3">
        <v>1</v>
      </c>
      <c r="CJ1734" s="3">
        <v>1</v>
      </c>
      <c r="CK1734" s="3">
        <v>22</v>
      </c>
      <c r="CL1734" s="3" t="s">
        <v>87</v>
      </c>
    </row>
    <row r="1735" spans="1:90" x14ac:dyDescent="0.2">
      <c r="A1735" s="3" t="s">
        <v>72</v>
      </c>
      <c r="B1735" s="3" t="s">
        <v>73</v>
      </c>
      <c r="C1735" s="3" t="s">
        <v>74</v>
      </c>
      <c r="E1735" s="3" t="str">
        <f>"FES1162846427"</f>
        <v>FES1162846427</v>
      </c>
      <c r="F1735" s="4">
        <v>44585</v>
      </c>
      <c r="G1735" s="3">
        <v>202207</v>
      </c>
      <c r="H1735" s="3" t="s">
        <v>75</v>
      </c>
      <c r="I1735" s="3" t="s">
        <v>76</v>
      </c>
      <c r="J1735" s="3" t="s">
        <v>77</v>
      </c>
      <c r="K1735" s="3" t="s">
        <v>78</v>
      </c>
      <c r="L1735" s="3" t="s">
        <v>101</v>
      </c>
      <c r="M1735" s="3" t="s">
        <v>102</v>
      </c>
      <c r="N1735" s="3" t="s">
        <v>103</v>
      </c>
      <c r="O1735" s="3" t="s">
        <v>82</v>
      </c>
      <c r="P1735" s="3" t="str">
        <f>"2170809923                    "</f>
        <v xml:space="preserve">2170809923                    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15.46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v>0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1</v>
      </c>
      <c r="BI1735" s="3">
        <v>1</v>
      </c>
      <c r="BJ1735" s="3">
        <v>0.2</v>
      </c>
      <c r="BK1735" s="3">
        <v>1</v>
      </c>
      <c r="BL1735" s="3">
        <v>59</v>
      </c>
      <c r="BM1735" s="3">
        <v>8.85</v>
      </c>
      <c r="BN1735" s="3">
        <v>67.849999999999994</v>
      </c>
      <c r="BO1735" s="3">
        <v>67.849999999999994</v>
      </c>
      <c r="BQ1735" s="3" t="s">
        <v>83</v>
      </c>
      <c r="BR1735" s="3" t="s">
        <v>84</v>
      </c>
      <c r="BS1735" s="4">
        <v>44586</v>
      </c>
      <c r="BT1735" s="5">
        <v>0.31319444444444444</v>
      </c>
      <c r="BU1735" s="3" t="s">
        <v>1983</v>
      </c>
      <c r="BV1735" s="3" t="s">
        <v>105</v>
      </c>
      <c r="BY1735" s="3">
        <v>1200</v>
      </c>
      <c r="BZ1735" s="3" t="s">
        <v>165</v>
      </c>
      <c r="CA1735" s="3" t="s">
        <v>106</v>
      </c>
      <c r="CC1735" s="3" t="s">
        <v>102</v>
      </c>
      <c r="CD1735" s="3">
        <v>4001</v>
      </c>
      <c r="CE1735" s="3" t="s">
        <v>93</v>
      </c>
      <c r="CF1735" s="4">
        <v>44587</v>
      </c>
      <c r="CI1735" s="3">
        <v>1</v>
      </c>
      <c r="CJ1735" s="3">
        <v>1</v>
      </c>
      <c r="CK1735" s="3">
        <v>21</v>
      </c>
      <c r="CL1735" s="3" t="s">
        <v>87</v>
      </c>
    </row>
    <row r="1736" spans="1:90" x14ac:dyDescent="0.2">
      <c r="A1736" s="3" t="s">
        <v>72</v>
      </c>
      <c r="B1736" s="3" t="s">
        <v>73</v>
      </c>
      <c r="C1736" s="3" t="s">
        <v>74</v>
      </c>
      <c r="E1736" s="3" t="str">
        <f>"FES1162846355"</f>
        <v>FES1162846355</v>
      </c>
      <c r="F1736" s="4">
        <v>44585</v>
      </c>
      <c r="G1736" s="3">
        <v>202207</v>
      </c>
      <c r="H1736" s="3" t="s">
        <v>75</v>
      </c>
      <c r="I1736" s="3" t="s">
        <v>76</v>
      </c>
      <c r="J1736" s="3" t="s">
        <v>77</v>
      </c>
      <c r="K1736" s="3" t="s">
        <v>78</v>
      </c>
      <c r="L1736" s="3" t="s">
        <v>218</v>
      </c>
      <c r="M1736" s="3" t="s">
        <v>219</v>
      </c>
      <c r="N1736" s="3" t="s">
        <v>1453</v>
      </c>
      <c r="O1736" s="3" t="s">
        <v>82</v>
      </c>
      <c r="P1736" s="3" t="str">
        <f>"2170817789                    "</f>
        <v xml:space="preserve">2170817789                    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30.91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v>0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1</v>
      </c>
      <c r="BI1736" s="3">
        <v>2</v>
      </c>
      <c r="BJ1736" s="3">
        <v>3.6</v>
      </c>
      <c r="BK1736" s="3">
        <v>4</v>
      </c>
      <c r="BL1736" s="3">
        <v>117.97</v>
      </c>
      <c r="BM1736" s="3">
        <v>17.7</v>
      </c>
      <c r="BN1736" s="3">
        <v>135.66999999999999</v>
      </c>
      <c r="BO1736" s="3">
        <v>135.66999999999999</v>
      </c>
      <c r="BQ1736" s="3" t="s">
        <v>1454</v>
      </c>
      <c r="BR1736" s="3" t="s">
        <v>84</v>
      </c>
      <c r="BS1736" s="4">
        <v>44586</v>
      </c>
      <c r="BT1736" s="5">
        <v>0.41666666666666669</v>
      </c>
      <c r="BU1736" s="3" t="s">
        <v>1984</v>
      </c>
      <c r="BV1736" s="3" t="s">
        <v>105</v>
      </c>
      <c r="BY1736" s="3">
        <v>18032</v>
      </c>
      <c r="BZ1736" s="3" t="s">
        <v>165</v>
      </c>
      <c r="CA1736" s="3" t="s">
        <v>1346</v>
      </c>
      <c r="CC1736" s="3" t="s">
        <v>219</v>
      </c>
      <c r="CD1736" s="3">
        <v>157</v>
      </c>
      <c r="CE1736" s="3" t="s">
        <v>86</v>
      </c>
      <c r="CF1736" s="4">
        <v>44587</v>
      </c>
      <c r="CI1736" s="3">
        <v>1</v>
      </c>
      <c r="CJ1736" s="3">
        <v>1</v>
      </c>
      <c r="CK1736" s="3">
        <v>21</v>
      </c>
      <c r="CL1736" s="3" t="s">
        <v>87</v>
      </c>
    </row>
    <row r="1737" spans="1:90" x14ac:dyDescent="0.2">
      <c r="A1737" s="3" t="s">
        <v>72</v>
      </c>
      <c r="B1737" s="3" t="s">
        <v>73</v>
      </c>
      <c r="C1737" s="3" t="s">
        <v>74</v>
      </c>
      <c r="E1737" s="3" t="str">
        <f>"FES1162846577"</f>
        <v>FES1162846577</v>
      </c>
      <c r="F1737" s="4">
        <v>44585</v>
      </c>
      <c r="G1737" s="3">
        <v>202207</v>
      </c>
      <c r="H1737" s="3" t="s">
        <v>75</v>
      </c>
      <c r="I1737" s="3" t="s">
        <v>76</v>
      </c>
      <c r="J1737" s="3" t="s">
        <v>77</v>
      </c>
      <c r="K1737" s="3" t="s">
        <v>78</v>
      </c>
      <c r="L1737" s="3" t="s">
        <v>162</v>
      </c>
      <c r="M1737" s="3" t="s">
        <v>163</v>
      </c>
      <c r="N1737" s="3" t="s">
        <v>1985</v>
      </c>
      <c r="O1737" s="3" t="s">
        <v>82</v>
      </c>
      <c r="P1737" s="3" t="str">
        <f>"2170817948                    "</f>
        <v xml:space="preserve">2170817948                    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14.97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v>0</v>
      </c>
      <c r="BA1737" s="3">
        <v>0</v>
      </c>
      <c r="BB1737" s="3">
        <v>0</v>
      </c>
      <c r="BC1737" s="3">
        <v>0</v>
      </c>
      <c r="BD1737" s="3">
        <v>0</v>
      </c>
      <c r="BE1737" s="3">
        <v>0</v>
      </c>
      <c r="BF1737" s="3">
        <v>0</v>
      </c>
      <c r="BG1737" s="3">
        <v>0</v>
      </c>
      <c r="BH1737" s="3">
        <v>1</v>
      </c>
      <c r="BI1737" s="3">
        <v>9</v>
      </c>
      <c r="BJ1737" s="3">
        <v>2.2999999999999998</v>
      </c>
      <c r="BK1737" s="3">
        <v>9</v>
      </c>
      <c r="BL1737" s="3">
        <v>57.14</v>
      </c>
      <c r="BM1737" s="3">
        <v>8.57</v>
      </c>
      <c r="BN1737" s="3">
        <v>65.709999999999994</v>
      </c>
      <c r="BO1737" s="3">
        <v>65.709999999999994</v>
      </c>
      <c r="BR1737" s="3" t="s">
        <v>84</v>
      </c>
      <c r="BS1737" s="4">
        <v>44586</v>
      </c>
      <c r="BT1737" s="5">
        <v>0.3979166666666667</v>
      </c>
      <c r="BU1737" s="3" t="s">
        <v>925</v>
      </c>
      <c r="BV1737" s="3" t="s">
        <v>105</v>
      </c>
      <c r="BY1737" s="3">
        <v>11700</v>
      </c>
      <c r="BZ1737" s="3" t="s">
        <v>165</v>
      </c>
      <c r="CA1737" s="3" t="s">
        <v>1080</v>
      </c>
      <c r="CC1737" s="3" t="s">
        <v>163</v>
      </c>
      <c r="CD1737" s="3">
        <v>1401</v>
      </c>
      <c r="CE1737" s="3" t="s">
        <v>86</v>
      </c>
      <c r="CF1737" s="4">
        <v>44587</v>
      </c>
      <c r="CI1737" s="3">
        <v>1</v>
      </c>
      <c r="CJ1737" s="3">
        <v>1</v>
      </c>
      <c r="CK1737" s="3">
        <v>22</v>
      </c>
      <c r="CL1737" s="3" t="s">
        <v>87</v>
      </c>
    </row>
    <row r="1738" spans="1:90" x14ac:dyDescent="0.2">
      <c r="A1738" s="3" t="s">
        <v>72</v>
      </c>
      <c r="B1738" s="3" t="s">
        <v>73</v>
      </c>
      <c r="C1738" s="3" t="s">
        <v>74</v>
      </c>
      <c r="E1738" s="3" t="str">
        <f>"FES1162846393"</f>
        <v>FES1162846393</v>
      </c>
      <c r="F1738" s="4">
        <v>44585</v>
      </c>
      <c r="G1738" s="3">
        <v>202207</v>
      </c>
      <c r="H1738" s="3" t="s">
        <v>75</v>
      </c>
      <c r="I1738" s="3" t="s">
        <v>76</v>
      </c>
      <c r="J1738" s="3" t="s">
        <v>77</v>
      </c>
      <c r="K1738" s="3" t="s">
        <v>78</v>
      </c>
      <c r="L1738" s="3" t="s">
        <v>90</v>
      </c>
      <c r="M1738" s="3" t="s">
        <v>91</v>
      </c>
      <c r="N1738" s="3" t="s">
        <v>1986</v>
      </c>
      <c r="O1738" s="3" t="s">
        <v>82</v>
      </c>
      <c r="P1738" s="3" t="str">
        <f>"2170817901                    "</f>
        <v xml:space="preserve">2170817901                    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15.46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0</v>
      </c>
      <c r="BF1738" s="3">
        <v>0</v>
      </c>
      <c r="BG1738" s="3">
        <v>0</v>
      </c>
      <c r="BH1738" s="3">
        <v>1</v>
      </c>
      <c r="BI1738" s="3">
        <v>1</v>
      </c>
      <c r="BJ1738" s="3">
        <v>0.2</v>
      </c>
      <c r="BK1738" s="3">
        <v>1</v>
      </c>
      <c r="BL1738" s="3">
        <v>59</v>
      </c>
      <c r="BM1738" s="3">
        <v>8.85</v>
      </c>
      <c r="BN1738" s="3">
        <v>67.849999999999994</v>
      </c>
      <c r="BO1738" s="3">
        <v>67.849999999999994</v>
      </c>
      <c r="BR1738" s="3" t="s">
        <v>84</v>
      </c>
      <c r="BS1738" s="4">
        <v>44586</v>
      </c>
      <c r="BT1738" s="5">
        <v>0.43055555555555558</v>
      </c>
      <c r="BU1738" s="3" t="s">
        <v>1987</v>
      </c>
      <c r="BV1738" s="3" t="s">
        <v>105</v>
      </c>
      <c r="BY1738" s="3">
        <v>1200</v>
      </c>
      <c r="BZ1738" s="3" t="s">
        <v>165</v>
      </c>
      <c r="CA1738" s="3" t="s">
        <v>641</v>
      </c>
      <c r="CC1738" s="3" t="s">
        <v>91</v>
      </c>
      <c r="CD1738" s="3">
        <v>7530</v>
      </c>
      <c r="CE1738" s="3" t="s">
        <v>93</v>
      </c>
      <c r="CF1738" s="4">
        <v>44587</v>
      </c>
      <c r="CI1738" s="3">
        <v>1</v>
      </c>
      <c r="CJ1738" s="3">
        <v>1</v>
      </c>
      <c r="CK1738" s="3">
        <v>21</v>
      </c>
      <c r="CL1738" s="3" t="s">
        <v>87</v>
      </c>
    </row>
    <row r="1739" spans="1:90" x14ac:dyDescent="0.2">
      <c r="A1739" s="3" t="s">
        <v>72</v>
      </c>
      <c r="B1739" s="3" t="s">
        <v>73</v>
      </c>
      <c r="C1739" s="3" t="s">
        <v>74</v>
      </c>
      <c r="E1739" s="3" t="str">
        <f>"FES1162846361"</f>
        <v>FES1162846361</v>
      </c>
      <c r="F1739" s="4">
        <v>44585</v>
      </c>
      <c r="G1739" s="3">
        <v>202207</v>
      </c>
      <c r="H1739" s="3" t="s">
        <v>75</v>
      </c>
      <c r="I1739" s="3" t="s">
        <v>76</v>
      </c>
      <c r="J1739" s="3" t="s">
        <v>77</v>
      </c>
      <c r="K1739" s="3" t="s">
        <v>78</v>
      </c>
      <c r="L1739" s="3" t="s">
        <v>90</v>
      </c>
      <c r="M1739" s="3" t="s">
        <v>91</v>
      </c>
      <c r="N1739" s="3" t="s">
        <v>584</v>
      </c>
      <c r="O1739" s="3" t="s">
        <v>82</v>
      </c>
      <c r="P1739" s="3" t="str">
        <f>"2170817826                    "</f>
        <v xml:space="preserve">2170817826                    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15.46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1</v>
      </c>
      <c r="BI1739" s="3">
        <v>1</v>
      </c>
      <c r="BJ1739" s="3">
        <v>0.2</v>
      </c>
      <c r="BK1739" s="3">
        <v>1</v>
      </c>
      <c r="BL1739" s="3">
        <v>59</v>
      </c>
      <c r="BM1739" s="3">
        <v>8.85</v>
      </c>
      <c r="BN1739" s="3">
        <v>67.849999999999994</v>
      </c>
      <c r="BO1739" s="3">
        <v>67.849999999999994</v>
      </c>
      <c r="BQ1739" s="3" t="s">
        <v>83</v>
      </c>
      <c r="BR1739" s="3" t="s">
        <v>84</v>
      </c>
      <c r="BS1739" s="4">
        <v>44586</v>
      </c>
      <c r="BT1739" s="5">
        <v>0.32569444444444445</v>
      </c>
      <c r="BU1739" s="3" t="s">
        <v>1988</v>
      </c>
      <c r="BV1739" s="3" t="s">
        <v>105</v>
      </c>
      <c r="BY1739" s="3">
        <v>1200</v>
      </c>
      <c r="BZ1739" s="3" t="s">
        <v>165</v>
      </c>
      <c r="CA1739" s="3" t="s">
        <v>543</v>
      </c>
      <c r="CC1739" s="3" t="s">
        <v>91</v>
      </c>
      <c r="CD1739" s="3">
        <v>7530</v>
      </c>
      <c r="CE1739" s="3" t="s">
        <v>93</v>
      </c>
      <c r="CF1739" s="4">
        <v>44587</v>
      </c>
      <c r="CI1739" s="3">
        <v>1</v>
      </c>
      <c r="CJ1739" s="3">
        <v>1</v>
      </c>
      <c r="CK1739" s="3">
        <v>21</v>
      </c>
      <c r="CL1739" s="3" t="s">
        <v>87</v>
      </c>
    </row>
    <row r="1740" spans="1:90" x14ac:dyDescent="0.2">
      <c r="A1740" s="3" t="s">
        <v>72</v>
      </c>
      <c r="B1740" s="3" t="s">
        <v>73</v>
      </c>
      <c r="C1740" s="3" t="s">
        <v>74</v>
      </c>
      <c r="E1740" s="3" t="str">
        <f>"FES1162846507"</f>
        <v>FES1162846507</v>
      </c>
      <c r="F1740" s="4">
        <v>44585</v>
      </c>
      <c r="G1740" s="3">
        <v>202207</v>
      </c>
      <c r="H1740" s="3" t="s">
        <v>75</v>
      </c>
      <c r="I1740" s="3" t="s">
        <v>76</v>
      </c>
      <c r="J1740" s="3" t="s">
        <v>77</v>
      </c>
      <c r="K1740" s="3" t="s">
        <v>78</v>
      </c>
      <c r="L1740" s="3" t="s">
        <v>90</v>
      </c>
      <c r="M1740" s="3" t="s">
        <v>91</v>
      </c>
      <c r="N1740" s="3" t="s">
        <v>584</v>
      </c>
      <c r="O1740" s="3" t="s">
        <v>82</v>
      </c>
      <c r="P1740" s="3" t="str">
        <f>"2170815957                    "</f>
        <v xml:space="preserve">2170815957                    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15.46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v>0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1</v>
      </c>
      <c r="BI1740" s="3">
        <v>1</v>
      </c>
      <c r="BJ1740" s="3">
        <v>0.2</v>
      </c>
      <c r="BK1740" s="3">
        <v>1</v>
      </c>
      <c r="BL1740" s="3">
        <v>59</v>
      </c>
      <c r="BM1740" s="3">
        <v>8.85</v>
      </c>
      <c r="BN1740" s="3">
        <v>67.849999999999994</v>
      </c>
      <c r="BO1740" s="3">
        <v>67.849999999999994</v>
      </c>
      <c r="BQ1740" s="3" t="s">
        <v>83</v>
      </c>
      <c r="BR1740" s="3" t="s">
        <v>84</v>
      </c>
      <c r="BS1740" s="4">
        <v>44586</v>
      </c>
      <c r="BT1740" s="5">
        <v>0.3263888888888889</v>
      </c>
      <c r="BU1740" s="3" t="s">
        <v>1067</v>
      </c>
      <c r="BV1740" s="3" t="s">
        <v>105</v>
      </c>
      <c r="BY1740" s="3">
        <v>1200</v>
      </c>
      <c r="BZ1740" s="3" t="s">
        <v>165</v>
      </c>
      <c r="CA1740" s="3" t="s">
        <v>543</v>
      </c>
      <c r="CC1740" s="3" t="s">
        <v>91</v>
      </c>
      <c r="CD1740" s="3">
        <v>7530</v>
      </c>
      <c r="CE1740" s="3" t="s">
        <v>93</v>
      </c>
      <c r="CF1740" s="4">
        <v>44587</v>
      </c>
      <c r="CI1740" s="3">
        <v>1</v>
      </c>
      <c r="CJ1740" s="3">
        <v>1</v>
      </c>
      <c r="CK1740" s="3">
        <v>21</v>
      </c>
      <c r="CL1740" s="3" t="s">
        <v>87</v>
      </c>
    </row>
    <row r="1741" spans="1:90" x14ac:dyDescent="0.2">
      <c r="A1741" s="3" t="s">
        <v>72</v>
      </c>
      <c r="B1741" s="3" t="s">
        <v>73</v>
      </c>
      <c r="C1741" s="3" t="s">
        <v>74</v>
      </c>
      <c r="E1741" s="3" t="str">
        <f>"FES1162846341"</f>
        <v>FES1162846341</v>
      </c>
      <c r="F1741" s="4">
        <v>44585</v>
      </c>
      <c r="G1741" s="3">
        <v>202207</v>
      </c>
      <c r="H1741" s="3" t="s">
        <v>75</v>
      </c>
      <c r="I1741" s="3" t="s">
        <v>76</v>
      </c>
      <c r="J1741" s="3" t="s">
        <v>77</v>
      </c>
      <c r="K1741" s="3" t="s">
        <v>78</v>
      </c>
      <c r="L1741" s="3" t="s">
        <v>171</v>
      </c>
      <c r="M1741" s="3" t="s">
        <v>172</v>
      </c>
      <c r="N1741" s="3" t="s">
        <v>249</v>
      </c>
      <c r="O1741" s="3" t="s">
        <v>82</v>
      </c>
      <c r="P1741" s="3" t="str">
        <f>"2170817599                    "</f>
        <v xml:space="preserve">2170817599                    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15.46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v>0</v>
      </c>
      <c r="BA1741" s="3">
        <v>0</v>
      </c>
      <c r="BB1741" s="3">
        <v>0</v>
      </c>
      <c r="BC1741" s="3">
        <v>0</v>
      </c>
      <c r="BD1741" s="3">
        <v>0</v>
      </c>
      <c r="BE1741" s="3">
        <v>0</v>
      </c>
      <c r="BF1741" s="3">
        <v>0</v>
      </c>
      <c r="BG1741" s="3">
        <v>0</v>
      </c>
      <c r="BH1741" s="3">
        <v>1</v>
      </c>
      <c r="BI1741" s="3">
        <v>1</v>
      </c>
      <c r="BJ1741" s="3">
        <v>0.2</v>
      </c>
      <c r="BK1741" s="3">
        <v>1</v>
      </c>
      <c r="BL1741" s="3">
        <v>59</v>
      </c>
      <c r="BM1741" s="3">
        <v>8.85</v>
      </c>
      <c r="BN1741" s="3">
        <v>67.849999999999994</v>
      </c>
      <c r="BO1741" s="3">
        <v>67.849999999999994</v>
      </c>
      <c r="BQ1741" s="3" t="s">
        <v>89</v>
      </c>
      <c r="BR1741" s="3" t="s">
        <v>84</v>
      </c>
      <c r="BS1741" s="4">
        <v>44586</v>
      </c>
      <c r="BT1741" s="5">
        <v>0.38680555555555557</v>
      </c>
      <c r="BU1741" s="3" t="s">
        <v>1979</v>
      </c>
      <c r="BV1741" s="3" t="s">
        <v>105</v>
      </c>
      <c r="BY1741" s="3">
        <v>1200</v>
      </c>
      <c r="BZ1741" s="3" t="s">
        <v>165</v>
      </c>
      <c r="CA1741" s="3" t="s">
        <v>509</v>
      </c>
      <c r="CC1741" s="3" t="s">
        <v>172</v>
      </c>
      <c r="CD1741" s="3">
        <v>6001</v>
      </c>
      <c r="CE1741" s="3" t="s">
        <v>93</v>
      </c>
      <c r="CF1741" s="4">
        <v>44586</v>
      </c>
      <c r="CI1741" s="3">
        <v>1</v>
      </c>
      <c r="CJ1741" s="3">
        <v>1</v>
      </c>
      <c r="CK1741" s="3">
        <v>21</v>
      </c>
      <c r="CL1741" s="3" t="s">
        <v>87</v>
      </c>
    </row>
    <row r="1742" spans="1:90" x14ac:dyDescent="0.2">
      <c r="A1742" s="3" t="s">
        <v>72</v>
      </c>
      <c r="B1742" s="3" t="s">
        <v>73</v>
      </c>
      <c r="C1742" s="3" t="s">
        <v>74</v>
      </c>
      <c r="E1742" s="3" t="str">
        <f>"FES1162846464"</f>
        <v>FES1162846464</v>
      </c>
      <c r="F1742" s="4">
        <v>44585</v>
      </c>
      <c r="G1742" s="3">
        <v>202207</v>
      </c>
      <c r="H1742" s="3" t="s">
        <v>75</v>
      </c>
      <c r="I1742" s="3" t="s">
        <v>76</v>
      </c>
      <c r="J1742" s="3" t="s">
        <v>77</v>
      </c>
      <c r="K1742" s="3" t="s">
        <v>78</v>
      </c>
      <c r="L1742" s="3" t="s">
        <v>171</v>
      </c>
      <c r="M1742" s="3" t="s">
        <v>172</v>
      </c>
      <c r="N1742" s="3" t="s">
        <v>454</v>
      </c>
      <c r="O1742" s="3" t="s">
        <v>82</v>
      </c>
      <c r="P1742" s="3" t="str">
        <f>"2170815584                    "</f>
        <v xml:space="preserve">2170815584                    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15.46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v>0</v>
      </c>
      <c r="BA1742" s="3">
        <v>0</v>
      </c>
      <c r="BB1742" s="3">
        <v>0</v>
      </c>
      <c r="BC1742" s="3">
        <v>0</v>
      </c>
      <c r="BD1742" s="3">
        <v>0</v>
      </c>
      <c r="BE1742" s="3">
        <v>0</v>
      </c>
      <c r="BF1742" s="3">
        <v>0</v>
      </c>
      <c r="BG1742" s="3">
        <v>0</v>
      </c>
      <c r="BH1742" s="3">
        <v>1</v>
      </c>
      <c r="BI1742" s="3">
        <v>1</v>
      </c>
      <c r="BJ1742" s="3">
        <v>0.2</v>
      </c>
      <c r="BK1742" s="3">
        <v>1</v>
      </c>
      <c r="BL1742" s="3">
        <v>59</v>
      </c>
      <c r="BM1742" s="3">
        <v>8.85</v>
      </c>
      <c r="BN1742" s="3">
        <v>67.849999999999994</v>
      </c>
      <c r="BO1742" s="3">
        <v>67.849999999999994</v>
      </c>
      <c r="BQ1742" s="3" t="s">
        <v>89</v>
      </c>
      <c r="BR1742" s="3" t="s">
        <v>84</v>
      </c>
      <c r="BS1742" s="4">
        <v>44586</v>
      </c>
      <c r="BT1742" s="5">
        <v>0.38125000000000003</v>
      </c>
      <c r="BU1742" s="3" t="s">
        <v>1989</v>
      </c>
      <c r="BV1742" s="3" t="s">
        <v>105</v>
      </c>
      <c r="BY1742" s="3">
        <v>1200</v>
      </c>
      <c r="BZ1742" s="3" t="s">
        <v>165</v>
      </c>
      <c r="CA1742" s="3" t="s">
        <v>509</v>
      </c>
      <c r="CC1742" s="3" t="s">
        <v>172</v>
      </c>
      <c r="CD1742" s="3">
        <v>6001</v>
      </c>
      <c r="CE1742" s="3" t="s">
        <v>93</v>
      </c>
      <c r="CF1742" s="4">
        <v>44586</v>
      </c>
      <c r="CI1742" s="3">
        <v>1</v>
      </c>
      <c r="CJ1742" s="3">
        <v>1</v>
      </c>
      <c r="CK1742" s="3">
        <v>21</v>
      </c>
      <c r="CL1742" s="3" t="s">
        <v>87</v>
      </c>
    </row>
    <row r="1743" spans="1:90" x14ac:dyDescent="0.2">
      <c r="A1743" s="3" t="s">
        <v>72</v>
      </c>
      <c r="B1743" s="3" t="s">
        <v>73</v>
      </c>
      <c r="C1743" s="3" t="s">
        <v>74</v>
      </c>
      <c r="E1743" s="3" t="str">
        <f>"FES1162846478"</f>
        <v>FES1162846478</v>
      </c>
      <c r="F1743" s="4">
        <v>44585</v>
      </c>
      <c r="G1743" s="3">
        <v>202207</v>
      </c>
      <c r="H1743" s="3" t="s">
        <v>75</v>
      </c>
      <c r="I1743" s="3" t="s">
        <v>76</v>
      </c>
      <c r="J1743" s="3" t="s">
        <v>77</v>
      </c>
      <c r="K1743" s="3" t="s">
        <v>78</v>
      </c>
      <c r="L1743" s="3" t="s">
        <v>867</v>
      </c>
      <c r="M1743" s="3" t="s">
        <v>868</v>
      </c>
      <c r="N1743" s="3" t="s">
        <v>869</v>
      </c>
      <c r="O1743" s="3" t="s">
        <v>82</v>
      </c>
      <c r="P1743" s="3" t="str">
        <f>"2170815721                    "</f>
        <v xml:space="preserve">2170815721                    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29.95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v>0</v>
      </c>
      <c r="BA1743" s="3">
        <v>0</v>
      </c>
      <c r="BB1743" s="3">
        <v>0</v>
      </c>
      <c r="BC1743" s="3">
        <v>0</v>
      </c>
      <c r="BD1743" s="3">
        <v>0</v>
      </c>
      <c r="BE1743" s="3">
        <v>0</v>
      </c>
      <c r="BF1743" s="3">
        <v>0</v>
      </c>
      <c r="BG1743" s="3">
        <v>0</v>
      </c>
      <c r="BH1743" s="3">
        <v>1</v>
      </c>
      <c r="BI1743" s="3">
        <v>1</v>
      </c>
      <c r="BJ1743" s="3">
        <v>0.2</v>
      </c>
      <c r="BK1743" s="3">
        <v>1</v>
      </c>
      <c r="BL1743" s="3">
        <v>114.31</v>
      </c>
      <c r="BM1743" s="3">
        <v>17.149999999999999</v>
      </c>
      <c r="BN1743" s="3">
        <v>131.46</v>
      </c>
      <c r="BO1743" s="3">
        <v>131.46</v>
      </c>
      <c r="BR1743" s="3" t="s">
        <v>84</v>
      </c>
      <c r="BS1743" s="4">
        <v>44586</v>
      </c>
      <c r="BT1743" s="5">
        <v>0.42083333333333334</v>
      </c>
      <c r="BU1743" s="3" t="s">
        <v>1990</v>
      </c>
      <c r="BV1743" s="3" t="s">
        <v>105</v>
      </c>
      <c r="BY1743" s="3">
        <v>1200</v>
      </c>
      <c r="BZ1743" s="3" t="s">
        <v>165</v>
      </c>
      <c r="CA1743" s="3" t="s">
        <v>1991</v>
      </c>
      <c r="CC1743" s="3" t="s">
        <v>868</v>
      </c>
      <c r="CD1743" s="3">
        <v>4170</v>
      </c>
      <c r="CE1743" s="3" t="s">
        <v>93</v>
      </c>
      <c r="CF1743" s="4">
        <v>44587</v>
      </c>
      <c r="CI1743" s="3">
        <v>1</v>
      </c>
      <c r="CJ1743" s="3">
        <v>1</v>
      </c>
      <c r="CK1743" s="3">
        <v>23</v>
      </c>
      <c r="CL1743" s="3" t="s">
        <v>87</v>
      </c>
    </row>
    <row r="1744" spans="1:90" x14ac:dyDescent="0.2">
      <c r="A1744" s="3" t="s">
        <v>72</v>
      </c>
      <c r="B1744" s="3" t="s">
        <v>73</v>
      </c>
      <c r="C1744" s="3" t="s">
        <v>74</v>
      </c>
      <c r="E1744" s="3" t="str">
        <f>"FES1162846319"</f>
        <v>FES1162846319</v>
      </c>
      <c r="F1744" s="4">
        <v>44585</v>
      </c>
      <c r="G1744" s="3">
        <v>202207</v>
      </c>
      <c r="H1744" s="3" t="s">
        <v>75</v>
      </c>
      <c r="I1744" s="3" t="s">
        <v>76</v>
      </c>
      <c r="J1744" s="3" t="s">
        <v>77</v>
      </c>
      <c r="K1744" s="3" t="s">
        <v>78</v>
      </c>
      <c r="L1744" s="3" t="s">
        <v>90</v>
      </c>
      <c r="M1744" s="3" t="s">
        <v>91</v>
      </c>
      <c r="N1744" s="3" t="s">
        <v>827</v>
      </c>
      <c r="O1744" s="3" t="s">
        <v>82</v>
      </c>
      <c r="P1744" s="3" t="str">
        <f>"2170816335                    "</f>
        <v xml:space="preserve">2170816335                    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73.39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v>0</v>
      </c>
      <c r="BA1744" s="3">
        <v>0</v>
      </c>
      <c r="BB1744" s="3">
        <v>0</v>
      </c>
      <c r="BC1744" s="3">
        <v>0</v>
      </c>
      <c r="BD1744" s="3">
        <v>0</v>
      </c>
      <c r="BE1744" s="3">
        <v>0</v>
      </c>
      <c r="BF1744" s="3">
        <v>0</v>
      </c>
      <c r="BG1744" s="3">
        <v>0</v>
      </c>
      <c r="BH1744" s="3">
        <v>1</v>
      </c>
      <c r="BI1744" s="3">
        <v>3</v>
      </c>
      <c r="BJ1744" s="3">
        <v>9.1</v>
      </c>
      <c r="BK1744" s="3">
        <v>9.5</v>
      </c>
      <c r="BL1744" s="3">
        <v>280.13</v>
      </c>
      <c r="BM1744" s="3">
        <v>42.02</v>
      </c>
      <c r="BN1744" s="3">
        <v>322.14999999999998</v>
      </c>
      <c r="BO1744" s="3">
        <v>322.14999999999998</v>
      </c>
      <c r="BQ1744" s="3" t="s">
        <v>83</v>
      </c>
      <c r="BR1744" s="3" t="s">
        <v>84</v>
      </c>
      <c r="BS1744" s="4">
        <v>44586</v>
      </c>
      <c r="BT1744" s="5">
        <v>0.40486111111111112</v>
      </c>
      <c r="BU1744" s="3" t="s">
        <v>1992</v>
      </c>
      <c r="BV1744" s="3" t="s">
        <v>105</v>
      </c>
      <c r="BY1744" s="3">
        <v>45632</v>
      </c>
      <c r="BZ1744" s="3" t="s">
        <v>165</v>
      </c>
      <c r="CA1744" s="3" t="s">
        <v>1993</v>
      </c>
      <c r="CC1744" s="3" t="s">
        <v>91</v>
      </c>
      <c r="CD1744" s="3">
        <v>7499</v>
      </c>
      <c r="CE1744" s="3" t="s">
        <v>86</v>
      </c>
      <c r="CF1744" s="4">
        <v>44587</v>
      </c>
      <c r="CI1744" s="3">
        <v>1</v>
      </c>
      <c r="CJ1744" s="3">
        <v>1</v>
      </c>
      <c r="CK1744" s="3">
        <v>21</v>
      </c>
      <c r="CL1744" s="3" t="s">
        <v>87</v>
      </c>
    </row>
    <row r="1745" spans="1:90" x14ac:dyDescent="0.2">
      <c r="A1745" s="3" t="s">
        <v>72</v>
      </c>
      <c r="B1745" s="3" t="s">
        <v>73</v>
      </c>
      <c r="C1745" s="3" t="s">
        <v>74</v>
      </c>
      <c r="E1745" s="3" t="str">
        <f>"FES1162846603"</f>
        <v>FES1162846603</v>
      </c>
      <c r="F1745" s="4">
        <v>44585</v>
      </c>
      <c r="G1745" s="3">
        <v>202207</v>
      </c>
      <c r="H1745" s="3" t="s">
        <v>75</v>
      </c>
      <c r="I1745" s="3" t="s">
        <v>76</v>
      </c>
      <c r="J1745" s="3" t="s">
        <v>77</v>
      </c>
      <c r="K1745" s="3" t="s">
        <v>78</v>
      </c>
      <c r="L1745" s="3" t="s">
        <v>75</v>
      </c>
      <c r="M1745" s="3" t="s">
        <v>76</v>
      </c>
      <c r="N1745" s="3" t="s">
        <v>147</v>
      </c>
      <c r="O1745" s="3" t="s">
        <v>82</v>
      </c>
      <c r="P1745" s="3" t="str">
        <f>"2170817847                    "</f>
        <v xml:space="preserve">2170817847                    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12.07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v>0</v>
      </c>
      <c r="BA1745" s="3">
        <v>0</v>
      </c>
      <c r="BB1745" s="3">
        <v>0</v>
      </c>
      <c r="BC1745" s="3">
        <v>0</v>
      </c>
      <c r="BD1745" s="3">
        <v>0</v>
      </c>
      <c r="BE1745" s="3">
        <v>0</v>
      </c>
      <c r="BF1745" s="3">
        <v>0</v>
      </c>
      <c r="BG1745" s="3">
        <v>0</v>
      </c>
      <c r="BH1745" s="3">
        <v>1</v>
      </c>
      <c r="BI1745" s="3">
        <v>3</v>
      </c>
      <c r="BJ1745" s="3">
        <v>2</v>
      </c>
      <c r="BK1745" s="3">
        <v>3</v>
      </c>
      <c r="BL1745" s="3">
        <v>46.08</v>
      </c>
      <c r="BM1745" s="3">
        <v>6.91</v>
      </c>
      <c r="BN1745" s="3">
        <v>52.99</v>
      </c>
      <c r="BO1745" s="3">
        <v>52.99</v>
      </c>
      <c r="BQ1745" s="3" t="s">
        <v>89</v>
      </c>
      <c r="BR1745" s="3" t="s">
        <v>84</v>
      </c>
      <c r="BS1745" s="4">
        <v>44586</v>
      </c>
      <c r="BT1745" s="5">
        <v>0.42638888888888887</v>
      </c>
      <c r="BU1745" s="3" t="s">
        <v>1994</v>
      </c>
      <c r="BV1745" s="3" t="s">
        <v>105</v>
      </c>
      <c r="BY1745" s="3">
        <v>9918</v>
      </c>
      <c r="BZ1745" s="3" t="s">
        <v>165</v>
      </c>
      <c r="CC1745" s="3" t="s">
        <v>76</v>
      </c>
      <c r="CD1745" s="3">
        <v>1645</v>
      </c>
      <c r="CE1745" s="3" t="s">
        <v>86</v>
      </c>
      <c r="CF1745" s="4">
        <v>44586</v>
      </c>
      <c r="CI1745" s="3">
        <v>1</v>
      </c>
      <c r="CJ1745" s="3">
        <v>1</v>
      </c>
      <c r="CK1745" s="3">
        <v>22</v>
      </c>
      <c r="CL1745" s="3" t="s">
        <v>87</v>
      </c>
    </row>
    <row r="1746" spans="1:90" x14ac:dyDescent="0.2">
      <c r="A1746" s="3" t="s">
        <v>72</v>
      </c>
      <c r="B1746" s="3" t="s">
        <v>73</v>
      </c>
      <c r="C1746" s="3" t="s">
        <v>74</v>
      </c>
      <c r="E1746" s="3" t="str">
        <f>"FES1162846343"</f>
        <v>FES1162846343</v>
      </c>
      <c r="F1746" s="4">
        <v>44585</v>
      </c>
      <c r="G1746" s="3">
        <v>202207</v>
      </c>
      <c r="H1746" s="3" t="s">
        <v>75</v>
      </c>
      <c r="I1746" s="3" t="s">
        <v>76</v>
      </c>
      <c r="J1746" s="3" t="s">
        <v>77</v>
      </c>
      <c r="K1746" s="3" t="s">
        <v>78</v>
      </c>
      <c r="L1746" s="3" t="s">
        <v>244</v>
      </c>
      <c r="M1746" s="3" t="s">
        <v>245</v>
      </c>
      <c r="N1746" s="3" t="s">
        <v>400</v>
      </c>
      <c r="O1746" s="3" t="s">
        <v>148</v>
      </c>
      <c r="P1746" s="3" t="str">
        <f>"2170817683                    "</f>
        <v xml:space="preserve">2170817683                    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65.86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2</v>
      </c>
      <c r="BI1746" s="3">
        <v>26</v>
      </c>
      <c r="BJ1746" s="3">
        <v>25.9</v>
      </c>
      <c r="BK1746" s="3">
        <v>26</v>
      </c>
      <c r="BL1746" s="3">
        <v>256.63</v>
      </c>
      <c r="BM1746" s="3">
        <v>38.49</v>
      </c>
      <c r="BN1746" s="3">
        <v>295.12</v>
      </c>
      <c r="BO1746" s="3">
        <v>295.12</v>
      </c>
      <c r="BQ1746" s="3" t="s">
        <v>83</v>
      </c>
      <c r="BR1746" s="3" t="s">
        <v>84</v>
      </c>
      <c r="BS1746" s="4">
        <v>44586</v>
      </c>
      <c r="BT1746" s="5">
        <v>0.37777777777777777</v>
      </c>
      <c r="BU1746" s="3" t="s">
        <v>1995</v>
      </c>
      <c r="BV1746" s="3" t="s">
        <v>105</v>
      </c>
      <c r="BY1746" s="3">
        <v>129680</v>
      </c>
      <c r="BZ1746" s="3" t="s">
        <v>327</v>
      </c>
      <c r="CA1746" s="3" t="s">
        <v>1996</v>
      </c>
      <c r="CC1746" s="3" t="s">
        <v>245</v>
      </c>
      <c r="CD1746" s="3">
        <v>1947</v>
      </c>
      <c r="CE1746" s="3" t="s">
        <v>221</v>
      </c>
      <c r="CF1746" s="4">
        <v>44587</v>
      </c>
      <c r="CI1746" s="3">
        <v>1</v>
      </c>
      <c r="CJ1746" s="3">
        <v>1</v>
      </c>
      <c r="CK1746" s="3">
        <v>43</v>
      </c>
      <c r="CL1746" s="3" t="s">
        <v>87</v>
      </c>
    </row>
    <row r="1747" spans="1:90" x14ac:dyDescent="0.2">
      <c r="A1747" s="3" t="s">
        <v>72</v>
      </c>
      <c r="B1747" s="3" t="s">
        <v>73</v>
      </c>
      <c r="C1747" s="3" t="s">
        <v>74</v>
      </c>
      <c r="E1747" s="3" t="str">
        <f>"FES1162846379"</f>
        <v>FES1162846379</v>
      </c>
      <c r="F1747" s="4">
        <v>44585</v>
      </c>
      <c r="G1747" s="3">
        <v>202207</v>
      </c>
      <c r="H1747" s="3" t="s">
        <v>75</v>
      </c>
      <c r="I1747" s="3" t="s">
        <v>76</v>
      </c>
      <c r="J1747" s="3" t="s">
        <v>77</v>
      </c>
      <c r="K1747" s="3" t="s">
        <v>78</v>
      </c>
      <c r="L1747" s="3" t="s">
        <v>101</v>
      </c>
      <c r="M1747" s="3" t="s">
        <v>102</v>
      </c>
      <c r="N1747" s="3" t="s">
        <v>272</v>
      </c>
      <c r="O1747" s="3" t="s">
        <v>82</v>
      </c>
      <c r="P1747" s="3" t="str">
        <f>"2170817873                    "</f>
        <v xml:space="preserve">2170817873                    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15.46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1</v>
      </c>
      <c r="BI1747" s="3">
        <v>2</v>
      </c>
      <c r="BJ1747" s="3">
        <v>1.5</v>
      </c>
      <c r="BK1747" s="3">
        <v>2</v>
      </c>
      <c r="BL1747" s="3">
        <v>59</v>
      </c>
      <c r="BM1747" s="3">
        <v>8.85</v>
      </c>
      <c r="BN1747" s="3">
        <v>67.849999999999994</v>
      </c>
      <c r="BO1747" s="3">
        <v>67.849999999999994</v>
      </c>
      <c r="BQ1747" s="3" t="s">
        <v>273</v>
      </c>
      <c r="BR1747" s="3" t="s">
        <v>84</v>
      </c>
      <c r="BS1747" s="4">
        <v>44586</v>
      </c>
      <c r="BT1747" s="5">
        <v>0.36319444444444443</v>
      </c>
      <c r="BU1747" s="3" t="s">
        <v>274</v>
      </c>
      <c r="BV1747" s="3" t="s">
        <v>105</v>
      </c>
      <c r="BY1747" s="3">
        <v>7540</v>
      </c>
      <c r="BZ1747" s="3" t="s">
        <v>165</v>
      </c>
      <c r="CA1747" s="3" t="s">
        <v>275</v>
      </c>
      <c r="CC1747" s="3" t="s">
        <v>102</v>
      </c>
      <c r="CD1747" s="3">
        <v>4000</v>
      </c>
      <c r="CE1747" s="3" t="s">
        <v>86</v>
      </c>
      <c r="CF1747" s="4">
        <v>44587</v>
      </c>
      <c r="CI1747" s="3">
        <v>1</v>
      </c>
      <c r="CJ1747" s="3">
        <v>1</v>
      </c>
      <c r="CK1747" s="3">
        <v>21</v>
      </c>
      <c r="CL1747" s="3" t="s">
        <v>87</v>
      </c>
    </row>
    <row r="1748" spans="1:90" x14ac:dyDescent="0.2">
      <c r="A1748" s="3" t="s">
        <v>72</v>
      </c>
      <c r="B1748" s="3" t="s">
        <v>73</v>
      </c>
      <c r="C1748" s="3" t="s">
        <v>74</v>
      </c>
      <c r="E1748" s="3" t="str">
        <f>"FES1162846512"</f>
        <v>FES1162846512</v>
      </c>
      <c r="F1748" s="4">
        <v>44585</v>
      </c>
      <c r="G1748" s="3">
        <v>202207</v>
      </c>
      <c r="H1748" s="3" t="s">
        <v>75</v>
      </c>
      <c r="I1748" s="3" t="s">
        <v>76</v>
      </c>
      <c r="J1748" s="3" t="s">
        <v>77</v>
      </c>
      <c r="K1748" s="3" t="s">
        <v>78</v>
      </c>
      <c r="L1748" s="3" t="s">
        <v>101</v>
      </c>
      <c r="M1748" s="3" t="s">
        <v>102</v>
      </c>
      <c r="N1748" s="3" t="s">
        <v>276</v>
      </c>
      <c r="O1748" s="3" t="s">
        <v>82</v>
      </c>
      <c r="P1748" s="3" t="str">
        <f>"2170816046                    "</f>
        <v xml:space="preserve">2170816046                    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15.46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1</v>
      </c>
      <c r="BI1748" s="3">
        <v>1</v>
      </c>
      <c r="BJ1748" s="3">
        <v>0.2</v>
      </c>
      <c r="BK1748" s="3">
        <v>1</v>
      </c>
      <c r="BL1748" s="3">
        <v>59</v>
      </c>
      <c r="BM1748" s="3">
        <v>8.85</v>
      </c>
      <c r="BN1748" s="3">
        <v>67.849999999999994</v>
      </c>
      <c r="BO1748" s="3">
        <v>67.849999999999994</v>
      </c>
      <c r="BQ1748" s="3" t="s">
        <v>89</v>
      </c>
      <c r="BR1748" s="3" t="s">
        <v>84</v>
      </c>
      <c r="BS1748" s="4">
        <v>44586</v>
      </c>
      <c r="BT1748" s="5">
        <v>0.57500000000000007</v>
      </c>
      <c r="BU1748" s="3" t="s">
        <v>1940</v>
      </c>
      <c r="BV1748" s="3" t="s">
        <v>87</v>
      </c>
      <c r="BW1748" s="3" t="s">
        <v>353</v>
      </c>
      <c r="BX1748" s="3" t="s">
        <v>1878</v>
      </c>
      <c r="BY1748" s="3">
        <v>1200</v>
      </c>
      <c r="BZ1748" s="3" t="s">
        <v>165</v>
      </c>
      <c r="CA1748" s="3" t="s">
        <v>280</v>
      </c>
      <c r="CC1748" s="3" t="s">
        <v>102</v>
      </c>
      <c r="CD1748" s="3">
        <v>4001</v>
      </c>
      <c r="CE1748" s="3" t="s">
        <v>93</v>
      </c>
      <c r="CF1748" s="4">
        <v>44587</v>
      </c>
      <c r="CI1748" s="3">
        <v>1</v>
      </c>
      <c r="CJ1748" s="3">
        <v>1</v>
      </c>
      <c r="CK1748" s="3">
        <v>21</v>
      </c>
      <c r="CL1748" s="3" t="s">
        <v>87</v>
      </c>
    </row>
    <row r="1749" spans="1:90" x14ac:dyDescent="0.2">
      <c r="A1749" s="3" t="s">
        <v>72</v>
      </c>
      <c r="B1749" s="3" t="s">
        <v>73</v>
      </c>
      <c r="C1749" s="3" t="s">
        <v>74</v>
      </c>
      <c r="E1749" s="3" t="str">
        <f>"FES1162846558"</f>
        <v>FES1162846558</v>
      </c>
      <c r="F1749" s="4">
        <v>44585</v>
      </c>
      <c r="G1749" s="3">
        <v>202207</v>
      </c>
      <c r="H1749" s="3" t="s">
        <v>75</v>
      </c>
      <c r="I1749" s="3" t="s">
        <v>76</v>
      </c>
      <c r="J1749" s="3" t="s">
        <v>77</v>
      </c>
      <c r="K1749" s="3" t="s">
        <v>78</v>
      </c>
      <c r="L1749" s="3" t="s">
        <v>187</v>
      </c>
      <c r="M1749" s="3" t="s">
        <v>188</v>
      </c>
      <c r="N1749" s="3" t="s">
        <v>189</v>
      </c>
      <c r="O1749" s="3" t="s">
        <v>82</v>
      </c>
      <c r="P1749" s="3" t="str">
        <f>"2170816901                    "</f>
        <v xml:space="preserve">2170816901                    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70.52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1</v>
      </c>
      <c r="BI1749" s="3">
        <v>5</v>
      </c>
      <c r="BJ1749" s="3">
        <v>1.5</v>
      </c>
      <c r="BK1749" s="3">
        <v>5</v>
      </c>
      <c r="BL1749" s="3">
        <v>269.18</v>
      </c>
      <c r="BM1749" s="3">
        <v>40.380000000000003</v>
      </c>
      <c r="BN1749" s="3">
        <v>309.56</v>
      </c>
      <c r="BO1749" s="3">
        <v>309.56</v>
      </c>
      <c r="BQ1749" s="3" t="s">
        <v>83</v>
      </c>
      <c r="BR1749" s="3" t="s">
        <v>84</v>
      </c>
      <c r="BS1749" s="4">
        <v>44586</v>
      </c>
      <c r="BT1749" s="5">
        <v>0.57777777777777783</v>
      </c>
      <c r="BU1749" s="3" t="s">
        <v>955</v>
      </c>
      <c r="BV1749" s="3" t="s">
        <v>87</v>
      </c>
      <c r="BW1749" s="3" t="s">
        <v>457</v>
      </c>
      <c r="BX1749" s="3" t="s">
        <v>602</v>
      </c>
      <c r="BY1749" s="3">
        <v>7540</v>
      </c>
      <c r="BZ1749" s="3" t="s">
        <v>165</v>
      </c>
      <c r="CA1749" s="3" t="s">
        <v>268</v>
      </c>
      <c r="CC1749" s="3" t="s">
        <v>188</v>
      </c>
      <c r="CD1749" s="3">
        <v>7300</v>
      </c>
      <c r="CE1749" s="3" t="s">
        <v>86</v>
      </c>
      <c r="CF1749" s="4">
        <v>44587</v>
      </c>
      <c r="CI1749" s="3">
        <v>1</v>
      </c>
      <c r="CJ1749" s="3">
        <v>1</v>
      </c>
      <c r="CK1749" s="3">
        <v>23</v>
      </c>
      <c r="CL1749" s="3" t="s">
        <v>87</v>
      </c>
    </row>
    <row r="1750" spans="1:90" x14ac:dyDescent="0.2">
      <c r="A1750" s="3" t="s">
        <v>72</v>
      </c>
      <c r="B1750" s="3" t="s">
        <v>73</v>
      </c>
      <c r="C1750" s="3" t="s">
        <v>74</v>
      </c>
      <c r="E1750" s="3" t="str">
        <f>"FES1162846483"</f>
        <v>FES1162846483</v>
      </c>
      <c r="F1750" s="4">
        <v>44585</v>
      </c>
      <c r="G1750" s="3">
        <v>202207</v>
      </c>
      <c r="H1750" s="3" t="s">
        <v>75</v>
      </c>
      <c r="I1750" s="3" t="s">
        <v>76</v>
      </c>
      <c r="J1750" s="3" t="s">
        <v>77</v>
      </c>
      <c r="K1750" s="3" t="s">
        <v>78</v>
      </c>
      <c r="L1750" s="3" t="s">
        <v>171</v>
      </c>
      <c r="M1750" s="3" t="s">
        <v>172</v>
      </c>
      <c r="N1750" s="3" t="s">
        <v>249</v>
      </c>
      <c r="O1750" s="3" t="s">
        <v>82</v>
      </c>
      <c r="P1750" s="3" t="str">
        <f>"2170815740                    "</f>
        <v xml:space="preserve">2170815740                    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15.46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v>0</v>
      </c>
      <c r="BA1750" s="3">
        <v>0</v>
      </c>
      <c r="BB1750" s="3">
        <v>0</v>
      </c>
      <c r="BC1750" s="3">
        <v>0</v>
      </c>
      <c r="BD1750" s="3">
        <v>0</v>
      </c>
      <c r="BE1750" s="3">
        <v>0</v>
      </c>
      <c r="BF1750" s="3">
        <v>0</v>
      </c>
      <c r="BG1750" s="3">
        <v>0</v>
      </c>
      <c r="BH1750" s="3">
        <v>1</v>
      </c>
      <c r="BI1750" s="3">
        <v>1</v>
      </c>
      <c r="BJ1750" s="3">
        <v>0.2</v>
      </c>
      <c r="BK1750" s="3">
        <v>1</v>
      </c>
      <c r="BL1750" s="3">
        <v>59</v>
      </c>
      <c r="BM1750" s="3">
        <v>8.85</v>
      </c>
      <c r="BN1750" s="3">
        <v>67.849999999999994</v>
      </c>
      <c r="BO1750" s="3">
        <v>67.849999999999994</v>
      </c>
      <c r="BQ1750" s="3" t="s">
        <v>89</v>
      </c>
      <c r="BR1750" s="3" t="s">
        <v>84</v>
      </c>
      <c r="BS1750" s="4">
        <v>44586</v>
      </c>
      <c r="BT1750" s="5">
        <v>0.38680555555555557</v>
      </c>
      <c r="BU1750" s="3" t="s">
        <v>1979</v>
      </c>
      <c r="BV1750" s="3" t="s">
        <v>105</v>
      </c>
      <c r="BY1750" s="3">
        <v>1200</v>
      </c>
      <c r="BZ1750" s="3" t="s">
        <v>165</v>
      </c>
      <c r="CA1750" s="3" t="s">
        <v>509</v>
      </c>
      <c r="CC1750" s="3" t="s">
        <v>172</v>
      </c>
      <c r="CD1750" s="3">
        <v>6001</v>
      </c>
      <c r="CE1750" s="3" t="s">
        <v>93</v>
      </c>
      <c r="CF1750" s="4">
        <v>44586</v>
      </c>
      <c r="CI1750" s="3">
        <v>1</v>
      </c>
      <c r="CJ1750" s="3">
        <v>1</v>
      </c>
      <c r="CK1750" s="3">
        <v>21</v>
      </c>
      <c r="CL1750" s="3" t="s">
        <v>87</v>
      </c>
    </row>
    <row r="1751" spans="1:90" x14ac:dyDescent="0.2">
      <c r="A1751" s="3" t="s">
        <v>72</v>
      </c>
      <c r="B1751" s="3" t="s">
        <v>73</v>
      </c>
      <c r="C1751" s="3" t="s">
        <v>74</v>
      </c>
      <c r="E1751" s="3" t="str">
        <f>"FES1162846401"</f>
        <v>FES1162846401</v>
      </c>
      <c r="F1751" s="4">
        <v>44585</v>
      </c>
      <c r="G1751" s="3">
        <v>202207</v>
      </c>
      <c r="H1751" s="3" t="s">
        <v>75</v>
      </c>
      <c r="I1751" s="3" t="s">
        <v>76</v>
      </c>
      <c r="J1751" s="3" t="s">
        <v>77</v>
      </c>
      <c r="K1751" s="3" t="s">
        <v>78</v>
      </c>
      <c r="L1751" s="3" t="s">
        <v>158</v>
      </c>
      <c r="M1751" s="3" t="s">
        <v>159</v>
      </c>
      <c r="N1751" s="3" t="s">
        <v>1457</v>
      </c>
      <c r="O1751" s="3" t="s">
        <v>82</v>
      </c>
      <c r="P1751" s="3" t="str">
        <f>"2170817304                    "</f>
        <v xml:space="preserve">2170817304                    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12.07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1</v>
      </c>
      <c r="BI1751" s="3">
        <v>1</v>
      </c>
      <c r="BJ1751" s="3">
        <v>0.2</v>
      </c>
      <c r="BK1751" s="3">
        <v>1</v>
      </c>
      <c r="BL1751" s="3">
        <v>46.08</v>
      </c>
      <c r="BM1751" s="3">
        <v>6.91</v>
      </c>
      <c r="BN1751" s="3">
        <v>52.99</v>
      </c>
      <c r="BO1751" s="3">
        <v>52.99</v>
      </c>
      <c r="BQ1751" s="3" t="s">
        <v>89</v>
      </c>
      <c r="BR1751" s="3" t="s">
        <v>84</v>
      </c>
      <c r="BS1751" s="4">
        <v>44586</v>
      </c>
      <c r="BT1751" s="5">
        <v>0.30833333333333335</v>
      </c>
      <c r="BU1751" s="3" t="s">
        <v>1891</v>
      </c>
      <c r="BV1751" s="3" t="s">
        <v>105</v>
      </c>
      <c r="BY1751" s="3">
        <v>1200</v>
      </c>
      <c r="BZ1751" s="3" t="s">
        <v>165</v>
      </c>
      <c r="CA1751" s="3" t="s">
        <v>763</v>
      </c>
      <c r="CC1751" s="3" t="s">
        <v>159</v>
      </c>
      <c r="CD1751" s="3">
        <v>1459</v>
      </c>
      <c r="CE1751" s="3" t="s">
        <v>93</v>
      </c>
      <c r="CF1751" s="4">
        <v>44586</v>
      </c>
      <c r="CI1751" s="3">
        <v>1</v>
      </c>
      <c r="CJ1751" s="3">
        <v>1</v>
      </c>
      <c r="CK1751" s="3">
        <v>22</v>
      </c>
      <c r="CL1751" s="3" t="s">
        <v>87</v>
      </c>
    </row>
    <row r="1752" spans="1:90" x14ac:dyDescent="0.2">
      <c r="A1752" s="3" t="s">
        <v>72</v>
      </c>
      <c r="B1752" s="3" t="s">
        <v>73</v>
      </c>
      <c r="C1752" s="3" t="s">
        <v>74</v>
      </c>
      <c r="E1752" s="3" t="str">
        <f>"FES1162846519"</f>
        <v>FES1162846519</v>
      </c>
      <c r="F1752" s="4">
        <v>44585</v>
      </c>
      <c r="G1752" s="3">
        <v>202207</v>
      </c>
      <c r="H1752" s="3" t="s">
        <v>75</v>
      </c>
      <c r="I1752" s="3" t="s">
        <v>76</v>
      </c>
      <c r="J1752" s="3" t="s">
        <v>77</v>
      </c>
      <c r="K1752" s="3" t="s">
        <v>78</v>
      </c>
      <c r="L1752" s="3" t="s">
        <v>90</v>
      </c>
      <c r="M1752" s="3" t="s">
        <v>91</v>
      </c>
      <c r="N1752" s="3" t="s">
        <v>418</v>
      </c>
      <c r="O1752" s="3" t="s">
        <v>82</v>
      </c>
      <c r="P1752" s="3" t="str">
        <f>"2170816836                    "</f>
        <v xml:space="preserve">2170816836                    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15.46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1</v>
      </c>
      <c r="BI1752" s="3">
        <v>1</v>
      </c>
      <c r="BJ1752" s="3">
        <v>0.2</v>
      </c>
      <c r="BK1752" s="3">
        <v>1</v>
      </c>
      <c r="BL1752" s="3">
        <v>59</v>
      </c>
      <c r="BM1752" s="3">
        <v>8.85</v>
      </c>
      <c r="BN1752" s="3">
        <v>67.849999999999994</v>
      </c>
      <c r="BO1752" s="3">
        <v>67.849999999999994</v>
      </c>
      <c r="BQ1752" s="3" t="s">
        <v>128</v>
      </c>
      <c r="BR1752" s="3" t="s">
        <v>84</v>
      </c>
      <c r="BS1752" s="4">
        <v>44586</v>
      </c>
      <c r="BT1752" s="5">
        <v>0.36805555555555558</v>
      </c>
      <c r="BU1752" s="3" t="s">
        <v>515</v>
      </c>
      <c r="BV1752" s="3" t="s">
        <v>105</v>
      </c>
      <c r="BY1752" s="3">
        <v>1200</v>
      </c>
      <c r="BZ1752" s="3" t="s">
        <v>165</v>
      </c>
      <c r="CA1752" s="3" t="s">
        <v>271</v>
      </c>
      <c r="CC1752" s="3" t="s">
        <v>91</v>
      </c>
      <c r="CD1752" s="3">
        <v>7441</v>
      </c>
      <c r="CE1752" s="3" t="s">
        <v>93</v>
      </c>
      <c r="CF1752" s="4">
        <v>44587</v>
      </c>
      <c r="CI1752" s="3">
        <v>1</v>
      </c>
      <c r="CJ1752" s="3">
        <v>1</v>
      </c>
      <c r="CK1752" s="3">
        <v>21</v>
      </c>
      <c r="CL1752" s="3" t="s">
        <v>87</v>
      </c>
    </row>
    <row r="1753" spans="1:90" x14ac:dyDescent="0.2">
      <c r="A1753" s="3" t="s">
        <v>72</v>
      </c>
      <c r="B1753" s="3" t="s">
        <v>73</v>
      </c>
      <c r="C1753" s="3" t="s">
        <v>74</v>
      </c>
      <c r="E1753" s="3" t="str">
        <f>"FES1162846418"</f>
        <v>FES1162846418</v>
      </c>
      <c r="F1753" s="4">
        <v>44585</v>
      </c>
      <c r="G1753" s="3">
        <v>202207</v>
      </c>
      <c r="H1753" s="3" t="s">
        <v>75</v>
      </c>
      <c r="I1753" s="3" t="s">
        <v>76</v>
      </c>
      <c r="J1753" s="3" t="s">
        <v>77</v>
      </c>
      <c r="K1753" s="3" t="s">
        <v>78</v>
      </c>
      <c r="L1753" s="3" t="s">
        <v>438</v>
      </c>
      <c r="M1753" s="3" t="s">
        <v>439</v>
      </c>
      <c r="N1753" s="3" t="s">
        <v>1997</v>
      </c>
      <c r="O1753" s="3" t="s">
        <v>82</v>
      </c>
      <c r="P1753" s="3" t="str">
        <f>"2170797318                    "</f>
        <v xml:space="preserve">2170797318                    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19.32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1</v>
      </c>
      <c r="BI1753" s="3">
        <v>2</v>
      </c>
      <c r="BJ1753" s="3">
        <v>2.5</v>
      </c>
      <c r="BK1753" s="3">
        <v>2.5</v>
      </c>
      <c r="BL1753" s="3">
        <v>73.739999999999995</v>
      </c>
      <c r="BM1753" s="3">
        <v>11.06</v>
      </c>
      <c r="BN1753" s="3">
        <v>84.8</v>
      </c>
      <c r="BO1753" s="3">
        <v>84.8</v>
      </c>
      <c r="BQ1753" s="3" t="s">
        <v>89</v>
      </c>
      <c r="BR1753" s="3" t="s">
        <v>84</v>
      </c>
      <c r="BS1753" s="4">
        <v>44586</v>
      </c>
      <c r="BT1753" s="5">
        <v>0.38055555555555554</v>
      </c>
      <c r="BU1753" s="3" t="s">
        <v>1998</v>
      </c>
      <c r="BV1753" s="3" t="s">
        <v>105</v>
      </c>
      <c r="BY1753" s="3">
        <v>12615</v>
      </c>
      <c r="BZ1753" s="3" t="s">
        <v>165</v>
      </c>
      <c r="CA1753" s="3" t="s">
        <v>1496</v>
      </c>
      <c r="CC1753" s="3" t="s">
        <v>439</v>
      </c>
      <c r="CD1753" s="3">
        <v>4126</v>
      </c>
      <c r="CE1753" s="3" t="s">
        <v>86</v>
      </c>
      <c r="CF1753" s="4">
        <v>44587</v>
      </c>
      <c r="CI1753" s="3">
        <v>1</v>
      </c>
      <c r="CJ1753" s="3">
        <v>1</v>
      </c>
      <c r="CK1753" s="3">
        <v>21</v>
      </c>
      <c r="CL1753" s="3" t="s">
        <v>87</v>
      </c>
    </row>
    <row r="1754" spans="1:90" x14ac:dyDescent="0.2">
      <c r="A1754" s="3" t="s">
        <v>72</v>
      </c>
      <c r="B1754" s="3" t="s">
        <v>73</v>
      </c>
      <c r="C1754" s="3" t="s">
        <v>74</v>
      </c>
      <c r="E1754" s="3" t="str">
        <f>"FES1162846533"</f>
        <v>FES1162846533</v>
      </c>
      <c r="F1754" s="4">
        <v>44585</v>
      </c>
      <c r="G1754" s="3">
        <v>202207</v>
      </c>
      <c r="H1754" s="3" t="s">
        <v>75</v>
      </c>
      <c r="I1754" s="3" t="s">
        <v>76</v>
      </c>
      <c r="J1754" s="3" t="s">
        <v>77</v>
      </c>
      <c r="K1754" s="3" t="s">
        <v>78</v>
      </c>
      <c r="L1754" s="3" t="s">
        <v>90</v>
      </c>
      <c r="M1754" s="3" t="s">
        <v>91</v>
      </c>
      <c r="N1754" s="3" t="s">
        <v>157</v>
      </c>
      <c r="O1754" s="3" t="s">
        <v>82</v>
      </c>
      <c r="P1754" s="3" t="str">
        <f>"2170817939                    "</f>
        <v xml:space="preserve">2170817939                    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15.46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1</v>
      </c>
      <c r="BI1754" s="3">
        <v>1</v>
      </c>
      <c r="BJ1754" s="3">
        <v>0.2</v>
      </c>
      <c r="BK1754" s="3">
        <v>1</v>
      </c>
      <c r="BL1754" s="3">
        <v>59</v>
      </c>
      <c r="BM1754" s="3">
        <v>8.85</v>
      </c>
      <c r="BN1754" s="3">
        <v>67.849999999999994</v>
      </c>
      <c r="BO1754" s="3">
        <v>67.849999999999994</v>
      </c>
      <c r="BQ1754" s="3" t="s">
        <v>89</v>
      </c>
      <c r="BR1754" s="3" t="s">
        <v>84</v>
      </c>
      <c r="BS1754" s="4">
        <v>44586</v>
      </c>
      <c r="BT1754" s="5">
        <v>0.39166666666666666</v>
      </c>
      <c r="BU1754" s="3" t="s">
        <v>1999</v>
      </c>
      <c r="BV1754" s="3" t="s">
        <v>105</v>
      </c>
      <c r="BY1754" s="3">
        <v>1200</v>
      </c>
      <c r="BZ1754" s="3" t="s">
        <v>165</v>
      </c>
      <c r="CA1754" s="3" t="s">
        <v>692</v>
      </c>
      <c r="CC1754" s="3" t="s">
        <v>91</v>
      </c>
      <c r="CD1754" s="3">
        <v>7441</v>
      </c>
      <c r="CE1754" s="3" t="s">
        <v>93</v>
      </c>
      <c r="CF1754" s="4">
        <v>44587</v>
      </c>
      <c r="CI1754" s="3">
        <v>1</v>
      </c>
      <c r="CJ1754" s="3">
        <v>1</v>
      </c>
      <c r="CK1754" s="3">
        <v>21</v>
      </c>
      <c r="CL1754" s="3" t="s">
        <v>87</v>
      </c>
    </row>
    <row r="1755" spans="1:90" x14ac:dyDescent="0.2">
      <c r="A1755" s="3" t="s">
        <v>72</v>
      </c>
      <c r="B1755" s="3" t="s">
        <v>73</v>
      </c>
      <c r="C1755" s="3" t="s">
        <v>74</v>
      </c>
      <c r="E1755" s="3" t="str">
        <f>"FES1162846362"</f>
        <v>FES1162846362</v>
      </c>
      <c r="F1755" s="4">
        <v>44585</v>
      </c>
      <c r="G1755" s="3">
        <v>202207</v>
      </c>
      <c r="H1755" s="3" t="s">
        <v>75</v>
      </c>
      <c r="I1755" s="3" t="s">
        <v>76</v>
      </c>
      <c r="J1755" s="3" t="s">
        <v>77</v>
      </c>
      <c r="K1755" s="3" t="s">
        <v>78</v>
      </c>
      <c r="L1755" s="3" t="s">
        <v>75</v>
      </c>
      <c r="M1755" s="3" t="s">
        <v>76</v>
      </c>
      <c r="N1755" s="3" t="s">
        <v>147</v>
      </c>
      <c r="O1755" s="3" t="s">
        <v>82</v>
      </c>
      <c r="P1755" s="3" t="str">
        <f>"2170817829                    "</f>
        <v xml:space="preserve">2170817829                    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16.420000000000002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1</v>
      </c>
      <c r="BI1755" s="3">
        <v>4</v>
      </c>
      <c r="BJ1755" s="3">
        <v>9.1</v>
      </c>
      <c r="BK1755" s="3">
        <v>9.5</v>
      </c>
      <c r="BL1755" s="3">
        <v>62.67</v>
      </c>
      <c r="BM1755" s="3">
        <v>9.4</v>
      </c>
      <c r="BN1755" s="3">
        <v>72.069999999999993</v>
      </c>
      <c r="BO1755" s="3">
        <v>72.069999999999993</v>
      </c>
      <c r="BQ1755" s="3" t="s">
        <v>89</v>
      </c>
      <c r="BR1755" s="3" t="s">
        <v>84</v>
      </c>
      <c r="BS1755" s="4">
        <v>44586</v>
      </c>
      <c r="BT1755" s="5">
        <v>0.42569444444444443</v>
      </c>
      <c r="BU1755" s="3" t="s">
        <v>2000</v>
      </c>
      <c r="BV1755" s="3" t="s">
        <v>105</v>
      </c>
      <c r="BY1755" s="3">
        <v>45632</v>
      </c>
      <c r="BZ1755" s="3" t="s">
        <v>165</v>
      </c>
      <c r="CA1755" s="3" t="s">
        <v>1311</v>
      </c>
      <c r="CC1755" s="3" t="s">
        <v>76</v>
      </c>
      <c r="CD1755" s="3">
        <v>1645</v>
      </c>
      <c r="CE1755" s="3" t="s">
        <v>86</v>
      </c>
      <c r="CF1755" s="4">
        <v>44586</v>
      </c>
      <c r="CI1755" s="3">
        <v>1</v>
      </c>
      <c r="CJ1755" s="3">
        <v>1</v>
      </c>
      <c r="CK1755" s="3">
        <v>22</v>
      </c>
      <c r="CL1755" s="3" t="s">
        <v>87</v>
      </c>
    </row>
    <row r="1756" spans="1:90" x14ac:dyDescent="0.2">
      <c r="A1756" s="3" t="s">
        <v>72</v>
      </c>
      <c r="B1756" s="3" t="s">
        <v>73</v>
      </c>
      <c r="C1756" s="3" t="s">
        <v>74</v>
      </c>
      <c r="E1756" s="3" t="str">
        <f>"FES1162846386"</f>
        <v>FES1162846386</v>
      </c>
      <c r="F1756" s="4">
        <v>44585</v>
      </c>
      <c r="G1756" s="3">
        <v>202207</v>
      </c>
      <c r="H1756" s="3" t="s">
        <v>75</v>
      </c>
      <c r="I1756" s="3" t="s">
        <v>76</v>
      </c>
      <c r="J1756" s="3" t="s">
        <v>77</v>
      </c>
      <c r="K1756" s="3" t="s">
        <v>78</v>
      </c>
      <c r="L1756" s="3" t="s">
        <v>138</v>
      </c>
      <c r="M1756" s="3" t="s">
        <v>139</v>
      </c>
      <c r="N1756" s="3" t="s">
        <v>1616</v>
      </c>
      <c r="O1756" s="3" t="s">
        <v>82</v>
      </c>
      <c r="P1756" s="3" t="str">
        <f>"2170817889                    "</f>
        <v xml:space="preserve">2170817889                    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15.46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  <c r="BH1756" s="3">
        <v>1</v>
      </c>
      <c r="BI1756" s="3">
        <v>1</v>
      </c>
      <c r="BJ1756" s="3">
        <v>0.2</v>
      </c>
      <c r="BK1756" s="3">
        <v>1</v>
      </c>
      <c r="BL1756" s="3">
        <v>59</v>
      </c>
      <c r="BM1756" s="3">
        <v>8.85</v>
      </c>
      <c r="BN1756" s="3">
        <v>67.849999999999994</v>
      </c>
      <c r="BO1756" s="3">
        <v>67.849999999999994</v>
      </c>
      <c r="BQ1756" s="3" t="s">
        <v>89</v>
      </c>
      <c r="BR1756" s="3" t="s">
        <v>84</v>
      </c>
      <c r="BS1756" s="4">
        <v>44586</v>
      </c>
      <c r="BT1756" s="5">
        <v>0.39652777777777781</v>
      </c>
      <c r="BU1756" s="3" t="s">
        <v>2001</v>
      </c>
      <c r="BV1756" s="3" t="s">
        <v>105</v>
      </c>
      <c r="BY1756" s="3">
        <v>1200</v>
      </c>
      <c r="BZ1756" s="3" t="s">
        <v>165</v>
      </c>
      <c r="CA1756" s="3" t="s">
        <v>106</v>
      </c>
      <c r="CC1756" s="3" t="s">
        <v>139</v>
      </c>
      <c r="CD1756" s="3">
        <v>3610</v>
      </c>
      <c r="CE1756" s="3" t="s">
        <v>93</v>
      </c>
      <c r="CF1756" s="4">
        <v>44587</v>
      </c>
      <c r="CI1756" s="3">
        <v>1</v>
      </c>
      <c r="CJ1756" s="3">
        <v>1</v>
      </c>
      <c r="CK1756" s="3">
        <v>21</v>
      </c>
      <c r="CL1756" s="3" t="s">
        <v>87</v>
      </c>
    </row>
    <row r="1757" spans="1:90" x14ac:dyDescent="0.2">
      <c r="A1757" s="3" t="s">
        <v>72</v>
      </c>
      <c r="B1757" s="3" t="s">
        <v>73</v>
      </c>
      <c r="C1757" s="3" t="s">
        <v>74</v>
      </c>
      <c r="E1757" s="3" t="str">
        <f>"FES1162846552"</f>
        <v>FES1162846552</v>
      </c>
      <c r="F1757" s="4">
        <v>44585</v>
      </c>
      <c r="G1757" s="3">
        <v>202207</v>
      </c>
      <c r="H1757" s="3" t="s">
        <v>75</v>
      </c>
      <c r="I1757" s="3" t="s">
        <v>76</v>
      </c>
      <c r="J1757" s="3" t="s">
        <v>77</v>
      </c>
      <c r="K1757" s="3" t="s">
        <v>78</v>
      </c>
      <c r="L1757" s="3" t="s">
        <v>171</v>
      </c>
      <c r="M1757" s="3" t="s">
        <v>172</v>
      </c>
      <c r="N1757" s="3" t="s">
        <v>454</v>
      </c>
      <c r="O1757" s="3" t="s">
        <v>82</v>
      </c>
      <c r="P1757" s="3" t="str">
        <f>"2170817954                    "</f>
        <v xml:space="preserve">2170817954                    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15.46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1</v>
      </c>
      <c r="BI1757" s="3">
        <v>1</v>
      </c>
      <c r="BJ1757" s="3">
        <v>0.2</v>
      </c>
      <c r="BK1757" s="3">
        <v>1</v>
      </c>
      <c r="BL1757" s="3">
        <v>59</v>
      </c>
      <c r="BM1757" s="3">
        <v>8.85</v>
      </c>
      <c r="BN1757" s="3">
        <v>67.849999999999994</v>
      </c>
      <c r="BO1757" s="3">
        <v>67.849999999999994</v>
      </c>
      <c r="BQ1757" s="3" t="s">
        <v>89</v>
      </c>
      <c r="BR1757" s="3" t="s">
        <v>84</v>
      </c>
      <c r="BS1757" s="4">
        <v>44586</v>
      </c>
      <c r="BT1757" s="5">
        <v>0.38125000000000003</v>
      </c>
      <c r="BU1757" s="3" t="s">
        <v>1989</v>
      </c>
      <c r="BV1757" s="3" t="s">
        <v>105</v>
      </c>
      <c r="BY1757" s="3">
        <v>1200</v>
      </c>
      <c r="BZ1757" s="3" t="s">
        <v>165</v>
      </c>
      <c r="CA1757" s="3" t="s">
        <v>509</v>
      </c>
      <c r="CC1757" s="3" t="s">
        <v>172</v>
      </c>
      <c r="CD1757" s="3">
        <v>6001</v>
      </c>
      <c r="CE1757" s="3" t="s">
        <v>93</v>
      </c>
      <c r="CF1757" s="4">
        <v>44586</v>
      </c>
      <c r="CI1757" s="3">
        <v>1</v>
      </c>
      <c r="CJ1757" s="3">
        <v>1</v>
      </c>
      <c r="CK1757" s="3">
        <v>21</v>
      </c>
      <c r="CL1757" s="3" t="s">
        <v>87</v>
      </c>
    </row>
    <row r="1758" spans="1:90" x14ac:dyDescent="0.2">
      <c r="A1758" s="3" t="s">
        <v>72</v>
      </c>
      <c r="B1758" s="3" t="s">
        <v>73</v>
      </c>
      <c r="C1758" s="3" t="s">
        <v>74</v>
      </c>
      <c r="E1758" s="3" t="str">
        <f>"FES1162846394"</f>
        <v>FES1162846394</v>
      </c>
      <c r="F1758" s="4">
        <v>44585</v>
      </c>
      <c r="G1758" s="3">
        <v>202207</v>
      </c>
      <c r="H1758" s="3" t="s">
        <v>75</v>
      </c>
      <c r="I1758" s="3" t="s">
        <v>76</v>
      </c>
      <c r="J1758" s="3" t="s">
        <v>77</v>
      </c>
      <c r="K1758" s="3" t="s">
        <v>78</v>
      </c>
      <c r="L1758" s="3" t="s">
        <v>101</v>
      </c>
      <c r="M1758" s="3" t="s">
        <v>102</v>
      </c>
      <c r="N1758" s="3" t="s">
        <v>340</v>
      </c>
      <c r="O1758" s="3" t="s">
        <v>82</v>
      </c>
      <c r="P1758" s="3" t="str">
        <f>"2170817905                    "</f>
        <v xml:space="preserve">2170817905                    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15.46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  <c r="BH1758" s="3">
        <v>1</v>
      </c>
      <c r="BI1758" s="3">
        <v>1</v>
      </c>
      <c r="BJ1758" s="3">
        <v>0.2</v>
      </c>
      <c r="BK1758" s="3">
        <v>1</v>
      </c>
      <c r="BL1758" s="3">
        <v>59</v>
      </c>
      <c r="BM1758" s="3">
        <v>8.85</v>
      </c>
      <c r="BN1758" s="3">
        <v>67.849999999999994</v>
      </c>
      <c r="BO1758" s="3">
        <v>67.849999999999994</v>
      </c>
      <c r="BQ1758" s="3" t="s">
        <v>341</v>
      </c>
      <c r="BR1758" s="3" t="s">
        <v>84</v>
      </c>
      <c r="BS1758" s="4">
        <v>44586</v>
      </c>
      <c r="BT1758" s="5">
        <v>0.32916666666666666</v>
      </c>
      <c r="BU1758" s="3" t="s">
        <v>2002</v>
      </c>
      <c r="BV1758" s="3" t="s">
        <v>105</v>
      </c>
      <c r="BY1758" s="3">
        <v>1200</v>
      </c>
      <c r="BZ1758" s="3" t="s">
        <v>165</v>
      </c>
      <c r="CA1758" s="3" t="s">
        <v>343</v>
      </c>
      <c r="CC1758" s="3" t="s">
        <v>102</v>
      </c>
      <c r="CD1758" s="3">
        <v>4001</v>
      </c>
      <c r="CE1758" s="3" t="s">
        <v>93</v>
      </c>
      <c r="CF1758" s="4">
        <v>44587</v>
      </c>
      <c r="CI1758" s="3">
        <v>1</v>
      </c>
      <c r="CJ1758" s="3">
        <v>1</v>
      </c>
      <c r="CK1758" s="3">
        <v>21</v>
      </c>
      <c r="CL1758" s="3" t="s">
        <v>87</v>
      </c>
    </row>
    <row r="1759" spans="1:90" x14ac:dyDescent="0.2">
      <c r="A1759" s="3" t="s">
        <v>72</v>
      </c>
      <c r="B1759" s="3" t="s">
        <v>73</v>
      </c>
      <c r="C1759" s="3" t="s">
        <v>74</v>
      </c>
      <c r="E1759" s="3" t="str">
        <f>"FES1162846499"</f>
        <v>FES1162846499</v>
      </c>
      <c r="F1759" s="4">
        <v>44585</v>
      </c>
      <c r="G1759" s="3">
        <v>202207</v>
      </c>
      <c r="H1759" s="3" t="s">
        <v>75</v>
      </c>
      <c r="I1759" s="3" t="s">
        <v>76</v>
      </c>
      <c r="J1759" s="3" t="s">
        <v>77</v>
      </c>
      <c r="K1759" s="3" t="s">
        <v>78</v>
      </c>
      <c r="L1759" s="3" t="s">
        <v>167</v>
      </c>
      <c r="M1759" s="3" t="s">
        <v>168</v>
      </c>
      <c r="N1759" s="3" t="s">
        <v>247</v>
      </c>
      <c r="O1759" s="3" t="s">
        <v>82</v>
      </c>
      <c r="P1759" s="3" t="str">
        <f>"2170815903                    "</f>
        <v xml:space="preserve">2170815903                    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0</v>
      </c>
      <c r="AJ1759" s="3">
        <v>0</v>
      </c>
      <c r="AK1759" s="3">
        <v>15.46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1</v>
      </c>
      <c r="BI1759" s="3">
        <v>2</v>
      </c>
      <c r="BJ1759" s="3">
        <v>0.9</v>
      </c>
      <c r="BK1759" s="3">
        <v>2</v>
      </c>
      <c r="BL1759" s="3">
        <v>59</v>
      </c>
      <c r="BM1759" s="3">
        <v>8.85</v>
      </c>
      <c r="BN1759" s="3">
        <v>67.849999999999994</v>
      </c>
      <c r="BO1759" s="3">
        <v>67.849999999999994</v>
      </c>
      <c r="BQ1759" s="3" t="s">
        <v>89</v>
      </c>
      <c r="BR1759" s="3" t="s">
        <v>84</v>
      </c>
      <c r="BS1759" s="4">
        <v>44586</v>
      </c>
      <c r="BT1759" s="5">
        <v>0.3888888888888889</v>
      </c>
      <c r="BU1759" s="3" t="s">
        <v>2003</v>
      </c>
      <c r="BV1759" s="3" t="s">
        <v>105</v>
      </c>
      <c r="BY1759" s="3">
        <v>4275</v>
      </c>
      <c r="BZ1759" s="3" t="s">
        <v>165</v>
      </c>
      <c r="CA1759" s="3" t="s">
        <v>553</v>
      </c>
      <c r="CC1759" s="3" t="s">
        <v>168</v>
      </c>
      <c r="CD1759" s="3">
        <v>6229</v>
      </c>
      <c r="CE1759" s="3" t="s">
        <v>86</v>
      </c>
      <c r="CF1759" s="4">
        <v>44586</v>
      </c>
      <c r="CI1759" s="3">
        <v>1</v>
      </c>
      <c r="CJ1759" s="3">
        <v>1</v>
      </c>
      <c r="CK1759" s="3">
        <v>21</v>
      </c>
      <c r="CL1759" s="3" t="s">
        <v>87</v>
      </c>
    </row>
    <row r="1760" spans="1:90" x14ac:dyDescent="0.2">
      <c r="A1760" s="3" t="s">
        <v>72</v>
      </c>
      <c r="B1760" s="3" t="s">
        <v>73</v>
      </c>
      <c r="C1760" s="3" t="s">
        <v>74</v>
      </c>
      <c r="E1760" s="3" t="str">
        <f>"FES1162846392"</f>
        <v>FES1162846392</v>
      </c>
      <c r="F1760" s="4">
        <v>44585</v>
      </c>
      <c r="G1760" s="3">
        <v>202207</v>
      </c>
      <c r="H1760" s="3" t="s">
        <v>75</v>
      </c>
      <c r="I1760" s="3" t="s">
        <v>76</v>
      </c>
      <c r="J1760" s="3" t="s">
        <v>77</v>
      </c>
      <c r="K1760" s="3" t="s">
        <v>78</v>
      </c>
      <c r="L1760" s="3" t="s">
        <v>101</v>
      </c>
      <c r="M1760" s="3" t="s">
        <v>102</v>
      </c>
      <c r="N1760" s="3" t="s">
        <v>935</v>
      </c>
      <c r="O1760" s="3" t="s">
        <v>82</v>
      </c>
      <c r="P1760" s="3" t="str">
        <f>"2170817899                    "</f>
        <v xml:space="preserve">2170817899                    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0</v>
      </c>
      <c r="AJ1760" s="3">
        <v>0</v>
      </c>
      <c r="AK1760" s="3">
        <v>15.46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  <c r="BH1760" s="3">
        <v>1</v>
      </c>
      <c r="BI1760" s="3">
        <v>1</v>
      </c>
      <c r="BJ1760" s="3">
        <v>0.2</v>
      </c>
      <c r="BK1760" s="3">
        <v>1</v>
      </c>
      <c r="BL1760" s="3">
        <v>59</v>
      </c>
      <c r="BM1760" s="3">
        <v>8.85</v>
      </c>
      <c r="BN1760" s="3">
        <v>67.849999999999994</v>
      </c>
      <c r="BO1760" s="3">
        <v>67.849999999999994</v>
      </c>
      <c r="BQ1760" s="3" t="s">
        <v>89</v>
      </c>
      <c r="BR1760" s="3" t="s">
        <v>84</v>
      </c>
      <c r="BS1760" s="4">
        <v>44586</v>
      </c>
      <c r="BT1760" s="5">
        <v>0.4368055555555555</v>
      </c>
      <c r="BU1760" s="3" t="s">
        <v>2004</v>
      </c>
      <c r="BV1760" s="3" t="s">
        <v>105</v>
      </c>
      <c r="BY1760" s="3">
        <v>1200</v>
      </c>
      <c r="BZ1760" s="3" t="s">
        <v>165</v>
      </c>
      <c r="CA1760" s="3" t="s">
        <v>615</v>
      </c>
      <c r="CC1760" s="3" t="s">
        <v>102</v>
      </c>
      <c r="CD1760" s="3">
        <v>4001</v>
      </c>
      <c r="CE1760" s="3" t="s">
        <v>93</v>
      </c>
      <c r="CF1760" s="4">
        <v>44587</v>
      </c>
      <c r="CI1760" s="3">
        <v>1</v>
      </c>
      <c r="CJ1760" s="3">
        <v>1</v>
      </c>
      <c r="CK1760" s="3">
        <v>21</v>
      </c>
      <c r="CL1760" s="3" t="s">
        <v>87</v>
      </c>
    </row>
    <row r="1761" spans="1:90" x14ac:dyDescent="0.2">
      <c r="A1761" s="3" t="s">
        <v>72</v>
      </c>
      <c r="B1761" s="3" t="s">
        <v>73</v>
      </c>
      <c r="C1761" s="3" t="s">
        <v>74</v>
      </c>
      <c r="E1761" s="3" t="str">
        <f>"FES1162846430"</f>
        <v>FES1162846430</v>
      </c>
      <c r="F1761" s="4">
        <v>44585</v>
      </c>
      <c r="G1761" s="3">
        <v>202207</v>
      </c>
      <c r="H1761" s="3" t="s">
        <v>75</v>
      </c>
      <c r="I1761" s="3" t="s">
        <v>76</v>
      </c>
      <c r="J1761" s="3" t="s">
        <v>77</v>
      </c>
      <c r="K1761" s="3" t="s">
        <v>78</v>
      </c>
      <c r="L1761" s="3" t="s">
        <v>167</v>
      </c>
      <c r="M1761" s="3" t="s">
        <v>168</v>
      </c>
      <c r="N1761" s="3" t="s">
        <v>194</v>
      </c>
      <c r="O1761" s="3" t="s">
        <v>82</v>
      </c>
      <c r="P1761" s="3" t="str">
        <f>"2170810937                    "</f>
        <v xml:space="preserve">2170810937                    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15.46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0</v>
      </c>
      <c r="BF1761" s="3">
        <v>0</v>
      </c>
      <c r="BG1761" s="3">
        <v>0</v>
      </c>
      <c r="BH1761" s="3">
        <v>1</v>
      </c>
      <c r="BI1761" s="3">
        <v>1</v>
      </c>
      <c r="BJ1761" s="3">
        <v>0.2</v>
      </c>
      <c r="BK1761" s="3">
        <v>1</v>
      </c>
      <c r="BL1761" s="3">
        <v>59</v>
      </c>
      <c r="BM1761" s="3">
        <v>8.85</v>
      </c>
      <c r="BN1761" s="3">
        <v>67.849999999999994</v>
      </c>
      <c r="BO1761" s="3">
        <v>67.849999999999994</v>
      </c>
      <c r="BQ1761" s="3" t="s">
        <v>89</v>
      </c>
      <c r="BR1761" s="3" t="s">
        <v>84</v>
      </c>
      <c r="BS1761" s="4">
        <v>44586</v>
      </c>
      <c r="BT1761" s="5">
        <v>0.36249999999999999</v>
      </c>
      <c r="BU1761" s="3" t="s">
        <v>1028</v>
      </c>
      <c r="BV1761" s="3" t="s">
        <v>105</v>
      </c>
      <c r="BY1761" s="3">
        <v>1200</v>
      </c>
      <c r="BZ1761" s="3" t="s">
        <v>165</v>
      </c>
      <c r="CA1761" s="3" t="s">
        <v>553</v>
      </c>
      <c r="CC1761" s="3" t="s">
        <v>168</v>
      </c>
      <c r="CD1761" s="3">
        <v>6229</v>
      </c>
      <c r="CE1761" s="3" t="s">
        <v>93</v>
      </c>
      <c r="CF1761" s="4">
        <v>44586</v>
      </c>
      <c r="CI1761" s="3">
        <v>1</v>
      </c>
      <c r="CJ1761" s="3">
        <v>1</v>
      </c>
      <c r="CK1761" s="3">
        <v>21</v>
      </c>
      <c r="CL1761" s="3" t="s">
        <v>87</v>
      </c>
    </row>
    <row r="1762" spans="1:90" x14ac:dyDescent="0.2">
      <c r="A1762" s="3" t="s">
        <v>72</v>
      </c>
      <c r="B1762" s="3" t="s">
        <v>73</v>
      </c>
      <c r="C1762" s="3" t="s">
        <v>74</v>
      </c>
      <c r="E1762" s="3" t="str">
        <f>"FES1162846399"</f>
        <v>FES1162846399</v>
      </c>
      <c r="F1762" s="4">
        <v>44585</v>
      </c>
      <c r="G1762" s="3">
        <v>202207</v>
      </c>
      <c r="H1762" s="3" t="s">
        <v>75</v>
      </c>
      <c r="I1762" s="3" t="s">
        <v>76</v>
      </c>
      <c r="J1762" s="3" t="s">
        <v>77</v>
      </c>
      <c r="K1762" s="3" t="s">
        <v>78</v>
      </c>
      <c r="L1762" s="3" t="s">
        <v>158</v>
      </c>
      <c r="M1762" s="3" t="s">
        <v>159</v>
      </c>
      <c r="N1762" s="3" t="s">
        <v>1457</v>
      </c>
      <c r="O1762" s="3" t="s">
        <v>82</v>
      </c>
      <c r="P1762" s="3" t="str">
        <f>"2170817914                    "</f>
        <v xml:space="preserve">2170817914                    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12.07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1</v>
      </c>
      <c r="BI1762" s="3">
        <v>1</v>
      </c>
      <c r="BJ1762" s="3">
        <v>0.2</v>
      </c>
      <c r="BK1762" s="3">
        <v>1</v>
      </c>
      <c r="BL1762" s="3">
        <v>46.08</v>
      </c>
      <c r="BM1762" s="3">
        <v>6.91</v>
      </c>
      <c r="BN1762" s="3">
        <v>52.99</v>
      </c>
      <c r="BO1762" s="3">
        <v>52.99</v>
      </c>
      <c r="BQ1762" s="3" t="s">
        <v>89</v>
      </c>
      <c r="BR1762" s="3" t="s">
        <v>84</v>
      </c>
      <c r="BS1762" s="4">
        <v>44586</v>
      </c>
      <c r="BT1762" s="5">
        <v>0.30902777777777779</v>
      </c>
      <c r="BU1762" s="3" t="s">
        <v>1891</v>
      </c>
      <c r="BV1762" s="3" t="s">
        <v>105</v>
      </c>
      <c r="BY1762" s="3">
        <v>1200</v>
      </c>
      <c r="BZ1762" s="3" t="s">
        <v>165</v>
      </c>
      <c r="CA1762" s="3" t="s">
        <v>763</v>
      </c>
      <c r="CC1762" s="3" t="s">
        <v>159</v>
      </c>
      <c r="CD1762" s="3">
        <v>1459</v>
      </c>
      <c r="CE1762" s="3" t="s">
        <v>93</v>
      </c>
      <c r="CF1762" s="4">
        <v>44586</v>
      </c>
      <c r="CI1762" s="3">
        <v>1</v>
      </c>
      <c r="CJ1762" s="3">
        <v>1</v>
      </c>
      <c r="CK1762" s="3">
        <v>22</v>
      </c>
      <c r="CL1762" s="3" t="s">
        <v>87</v>
      </c>
    </row>
    <row r="1763" spans="1:90" x14ac:dyDescent="0.2">
      <c r="A1763" s="3" t="s">
        <v>72</v>
      </c>
      <c r="B1763" s="3" t="s">
        <v>73</v>
      </c>
      <c r="C1763" s="3" t="s">
        <v>74</v>
      </c>
      <c r="E1763" s="3" t="str">
        <f>"FES1162846315"</f>
        <v>FES1162846315</v>
      </c>
      <c r="F1763" s="4">
        <v>44585</v>
      </c>
      <c r="G1763" s="3">
        <v>202207</v>
      </c>
      <c r="H1763" s="3" t="s">
        <v>75</v>
      </c>
      <c r="I1763" s="3" t="s">
        <v>76</v>
      </c>
      <c r="J1763" s="3" t="s">
        <v>77</v>
      </c>
      <c r="K1763" s="3" t="s">
        <v>78</v>
      </c>
      <c r="L1763" s="3" t="s">
        <v>171</v>
      </c>
      <c r="M1763" s="3" t="s">
        <v>172</v>
      </c>
      <c r="N1763" s="3" t="s">
        <v>249</v>
      </c>
      <c r="O1763" s="3" t="s">
        <v>82</v>
      </c>
      <c r="P1763" s="3" t="str">
        <f>"2170815515                    "</f>
        <v xml:space="preserve">2170815515                    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15.46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  <c r="BH1763" s="3">
        <v>1</v>
      </c>
      <c r="BI1763" s="3">
        <v>1</v>
      </c>
      <c r="BJ1763" s="3">
        <v>0.2</v>
      </c>
      <c r="BK1763" s="3">
        <v>1</v>
      </c>
      <c r="BL1763" s="3">
        <v>59</v>
      </c>
      <c r="BM1763" s="3">
        <v>8.85</v>
      </c>
      <c r="BN1763" s="3">
        <v>67.849999999999994</v>
      </c>
      <c r="BO1763" s="3">
        <v>67.849999999999994</v>
      </c>
      <c r="BQ1763" s="3" t="s">
        <v>89</v>
      </c>
      <c r="BR1763" s="3" t="s">
        <v>84</v>
      </c>
      <c r="BS1763" s="4">
        <v>44586</v>
      </c>
      <c r="BT1763" s="5">
        <v>0.38680555555555557</v>
      </c>
      <c r="BU1763" s="3" t="s">
        <v>1979</v>
      </c>
      <c r="BV1763" s="3" t="s">
        <v>105</v>
      </c>
      <c r="BY1763" s="3">
        <v>1200</v>
      </c>
      <c r="BZ1763" s="3" t="s">
        <v>165</v>
      </c>
      <c r="CA1763" s="3" t="s">
        <v>509</v>
      </c>
      <c r="CC1763" s="3" t="s">
        <v>172</v>
      </c>
      <c r="CD1763" s="3">
        <v>6001</v>
      </c>
      <c r="CE1763" s="3" t="s">
        <v>93</v>
      </c>
      <c r="CF1763" s="4">
        <v>44586</v>
      </c>
      <c r="CI1763" s="3">
        <v>1</v>
      </c>
      <c r="CJ1763" s="3">
        <v>1</v>
      </c>
      <c r="CK1763" s="3">
        <v>21</v>
      </c>
      <c r="CL1763" s="3" t="s">
        <v>87</v>
      </c>
    </row>
    <row r="1764" spans="1:90" x14ac:dyDescent="0.2">
      <c r="A1764" s="3" t="s">
        <v>72</v>
      </c>
      <c r="B1764" s="3" t="s">
        <v>73</v>
      </c>
      <c r="C1764" s="3" t="s">
        <v>74</v>
      </c>
      <c r="E1764" s="3" t="str">
        <f>"FES1162846400"</f>
        <v>FES1162846400</v>
      </c>
      <c r="F1764" s="4">
        <v>44585</v>
      </c>
      <c r="G1764" s="3">
        <v>202207</v>
      </c>
      <c r="H1764" s="3" t="s">
        <v>75</v>
      </c>
      <c r="I1764" s="3" t="s">
        <v>76</v>
      </c>
      <c r="J1764" s="3" t="s">
        <v>77</v>
      </c>
      <c r="K1764" s="3" t="s">
        <v>78</v>
      </c>
      <c r="L1764" s="3" t="s">
        <v>158</v>
      </c>
      <c r="M1764" s="3" t="s">
        <v>159</v>
      </c>
      <c r="N1764" s="3" t="s">
        <v>1457</v>
      </c>
      <c r="O1764" s="3" t="s">
        <v>82</v>
      </c>
      <c r="P1764" s="3" t="str">
        <f>"2170817008                    "</f>
        <v xml:space="preserve">2170817008                    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12.07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1</v>
      </c>
      <c r="BI1764" s="3">
        <v>1</v>
      </c>
      <c r="BJ1764" s="3">
        <v>0.2</v>
      </c>
      <c r="BK1764" s="3">
        <v>1</v>
      </c>
      <c r="BL1764" s="3">
        <v>46.08</v>
      </c>
      <c r="BM1764" s="3">
        <v>6.91</v>
      </c>
      <c r="BN1764" s="3">
        <v>52.99</v>
      </c>
      <c r="BO1764" s="3">
        <v>52.99</v>
      </c>
      <c r="BQ1764" s="3" t="s">
        <v>89</v>
      </c>
      <c r="BR1764" s="3" t="s">
        <v>84</v>
      </c>
      <c r="BS1764" s="4">
        <v>44586</v>
      </c>
      <c r="BT1764" s="5">
        <v>0.30972222222222223</v>
      </c>
      <c r="BU1764" s="3" t="s">
        <v>1891</v>
      </c>
      <c r="BV1764" s="3" t="s">
        <v>105</v>
      </c>
      <c r="BY1764" s="3">
        <v>1200</v>
      </c>
      <c r="BZ1764" s="3" t="s">
        <v>165</v>
      </c>
      <c r="CA1764" s="3" t="s">
        <v>763</v>
      </c>
      <c r="CC1764" s="3" t="s">
        <v>159</v>
      </c>
      <c r="CD1764" s="3">
        <v>1459</v>
      </c>
      <c r="CE1764" s="3" t="s">
        <v>93</v>
      </c>
      <c r="CF1764" s="4">
        <v>44586</v>
      </c>
      <c r="CI1764" s="3">
        <v>1</v>
      </c>
      <c r="CJ1764" s="3">
        <v>1</v>
      </c>
      <c r="CK1764" s="3">
        <v>22</v>
      </c>
      <c r="CL1764" s="3" t="s">
        <v>87</v>
      </c>
    </row>
    <row r="1765" spans="1:90" x14ac:dyDescent="0.2">
      <c r="A1765" s="3" t="s">
        <v>72</v>
      </c>
      <c r="B1765" s="3" t="s">
        <v>73</v>
      </c>
      <c r="C1765" s="3" t="s">
        <v>74</v>
      </c>
      <c r="E1765" s="3" t="str">
        <f>"FES1162846408"</f>
        <v>FES1162846408</v>
      </c>
      <c r="F1765" s="4">
        <v>44585</v>
      </c>
      <c r="G1765" s="3">
        <v>202207</v>
      </c>
      <c r="H1765" s="3" t="s">
        <v>75</v>
      </c>
      <c r="I1765" s="3" t="s">
        <v>76</v>
      </c>
      <c r="J1765" s="3" t="s">
        <v>77</v>
      </c>
      <c r="K1765" s="3" t="s">
        <v>78</v>
      </c>
      <c r="L1765" s="3" t="s">
        <v>258</v>
      </c>
      <c r="M1765" s="3" t="s">
        <v>259</v>
      </c>
      <c r="N1765" s="3" t="s">
        <v>260</v>
      </c>
      <c r="O1765" s="3" t="s">
        <v>82</v>
      </c>
      <c r="P1765" s="3" t="str">
        <f>"2170817928                    "</f>
        <v xml:space="preserve">2170817928                    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48.21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0</v>
      </c>
      <c r="BG1765" s="3">
        <v>0</v>
      </c>
      <c r="BH1765" s="3">
        <v>1</v>
      </c>
      <c r="BI1765" s="3">
        <v>3</v>
      </c>
      <c r="BJ1765" s="3">
        <v>4.0999999999999996</v>
      </c>
      <c r="BK1765" s="3">
        <v>4.5</v>
      </c>
      <c r="BL1765" s="3">
        <v>184</v>
      </c>
      <c r="BM1765" s="3">
        <v>27.6</v>
      </c>
      <c r="BN1765" s="3">
        <v>211.6</v>
      </c>
      <c r="BO1765" s="3">
        <v>211.6</v>
      </c>
      <c r="BQ1765" s="3" t="s">
        <v>83</v>
      </c>
      <c r="BR1765" s="3" t="s">
        <v>84</v>
      </c>
      <c r="BS1765" s="4">
        <v>44586</v>
      </c>
      <c r="BT1765" s="5">
        <v>0.53819444444444442</v>
      </c>
      <c r="BU1765" s="3" t="s">
        <v>722</v>
      </c>
      <c r="BV1765" s="3" t="s">
        <v>87</v>
      </c>
      <c r="BW1765" s="3" t="s">
        <v>353</v>
      </c>
      <c r="BX1765" s="3" t="s">
        <v>723</v>
      </c>
      <c r="BY1765" s="3">
        <v>20358</v>
      </c>
      <c r="BZ1765" s="3" t="s">
        <v>165</v>
      </c>
      <c r="CA1765" s="3" t="s">
        <v>724</v>
      </c>
      <c r="CC1765" s="3" t="s">
        <v>259</v>
      </c>
      <c r="CD1765" s="3">
        <v>2302</v>
      </c>
      <c r="CE1765" s="3" t="s">
        <v>86</v>
      </c>
      <c r="CF1765" s="4">
        <v>44587</v>
      </c>
      <c r="CI1765" s="3">
        <v>1</v>
      </c>
      <c r="CJ1765" s="3">
        <v>1</v>
      </c>
      <c r="CK1765" s="3">
        <v>24</v>
      </c>
      <c r="CL1765" s="3" t="s">
        <v>87</v>
      </c>
    </row>
    <row r="1766" spans="1:90" x14ac:dyDescent="0.2">
      <c r="A1766" s="3" t="s">
        <v>72</v>
      </c>
      <c r="B1766" s="3" t="s">
        <v>73</v>
      </c>
      <c r="C1766" s="3" t="s">
        <v>74</v>
      </c>
      <c r="E1766" s="3" t="str">
        <f>"FES1162846422"</f>
        <v>FES1162846422</v>
      </c>
      <c r="F1766" s="4">
        <v>44585</v>
      </c>
      <c r="G1766" s="3">
        <v>202207</v>
      </c>
      <c r="H1766" s="3" t="s">
        <v>75</v>
      </c>
      <c r="I1766" s="3" t="s">
        <v>76</v>
      </c>
      <c r="J1766" s="3" t="s">
        <v>77</v>
      </c>
      <c r="K1766" s="3" t="s">
        <v>78</v>
      </c>
      <c r="L1766" s="3" t="s">
        <v>171</v>
      </c>
      <c r="M1766" s="3" t="s">
        <v>172</v>
      </c>
      <c r="N1766" s="3" t="s">
        <v>454</v>
      </c>
      <c r="O1766" s="3" t="s">
        <v>82</v>
      </c>
      <c r="P1766" s="3" t="str">
        <f>"2170805339                    "</f>
        <v xml:space="preserve">2170805339                    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15.46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  <c r="BH1766" s="3">
        <v>1</v>
      </c>
      <c r="BI1766" s="3">
        <v>1</v>
      </c>
      <c r="BJ1766" s="3">
        <v>0.2</v>
      </c>
      <c r="BK1766" s="3">
        <v>1</v>
      </c>
      <c r="BL1766" s="3">
        <v>59</v>
      </c>
      <c r="BM1766" s="3">
        <v>8.85</v>
      </c>
      <c r="BN1766" s="3">
        <v>67.849999999999994</v>
      </c>
      <c r="BO1766" s="3">
        <v>67.849999999999994</v>
      </c>
      <c r="BQ1766" s="3" t="s">
        <v>89</v>
      </c>
      <c r="BR1766" s="3" t="s">
        <v>84</v>
      </c>
      <c r="BS1766" s="4">
        <v>44586</v>
      </c>
      <c r="BT1766" s="5">
        <v>0.38125000000000003</v>
      </c>
      <c r="BU1766" s="3" t="s">
        <v>1989</v>
      </c>
      <c r="BV1766" s="3" t="s">
        <v>105</v>
      </c>
      <c r="BY1766" s="3">
        <v>1200</v>
      </c>
      <c r="BZ1766" s="3" t="s">
        <v>165</v>
      </c>
      <c r="CA1766" s="3" t="s">
        <v>509</v>
      </c>
      <c r="CC1766" s="3" t="s">
        <v>172</v>
      </c>
      <c r="CD1766" s="3">
        <v>6001</v>
      </c>
      <c r="CE1766" s="3" t="s">
        <v>93</v>
      </c>
      <c r="CF1766" s="4">
        <v>44586</v>
      </c>
      <c r="CI1766" s="3">
        <v>1</v>
      </c>
      <c r="CJ1766" s="3">
        <v>1</v>
      </c>
      <c r="CK1766" s="3">
        <v>21</v>
      </c>
      <c r="CL1766" s="3" t="s">
        <v>87</v>
      </c>
    </row>
    <row r="1767" spans="1:90" x14ac:dyDescent="0.2">
      <c r="A1767" s="3" t="s">
        <v>72</v>
      </c>
      <c r="B1767" s="3" t="s">
        <v>73</v>
      </c>
      <c r="C1767" s="3" t="s">
        <v>74</v>
      </c>
      <c r="E1767" s="3" t="str">
        <f>"FES1162846497"</f>
        <v>FES1162846497</v>
      </c>
      <c r="F1767" s="4">
        <v>44585</v>
      </c>
      <c r="G1767" s="3">
        <v>202207</v>
      </c>
      <c r="H1767" s="3" t="s">
        <v>75</v>
      </c>
      <c r="I1767" s="3" t="s">
        <v>76</v>
      </c>
      <c r="J1767" s="3" t="s">
        <v>77</v>
      </c>
      <c r="K1767" s="3" t="s">
        <v>78</v>
      </c>
      <c r="L1767" s="3" t="s">
        <v>142</v>
      </c>
      <c r="M1767" s="3" t="s">
        <v>143</v>
      </c>
      <c r="N1767" s="3" t="s">
        <v>2005</v>
      </c>
      <c r="O1767" s="3" t="s">
        <v>82</v>
      </c>
      <c r="P1767" s="3" t="str">
        <f>"2170815887                    "</f>
        <v xml:space="preserve">2170815887                    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12.07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  <c r="BH1767" s="3">
        <v>1</v>
      </c>
      <c r="BI1767" s="3">
        <v>2</v>
      </c>
      <c r="BJ1767" s="3">
        <v>2</v>
      </c>
      <c r="BK1767" s="3">
        <v>2</v>
      </c>
      <c r="BL1767" s="3">
        <v>46.08</v>
      </c>
      <c r="BM1767" s="3">
        <v>6.91</v>
      </c>
      <c r="BN1767" s="3">
        <v>52.99</v>
      </c>
      <c r="BO1767" s="3">
        <v>52.99</v>
      </c>
      <c r="BQ1767" s="3" t="s">
        <v>83</v>
      </c>
      <c r="BR1767" s="3" t="s">
        <v>84</v>
      </c>
      <c r="BS1767" s="4">
        <v>44586</v>
      </c>
      <c r="BT1767" s="5">
        <v>0.34513888888888888</v>
      </c>
      <c r="BU1767" s="3" t="s">
        <v>2006</v>
      </c>
      <c r="BV1767" s="3" t="s">
        <v>105</v>
      </c>
      <c r="BY1767" s="3">
        <v>9918</v>
      </c>
      <c r="BZ1767" s="3" t="s">
        <v>165</v>
      </c>
      <c r="CA1767" s="3" t="s">
        <v>471</v>
      </c>
      <c r="CC1767" s="3" t="s">
        <v>143</v>
      </c>
      <c r="CD1767" s="3">
        <v>1451</v>
      </c>
      <c r="CE1767" s="3" t="s">
        <v>86</v>
      </c>
      <c r="CF1767" s="4">
        <v>44586</v>
      </c>
      <c r="CI1767" s="3">
        <v>1</v>
      </c>
      <c r="CJ1767" s="3">
        <v>1</v>
      </c>
      <c r="CK1767" s="3">
        <v>22</v>
      </c>
      <c r="CL1767" s="3" t="s">
        <v>87</v>
      </c>
    </row>
    <row r="1768" spans="1:90" x14ac:dyDescent="0.2">
      <c r="A1768" s="3" t="s">
        <v>72</v>
      </c>
      <c r="B1768" s="3" t="s">
        <v>73</v>
      </c>
      <c r="C1768" s="3" t="s">
        <v>74</v>
      </c>
      <c r="E1768" s="3" t="str">
        <f>"FES1162846360"</f>
        <v>FES1162846360</v>
      </c>
      <c r="F1768" s="4">
        <v>44585</v>
      </c>
      <c r="G1768" s="3">
        <v>202207</v>
      </c>
      <c r="H1768" s="3" t="s">
        <v>75</v>
      </c>
      <c r="I1768" s="3" t="s">
        <v>76</v>
      </c>
      <c r="J1768" s="3" t="s">
        <v>77</v>
      </c>
      <c r="K1768" s="3" t="s">
        <v>78</v>
      </c>
      <c r="L1768" s="3" t="s">
        <v>138</v>
      </c>
      <c r="M1768" s="3" t="s">
        <v>139</v>
      </c>
      <c r="N1768" s="3" t="s">
        <v>1206</v>
      </c>
      <c r="O1768" s="3" t="s">
        <v>82</v>
      </c>
      <c r="P1768" s="3" t="str">
        <f>"2170817822                    "</f>
        <v xml:space="preserve">2170817822                    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15.46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  <c r="BH1768" s="3">
        <v>1</v>
      </c>
      <c r="BI1768" s="3">
        <v>1</v>
      </c>
      <c r="BJ1768" s="3">
        <v>2</v>
      </c>
      <c r="BK1768" s="3">
        <v>2</v>
      </c>
      <c r="BL1768" s="3">
        <v>59</v>
      </c>
      <c r="BM1768" s="3">
        <v>8.85</v>
      </c>
      <c r="BN1768" s="3">
        <v>67.849999999999994</v>
      </c>
      <c r="BO1768" s="3">
        <v>67.849999999999994</v>
      </c>
      <c r="BR1768" s="3" t="s">
        <v>84</v>
      </c>
      <c r="BS1768" s="4">
        <v>44586</v>
      </c>
      <c r="BT1768" s="5">
        <v>0.35625000000000001</v>
      </c>
      <c r="BU1768" s="3" t="s">
        <v>2007</v>
      </c>
      <c r="BV1768" s="3" t="s">
        <v>105</v>
      </c>
      <c r="BY1768" s="3">
        <v>10080</v>
      </c>
      <c r="BZ1768" s="3" t="s">
        <v>165</v>
      </c>
      <c r="CA1768" s="3" t="s">
        <v>303</v>
      </c>
      <c r="CC1768" s="3" t="s">
        <v>139</v>
      </c>
      <c r="CD1768" s="3">
        <v>3610</v>
      </c>
      <c r="CE1768" s="3" t="s">
        <v>86</v>
      </c>
      <c r="CF1768" s="4">
        <v>44587</v>
      </c>
      <c r="CI1768" s="3">
        <v>1</v>
      </c>
      <c r="CJ1768" s="3">
        <v>1</v>
      </c>
      <c r="CK1768" s="3">
        <v>21</v>
      </c>
      <c r="CL1768" s="3" t="s">
        <v>87</v>
      </c>
    </row>
    <row r="1769" spans="1:90" x14ac:dyDescent="0.2">
      <c r="A1769" s="3" t="s">
        <v>72</v>
      </c>
      <c r="B1769" s="3" t="s">
        <v>73</v>
      </c>
      <c r="C1769" s="3" t="s">
        <v>74</v>
      </c>
      <c r="E1769" s="3" t="str">
        <f>"FES1162846447"</f>
        <v>FES1162846447</v>
      </c>
      <c r="F1769" s="4">
        <v>44585</v>
      </c>
      <c r="G1769" s="3">
        <v>202207</v>
      </c>
      <c r="H1769" s="3" t="s">
        <v>75</v>
      </c>
      <c r="I1769" s="3" t="s">
        <v>76</v>
      </c>
      <c r="J1769" s="3" t="s">
        <v>77</v>
      </c>
      <c r="K1769" s="3" t="s">
        <v>78</v>
      </c>
      <c r="L1769" s="3" t="s">
        <v>123</v>
      </c>
      <c r="M1769" s="3" t="s">
        <v>124</v>
      </c>
      <c r="N1769" s="3" t="s">
        <v>1969</v>
      </c>
      <c r="O1769" s="3" t="s">
        <v>82</v>
      </c>
      <c r="P1769" s="3" t="str">
        <f>"2170815384                    "</f>
        <v xml:space="preserve">2170815384                    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12.07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v>0</v>
      </c>
      <c r="BA1769" s="3">
        <v>0</v>
      </c>
      <c r="BB1769" s="3">
        <v>0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  <c r="BH1769" s="3">
        <v>1</v>
      </c>
      <c r="BI1769" s="3">
        <v>1</v>
      </c>
      <c r="BJ1769" s="3">
        <v>0.2</v>
      </c>
      <c r="BK1769" s="3">
        <v>1</v>
      </c>
      <c r="BL1769" s="3">
        <v>46.08</v>
      </c>
      <c r="BM1769" s="3">
        <v>6.91</v>
      </c>
      <c r="BN1769" s="3">
        <v>52.99</v>
      </c>
      <c r="BO1769" s="3">
        <v>52.99</v>
      </c>
      <c r="BR1769" s="3" t="s">
        <v>84</v>
      </c>
      <c r="BS1769" s="4">
        <v>44592</v>
      </c>
      <c r="BT1769" s="5">
        <v>0.32013888888888892</v>
      </c>
      <c r="BU1769" s="3" t="s">
        <v>1970</v>
      </c>
      <c r="BY1769" s="3">
        <v>1200</v>
      </c>
      <c r="BZ1769" s="3" t="s">
        <v>165</v>
      </c>
      <c r="CC1769" s="3" t="s">
        <v>124</v>
      </c>
      <c r="CD1769" s="3">
        <v>1709</v>
      </c>
      <c r="CE1769" s="3" t="s">
        <v>93</v>
      </c>
      <c r="CI1769" s="3">
        <v>1</v>
      </c>
      <c r="CJ1769" s="3">
        <v>5</v>
      </c>
      <c r="CK1769" s="3">
        <v>22</v>
      </c>
      <c r="CL1769" s="3" t="s">
        <v>87</v>
      </c>
    </row>
    <row r="1770" spans="1:90" x14ac:dyDescent="0.2">
      <c r="A1770" s="3" t="s">
        <v>72</v>
      </c>
      <c r="B1770" s="3" t="s">
        <v>73</v>
      </c>
      <c r="C1770" s="3" t="s">
        <v>74</v>
      </c>
      <c r="E1770" s="3" t="str">
        <f>"FES1162846432"</f>
        <v>FES1162846432</v>
      </c>
      <c r="F1770" s="4">
        <v>44585</v>
      </c>
      <c r="G1770" s="3">
        <v>202207</v>
      </c>
      <c r="H1770" s="3" t="s">
        <v>75</v>
      </c>
      <c r="I1770" s="3" t="s">
        <v>76</v>
      </c>
      <c r="J1770" s="3" t="s">
        <v>77</v>
      </c>
      <c r="K1770" s="3" t="s">
        <v>78</v>
      </c>
      <c r="L1770" s="3" t="s">
        <v>90</v>
      </c>
      <c r="M1770" s="3" t="s">
        <v>91</v>
      </c>
      <c r="N1770" s="3" t="s">
        <v>418</v>
      </c>
      <c r="O1770" s="3" t="s">
        <v>82</v>
      </c>
      <c r="P1770" s="3" t="str">
        <f>"2170812189                    "</f>
        <v xml:space="preserve">2170812189                    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15.46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v>0</v>
      </c>
      <c r="BA1770" s="3">
        <v>0</v>
      </c>
      <c r="BB1770" s="3">
        <v>0</v>
      </c>
      <c r="BC1770" s="3">
        <v>0</v>
      </c>
      <c r="BD1770" s="3">
        <v>0</v>
      </c>
      <c r="BE1770" s="3">
        <v>0</v>
      </c>
      <c r="BF1770" s="3">
        <v>0</v>
      </c>
      <c r="BG1770" s="3">
        <v>0</v>
      </c>
      <c r="BH1770" s="3">
        <v>1</v>
      </c>
      <c r="BI1770" s="3">
        <v>1</v>
      </c>
      <c r="BJ1770" s="3">
        <v>0.2</v>
      </c>
      <c r="BK1770" s="3">
        <v>1</v>
      </c>
      <c r="BL1770" s="3">
        <v>59</v>
      </c>
      <c r="BM1770" s="3">
        <v>8.85</v>
      </c>
      <c r="BN1770" s="3">
        <v>67.849999999999994</v>
      </c>
      <c r="BO1770" s="3">
        <v>67.849999999999994</v>
      </c>
      <c r="BQ1770" s="3" t="s">
        <v>128</v>
      </c>
      <c r="BR1770" s="3" t="s">
        <v>84</v>
      </c>
      <c r="BS1770" s="4">
        <v>44586</v>
      </c>
      <c r="BT1770" s="5">
        <v>0.36805555555555558</v>
      </c>
      <c r="BU1770" s="3" t="s">
        <v>515</v>
      </c>
      <c r="BV1770" s="3" t="s">
        <v>105</v>
      </c>
      <c r="BY1770" s="3">
        <v>1200</v>
      </c>
      <c r="BZ1770" s="3" t="s">
        <v>165</v>
      </c>
      <c r="CA1770" s="3" t="s">
        <v>271</v>
      </c>
      <c r="CC1770" s="3" t="s">
        <v>91</v>
      </c>
      <c r="CD1770" s="3">
        <v>7441</v>
      </c>
      <c r="CE1770" s="3" t="s">
        <v>93</v>
      </c>
      <c r="CF1770" s="4">
        <v>44587</v>
      </c>
      <c r="CI1770" s="3">
        <v>1</v>
      </c>
      <c r="CJ1770" s="3">
        <v>1</v>
      </c>
      <c r="CK1770" s="3">
        <v>21</v>
      </c>
      <c r="CL1770" s="3" t="s">
        <v>87</v>
      </c>
    </row>
    <row r="1771" spans="1:90" x14ac:dyDescent="0.2">
      <c r="A1771" s="3" t="s">
        <v>72</v>
      </c>
      <c r="B1771" s="3" t="s">
        <v>73</v>
      </c>
      <c r="C1771" s="3" t="s">
        <v>74</v>
      </c>
      <c r="E1771" s="3" t="str">
        <f>"FES1162846367"</f>
        <v>FES1162846367</v>
      </c>
      <c r="F1771" s="4">
        <v>44585</v>
      </c>
      <c r="G1771" s="3">
        <v>202207</v>
      </c>
      <c r="H1771" s="3" t="s">
        <v>75</v>
      </c>
      <c r="I1771" s="3" t="s">
        <v>76</v>
      </c>
      <c r="J1771" s="3" t="s">
        <v>77</v>
      </c>
      <c r="K1771" s="3" t="s">
        <v>78</v>
      </c>
      <c r="L1771" s="3" t="s">
        <v>90</v>
      </c>
      <c r="M1771" s="3" t="s">
        <v>91</v>
      </c>
      <c r="N1771" s="3" t="s">
        <v>749</v>
      </c>
      <c r="O1771" s="3" t="s">
        <v>82</v>
      </c>
      <c r="P1771" s="3" t="str">
        <f>"2170817852                    "</f>
        <v xml:space="preserve">2170817852                    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23.18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  <c r="BH1771" s="3">
        <v>1</v>
      </c>
      <c r="BI1771" s="3">
        <v>2</v>
      </c>
      <c r="BJ1771" s="3">
        <v>3</v>
      </c>
      <c r="BK1771" s="3">
        <v>3</v>
      </c>
      <c r="BL1771" s="3">
        <v>88.48</v>
      </c>
      <c r="BM1771" s="3">
        <v>13.27</v>
      </c>
      <c r="BN1771" s="3">
        <v>101.75</v>
      </c>
      <c r="BO1771" s="3">
        <v>101.75</v>
      </c>
      <c r="BQ1771" s="3" t="s">
        <v>1110</v>
      </c>
      <c r="BR1771" s="3" t="s">
        <v>84</v>
      </c>
      <c r="BS1771" s="4">
        <v>44586</v>
      </c>
      <c r="BT1771" s="5">
        <v>0.35694444444444445</v>
      </c>
      <c r="BU1771" s="3" t="s">
        <v>2008</v>
      </c>
      <c r="BV1771" s="3" t="s">
        <v>105</v>
      </c>
      <c r="BY1771" s="3">
        <v>15246</v>
      </c>
      <c r="BZ1771" s="3" t="s">
        <v>165</v>
      </c>
      <c r="CA1771" s="3" t="s">
        <v>1948</v>
      </c>
      <c r="CC1771" s="3" t="s">
        <v>91</v>
      </c>
      <c r="CD1771" s="3">
        <v>7405</v>
      </c>
      <c r="CE1771" s="3" t="s">
        <v>86</v>
      </c>
      <c r="CF1771" s="4">
        <v>44587</v>
      </c>
      <c r="CI1771" s="3">
        <v>1</v>
      </c>
      <c r="CJ1771" s="3">
        <v>1</v>
      </c>
      <c r="CK1771" s="3">
        <v>21</v>
      </c>
      <c r="CL1771" s="3" t="s">
        <v>87</v>
      </c>
    </row>
    <row r="1772" spans="1:90" x14ac:dyDescent="0.2">
      <c r="A1772" s="3" t="s">
        <v>72</v>
      </c>
      <c r="B1772" s="3" t="s">
        <v>73</v>
      </c>
      <c r="C1772" s="3" t="s">
        <v>74</v>
      </c>
      <c r="E1772" s="3" t="str">
        <f>"FES1162846385"</f>
        <v>FES1162846385</v>
      </c>
      <c r="F1772" s="4">
        <v>44585</v>
      </c>
      <c r="G1772" s="3">
        <v>202207</v>
      </c>
      <c r="H1772" s="3" t="s">
        <v>75</v>
      </c>
      <c r="I1772" s="3" t="s">
        <v>76</v>
      </c>
      <c r="J1772" s="3" t="s">
        <v>77</v>
      </c>
      <c r="K1772" s="3" t="s">
        <v>78</v>
      </c>
      <c r="L1772" s="3" t="s">
        <v>158</v>
      </c>
      <c r="M1772" s="3" t="s">
        <v>159</v>
      </c>
      <c r="N1772" s="3" t="s">
        <v>832</v>
      </c>
      <c r="O1772" s="3" t="s">
        <v>82</v>
      </c>
      <c r="P1772" s="3" t="str">
        <f>"2170817885                    "</f>
        <v xml:space="preserve">2170817885                    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12.07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1</v>
      </c>
      <c r="BI1772" s="3">
        <v>1</v>
      </c>
      <c r="BJ1772" s="3">
        <v>0.2</v>
      </c>
      <c r="BK1772" s="3">
        <v>1</v>
      </c>
      <c r="BL1772" s="3">
        <v>46.08</v>
      </c>
      <c r="BM1772" s="3">
        <v>6.91</v>
      </c>
      <c r="BN1772" s="3">
        <v>52.99</v>
      </c>
      <c r="BO1772" s="3">
        <v>52.99</v>
      </c>
      <c r="BQ1772" s="3" t="s">
        <v>83</v>
      </c>
      <c r="BR1772" s="3" t="s">
        <v>84</v>
      </c>
      <c r="BS1772" s="4">
        <v>44586</v>
      </c>
      <c r="BT1772" s="5">
        <v>0.29166666666666669</v>
      </c>
      <c r="BU1772" s="3" t="s">
        <v>833</v>
      </c>
      <c r="BV1772" s="3" t="s">
        <v>105</v>
      </c>
      <c r="BY1772" s="3">
        <v>1200</v>
      </c>
      <c r="BZ1772" s="3" t="s">
        <v>165</v>
      </c>
      <c r="CA1772" s="3" t="s">
        <v>763</v>
      </c>
      <c r="CC1772" s="3" t="s">
        <v>159</v>
      </c>
      <c r="CD1772" s="3">
        <v>1460</v>
      </c>
      <c r="CE1772" s="3" t="s">
        <v>93</v>
      </c>
      <c r="CF1772" s="4">
        <v>44586</v>
      </c>
      <c r="CI1772" s="3">
        <v>1</v>
      </c>
      <c r="CJ1772" s="3">
        <v>1</v>
      </c>
      <c r="CK1772" s="3">
        <v>22</v>
      </c>
      <c r="CL1772" s="3" t="s">
        <v>87</v>
      </c>
    </row>
    <row r="1773" spans="1:90" x14ac:dyDescent="0.2">
      <c r="A1773" s="3" t="s">
        <v>72</v>
      </c>
      <c r="B1773" s="3" t="s">
        <v>73</v>
      </c>
      <c r="C1773" s="3" t="s">
        <v>74</v>
      </c>
      <c r="E1773" s="3" t="str">
        <f>"FES1162846359"</f>
        <v>FES1162846359</v>
      </c>
      <c r="F1773" s="4">
        <v>44585</v>
      </c>
      <c r="G1773" s="3">
        <v>202207</v>
      </c>
      <c r="H1773" s="3" t="s">
        <v>75</v>
      </c>
      <c r="I1773" s="3" t="s">
        <v>76</v>
      </c>
      <c r="J1773" s="3" t="s">
        <v>77</v>
      </c>
      <c r="K1773" s="3" t="s">
        <v>78</v>
      </c>
      <c r="L1773" s="3" t="s">
        <v>101</v>
      </c>
      <c r="M1773" s="3" t="s">
        <v>102</v>
      </c>
      <c r="N1773" s="3" t="s">
        <v>272</v>
      </c>
      <c r="O1773" s="3" t="s">
        <v>82</v>
      </c>
      <c r="P1773" s="3" t="str">
        <f>"2170817818                    "</f>
        <v xml:space="preserve">2170817818                    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23.18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0</v>
      </c>
      <c r="BC1773" s="3">
        <v>0</v>
      </c>
      <c r="BD1773" s="3">
        <v>0</v>
      </c>
      <c r="BE1773" s="3">
        <v>0</v>
      </c>
      <c r="BF1773" s="3">
        <v>0</v>
      </c>
      <c r="BG1773" s="3">
        <v>0</v>
      </c>
      <c r="BH1773" s="3">
        <v>1</v>
      </c>
      <c r="BI1773" s="3">
        <v>3</v>
      </c>
      <c r="BJ1773" s="3">
        <v>2</v>
      </c>
      <c r="BK1773" s="3">
        <v>3</v>
      </c>
      <c r="BL1773" s="3">
        <v>88.48</v>
      </c>
      <c r="BM1773" s="3">
        <v>13.27</v>
      </c>
      <c r="BN1773" s="3">
        <v>101.75</v>
      </c>
      <c r="BO1773" s="3">
        <v>101.75</v>
      </c>
      <c r="BQ1773" s="3" t="s">
        <v>273</v>
      </c>
      <c r="BR1773" s="3" t="s">
        <v>84</v>
      </c>
      <c r="BS1773" s="4">
        <v>44586</v>
      </c>
      <c r="BT1773" s="5">
        <v>0.36319444444444443</v>
      </c>
      <c r="BU1773" s="3" t="s">
        <v>274</v>
      </c>
      <c r="BV1773" s="3" t="s">
        <v>105</v>
      </c>
      <c r="BY1773" s="3">
        <v>9918</v>
      </c>
      <c r="BZ1773" s="3" t="s">
        <v>165</v>
      </c>
      <c r="CA1773" s="3" t="s">
        <v>275</v>
      </c>
      <c r="CC1773" s="3" t="s">
        <v>102</v>
      </c>
      <c r="CD1773" s="3">
        <v>4000</v>
      </c>
      <c r="CE1773" s="3" t="s">
        <v>86</v>
      </c>
      <c r="CF1773" s="4">
        <v>44587</v>
      </c>
      <c r="CI1773" s="3">
        <v>1</v>
      </c>
      <c r="CJ1773" s="3">
        <v>1</v>
      </c>
      <c r="CK1773" s="3">
        <v>21</v>
      </c>
      <c r="CL1773" s="3" t="s">
        <v>87</v>
      </c>
    </row>
    <row r="1774" spans="1:90" x14ac:dyDescent="0.2">
      <c r="A1774" s="3" t="s">
        <v>72</v>
      </c>
      <c r="B1774" s="3" t="s">
        <v>73</v>
      </c>
      <c r="C1774" s="3" t="s">
        <v>74</v>
      </c>
      <c r="E1774" s="3" t="str">
        <f>"FES1162846525"</f>
        <v>FES1162846525</v>
      </c>
      <c r="F1774" s="4">
        <v>44585</v>
      </c>
      <c r="G1774" s="3">
        <v>202207</v>
      </c>
      <c r="H1774" s="3" t="s">
        <v>75</v>
      </c>
      <c r="I1774" s="3" t="s">
        <v>76</v>
      </c>
      <c r="J1774" s="3" t="s">
        <v>77</v>
      </c>
      <c r="K1774" s="3" t="s">
        <v>78</v>
      </c>
      <c r="L1774" s="3" t="s">
        <v>94</v>
      </c>
      <c r="M1774" s="3" t="s">
        <v>95</v>
      </c>
      <c r="N1774" s="3" t="s">
        <v>451</v>
      </c>
      <c r="O1774" s="3" t="s">
        <v>82</v>
      </c>
      <c r="P1774" s="3" t="str">
        <f>"2170817734                    "</f>
        <v xml:space="preserve">2170817734                    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15.46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1</v>
      </c>
      <c r="BI1774" s="3">
        <v>1</v>
      </c>
      <c r="BJ1774" s="3">
        <v>0.2</v>
      </c>
      <c r="BK1774" s="3">
        <v>1</v>
      </c>
      <c r="BL1774" s="3">
        <v>59</v>
      </c>
      <c r="BM1774" s="3">
        <v>8.85</v>
      </c>
      <c r="BN1774" s="3">
        <v>67.849999999999994</v>
      </c>
      <c r="BO1774" s="3">
        <v>67.849999999999994</v>
      </c>
      <c r="BQ1774" s="3" t="s">
        <v>83</v>
      </c>
      <c r="BR1774" s="3" t="s">
        <v>84</v>
      </c>
      <c r="BS1774" s="4">
        <v>44586</v>
      </c>
      <c r="BT1774" s="5">
        <v>0.4826388888888889</v>
      </c>
      <c r="BU1774" s="3" t="s">
        <v>2009</v>
      </c>
      <c r="BV1774" s="3" t="s">
        <v>87</v>
      </c>
      <c r="BW1774" s="3" t="s">
        <v>453</v>
      </c>
      <c r="BX1774" s="3" t="s">
        <v>279</v>
      </c>
      <c r="BY1774" s="3">
        <v>1200</v>
      </c>
      <c r="BZ1774" s="3" t="s">
        <v>165</v>
      </c>
      <c r="CC1774" s="3" t="s">
        <v>95</v>
      </c>
      <c r="CD1774" s="3">
        <v>3201</v>
      </c>
      <c r="CE1774" s="3" t="s">
        <v>93</v>
      </c>
      <c r="CF1774" s="4">
        <v>44589</v>
      </c>
      <c r="CI1774" s="3">
        <v>1</v>
      </c>
      <c r="CJ1774" s="3">
        <v>1</v>
      </c>
      <c r="CK1774" s="3">
        <v>21</v>
      </c>
      <c r="CL1774" s="3" t="s">
        <v>87</v>
      </c>
    </row>
    <row r="1775" spans="1:90" x14ac:dyDescent="0.2">
      <c r="A1775" s="3" t="s">
        <v>72</v>
      </c>
      <c r="B1775" s="3" t="s">
        <v>73</v>
      </c>
      <c r="C1775" s="3" t="s">
        <v>74</v>
      </c>
      <c r="E1775" s="3" t="str">
        <f>"FES1162846376"</f>
        <v>FES1162846376</v>
      </c>
      <c r="F1775" s="4">
        <v>44585</v>
      </c>
      <c r="G1775" s="3">
        <v>202207</v>
      </c>
      <c r="H1775" s="3" t="s">
        <v>75</v>
      </c>
      <c r="I1775" s="3" t="s">
        <v>76</v>
      </c>
      <c r="J1775" s="3" t="s">
        <v>77</v>
      </c>
      <c r="K1775" s="3" t="s">
        <v>78</v>
      </c>
      <c r="L1775" s="3" t="s">
        <v>171</v>
      </c>
      <c r="M1775" s="3" t="s">
        <v>172</v>
      </c>
      <c r="N1775" s="3" t="s">
        <v>249</v>
      </c>
      <c r="O1775" s="3" t="s">
        <v>82</v>
      </c>
      <c r="P1775" s="3" t="str">
        <f>"2170817868                    "</f>
        <v xml:space="preserve">2170817868                    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15.46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v>0</v>
      </c>
      <c r="BA1775" s="3">
        <v>0</v>
      </c>
      <c r="BB1775" s="3">
        <v>0</v>
      </c>
      <c r="BC1775" s="3">
        <v>0</v>
      </c>
      <c r="BD1775" s="3">
        <v>0</v>
      </c>
      <c r="BE1775" s="3">
        <v>0</v>
      </c>
      <c r="BF1775" s="3">
        <v>0</v>
      </c>
      <c r="BG1775" s="3">
        <v>0</v>
      </c>
      <c r="BH1775" s="3">
        <v>1</v>
      </c>
      <c r="BI1775" s="3">
        <v>1</v>
      </c>
      <c r="BJ1775" s="3">
        <v>0.2</v>
      </c>
      <c r="BK1775" s="3">
        <v>1</v>
      </c>
      <c r="BL1775" s="3">
        <v>59</v>
      </c>
      <c r="BM1775" s="3">
        <v>8.85</v>
      </c>
      <c r="BN1775" s="3">
        <v>67.849999999999994</v>
      </c>
      <c r="BO1775" s="3">
        <v>67.849999999999994</v>
      </c>
      <c r="BQ1775" s="3" t="s">
        <v>89</v>
      </c>
      <c r="BR1775" s="3" t="s">
        <v>84</v>
      </c>
      <c r="BS1775" s="4">
        <v>44586</v>
      </c>
      <c r="BT1775" s="5">
        <v>0.38680555555555557</v>
      </c>
      <c r="BU1775" s="3" t="s">
        <v>1979</v>
      </c>
      <c r="BV1775" s="3" t="s">
        <v>105</v>
      </c>
      <c r="BY1775" s="3">
        <v>1200</v>
      </c>
      <c r="BZ1775" s="3" t="s">
        <v>165</v>
      </c>
      <c r="CA1775" s="3" t="s">
        <v>509</v>
      </c>
      <c r="CC1775" s="3" t="s">
        <v>172</v>
      </c>
      <c r="CD1775" s="3">
        <v>6001</v>
      </c>
      <c r="CE1775" s="3" t="s">
        <v>93</v>
      </c>
      <c r="CF1775" s="4">
        <v>44586</v>
      </c>
      <c r="CI1775" s="3">
        <v>1</v>
      </c>
      <c r="CJ1775" s="3">
        <v>1</v>
      </c>
      <c r="CK1775" s="3">
        <v>21</v>
      </c>
      <c r="CL1775" s="3" t="s">
        <v>87</v>
      </c>
    </row>
    <row r="1776" spans="1:90" x14ac:dyDescent="0.2">
      <c r="A1776" s="3" t="s">
        <v>72</v>
      </c>
      <c r="B1776" s="3" t="s">
        <v>73</v>
      </c>
      <c r="C1776" s="3" t="s">
        <v>74</v>
      </c>
      <c r="E1776" s="3" t="str">
        <f>"FES1162846500"</f>
        <v>FES1162846500</v>
      </c>
      <c r="F1776" s="4">
        <v>44585</v>
      </c>
      <c r="G1776" s="3">
        <v>202207</v>
      </c>
      <c r="H1776" s="3" t="s">
        <v>75</v>
      </c>
      <c r="I1776" s="3" t="s">
        <v>76</v>
      </c>
      <c r="J1776" s="3" t="s">
        <v>77</v>
      </c>
      <c r="K1776" s="3" t="s">
        <v>78</v>
      </c>
      <c r="L1776" s="3" t="s">
        <v>187</v>
      </c>
      <c r="M1776" s="3" t="s">
        <v>188</v>
      </c>
      <c r="N1776" s="3" t="s">
        <v>189</v>
      </c>
      <c r="O1776" s="3" t="s">
        <v>82</v>
      </c>
      <c r="P1776" s="3" t="str">
        <f>"2170815920                    "</f>
        <v xml:space="preserve">2170815920                    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29.95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v>0</v>
      </c>
      <c r="BA1776" s="3">
        <v>0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  <c r="BH1776" s="3">
        <v>1</v>
      </c>
      <c r="BI1776" s="3">
        <v>1</v>
      </c>
      <c r="BJ1776" s="3">
        <v>0.2</v>
      </c>
      <c r="BK1776" s="3">
        <v>1</v>
      </c>
      <c r="BL1776" s="3">
        <v>114.31</v>
      </c>
      <c r="BM1776" s="3">
        <v>17.149999999999999</v>
      </c>
      <c r="BN1776" s="3">
        <v>131.46</v>
      </c>
      <c r="BO1776" s="3">
        <v>131.46</v>
      </c>
      <c r="BQ1776" s="3" t="s">
        <v>83</v>
      </c>
      <c r="BR1776" s="3" t="s">
        <v>84</v>
      </c>
      <c r="BS1776" s="4">
        <v>44586</v>
      </c>
      <c r="BT1776" s="5">
        <v>0.57708333333333328</v>
      </c>
      <c r="BU1776" s="3" t="s">
        <v>955</v>
      </c>
      <c r="BV1776" s="3" t="s">
        <v>87</v>
      </c>
      <c r="BW1776" s="3" t="s">
        <v>457</v>
      </c>
      <c r="BX1776" s="3" t="s">
        <v>602</v>
      </c>
      <c r="BY1776" s="3">
        <v>1200</v>
      </c>
      <c r="BZ1776" s="3" t="s">
        <v>165</v>
      </c>
      <c r="CA1776" s="3" t="s">
        <v>268</v>
      </c>
      <c r="CC1776" s="3" t="s">
        <v>188</v>
      </c>
      <c r="CD1776" s="3">
        <v>7300</v>
      </c>
      <c r="CE1776" s="3" t="s">
        <v>93</v>
      </c>
      <c r="CF1776" s="4">
        <v>44587</v>
      </c>
      <c r="CI1776" s="3">
        <v>1</v>
      </c>
      <c r="CJ1776" s="3">
        <v>1</v>
      </c>
      <c r="CK1776" s="3">
        <v>23</v>
      </c>
      <c r="CL1776" s="3" t="s">
        <v>87</v>
      </c>
    </row>
    <row r="1777" spans="1:90" x14ac:dyDescent="0.2">
      <c r="A1777" s="3" t="s">
        <v>72</v>
      </c>
      <c r="B1777" s="3" t="s">
        <v>73</v>
      </c>
      <c r="C1777" s="3" t="s">
        <v>74</v>
      </c>
      <c r="E1777" s="3" t="str">
        <f>"FES1162846390"</f>
        <v>FES1162846390</v>
      </c>
      <c r="F1777" s="4">
        <v>44585</v>
      </c>
      <c r="G1777" s="3">
        <v>202207</v>
      </c>
      <c r="H1777" s="3" t="s">
        <v>75</v>
      </c>
      <c r="I1777" s="3" t="s">
        <v>76</v>
      </c>
      <c r="J1777" s="3" t="s">
        <v>77</v>
      </c>
      <c r="K1777" s="3" t="s">
        <v>78</v>
      </c>
      <c r="L1777" s="3" t="s">
        <v>90</v>
      </c>
      <c r="M1777" s="3" t="s">
        <v>91</v>
      </c>
      <c r="N1777" s="3" t="s">
        <v>577</v>
      </c>
      <c r="O1777" s="3" t="s">
        <v>82</v>
      </c>
      <c r="P1777" s="3" t="str">
        <f>"2170817893                    "</f>
        <v xml:space="preserve">2170817893                    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15.46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1</v>
      </c>
      <c r="BI1777" s="3">
        <v>1</v>
      </c>
      <c r="BJ1777" s="3">
        <v>0.2</v>
      </c>
      <c r="BK1777" s="3">
        <v>1</v>
      </c>
      <c r="BL1777" s="3">
        <v>59</v>
      </c>
      <c r="BM1777" s="3">
        <v>8.85</v>
      </c>
      <c r="BN1777" s="3">
        <v>67.849999999999994</v>
      </c>
      <c r="BO1777" s="3">
        <v>67.849999999999994</v>
      </c>
      <c r="BQ1777" s="3" t="s">
        <v>126</v>
      </c>
      <c r="BR1777" s="3" t="s">
        <v>84</v>
      </c>
      <c r="BS1777" s="4">
        <v>44586</v>
      </c>
      <c r="BT1777" s="5">
        <v>0.36388888888888887</v>
      </c>
      <c r="BU1777" s="3" t="s">
        <v>1208</v>
      </c>
      <c r="BV1777" s="3" t="s">
        <v>105</v>
      </c>
      <c r="BY1777" s="3">
        <v>1200</v>
      </c>
      <c r="BZ1777" s="3" t="s">
        <v>165</v>
      </c>
      <c r="CA1777" s="3" t="s">
        <v>271</v>
      </c>
      <c r="CC1777" s="3" t="s">
        <v>91</v>
      </c>
      <c r="CD1777" s="3">
        <v>7441</v>
      </c>
      <c r="CE1777" s="3" t="s">
        <v>93</v>
      </c>
      <c r="CF1777" s="4">
        <v>44587</v>
      </c>
      <c r="CI1777" s="3">
        <v>1</v>
      </c>
      <c r="CJ1777" s="3">
        <v>1</v>
      </c>
      <c r="CK1777" s="3">
        <v>21</v>
      </c>
      <c r="CL1777" s="3" t="s">
        <v>87</v>
      </c>
    </row>
    <row r="1778" spans="1:90" x14ac:dyDescent="0.2">
      <c r="A1778" s="3" t="s">
        <v>72</v>
      </c>
      <c r="B1778" s="3" t="s">
        <v>73</v>
      </c>
      <c r="C1778" s="3" t="s">
        <v>74</v>
      </c>
      <c r="E1778" s="3" t="str">
        <f>"FES1162846484"</f>
        <v>FES1162846484</v>
      </c>
      <c r="F1778" s="4">
        <v>44585</v>
      </c>
      <c r="G1778" s="3">
        <v>202207</v>
      </c>
      <c r="H1778" s="3" t="s">
        <v>75</v>
      </c>
      <c r="I1778" s="3" t="s">
        <v>76</v>
      </c>
      <c r="J1778" s="3" t="s">
        <v>77</v>
      </c>
      <c r="K1778" s="3" t="s">
        <v>78</v>
      </c>
      <c r="L1778" s="3" t="s">
        <v>472</v>
      </c>
      <c r="M1778" s="3" t="s">
        <v>473</v>
      </c>
      <c r="N1778" s="3" t="s">
        <v>474</v>
      </c>
      <c r="O1778" s="3" t="s">
        <v>82</v>
      </c>
      <c r="P1778" s="3" t="str">
        <f>"2170815759                    "</f>
        <v xml:space="preserve">2170815759                    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29.95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1</v>
      </c>
      <c r="BI1778" s="3">
        <v>1</v>
      </c>
      <c r="BJ1778" s="3">
        <v>0.2</v>
      </c>
      <c r="BK1778" s="3">
        <v>1</v>
      </c>
      <c r="BL1778" s="3">
        <v>114.31</v>
      </c>
      <c r="BM1778" s="3">
        <v>17.149999999999999</v>
      </c>
      <c r="BN1778" s="3">
        <v>131.46</v>
      </c>
      <c r="BO1778" s="3">
        <v>131.46</v>
      </c>
      <c r="BQ1778" s="3" t="s">
        <v>83</v>
      </c>
      <c r="BR1778" s="3" t="s">
        <v>84</v>
      </c>
      <c r="BS1778" s="4">
        <v>44586</v>
      </c>
      <c r="BT1778" s="5">
        <v>0.38819444444444445</v>
      </c>
      <c r="BU1778" s="3" t="s">
        <v>2010</v>
      </c>
      <c r="BV1778" s="3" t="s">
        <v>105</v>
      </c>
      <c r="BY1778" s="3">
        <v>1200</v>
      </c>
      <c r="BZ1778" s="3" t="s">
        <v>165</v>
      </c>
      <c r="CA1778" s="3" t="s">
        <v>2011</v>
      </c>
      <c r="CC1778" s="3" t="s">
        <v>473</v>
      </c>
      <c r="CD1778" s="3">
        <v>5257</v>
      </c>
      <c r="CE1778" s="3" t="s">
        <v>93</v>
      </c>
      <c r="CF1778" s="4">
        <v>44586</v>
      </c>
      <c r="CI1778" s="3">
        <v>1</v>
      </c>
      <c r="CJ1778" s="3">
        <v>1</v>
      </c>
      <c r="CK1778" s="3">
        <v>23</v>
      </c>
      <c r="CL1778" s="3" t="s">
        <v>87</v>
      </c>
    </row>
    <row r="1779" spans="1:90" x14ac:dyDescent="0.2">
      <c r="A1779" s="3" t="s">
        <v>72</v>
      </c>
      <c r="B1779" s="3" t="s">
        <v>73</v>
      </c>
      <c r="C1779" s="3" t="s">
        <v>74</v>
      </c>
      <c r="E1779" s="3" t="str">
        <f>"FES1162846387"</f>
        <v>FES1162846387</v>
      </c>
      <c r="F1779" s="4">
        <v>44585</v>
      </c>
      <c r="G1779" s="3">
        <v>202207</v>
      </c>
      <c r="H1779" s="3" t="s">
        <v>75</v>
      </c>
      <c r="I1779" s="3" t="s">
        <v>76</v>
      </c>
      <c r="J1779" s="3" t="s">
        <v>77</v>
      </c>
      <c r="K1779" s="3" t="s">
        <v>78</v>
      </c>
      <c r="L1779" s="3" t="s">
        <v>138</v>
      </c>
      <c r="M1779" s="3" t="s">
        <v>139</v>
      </c>
      <c r="N1779" s="3" t="s">
        <v>857</v>
      </c>
      <c r="O1779" s="3" t="s">
        <v>82</v>
      </c>
      <c r="P1779" s="3" t="str">
        <f>"2170817890                    "</f>
        <v xml:space="preserve">2170817890                    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15.46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1</v>
      </c>
      <c r="BI1779" s="3">
        <v>1</v>
      </c>
      <c r="BJ1779" s="3">
        <v>0.2</v>
      </c>
      <c r="BK1779" s="3">
        <v>1</v>
      </c>
      <c r="BL1779" s="3">
        <v>59</v>
      </c>
      <c r="BM1779" s="3">
        <v>8.85</v>
      </c>
      <c r="BN1779" s="3">
        <v>67.849999999999994</v>
      </c>
      <c r="BO1779" s="3">
        <v>67.849999999999994</v>
      </c>
      <c r="BQ1779" s="3" t="s">
        <v>89</v>
      </c>
      <c r="BR1779" s="3" t="s">
        <v>84</v>
      </c>
      <c r="BS1779" s="4">
        <v>44586</v>
      </c>
      <c r="BT1779" s="5">
        <v>0.3972222222222222</v>
      </c>
      <c r="BU1779" s="3" t="s">
        <v>2001</v>
      </c>
      <c r="BV1779" s="3" t="s">
        <v>105</v>
      </c>
      <c r="BY1779" s="3">
        <v>1200</v>
      </c>
      <c r="BZ1779" s="3" t="s">
        <v>165</v>
      </c>
      <c r="CA1779" s="3" t="s">
        <v>106</v>
      </c>
      <c r="CC1779" s="3" t="s">
        <v>139</v>
      </c>
      <c r="CD1779" s="3">
        <v>3610</v>
      </c>
      <c r="CE1779" s="3" t="s">
        <v>93</v>
      </c>
      <c r="CF1779" s="4">
        <v>44587</v>
      </c>
      <c r="CI1779" s="3">
        <v>1</v>
      </c>
      <c r="CJ1779" s="3">
        <v>1</v>
      </c>
      <c r="CK1779" s="3">
        <v>21</v>
      </c>
      <c r="CL1779" s="3" t="s">
        <v>87</v>
      </c>
    </row>
    <row r="1780" spans="1:90" x14ac:dyDescent="0.2">
      <c r="A1780" s="3" t="s">
        <v>72</v>
      </c>
      <c r="B1780" s="3" t="s">
        <v>73</v>
      </c>
      <c r="C1780" s="3" t="s">
        <v>74</v>
      </c>
      <c r="E1780" s="3" t="str">
        <f>"FES1162846365"</f>
        <v>FES1162846365</v>
      </c>
      <c r="F1780" s="4">
        <v>44585</v>
      </c>
      <c r="G1780" s="3">
        <v>202207</v>
      </c>
      <c r="H1780" s="3" t="s">
        <v>75</v>
      </c>
      <c r="I1780" s="3" t="s">
        <v>76</v>
      </c>
      <c r="J1780" s="3" t="s">
        <v>77</v>
      </c>
      <c r="K1780" s="3" t="s">
        <v>78</v>
      </c>
      <c r="L1780" s="3" t="s">
        <v>90</v>
      </c>
      <c r="M1780" s="3" t="s">
        <v>91</v>
      </c>
      <c r="N1780" s="3" t="s">
        <v>749</v>
      </c>
      <c r="O1780" s="3" t="s">
        <v>82</v>
      </c>
      <c r="P1780" s="3" t="str">
        <f>"2170817850                    "</f>
        <v xml:space="preserve">2170817850                    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15.46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  <c r="BH1780" s="3">
        <v>1</v>
      </c>
      <c r="BI1780" s="3">
        <v>1</v>
      </c>
      <c r="BJ1780" s="3">
        <v>0.2</v>
      </c>
      <c r="BK1780" s="3">
        <v>1</v>
      </c>
      <c r="BL1780" s="3">
        <v>59</v>
      </c>
      <c r="BM1780" s="3">
        <v>8.85</v>
      </c>
      <c r="BN1780" s="3">
        <v>67.849999999999994</v>
      </c>
      <c r="BO1780" s="3">
        <v>67.849999999999994</v>
      </c>
      <c r="BQ1780" s="3" t="s">
        <v>1110</v>
      </c>
      <c r="BR1780" s="3" t="s">
        <v>84</v>
      </c>
      <c r="BS1780" s="4">
        <v>44586</v>
      </c>
      <c r="BT1780" s="5">
        <v>0.35694444444444445</v>
      </c>
      <c r="BU1780" s="3" t="s">
        <v>2008</v>
      </c>
      <c r="BV1780" s="3" t="s">
        <v>105</v>
      </c>
      <c r="BY1780" s="3">
        <v>1200</v>
      </c>
      <c r="BZ1780" s="3" t="s">
        <v>165</v>
      </c>
      <c r="CA1780" s="3" t="s">
        <v>1948</v>
      </c>
      <c r="CC1780" s="3" t="s">
        <v>91</v>
      </c>
      <c r="CD1780" s="3">
        <v>7405</v>
      </c>
      <c r="CE1780" s="3" t="s">
        <v>93</v>
      </c>
      <c r="CF1780" s="4">
        <v>44587</v>
      </c>
      <c r="CI1780" s="3">
        <v>1</v>
      </c>
      <c r="CJ1780" s="3">
        <v>1</v>
      </c>
      <c r="CK1780" s="3">
        <v>21</v>
      </c>
      <c r="CL1780" s="3" t="s">
        <v>87</v>
      </c>
    </row>
    <row r="1781" spans="1:90" x14ac:dyDescent="0.2">
      <c r="A1781" s="3" t="s">
        <v>72</v>
      </c>
      <c r="B1781" s="3" t="s">
        <v>73</v>
      </c>
      <c r="C1781" s="3" t="s">
        <v>74</v>
      </c>
      <c r="E1781" s="3" t="str">
        <f>"FES1162846389"</f>
        <v>FES1162846389</v>
      </c>
      <c r="F1781" s="4">
        <v>44585</v>
      </c>
      <c r="G1781" s="3">
        <v>202207</v>
      </c>
      <c r="H1781" s="3" t="s">
        <v>75</v>
      </c>
      <c r="I1781" s="3" t="s">
        <v>76</v>
      </c>
      <c r="J1781" s="3" t="s">
        <v>77</v>
      </c>
      <c r="K1781" s="3" t="s">
        <v>78</v>
      </c>
      <c r="L1781" s="3" t="s">
        <v>867</v>
      </c>
      <c r="M1781" s="3" t="s">
        <v>868</v>
      </c>
      <c r="N1781" s="3" t="s">
        <v>869</v>
      </c>
      <c r="O1781" s="3" t="s">
        <v>82</v>
      </c>
      <c r="P1781" s="3" t="str">
        <f>"2170817834                    "</f>
        <v xml:space="preserve">2170817834                    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29.95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1</v>
      </c>
      <c r="BI1781" s="3">
        <v>1</v>
      </c>
      <c r="BJ1781" s="3">
        <v>0.2</v>
      </c>
      <c r="BK1781" s="3">
        <v>1</v>
      </c>
      <c r="BL1781" s="3">
        <v>114.31</v>
      </c>
      <c r="BM1781" s="3">
        <v>17.149999999999999</v>
      </c>
      <c r="BN1781" s="3">
        <v>131.46</v>
      </c>
      <c r="BO1781" s="3">
        <v>131.46</v>
      </c>
      <c r="BR1781" s="3" t="s">
        <v>84</v>
      </c>
      <c r="BS1781" s="4">
        <v>44586</v>
      </c>
      <c r="BT1781" s="5">
        <v>0.42083333333333334</v>
      </c>
      <c r="BU1781" s="3" t="s">
        <v>1990</v>
      </c>
      <c r="BV1781" s="3" t="s">
        <v>105</v>
      </c>
      <c r="BY1781" s="3">
        <v>1200</v>
      </c>
      <c r="BZ1781" s="3" t="s">
        <v>165</v>
      </c>
      <c r="CA1781" s="3" t="s">
        <v>1991</v>
      </c>
      <c r="CC1781" s="3" t="s">
        <v>868</v>
      </c>
      <c r="CD1781" s="3">
        <v>4170</v>
      </c>
      <c r="CE1781" s="3" t="s">
        <v>93</v>
      </c>
      <c r="CF1781" s="4">
        <v>44587</v>
      </c>
      <c r="CI1781" s="3">
        <v>1</v>
      </c>
      <c r="CJ1781" s="3">
        <v>1</v>
      </c>
      <c r="CK1781" s="3">
        <v>23</v>
      </c>
      <c r="CL1781" s="3" t="s">
        <v>87</v>
      </c>
    </row>
    <row r="1782" spans="1:90" x14ac:dyDescent="0.2">
      <c r="A1782" s="3" t="s">
        <v>72</v>
      </c>
      <c r="B1782" s="3" t="s">
        <v>73</v>
      </c>
      <c r="C1782" s="3" t="s">
        <v>74</v>
      </c>
      <c r="E1782" s="3" t="str">
        <f>"FES1162846508"</f>
        <v>FES1162846508</v>
      </c>
      <c r="F1782" s="4">
        <v>44585</v>
      </c>
      <c r="G1782" s="3">
        <v>202207</v>
      </c>
      <c r="H1782" s="3" t="s">
        <v>75</v>
      </c>
      <c r="I1782" s="3" t="s">
        <v>76</v>
      </c>
      <c r="J1782" s="3" t="s">
        <v>77</v>
      </c>
      <c r="K1782" s="3" t="s">
        <v>78</v>
      </c>
      <c r="L1782" s="3" t="s">
        <v>97</v>
      </c>
      <c r="M1782" s="3" t="s">
        <v>98</v>
      </c>
      <c r="N1782" s="3" t="s">
        <v>183</v>
      </c>
      <c r="O1782" s="3" t="s">
        <v>82</v>
      </c>
      <c r="P1782" s="3" t="str">
        <f>"2170815963                    "</f>
        <v xml:space="preserve">2170815963                    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0</v>
      </c>
      <c r="AJ1782" s="3">
        <v>0</v>
      </c>
      <c r="AK1782" s="3">
        <v>12.07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  <c r="BH1782" s="3">
        <v>1</v>
      </c>
      <c r="BI1782" s="3">
        <v>1</v>
      </c>
      <c r="BJ1782" s="3">
        <v>0.2</v>
      </c>
      <c r="BK1782" s="3">
        <v>1</v>
      </c>
      <c r="BL1782" s="3">
        <v>46.08</v>
      </c>
      <c r="BM1782" s="3">
        <v>6.91</v>
      </c>
      <c r="BN1782" s="3">
        <v>52.99</v>
      </c>
      <c r="BO1782" s="3">
        <v>52.99</v>
      </c>
      <c r="BQ1782" s="3" t="s">
        <v>89</v>
      </c>
      <c r="BR1782" s="3" t="s">
        <v>84</v>
      </c>
      <c r="BS1782" s="4">
        <v>44586</v>
      </c>
      <c r="BT1782" s="5">
        <v>0.42152777777777778</v>
      </c>
      <c r="BU1782" s="3" t="s">
        <v>2012</v>
      </c>
      <c r="BV1782" s="3" t="s">
        <v>105</v>
      </c>
      <c r="BY1782" s="3">
        <v>1200</v>
      </c>
      <c r="BZ1782" s="3" t="s">
        <v>165</v>
      </c>
      <c r="CA1782" s="3" t="s">
        <v>1057</v>
      </c>
      <c r="CC1782" s="3" t="s">
        <v>98</v>
      </c>
      <c r="CD1782" s="3">
        <v>2090</v>
      </c>
      <c r="CE1782" s="3" t="s">
        <v>93</v>
      </c>
      <c r="CF1782" s="4">
        <v>44586</v>
      </c>
      <c r="CI1782" s="3">
        <v>1</v>
      </c>
      <c r="CJ1782" s="3">
        <v>1</v>
      </c>
      <c r="CK1782" s="3">
        <v>22</v>
      </c>
      <c r="CL1782" s="3" t="s">
        <v>87</v>
      </c>
    </row>
    <row r="1783" spans="1:90" x14ac:dyDescent="0.2">
      <c r="A1783" s="3" t="s">
        <v>72</v>
      </c>
      <c r="B1783" s="3" t="s">
        <v>73</v>
      </c>
      <c r="C1783" s="3" t="s">
        <v>74</v>
      </c>
      <c r="E1783" s="3" t="str">
        <f>"FES1162846364"</f>
        <v>FES1162846364</v>
      </c>
      <c r="F1783" s="4">
        <v>44585</v>
      </c>
      <c r="G1783" s="3">
        <v>202207</v>
      </c>
      <c r="H1783" s="3" t="s">
        <v>75</v>
      </c>
      <c r="I1783" s="3" t="s">
        <v>76</v>
      </c>
      <c r="J1783" s="3" t="s">
        <v>77</v>
      </c>
      <c r="K1783" s="3" t="s">
        <v>78</v>
      </c>
      <c r="L1783" s="3" t="s">
        <v>167</v>
      </c>
      <c r="M1783" s="3" t="s">
        <v>168</v>
      </c>
      <c r="N1783" s="3" t="s">
        <v>169</v>
      </c>
      <c r="O1783" s="3" t="s">
        <v>82</v>
      </c>
      <c r="P1783" s="3" t="str">
        <f>"2170817849                    "</f>
        <v xml:space="preserve">2170817849                    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15.46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1</v>
      </c>
      <c r="BI1783" s="3">
        <v>1</v>
      </c>
      <c r="BJ1783" s="3">
        <v>0.2</v>
      </c>
      <c r="BK1783" s="3">
        <v>1</v>
      </c>
      <c r="BL1783" s="3">
        <v>59</v>
      </c>
      <c r="BM1783" s="3">
        <v>8.85</v>
      </c>
      <c r="BN1783" s="3">
        <v>67.849999999999994</v>
      </c>
      <c r="BO1783" s="3">
        <v>67.849999999999994</v>
      </c>
      <c r="BQ1783" s="3" t="s">
        <v>83</v>
      </c>
      <c r="BR1783" s="3" t="s">
        <v>84</v>
      </c>
      <c r="BS1783" s="4">
        <v>44586</v>
      </c>
      <c r="BT1783" s="5">
        <v>0.37083333333333335</v>
      </c>
      <c r="BU1783" s="3" t="s">
        <v>2013</v>
      </c>
      <c r="BV1783" s="3" t="s">
        <v>105</v>
      </c>
      <c r="BY1783" s="3">
        <v>1200</v>
      </c>
      <c r="BZ1783" s="3" t="s">
        <v>165</v>
      </c>
      <c r="CA1783" s="3" t="s">
        <v>1580</v>
      </c>
      <c r="CC1783" s="3" t="s">
        <v>168</v>
      </c>
      <c r="CD1783" s="3">
        <v>6220</v>
      </c>
      <c r="CE1783" s="3" t="s">
        <v>93</v>
      </c>
      <c r="CF1783" s="4">
        <v>44586</v>
      </c>
      <c r="CI1783" s="3">
        <v>1</v>
      </c>
      <c r="CJ1783" s="3">
        <v>1</v>
      </c>
      <c r="CK1783" s="3">
        <v>21</v>
      </c>
      <c r="CL1783" s="3" t="s">
        <v>87</v>
      </c>
    </row>
    <row r="1784" spans="1:90" x14ac:dyDescent="0.2">
      <c r="A1784" s="3" t="s">
        <v>72</v>
      </c>
      <c r="B1784" s="3" t="s">
        <v>73</v>
      </c>
      <c r="C1784" s="3" t="s">
        <v>74</v>
      </c>
      <c r="E1784" s="3" t="str">
        <f>"FES1162846479"</f>
        <v>FES1162846479</v>
      </c>
      <c r="F1784" s="4">
        <v>44585</v>
      </c>
      <c r="G1784" s="3">
        <v>202207</v>
      </c>
      <c r="H1784" s="3" t="s">
        <v>75</v>
      </c>
      <c r="I1784" s="3" t="s">
        <v>76</v>
      </c>
      <c r="J1784" s="3" t="s">
        <v>77</v>
      </c>
      <c r="K1784" s="3" t="s">
        <v>78</v>
      </c>
      <c r="L1784" s="3" t="s">
        <v>158</v>
      </c>
      <c r="M1784" s="3" t="s">
        <v>159</v>
      </c>
      <c r="N1784" s="3" t="s">
        <v>1253</v>
      </c>
      <c r="O1784" s="3" t="s">
        <v>82</v>
      </c>
      <c r="P1784" s="3" t="str">
        <f>"2170815728                    "</f>
        <v xml:space="preserve">2170815728                    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23.66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v>0</v>
      </c>
      <c r="BA1784" s="3">
        <v>0</v>
      </c>
      <c r="BB1784" s="3">
        <v>0</v>
      </c>
      <c r="BC1784" s="3">
        <v>0</v>
      </c>
      <c r="BD1784" s="3">
        <v>0</v>
      </c>
      <c r="BE1784" s="3">
        <v>0</v>
      </c>
      <c r="BF1784" s="3">
        <v>0</v>
      </c>
      <c r="BG1784" s="3">
        <v>0</v>
      </c>
      <c r="BH1784" s="3">
        <v>1</v>
      </c>
      <c r="BI1784" s="3">
        <v>12</v>
      </c>
      <c r="BJ1784" s="3">
        <v>9.1</v>
      </c>
      <c r="BK1784" s="3">
        <v>12</v>
      </c>
      <c r="BL1784" s="3">
        <v>90.31</v>
      </c>
      <c r="BM1784" s="3">
        <v>13.55</v>
      </c>
      <c r="BN1784" s="3">
        <v>103.86</v>
      </c>
      <c r="BO1784" s="3">
        <v>103.86</v>
      </c>
      <c r="BQ1784" s="3" t="s">
        <v>89</v>
      </c>
      <c r="BR1784" s="3" t="s">
        <v>84</v>
      </c>
      <c r="BS1784" s="4">
        <v>44586</v>
      </c>
      <c r="BT1784" s="5">
        <v>0.4201388888888889</v>
      </c>
      <c r="BU1784" s="3" t="s">
        <v>2014</v>
      </c>
      <c r="BV1784" s="3" t="s">
        <v>105</v>
      </c>
      <c r="BY1784" s="3">
        <v>45632</v>
      </c>
      <c r="BZ1784" s="3" t="s">
        <v>165</v>
      </c>
      <c r="CA1784" s="3" t="s">
        <v>653</v>
      </c>
      <c r="CC1784" s="3" t="s">
        <v>159</v>
      </c>
      <c r="CD1784" s="3">
        <v>1459</v>
      </c>
      <c r="CE1784" s="3" t="s">
        <v>86</v>
      </c>
      <c r="CF1784" s="4">
        <v>44587</v>
      </c>
      <c r="CI1784" s="3">
        <v>1</v>
      </c>
      <c r="CJ1784" s="3">
        <v>1</v>
      </c>
      <c r="CK1784" s="3">
        <v>22</v>
      </c>
      <c r="CL1784" s="3" t="s">
        <v>87</v>
      </c>
    </row>
    <row r="1785" spans="1:90" x14ac:dyDescent="0.2">
      <c r="A1785" s="3" t="s">
        <v>72</v>
      </c>
      <c r="B1785" s="3" t="s">
        <v>73</v>
      </c>
      <c r="C1785" s="3" t="s">
        <v>74</v>
      </c>
      <c r="E1785" s="3" t="str">
        <f>"FES1162846322"</f>
        <v>FES1162846322</v>
      </c>
      <c r="F1785" s="4">
        <v>44585</v>
      </c>
      <c r="G1785" s="3">
        <v>202207</v>
      </c>
      <c r="H1785" s="3" t="s">
        <v>75</v>
      </c>
      <c r="I1785" s="3" t="s">
        <v>76</v>
      </c>
      <c r="J1785" s="3" t="s">
        <v>77</v>
      </c>
      <c r="K1785" s="3" t="s">
        <v>78</v>
      </c>
      <c r="L1785" s="3" t="s">
        <v>167</v>
      </c>
      <c r="M1785" s="3" t="s">
        <v>168</v>
      </c>
      <c r="N1785" s="3" t="s">
        <v>2015</v>
      </c>
      <c r="O1785" s="3" t="s">
        <v>82</v>
      </c>
      <c r="P1785" s="3" t="str">
        <f>"2170816469                    "</f>
        <v xml:space="preserve">2170816469                    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15.46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v>0</v>
      </c>
      <c r="BA1785" s="3">
        <v>0</v>
      </c>
      <c r="BB1785" s="3">
        <v>0</v>
      </c>
      <c r="BC1785" s="3">
        <v>0</v>
      </c>
      <c r="BD1785" s="3">
        <v>0</v>
      </c>
      <c r="BE1785" s="3">
        <v>0</v>
      </c>
      <c r="BF1785" s="3">
        <v>0</v>
      </c>
      <c r="BG1785" s="3">
        <v>0</v>
      </c>
      <c r="BH1785" s="3">
        <v>1</v>
      </c>
      <c r="BI1785" s="3">
        <v>2</v>
      </c>
      <c r="BJ1785" s="3">
        <v>2</v>
      </c>
      <c r="BK1785" s="3">
        <v>2</v>
      </c>
      <c r="BL1785" s="3">
        <v>59</v>
      </c>
      <c r="BM1785" s="3">
        <v>8.85</v>
      </c>
      <c r="BN1785" s="3">
        <v>67.849999999999994</v>
      </c>
      <c r="BO1785" s="3">
        <v>67.849999999999994</v>
      </c>
      <c r="BQ1785" s="3" t="s">
        <v>126</v>
      </c>
      <c r="BR1785" s="3" t="s">
        <v>84</v>
      </c>
      <c r="BS1785" s="4">
        <v>44586</v>
      </c>
      <c r="BT1785" s="5">
        <v>0.39166666666666666</v>
      </c>
      <c r="BU1785" s="3" t="s">
        <v>2016</v>
      </c>
      <c r="BV1785" s="3" t="s">
        <v>105</v>
      </c>
      <c r="BY1785" s="3">
        <v>9918</v>
      </c>
      <c r="BZ1785" s="3" t="s">
        <v>165</v>
      </c>
      <c r="CA1785" s="3" t="s">
        <v>553</v>
      </c>
      <c r="CC1785" s="3" t="s">
        <v>168</v>
      </c>
      <c r="CD1785" s="3">
        <v>6229</v>
      </c>
      <c r="CE1785" s="3" t="s">
        <v>86</v>
      </c>
      <c r="CF1785" s="4">
        <v>44586</v>
      </c>
      <c r="CI1785" s="3">
        <v>1</v>
      </c>
      <c r="CJ1785" s="3">
        <v>1</v>
      </c>
      <c r="CK1785" s="3">
        <v>21</v>
      </c>
      <c r="CL1785" s="3" t="s">
        <v>87</v>
      </c>
    </row>
    <row r="1786" spans="1:90" x14ac:dyDescent="0.2">
      <c r="A1786" s="3" t="s">
        <v>72</v>
      </c>
      <c r="B1786" s="3" t="s">
        <v>73</v>
      </c>
      <c r="C1786" s="3" t="s">
        <v>74</v>
      </c>
      <c r="E1786" s="3" t="str">
        <f>"FES1162846476"</f>
        <v>FES1162846476</v>
      </c>
      <c r="F1786" s="4">
        <v>44585</v>
      </c>
      <c r="G1786" s="3">
        <v>202207</v>
      </c>
      <c r="H1786" s="3" t="s">
        <v>75</v>
      </c>
      <c r="I1786" s="3" t="s">
        <v>76</v>
      </c>
      <c r="J1786" s="3" t="s">
        <v>77</v>
      </c>
      <c r="K1786" s="3" t="s">
        <v>78</v>
      </c>
      <c r="L1786" s="3" t="s">
        <v>94</v>
      </c>
      <c r="M1786" s="3" t="s">
        <v>95</v>
      </c>
      <c r="N1786" s="3" t="s">
        <v>161</v>
      </c>
      <c r="O1786" s="3" t="s">
        <v>82</v>
      </c>
      <c r="P1786" s="3" t="str">
        <f>"2170815707                    "</f>
        <v xml:space="preserve">2170815707                    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15.46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v>0</v>
      </c>
      <c r="BA1786" s="3">
        <v>0</v>
      </c>
      <c r="BB1786" s="3">
        <v>0</v>
      </c>
      <c r="BC1786" s="3">
        <v>0</v>
      </c>
      <c r="BD1786" s="3">
        <v>0</v>
      </c>
      <c r="BE1786" s="3">
        <v>0</v>
      </c>
      <c r="BF1786" s="3">
        <v>0</v>
      </c>
      <c r="BG1786" s="3">
        <v>0</v>
      </c>
      <c r="BH1786" s="3">
        <v>1</v>
      </c>
      <c r="BI1786" s="3">
        <v>1</v>
      </c>
      <c r="BJ1786" s="3">
        <v>0.2</v>
      </c>
      <c r="BK1786" s="3">
        <v>1</v>
      </c>
      <c r="BL1786" s="3">
        <v>59</v>
      </c>
      <c r="BM1786" s="3">
        <v>8.85</v>
      </c>
      <c r="BN1786" s="3">
        <v>67.849999999999994</v>
      </c>
      <c r="BO1786" s="3">
        <v>67.849999999999994</v>
      </c>
      <c r="BQ1786" s="3" t="s">
        <v>89</v>
      </c>
      <c r="BR1786" s="3" t="s">
        <v>84</v>
      </c>
      <c r="BS1786" s="4">
        <v>44586</v>
      </c>
      <c r="BT1786" s="5">
        <v>0.4993055555555555</v>
      </c>
      <c r="BU1786" s="3" t="s">
        <v>2017</v>
      </c>
      <c r="BV1786" s="3" t="s">
        <v>87</v>
      </c>
      <c r="BW1786" s="3" t="s">
        <v>453</v>
      </c>
      <c r="BX1786" s="3" t="s">
        <v>279</v>
      </c>
      <c r="BY1786" s="3">
        <v>1200</v>
      </c>
      <c r="BZ1786" s="3" t="s">
        <v>165</v>
      </c>
      <c r="CC1786" s="3" t="s">
        <v>95</v>
      </c>
      <c r="CD1786" s="3">
        <v>3201</v>
      </c>
      <c r="CE1786" s="3" t="s">
        <v>93</v>
      </c>
      <c r="CF1786" s="4">
        <v>44589</v>
      </c>
      <c r="CI1786" s="3">
        <v>1</v>
      </c>
      <c r="CJ1786" s="3">
        <v>1</v>
      </c>
      <c r="CK1786" s="3">
        <v>21</v>
      </c>
      <c r="CL1786" s="3" t="s">
        <v>87</v>
      </c>
    </row>
    <row r="1787" spans="1:90" x14ac:dyDescent="0.2">
      <c r="A1787" s="3" t="s">
        <v>72</v>
      </c>
      <c r="B1787" s="3" t="s">
        <v>73</v>
      </c>
      <c r="C1787" s="3" t="s">
        <v>74</v>
      </c>
      <c r="E1787" s="3" t="str">
        <f>"FES1162846344"</f>
        <v>FES1162846344</v>
      </c>
      <c r="F1787" s="4">
        <v>44585</v>
      </c>
      <c r="G1787" s="3">
        <v>202207</v>
      </c>
      <c r="H1787" s="3" t="s">
        <v>75</v>
      </c>
      <c r="I1787" s="3" t="s">
        <v>76</v>
      </c>
      <c r="J1787" s="3" t="s">
        <v>77</v>
      </c>
      <c r="K1787" s="3" t="s">
        <v>78</v>
      </c>
      <c r="L1787" s="3" t="s">
        <v>171</v>
      </c>
      <c r="M1787" s="3" t="s">
        <v>172</v>
      </c>
      <c r="N1787" s="3" t="s">
        <v>1972</v>
      </c>
      <c r="O1787" s="3" t="s">
        <v>82</v>
      </c>
      <c r="P1787" s="3" t="str">
        <f>"2170817698                    "</f>
        <v xml:space="preserve">2170817698                    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15.46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v>0</v>
      </c>
      <c r="BA1787" s="3">
        <v>0</v>
      </c>
      <c r="BB1787" s="3">
        <v>0</v>
      </c>
      <c r="BC1787" s="3">
        <v>0</v>
      </c>
      <c r="BD1787" s="3">
        <v>0</v>
      </c>
      <c r="BE1787" s="3">
        <v>0</v>
      </c>
      <c r="BF1787" s="3">
        <v>0</v>
      </c>
      <c r="BG1787" s="3">
        <v>0</v>
      </c>
      <c r="BH1787" s="3">
        <v>1</v>
      </c>
      <c r="BI1787" s="3">
        <v>1</v>
      </c>
      <c r="BJ1787" s="3">
        <v>0.2</v>
      </c>
      <c r="BK1787" s="3">
        <v>1</v>
      </c>
      <c r="BL1787" s="3">
        <v>59</v>
      </c>
      <c r="BM1787" s="3">
        <v>8.85</v>
      </c>
      <c r="BN1787" s="3">
        <v>67.849999999999994</v>
      </c>
      <c r="BO1787" s="3">
        <v>67.849999999999994</v>
      </c>
      <c r="BQ1787" s="3" t="s">
        <v>126</v>
      </c>
      <c r="BR1787" s="3" t="s">
        <v>84</v>
      </c>
      <c r="BS1787" s="4">
        <v>44586</v>
      </c>
      <c r="BT1787" s="5">
        <v>0.42569444444444443</v>
      </c>
      <c r="BU1787" s="3" t="s">
        <v>1973</v>
      </c>
      <c r="BV1787" s="3" t="s">
        <v>105</v>
      </c>
      <c r="BY1787" s="3">
        <v>1200</v>
      </c>
      <c r="BZ1787" s="3" t="s">
        <v>165</v>
      </c>
      <c r="CA1787" s="3" t="s">
        <v>1580</v>
      </c>
      <c r="CC1787" s="3" t="s">
        <v>172</v>
      </c>
      <c r="CD1787" s="3">
        <v>6012</v>
      </c>
      <c r="CE1787" s="3" t="s">
        <v>93</v>
      </c>
      <c r="CF1787" s="4">
        <v>44586</v>
      </c>
      <c r="CI1787" s="3">
        <v>1</v>
      </c>
      <c r="CJ1787" s="3">
        <v>1</v>
      </c>
      <c r="CK1787" s="3">
        <v>21</v>
      </c>
      <c r="CL1787" s="3" t="s">
        <v>87</v>
      </c>
    </row>
    <row r="1788" spans="1:90" x14ac:dyDescent="0.2">
      <c r="A1788" s="3" t="s">
        <v>72</v>
      </c>
      <c r="B1788" s="3" t="s">
        <v>73</v>
      </c>
      <c r="C1788" s="3" t="s">
        <v>74</v>
      </c>
      <c r="E1788" s="3" t="str">
        <f>"FES1162846336"</f>
        <v>FES1162846336</v>
      </c>
      <c r="F1788" s="4">
        <v>44585</v>
      </c>
      <c r="G1788" s="3">
        <v>202207</v>
      </c>
      <c r="H1788" s="3" t="s">
        <v>75</v>
      </c>
      <c r="I1788" s="3" t="s">
        <v>76</v>
      </c>
      <c r="J1788" s="3" t="s">
        <v>77</v>
      </c>
      <c r="K1788" s="3" t="s">
        <v>78</v>
      </c>
      <c r="L1788" s="3" t="s">
        <v>90</v>
      </c>
      <c r="M1788" s="3" t="s">
        <v>91</v>
      </c>
      <c r="N1788" s="3" t="s">
        <v>735</v>
      </c>
      <c r="O1788" s="3" t="s">
        <v>82</v>
      </c>
      <c r="P1788" s="3" t="str">
        <f>"2170817485                    "</f>
        <v xml:space="preserve">2170817485                    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15.46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v>0</v>
      </c>
      <c r="BA1788" s="3">
        <v>0</v>
      </c>
      <c r="BB1788" s="3">
        <v>0</v>
      </c>
      <c r="BC1788" s="3">
        <v>0</v>
      </c>
      <c r="BD1788" s="3">
        <v>0</v>
      </c>
      <c r="BE1788" s="3">
        <v>0</v>
      </c>
      <c r="BF1788" s="3">
        <v>0</v>
      </c>
      <c r="BG1788" s="3">
        <v>0</v>
      </c>
      <c r="BH1788" s="3">
        <v>1</v>
      </c>
      <c r="BI1788" s="3">
        <v>1</v>
      </c>
      <c r="BJ1788" s="3">
        <v>0.2</v>
      </c>
      <c r="BK1788" s="3">
        <v>1</v>
      </c>
      <c r="BL1788" s="3">
        <v>59</v>
      </c>
      <c r="BM1788" s="3">
        <v>8.85</v>
      </c>
      <c r="BN1788" s="3">
        <v>67.849999999999994</v>
      </c>
      <c r="BO1788" s="3">
        <v>67.849999999999994</v>
      </c>
      <c r="BQ1788" s="3" t="s">
        <v>273</v>
      </c>
      <c r="BR1788" s="3" t="s">
        <v>84</v>
      </c>
      <c r="BS1788" s="4">
        <v>44586</v>
      </c>
      <c r="BT1788" s="5">
        <v>0.32013888888888892</v>
      </c>
      <c r="BU1788" s="3" t="s">
        <v>2018</v>
      </c>
      <c r="BV1788" s="3" t="s">
        <v>105</v>
      </c>
      <c r="BY1788" s="3">
        <v>1200</v>
      </c>
      <c r="BZ1788" s="3" t="s">
        <v>165</v>
      </c>
      <c r="CA1788" s="3" t="s">
        <v>566</v>
      </c>
      <c r="CC1788" s="3" t="s">
        <v>91</v>
      </c>
      <c r="CD1788" s="3">
        <v>7460</v>
      </c>
      <c r="CE1788" s="3" t="s">
        <v>93</v>
      </c>
      <c r="CF1788" s="4">
        <v>44587</v>
      </c>
      <c r="CI1788" s="3">
        <v>1</v>
      </c>
      <c r="CJ1788" s="3">
        <v>1</v>
      </c>
      <c r="CK1788" s="3">
        <v>21</v>
      </c>
      <c r="CL1788" s="3" t="s">
        <v>87</v>
      </c>
    </row>
    <row r="1789" spans="1:90" x14ac:dyDescent="0.2">
      <c r="A1789" s="3" t="s">
        <v>72</v>
      </c>
      <c r="B1789" s="3" t="s">
        <v>73</v>
      </c>
      <c r="C1789" s="3" t="s">
        <v>74</v>
      </c>
      <c r="E1789" s="3" t="str">
        <f>"FES1162846426"</f>
        <v>FES1162846426</v>
      </c>
      <c r="F1789" s="4">
        <v>44585</v>
      </c>
      <c r="G1789" s="3">
        <v>202207</v>
      </c>
      <c r="H1789" s="3" t="s">
        <v>75</v>
      </c>
      <c r="I1789" s="3" t="s">
        <v>76</v>
      </c>
      <c r="J1789" s="3" t="s">
        <v>77</v>
      </c>
      <c r="K1789" s="3" t="s">
        <v>78</v>
      </c>
      <c r="L1789" s="3" t="s">
        <v>149</v>
      </c>
      <c r="M1789" s="3" t="s">
        <v>150</v>
      </c>
      <c r="N1789" s="3" t="s">
        <v>151</v>
      </c>
      <c r="O1789" s="3" t="s">
        <v>82</v>
      </c>
      <c r="P1789" s="3" t="str">
        <f>"2170809658                    "</f>
        <v xml:space="preserve">2170809658                    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29.95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v>0</v>
      </c>
      <c r="BA1789" s="3">
        <v>0</v>
      </c>
      <c r="BB1789" s="3">
        <v>0</v>
      </c>
      <c r="BC1789" s="3">
        <v>0</v>
      </c>
      <c r="BD1789" s="3">
        <v>0</v>
      </c>
      <c r="BE1789" s="3">
        <v>0</v>
      </c>
      <c r="BF1789" s="3">
        <v>0</v>
      </c>
      <c r="BG1789" s="3">
        <v>0</v>
      </c>
      <c r="BH1789" s="3">
        <v>1</v>
      </c>
      <c r="BI1789" s="3">
        <v>1</v>
      </c>
      <c r="BJ1789" s="3">
        <v>0.2</v>
      </c>
      <c r="BK1789" s="3">
        <v>1</v>
      </c>
      <c r="BL1789" s="3">
        <v>114.31</v>
      </c>
      <c r="BM1789" s="3">
        <v>17.149999999999999</v>
      </c>
      <c r="BN1789" s="3">
        <v>131.46</v>
      </c>
      <c r="BO1789" s="3">
        <v>131.46</v>
      </c>
      <c r="BR1789" s="3" t="s">
        <v>84</v>
      </c>
      <c r="BS1789" s="4">
        <v>44586</v>
      </c>
      <c r="BT1789" s="5">
        <v>0.52083333333333337</v>
      </c>
      <c r="BU1789" s="3" t="s">
        <v>2019</v>
      </c>
      <c r="BV1789" s="3" t="s">
        <v>105</v>
      </c>
      <c r="BY1789" s="3">
        <v>1200</v>
      </c>
      <c r="BZ1789" s="3" t="s">
        <v>165</v>
      </c>
      <c r="CC1789" s="3" t="s">
        <v>150</v>
      </c>
      <c r="CD1789" s="3">
        <v>5850</v>
      </c>
      <c r="CE1789" s="3" t="s">
        <v>93</v>
      </c>
      <c r="CF1789" s="4">
        <v>44588</v>
      </c>
      <c r="CI1789" s="3">
        <v>2</v>
      </c>
      <c r="CJ1789" s="3">
        <v>1</v>
      </c>
      <c r="CK1789" s="3">
        <v>23</v>
      </c>
      <c r="CL1789" s="3" t="s">
        <v>87</v>
      </c>
    </row>
    <row r="1790" spans="1:90" x14ac:dyDescent="0.2">
      <c r="A1790" s="3" t="s">
        <v>72</v>
      </c>
      <c r="B1790" s="3" t="s">
        <v>73</v>
      </c>
      <c r="C1790" s="3" t="s">
        <v>74</v>
      </c>
      <c r="E1790" s="3" t="str">
        <f>"FES1162846413"</f>
        <v>FES1162846413</v>
      </c>
      <c r="F1790" s="4">
        <v>44585</v>
      </c>
      <c r="G1790" s="3">
        <v>202207</v>
      </c>
      <c r="H1790" s="3" t="s">
        <v>75</v>
      </c>
      <c r="I1790" s="3" t="s">
        <v>76</v>
      </c>
      <c r="J1790" s="3" t="s">
        <v>77</v>
      </c>
      <c r="K1790" s="3" t="s">
        <v>78</v>
      </c>
      <c r="L1790" s="3" t="s">
        <v>171</v>
      </c>
      <c r="M1790" s="3" t="s">
        <v>172</v>
      </c>
      <c r="N1790" s="3" t="s">
        <v>235</v>
      </c>
      <c r="O1790" s="3" t="s">
        <v>82</v>
      </c>
      <c r="P1790" s="3" t="str">
        <f>"2170793306                    "</f>
        <v xml:space="preserve">2170793306                    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34.770000000000003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v>0</v>
      </c>
      <c r="BA1790" s="3">
        <v>0</v>
      </c>
      <c r="BB1790" s="3">
        <v>0</v>
      </c>
      <c r="BC1790" s="3">
        <v>0</v>
      </c>
      <c r="BD1790" s="3">
        <v>0</v>
      </c>
      <c r="BE1790" s="3">
        <v>0</v>
      </c>
      <c r="BF1790" s="3">
        <v>0</v>
      </c>
      <c r="BG1790" s="3">
        <v>0</v>
      </c>
      <c r="BH1790" s="3">
        <v>1</v>
      </c>
      <c r="BI1790" s="3">
        <v>3</v>
      </c>
      <c r="BJ1790" s="3">
        <v>4.0999999999999996</v>
      </c>
      <c r="BK1790" s="3">
        <v>4.5</v>
      </c>
      <c r="BL1790" s="3">
        <v>132.71</v>
      </c>
      <c r="BM1790" s="3">
        <v>19.91</v>
      </c>
      <c r="BN1790" s="3">
        <v>152.62</v>
      </c>
      <c r="BO1790" s="3">
        <v>152.62</v>
      </c>
      <c r="BQ1790" s="3" t="s">
        <v>89</v>
      </c>
      <c r="BR1790" s="3" t="s">
        <v>84</v>
      </c>
      <c r="BS1790" s="4">
        <v>44586</v>
      </c>
      <c r="BT1790" s="5">
        <v>0.3979166666666667</v>
      </c>
      <c r="BU1790" s="3" t="s">
        <v>1564</v>
      </c>
      <c r="BV1790" s="3" t="s">
        <v>105</v>
      </c>
      <c r="BY1790" s="3">
        <v>20358</v>
      </c>
      <c r="BZ1790" s="3" t="s">
        <v>165</v>
      </c>
      <c r="CA1790" s="3" t="s">
        <v>1580</v>
      </c>
      <c r="CC1790" s="3" t="s">
        <v>172</v>
      </c>
      <c r="CD1790" s="3">
        <v>6001</v>
      </c>
      <c r="CE1790" s="3" t="s">
        <v>86</v>
      </c>
      <c r="CF1790" s="4">
        <v>44586</v>
      </c>
      <c r="CI1790" s="3">
        <v>1</v>
      </c>
      <c r="CJ1790" s="3">
        <v>1</v>
      </c>
      <c r="CK1790" s="3">
        <v>21</v>
      </c>
      <c r="CL1790" s="3" t="s">
        <v>87</v>
      </c>
    </row>
    <row r="1791" spans="1:90" x14ac:dyDescent="0.2">
      <c r="A1791" s="3" t="s">
        <v>72</v>
      </c>
      <c r="B1791" s="3" t="s">
        <v>73</v>
      </c>
      <c r="C1791" s="3" t="s">
        <v>74</v>
      </c>
      <c r="E1791" s="3" t="str">
        <f>"FES1162846380"</f>
        <v>FES1162846380</v>
      </c>
      <c r="F1791" s="4">
        <v>44585</v>
      </c>
      <c r="G1791" s="3">
        <v>202207</v>
      </c>
      <c r="H1791" s="3" t="s">
        <v>75</v>
      </c>
      <c r="I1791" s="3" t="s">
        <v>76</v>
      </c>
      <c r="J1791" s="3" t="s">
        <v>77</v>
      </c>
      <c r="K1791" s="3" t="s">
        <v>78</v>
      </c>
      <c r="L1791" s="3" t="s">
        <v>101</v>
      </c>
      <c r="M1791" s="3" t="s">
        <v>102</v>
      </c>
      <c r="N1791" s="3" t="s">
        <v>272</v>
      </c>
      <c r="O1791" s="3" t="s">
        <v>82</v>
      </c>
      <c r="P1791" s="3" t="str">
        <f>"2170817874                    "</f>
        <v xml:space="preserve">2170817874                    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15.46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v>0</v>
      </c>
      <c r="BA1791" s="3">
        <v>0</v>
      </c>
      <c r="BB1791" s="3">
        <v>0</v>
      </c>
      <c r="BC1791" s="3">
        <v>0</v>
      </c>
      <c r="BD1791" s="3">
        <v>0</v>
      </c>
      <c r="BE1791" s="3">
        <v>0</v>
      </c>
      <c r="BF1791" s="3">
        <v>0</v>
      </c>
      <c r="BG1791" s="3">
        <v>0</v>
      </c>
      <c r="BH1791" s="3">
        <v>1</v>
      </c>
      <c r="BI1791" s="3">
        <v>1</v>
      </c>
      <c r="BJ1791" s="3">
        <v>0.2</v>
      </c>
      <c r="BK1791" s="3">
        <v>1</v>
      </c>
      <c r="BL1791" s="3">
        <v>59</v>
      </c>
      <c r="BM1791" s="3">
        <v>8.85</v>
      </c>
      <c r="BN1791" s="3">
        <v>67.849999999999994</v>
      </c>
      <c r="BO1791" s="3">
        <v>67.849999999999994</v>
      </c>
      <c r="BQ1791" s="3" t="s">
        <v>273</v>
      </c>
      <c r="BR1791" s="3" t="s">
        <v>84</v>
      </c>
      <c r="BS1791" s="4">
        <v>44586</v>
      </c>
      <c r="BT1791" s="5">
        <v>0.36319444444444443</v>
      </c>
      <c r="BU1791" s="3" t="s">
        <v>274</v>
      </c>
      <c r="BV1791" s="3" t="s">
        <v>105</v>
      </c>
      <c r="BY1791" s="3">
        <v>1200</v>
      </c>
      <c r="BZ1791" s="3" t="s">
        <v>165</v>
      </c>
      <c r="CA1791" s="3" t="s">
        <v>275</v>
      </c>
      <c r="CC1791" s="3" t="s">
        <v>102</v>
      </c>
      <c r="CD1791" s="3">
        <v>4000</v>
      </c>
      <c r="CE1791" s="3" t="s">
        <v>93</v>
      </c>
      <c r="CF1791" s="4">
        <v>44587</v>
      </c>
      <c r="CI1791" s="3">
        <v>1</v>
      </c>
      <c r="CJ1791" s="3">
        <v>1</v>
      </c>
      <c r="CK1791" s="3">
        <v>21</v>
      </c>
      <c r="CL1791" s="3" t="s">
        <v>87</v>
      </c>
    </row>
    <row r="1792" spans="1:90" x14ac:dyDescent="0.2">
      <c r="A1792" s="3" t="s">
        <v>72</v>
      </c>
      <c r="B1792" s="3" t="s">
        <v>73</v>
      </c>
      <c r="C1792" s="3" t="s">
        <v>74</v>
      </c>
      <c r="E1792" s="3" t="str">
        <f>"FES1162846518"</f>
        <v>FES1162846518</v>
      </c>
      <c r="F1792" s="4">
        <v>44585</v>
      </c>
      <c r="G1792" s="3">
        <v>202207</v>
      </c>
      <c r="H1792" s="3" t="s">
        <v>75</v>
      </c>
      <c r="I1792" s="3" t="s">
        <v>76</v>
      </c>
      <c r="J1792" s="3" t="s">
        <v>77</v>
      </c>
      <c r="K1792" s="3" t="s">
        <v>78</v>
      </c>
      <c r="L1792" s="3" t="s">
        <v>1201</v>
      </c>
      <c r="M1792" s="3" t="s">
        <v>1202</v>
      </c>
      <c r="N1792" s="3" t="s">
        <v>321</v>
      </c>
      <c r="O1792" s="3" t="s">
        <v>82</v>
      </c>
      <c r="P1792" s="3" t="str">
        <f>"2170816745                    "</f>
        <v xml:space="preserve">2170816745                    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70.52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v>0</v>
      </c>
      <c r="BA1792" s="3">
        <v>0</v>
      </c>
      <c r="BB1792" s="3">
        <v>0</v>
      </c>
      <c r="BC1792" s="3">
        <v>0</v>
      </c>
      <c r="BD1792" s="3">
        <v>0</v>
      </c>
      <c r="BE1792" s="3">
        <v>0</v>
      </c>
      <c r="BF1792" s="3">
        <v>0</v>
      </c>
      <c r="BG1792" s="3">
        <v>0</v>
      </c>
      <c r="BH1792" s="3">
        <v>1</v>
      </c>
      <c r="BI1792" s="3">
        <v>5</v>
      </c>
      <c r="BJ1792" s="3">
        <v>0.9</v>
      </c>
      <c r="BK1792" s="3">
        <v>5</v>
      </c>
      <c r="BL1792" s="3">
        <v>269.18</v>
      </c>
      <c r="BM1792" s="3">
        <v>40.380000000000003</v>
      </c>
      <c r="BN1792" s="3">
        <v>309.56</v>
      </c>
      <c r="BO1792" s="3">
        <v>309.56</v>
      </c>
      <c r="BQ1792" s="3" t="s">
        <v>83</v>
      </c>
      <c r="BR1792" s="3" t="s">
        <v>84</v>
      </c>
      <c r="BS1792" s="4">
        <v>44586</v>
      </c>
      <c r="BT1792" s="5">
        <v>0.56597222222222221</v>
      </c>
      <c r="BU1792" s="3" t="s">
        <v>2020</v>
      </c>
      <c r="BV1792" s="3" t="s">
        <v>105</v>
      </c>
      <c r="BY1792" s="3">
        <v>4500</v>
      </c>
      <c r="BZ1792" s="3" t="s">
        <v>165</v>
      </c>
      <c r="CA1792" s="3" t="s">
        <v>2021</v>
      </c>
      <c r="CC1792" s="3" t="s">
        <v>1202</v>
      </c>
      <c r="CD1792" s="3">
        <v>9880</v>
      </c>
      <c r="CE1792" s="3" t="s">
        <v>86</v>
      </c>
      <c r="CF1792" s="4">
        <v>44587</v>
      </c>
      <c r="CI1792" s="3">
        <v>1</v>
      </c>
      <c r="CJ1792" s="3">
        <v>1</v>
      </c>
      <c r="CK1792" s="3">
        <v>23</v>
      </c>
      <c r="CL1792" s="3" t="s">
        <v>87</v>
      </c>
    </row>
    <row r="1793" spans="1:90" x14ac:dyDescent="0.2">
      <c r="A1793" s="3" t="s">
        <v>72</v>
      </c>
      <c r="B1793" s="3" t="s">
        <v>73</v>
      </c>
      <c r="C1793" s="3" t="s">
        <v>74</v>
      </c>
      <c r="E1793" s="3" t="str">
        <f>"FES1162846424"</f>
        <v>FES1162846424</v>
      </c>
      <c r="F1793" s="4">
        <v>44585</v>
      </c>
      <c r="G1793" s="3">
        <v>202207</v>
      </c>
      <c r="H1793" s="3" t="s">
        <v>75</v>
      </c>
      <c r="I1793" s="3" t="s">
        <v>76</v>
      </c>
      <c r="J1793" s="3" t="s">
        <v>77</v>
      </c>
      <c r="K1793" s="3" t="s">
        <v>78</v>
      </c>
      <c r="L1793" s="3" t="s">
        <v>206</v>
      </c>
      <c r="M1793" s="3" t="s">
        <v>207</v>
      </c>
      <c r="N1793" s="3" t="s">
        <v>2022</v>
      </c>
      <c r="O1793" s="3" t="s">
        <v>82</v>
      </c>
      <c r="P1793" s="3" t="str">
        <f>"2170808555                    "</f>
        <v xml:space="preserve">2170808555                    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21.74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v>0</v>
      </c>
      <c r="BA1793" s="3">
        <v>0</v>
      </c>
      <c r="BB1793" s="3">
        <v>0</v>
      </c>
      <c r="BC1793" s="3">
        <v>0</v>
      </c>
      <c r="BD1793" s="3">
        <v>0</v>
      </c>
      <c r="BE1793" s="3">
        <v>0</v>
      </c>
      <c r="BF1793" s="3">
        <v>0</v>
      </c>
      <c r="BG1793" s="3">
        <v>0</v>
      </c>
      <c r="BH1793" s="3">
        <v>1</v>
      </c>
      <c r="BI1793" s="3">
        <v>1</v>
      </c>
      <c r="BJ1793" s="3">
        <v>0.2</v>
      </c>
      <c r="BK1793" s="3">
        <v>1</v>
      </c>
      <c r="BL1793" s="3">
        <v>82.98</v>
      </c>
      <c r="BM1793" s="3">
        <v>12.45</v>
      </c>
      <c r="BN1793" s="3">
        <v>95.43</v>
      </c>
      <c r="BO1793" s="3">
        <v>95.43</v>
      </c>
      <c r="BQ1793" s="3" t="s">
        <v>83</v>
      </c>
      <c r="BR1793" s="3" t="s">
        <v>84</v>
      </c>
      <c r="BS1793" s="4">
        <v>44586</v>
      </c>
      <c r="BT1793" s="5">
        <v>0.39305555555555555</v>
      </c>
      <c r="BU1793" s="3" t="s">
        <v>2023</v>
      </c>
      <c r="BV1793" s="3" t="s">
        <v>105</v>
      </c>
      <c r="BY1793" s="3">
        <v>1200</v>
      </c>
      <c r="BZ1793" s="3" t="s">
        <v>165</v>
      </c>
      <c r="CA1793" s="3" t="s">
        <v>345</v>
      </c>
      <c r="CC1793" s="3" t="s">
        <v>207</v>
      </c>
      <c r="CD1793" s="3">
        <v>1748</v>
      </c>
      <c r="CE1793" s="3" t="s">
        <v>93</v>
      </c>
      <c r="CF1793" s="4">
        <v>44586</v>
      </c>
      <c r="CI1793" s="3">
        <v>1</v>
      </c>
      <c r="CJ1793" s="3">
        <v>1</v>
      </c>
      <c r="CK1793" s="3">
        <v>24</v>
      </c>
      <c r="CL1793" s="3" t="s">
        <v>87</v>
      </c>
    </row>
    <row r="1794" spans="1:90" x14ac:dyDescent="0.2">
      <c r="A1794" s="3" t="s">
        <v>72</v>
      </c>
      <c r="B1794" s="3" t="s">
        <v>73</v>
      </c>
      <c r="C1794" s="3" t="s">
        <v>74</v>
      </c>
      <c r="E1794" s="3" t="str">
        <f>"FES1162846609"</f>
        <v>FES1162846609</v>
      </c>
      <c r="F1794" s="4">
        <v>44585</v>
      </c>
      <c r="G1794" s="3">
        <v>202207</v>
      </c>
      <c r="H1794" s="3" t="s">
        <v>75</v>
      </c>
      <c r="I1794" s="3" t="s">
        <v>76</v>
      </c>
      <c r="J1794" s="3" t="s">
        <v>77</v>
      </c>
      <c r="K1794" s="3" t="s">
        <v>78</v>
      </c>
      <c r="L1794" s="3" t="s">
        <v>90</v>
      </c>
      <c r="M1794" s="3" t="s">
        <v>91</v>
      </c>
      <c r="N1794" s="3" t="s">
        <v>584</v>
      </c>
      <c r="O1794" s="3" t="s">
        <v>82</v>
      </c>
      <c r="P1794" s="3" t="str">
        <f>"2170818009                    "</f>
        <v xml:space="preserve">2170818009                    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19.32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v>0</v>
      </c>
      <c r="BA1794" s="3">
        <v>0</v>
      </c>
      <c r="BB1794" s="3">
        <v>0</v>
      </c>
      <c r="BC1794" s="3">
        <v>0</v>
      </c>
      <c r="BD1794" s="3">
        <v>0</v>
      </c>
      <c r="BE1794" s="3">
        <v>0</v>
      </c>
      <c r="BF1794" s="3">
        <v>0</v>
      </c>
      <c r="BG1794" s="3">
        <v>0</v>
      </c>
      <c r="BH1794" s="3">
        <v>1</v>
      </c>
      <c r="BI1794" s="3">
        <v>1</v>
      </c>
      <c r="BJ1794" s="3">
        <v>2.2000000000000002</v>
      </c>
      <c r="BK1794" s="3">
        <v>2.5</v>
      </c>
      <c r="BL1794" s="3">
        <v>73.739999999999995</v>
      </c>
      <c r="BM1794" s="3">
        <v>11.06</v>
      </c>
      <c r="BN1794" s="3">
        <v>84.8</v>
      </c>
      <c r="BO1794" s="3">
        <v>84.8</v>
      </c>
      <c r="BQ1794" s="3" t="s">
        <v>83</v>
      </c>
      <c r="BR1794" s="3" t="s">
        <v>84</v>
      </c>
      <c r="BS1794" s="4">
        <v>44586</v>
      </c>
      <c r="BT1794" s="5">
        <v>0.3263888888888889</v>
      </c>
      <c r="BU1794" s="3" t="s">
        <v>1067</v>
      </c>
      <c r="BV1794" s="3" t="s">
        <v>105</v>
      </c>
      <c r="BY1794" s="3">
        <v>10976</v>
      </c>
      <c r="BZ1794" s="3" t="s">
        <v>165</v>
      </c>
      <c r="CA1794" s="3" t="s">
        <v>543</v>
      </c>
      <c r="CC1794" s="3" t="s">
        <v>91</v>
      </c>
      <c r="CD1794" s="3">
        <v>7530</v>
      </c>
      <c r="CE1794" s="3" t="s">
        <v>86</v>
      </c>
      <c r="CF1794" s="4">
        <v>44587</v>
      </c>
      <c r="CI1794" s="3">
        <v>1</v>
      </c>
      <c r="CJ1794" s="3">
        <v>1</v>
      </c>
      <c r="CK1794" s="3">
        <v>21</v>
      </c>
      <c r="CL1794" s="3" t="s">
        <v>87</v>
      </c>
    </row>
    <row r="1795" spans="1:90" x14ac:dyDescent="0.2">
      <c r="A1795" s="3" t="s">
        <v>72</v>
      </c>
      <c r="B1795" s="3" t="s">
        <v>73</v>
      </c>
      <c r="C1795" s="3" t="s">
        <v>74</v>
      </c>
      <c r="E1795" s="3" t="str">
        <f>"FES1162846340"</f>
        <v>FES1162846340</v>
      </c>
      <c r="F1795" s="4">
        <v>44585</v>
      </c>
      <c r="G1795" s="3">
        <v>202207</v>
      </c>
      <c r="H1795" s="3" t="s">
        <v>75</v>
      </c>
      <c r="I1795" s="3" t="s">
        <v>76</v>
      </c>
      <c r="J1795" s="3" t="s">
        <v>77</v>
      </c>
      <c r="K1795" s="3" t="s">
        <v>78</v>
      </c>
      <c r="L1795" s="3" t="s">
        <v>97</v>
      </c>
      <c r="M1795" s="3" t="s">
        <v>98</v>
      </c>
      <c r="N1795" s="3" t="s">
        <v>644</v>
      </c>
      <c r="O1795" s="3" t="s">
        <v>82</v>
      </c>
      <c r="P1795" s="3" t="str">
        <f>"2170817543                    "</f>
        <v xml:space="preserve">2170817543                    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12.07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v>0</v>
      </c>
      <c r="BA1795" s="3">
        <v>0</v>
      </c>
      <c r="BB1795" s="3">
        <v>0</v>
      </c>
      <c r="BC1795" s="3">
        <v>0</v>
      </c>
      <c r="BD1795" s="3">
        <v>0</v>
      </c>
      <c r="BE1795" s="3">
        <v>0</v>
      </c>
      <c r="BF1795" s="3">
        <v>0</v>
      </c>
      <c r="BG1795" s="3">
        <v>0</v>
      </c>
      <c r="BH1795" s="3">
        <v>1</v>
      </c>
      <c r="BI1795" s="3">
        <v>2</v>
      </c>
      <c r="BJ1795" s="3">
        <v>0.9</v>
      </c>
      <c r="BK1795" s="3">
        <v>2</v>
      </c>
      <c r="BL1795" s="3">
        <v>46.08</v>
      </c>
      <c r="BM1795" s="3">
        <v>6.91</v>
      </c>
      <c r="BN1795" s="3">
        <v>52.99</v>
      </c>
      <c r="BO1795" s="3">
        <v>52.99</v>
      </c>
      <c r="BQ1795" s="3" t="s">
        <v>126</v>
      </c>
      <c r="BR1795" s="3" t="s">
        <v>84</v>
      </c>
      <c r="BS1795" s="4">
        <v>44586</v>
      </c>
      <c r="BT1795" s="5">
        <v>0.3666666666666667</v>
      </c>
      <c r="BU1795" s="3" t="s">
        <v>645</v>
      </c>
      <c r="BV1795" s="3" t="s">
        <v>105</v>
      </c>
      <c r="BY1795" s="3">
        <v>4590</v>
      </c>
      <c r="BZ1795" s="3" t="s">
        <v>165</v>
      </c>
      <c r="CA1795" s="3" t="s">
        <v>297</v>
      </c>
      <c r="CC1795" s="3" t="s">
        <v>98</v>
      </c>
      <c r="CD1795" s="3">
        <v>2013</v>
      </c>
      <c r="CE1795" s="3" t="s">
        <v>86</v>
      </c>
      <c r="CF1795" s="4">
        <v>44587</v>
      </c>
      <c r="CI1795" s="3">
        <v>1</v>
      </c>
      <c r="CJ1795" s="3">
        <v>1</v>
      </c>
      <c r="CK1795" s="3">
        <v>22</v>
      </c>
      <c r="CL1795" s="3" t="s">
        <v>87</v>
      </c>
    </row>
    <row r="1796" spans="1:90" x14ac:dyDescent="0.2">
      <c r="A1796" s="3" t="s">
        <v>72</v>
      </c>
      <c r="B1796" s="3" t="s">
        <v>73</v>
      </c>
      <c r="C1796" s="3" t="s">
        <v>74</v>
      </c>
      <c r="E1796" s="3" t="str">
        <f>"FES1162846407"</f>
        <v>FES1162846407</v>
      </c>
      <c r="F1796" s="4">
        <v>44585</v>
      </c>
      <c r="G1796" s="3">
        <v>202207</v>
      </c>
      <c r="H1796" s="3" t="s">
        <v>75</v>
      </c>
      <c r="I1796" s="3" t="s">
        <v>76</v>
      </c>
      <c r="J1796" s="3" t="s">
        <v>77</v>
      </c>
      <c r="K1796" s="3" t="s">
        <v>78</v>
      </c>
      <c r="L1796" s="3" t="s">
        <v>258</v>
      </c>
      <c r="M1796" s="3" t="s">
        <v>259</v>
      </c>
      <c r="N1796" s="3" t="s">
        <v>260</v>
      </c>
      <c r="O1796" s="3" t="s">
        <v>82</v>
      </c>
      <c r="P1796" s="3" t="str">
        <f>"2170817927                    "</f>
        <v xml:space="preserve">2170817927                    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21.74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0</v>
      </c>
      <c r="BF1796" s="3">
        <v>0</v>
      </c>
      <c r="BG1796" s="3">
        <v>0</v>
      </c>
      <c r="BH1796" s="3">
        <v>1</v>
      </c>
      <c r="BI1796" s="3">
        <v>1</v>
      </c>
      <c r="BJ1796" s="3">
        <v>0.2</v>
      </c>
      <c r="BK1796" s="3">
        <v>1</v>
      </c>
      <c r="BL1796" s="3">
        <v>82.98</v>
      </c>
      <c r="BM1796" s="3">
        <v>12.45</v>
      </c>
      <c r="BN1796" s="3">
        <v>95.43</v>
      </c>
      <c r="BO1796" s="3">
        <v>95.43</v>
      </c>
      <c r="BQ1796" s="3" t="s">
        <v>83</v>
      </c>
      <c r="BR1796" s="3" t="s">
        <v>84</v>
      </c>
      <c r="BS1796" s="4">
        <v>44586</v>
      </c>
      <c r="BT1796" s="5">
        <v>0.53888888888888886</v>
      </c>
      <c r="BU1796" s="3" t="s">
        <v>722</v>
      </c>
      <c r="BV1796" s="3" t="s">
        <v>87</v>
      </c>
      <c r="BW1796" s="3" t="s">
        <v>353</v>
      </c>
      <c r="BX1796" s="3" t="s">
        <v>723</v>
      </c>
      <c r="BY1796" s="3">
        <v>1200</v>
      </c>
      <c r="BZ1796" s="3" t="s">
        <v>165</v>
      </c>
      <c r="CA1796" s="3" t="s">
        <v>724</v>
      </c>
      <c r="CC1796" s="3" t="s">
        <v>259</v>
      </c>
      <c r="CD1796" s="3">
        <v>2302</v>
      </c>
      <c r="CE1796" s="3" t="s">
        <v>93</v>
      </c>
      <c r="CF1796" s="4">
        <v>44587</v>
      </c>
      <c r="CI1796" s="3">
        <v>1</v>
      </c>
      <c r="CJ1796" s="3">
        <v>1</v>
      </c>
      <c r="CK1796" s="3">
        <v>24</v>
      </c>
      <c r="CL1796" s="3" t="s">
        <v>87</v>
      </c>
    </row>
    <row r="1797" spans="1:90" x14ac:dyDescent="0.2">
      <c r="A1797" s="3" t="s">
        <v>72</v>
      </c>
      <c r="B1797" s="3" t="s">
        <v>73</v>
      </c>
      <c r="C1797" s="3" t="s">
        <v>74</v>
      </c>
      <c r="E1797" s="3" t="str">
        <f>"FES1162846471"</f>
        <v>FES1162846471</v>
      </c>
      <c r="F1797" s="4">
        <v>44585</v>
      </c>
      <c r="G1797" s="3">
        <v>202207</v>
      </c>
      <c r="H1797" s="3" t="s">
        <v>75</v>
      </c>
      <c r="I1797" s="3" t="s">
        <v>76</v>
      </c>
      <c r="J1797" s="3" t="s">
        <v>77</v>
      </c>
      <c r="K1797" s="3" t="s">
        <v>78</v>
      </c>
      <c r="L1797" s="3" t="s">
        <v>241</v>
      </c>
      <c r="M1797" s="3" t="s">
        <v>242</v>
      </c>
      <c r="N1797" s="3" t="s">
        <v>910</v>
      </c>
      <c r="O1797" s="3" t="s">
        <v>82</v>
      </c>
      <c r="P1797" s="3" t="str">
        <f>"2170815652                    "</f>
        <v xml:space="preserve">2170815652                    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15.46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v>0</v>
      </c>
      <c r="BA1797" s="3">
        <v>0</v>
      </c>
      <c r="BB1797" s="3">
        <v>0</v>
      </c>
      <c r="BC1797" s="3">
        <v>0</v>
      </c>
      <c r="BD1797" s="3">
        <v>0</v>
      </c>
      <c r="BE1797" s="3">
        <v>0</v>
      </c>
      <c r="BF1797" s="3">
        <v>0</v>
      </c>
      <c r="BG1797" s="3">
        <v>0</v>
      </c>
      <c r="BH1797" s="3">
        <v>1</v>
      </c>
      <c r="BI1797" s="3">
        <v>1</v>
      </c>
      <c r="BJ1797" s="3">
        <v>0.2</v>
      </c>
      <c r="BK1797" s="3">
        <v>1</v>
      </c>
      <c r="BL1797" s="3">
        <v>59</v>
      </c>
      <c r="BM1797" s="3">
        <v>8.85</v>
      </c>
      <c r="BN1797" s="3">
        <v>67.849999999999994</v>
      </c>
      <c r="BO1797" s="3">
        <v>67.849999999999994</v>
      </c>
      <c r="BQ1797" s="3" t="s">
        <v>83</v>
      </c>
      <c r="BR1797" s="3" t="s">
        <v>84</v>
      </c>
      <c r="BS1797" s="4">
        <v>44586</v>
      </c>
      <c r="BT1797" s="5">
        <v>0.44791666666666669</v>
      </c>
      <c r="BU1797" s="3" t="s">
        <v>2024</v>
      </c>
      <c r="BV1797" s="3" t="s">
        <v>105</v>
      </c>
      <c r="BY1797" s="3">
        <v>1200</v>
      </c>
      <c r="BZ1797" s="3" t="s">
        <v>165</v>
      </c>
      <c r="CA1797" s="3" t="s">
        <v>389</v>
      </c>
      <c r="CC1797" s="3" t="s">
        <v>242</v>
      </c>
      <c r="CD1797" s="3">
        <v>7599</v>
      </c>
      <c r="CE1797" s="3" t="s">
        <v>93</v>
      </c>
      <c r="CF1797" s="4">
        <v>44587</v>
      </c>
      <c r="CI1797" s="3">
        <v>1</v>
      </c>
      <c r="CJ1797" s="3">
        <v>1</v>
      </c>
      <c r="CK1797" s="3">
        <v>21</v>
      </c>
      <c r="CL1797" s="3" t="s">
        <v>87</v>
      </c>
    </row>
    <row r="1798" spans="1:90" x14ac:dyDescent="0.2">
      <c r="A1798" s="3" t="s">
        <v>72</v>
      </c>
      <c r="B1798" s="3" t="s">
        <v>73</v>
      </c>
      <c r="C1798" s="3" t="s">
        <v>74</v>
      </c>
      <c r="E1798" s="3" t="str">
        <f>"FES1162846351"</f>
        <v>FES1162846351</v>
      </c>
      <c r="F1798" s="4">
        <v>44585</v>
      </c>
      <c r="G1798" s="3">
        <v>202207</v>
      </c>
      <c r="H1798" s="3" t="s">
        <v>75</v>
      </c>
      <c r="I1798" s="3" t="s">
        <v>76</v>
      </c>
      <c r="J1798" s="3" t="s">
        <v>77</v>
      </c>
      <c r="K1798" s="3" t="s">
        <v>78</v>
      </c>
      <c r="L1798" s="3" t="s">
        <v>184</v>
      </c>
      <c r="M1798" s="3" t="s">
        <v>185</v>
      </c>
      <c r="N1798" s="3" t="s">
        <v>503</v>
      </c>
      <c r="O1798" s="3" t="s">
        <v>82</v>
      </c>
      <c r="P1798" s="3" t="str">
        <f>"2170817758                    "</f>
        <v xml:space="preserve">2170817758                    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34.770000000000003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3">
        <v>0</v>
      </c>
      <c r="BD1798" s="3">
        <v>0</v>
      </c>
      <c r="BE1798" s="3">
        <v>0</v>
      </c>
      <c r="BF1798" s="3">
        <v>0</v>
      </c>
      <c r="BG1798" s="3">
        <v>0</v>
      </c>
      <c r="BH1798" s="3">
        <v>1</v>
      </c>
      <c r="BI1798" s="3">
        <v>4</v>
      </c>
      <c r="BJ1798" s="3">
        <v>4.0999999999999996</v>
      </c>
      <c r="BK1798" s="3">
        <v>4.5</v>
      </c>
      <c r="BL1798" s="3">
        <v>132.71</v>
      </c>
      <c r="BM1798" s="3">
        <v>19.91</v>
      </c>
      <c r="BN1798" s="3">
        <v>152.62</v>
      </c>
      <c r="BO1798" s="3">
        <v>152.62</v>
      </c>
      <c r="BQ1798" s="3" t="s">
        <v>89</v>
      </c>
      <c r="BR1798" s="3" t="s">
        <v>84</v>
      </c>
      <c r="BS1798" s="4">
        <v>44586</v>
      </c>
      <c r="BT1798" s="5">
        <v>0.39097222222222222</v>
      </c>
      <c r="BU1798" s="3" t="s">
        <v>2025</v>
      </c>
      <c r="BV1798" s="3" t="s">
        <v>105</v>
      </c>
      <c r="BY1798" s="3">
        <v>20358</v>
      </c>
      <c r="BZ1798" s="3" t="s">
        <v>165</v>
      </c>
      <c r="CA1798" s="3" t="s">
        <v>1681</v>
      </c>
      <c r="CC1798" s="3" t="s">
        <v>185</v>
      </c>
      <c r="CD1798" s="3">
        <v>5201</v>
      </c>
      <c r="CE1798" s="3" t="s">
        <v>86</v>
      </c>
      <c r="CF1798" s="4">
        <v>44586</v>
      </c>
      <c r="CI1798" s="3">
        <v>1</v>
      </c>
      <c r="CJ1798" s="3">
        <v>1</v>
      </c>
      <c r="CK1798" s="3">
        <v>21</v>
      </c>
      <c r="CL1798" s="3" t="s">
        <v>87</v>
      </c>
    </row>
    <row r="1799" spans="1:90" x14ac:dyDescent="0.2">
      <c r="A1799" s="3" t="s">
        <v>72</v>
      </c>
      <c r="B1799" s="3" t="s">
        <v>73</v>
      </c>
      <c r="C1799" s="3" t="s">
        <v>74</v>
      </c>
      <c r="E1799" s="3" t="str">
        <f>"FES1162846482"</f>
        <v>FES1162846482</v>
      </c>
      <c r="F1799" s="4">
        <v>44585</v>
      </c>
      <c r="G1799" s="3">
        <v>202207</v>
      </c>
      <c r="H1799" s="3" t="s">
        <v>75</v>
      </c>
      <c r="I1799" s="3" t="s">
        <v>76</v>
      </c>
      <c r="J1799" s="3" t="s">
        <v>77</v>
      </c>
      <c r="K1799" s="3" t="s">
        <v>78</v>
      </c>
      <c r="L1799" s="3" t="s">
        <v>171</v>
      </c>
      <c r="M1799" s="3" t="s">
        <v>172</v>
      </c>
      <c r="N1799" s="3" t="s">
        <v>454</v>
      </c>
      <c r="O1799" s="3" t="s">
        <v>82</v>
      </c>
      <c r="P1799" s="3" t="str">
        <f>"2170815737                    "</f>
        <v xml:space="preserve">2170815737                    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15.46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0</v>
      </c>
      <c r="AZ1799" s="3">
        <v>0</v>
      </c>
      <c r="BA1799" s="3">
        <v>0</v>
      </c>
      <c r="BB1799" s="3">
        <v>0</v>
      </c>
      <c r="BC1799" s="3">
        <v>0</v>
      </c>
      <c r="BD1799" s="3">
        <v>0</v>
      </c>
      <c r="BE1799" s="3">
        <v>0</v>
      </c>
      <c r="BF1799" s="3">
        <v>0</v>
      </c>
      <c r="BG1799" s="3">
        <v>0</v>
      </c>
      <c r="BH1799" s="3">
        <v>1</v>
      </c>
      <c r="BI1799" s="3">
        <v>1</v>
      </c>
      <c r="BJ1799" s="3">
        <v>0.2</v>
      </c>
      <c r="BK1799" s="3">
        <v>1</v>
      </c>
      <c r="BL1799" s="3">
        <v>59</v>
      </c>
      <c r="BM1799" s="3">
        <v>8.85</v>
      </c>
      <c r="BN1799" s="3">
        <v>67.849999999999994</v>
      </c>
      <c r="BO1799" s="3">
        <v>67.849999999999994</v>
      </c>
      <c r="BQ1799" s="3" t="s">
        <v>89</v>
      </c>
      <c r="BR1799" s="3" t="s">
        <v>84</v>
      </c>
      <c r="BS1799" s="4">
        <v>44586</v>
      </c>
      <c r="BT1799" s="5">
        <v>0.38125000000000003</v>
      </c>
      <c r="BU1799" s="3" t="s">
        <v>1989</v>
      </c>
      <c r="BV1799" s="3" t="s">
        <v>105</v>
      </c>
      <c r="BY1799" s="3">
        <v>1200</v>
      </c>
      <c r="BZ1799" s="3" t="s">
        <v>165</v>
      </c>
      <c r="CA1799" s="3" t="s">
        <v>509</v>
      </c>
      <c r="CC1799" s="3" t="s">
        <v>172</v>
      </c>
      <c r="CD1799" s="3">
        <v>6001</v>
      </c>
      <c r="CE1799" s="3" t="s">
        <v>93</v>
      </c>
      <c r="CF1799" s="4">
        <v>44586</v>
      </c>
      <c r="CI1799" s="3">
        <v>1</v>
      </c>
      <c r="CJ1799" s="3">
        <v>1</v>
      </c>
      <c r="CK1799" s="3">
        <v>21</v>
      </c>
      <c r="CL1799" s="3" t="s">
        <v>87</v>
      </c>
    </row>
    <row r="1800" spans="1:90" x14ac:dyDescent="0.2">
      <c r="A1800" s="3" t="s">
        <v>72</v>
      </c>
      <c r="B1800" s="3" t="s">
        <v>73</v>
      </c>
      <c r="C1800" s="3" t="s">
        <v>74</v>
      </c>
      <c r="E1800" s="3" t="str">
        <f>"FES1162846416"</f>
        <v>FES1162846416</v>
      </c>
      <c r="F1800" s="4">
        <v>44585</v>
      </c>
      <c r="G1800" s="3">
        <v>202207</v>
      </c>
      <c r="H1800" s="3" t="s">
        <v>75</v>
      </c>
      <c r="I1800" s="3" t="s">
        <v>76</v>
      </c>
      <c r="J1800" s="3" t="s">
        <v>77</v>
      </c>
      <c r="K1800" s="3" t="s">
        <v>78</v>
      </c>
      <c r="L1800" s="3" t="s">
        <v>75</v>
      </c>
      <c r="M1800" s="3" t="s">
        <v>76</v>
      </c>
      <c r="N1800" s="3" t="s">
        <v>2026</v>
      </c>
      <c r="O1800" s="3" t="s">
        <v>82</v>
      </c>
      <c r="P1800" s="3" t="str">
        <f>"2170795384                    "</f>
        <v xml:space="preserve">2170795384                    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12.07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v>0</v>
      </c>
      <c r="BA1800" s="3">
        <v>0</v>
      </c>
      <c r="BB1800" s="3">
        <v>0</v>
      </c>
      <c r="BC1800" s="3">
        <v>0</v>
      </c>
      <c r="BD1800" s="3">
        <v>0</v>
      </c>
      <c r="BE1800" s="3">
        <v>0</v>
      </c>
      <c r="BF1800" s="3">
        <v>0</v>
      </c>
      <c r="BG1800" s="3">
        <v>0</v>
      </c>
      <c r="BH1800" s="3">
        <v>1</v>
      </c>
      <c r="BI1800" s="3">
        <v>1</v>
      </c>
      <c r="BJ1800" s="3">
        <v>0.2</v>
      </c>
      <c r="BK1800" s="3">
        <v>1</v>
      </c>
      <c r="BL1800" s="3">
        <v>46.08</v>
      </c>
      <c r="BM1800" s="3">
        <v>6.91</v>
      </c>
      <c r="BN1800" s="3">
        <v>52.99</v>
      </c>
      <c r="BO1800" s="3">
        <v>52.99</v>
      </c>
      <c r="BQ1800" s="3" t="s">
        <v>83</v>
      </c>
      <c r="BR1800" s="3" t="s">
        <v>84</v>
      </c>
      <c r="BS1800" s="4">
        <v>44586</v>
      </c>
      <c r="BT1800" s="5">
        <v>0.4375</v>
      </c>
      <c r="BU1800" s="3" t="s">
        <v>2027</v>
      </c>
      <c r="BV1800" s="3" t="s">
        <v>105</v>
      </c>
      <c r="BY1800" s="3">
        <v>1200</v>
      </c>
      <c r="BZ1800" s="3" t="s">
        <v>165</v>
      </c>
      <c r="CA1800" s="3" t="s">
        <v>2028</v>
      </c>
      <c r="CC1800" s="3" t="s">
        <v>76</v>
      </c>
      <c r="CD1800" s="3">
        <v>1619</v>
      </c>
      <c r="CE1800" s="3" t="s">
        <v>93</v>
      </c>
      <c r="CF1800" s="4">
        <v>44587</v>
      </c>
      <c r="CI1800" s="3">
        <v>1</v>
      </c>
      <c r="CJ1800" s="3">
        <v>1</v>
      </c>
      <c r="CK1800" s="3">
        <v>22</v>
      </c>
      <c r="CL1800" s="3" t="s">
        <v>87</v>
      </c>
    </row>
    <row r="1801" spans="1:90" x14ac:dyDescent="0.2">
      <c r="A1801" s="3" t="s">
        <v>72</v>
      </c>
      <c r="B1801" s="3" t="s">
        <v>73</v>
      </c>
      <c r="C1801" s="3" t="s">
        <v>74</v>
      </c>
      <c r="E1801" s="3" t="str">
        <f>"FES1162846470"</f>
        <v>FES1162846470</v>
      </c>
      <c r="F1801" s="4">
        <v>44585</v>
      </c>
      <c r="G1801" s="3">
        <v>202207</v>
      </c>
      <c r="H1801" s="3" t="s">
        <v>75</v>
      </c>
      <c r="I1801" s="3" t="s">
        <v>76</v>
      </c>
      <c r="J1801" s="3" t="s">
        <v>77</v>
      </c>
      <c r="K1801" s="3" t="s">
        <v>78</v>
      </c>
      <c r="L1801" s="3" t="s">
        <v>90</v>
      </c>
      <c r="M1801" s="3" t="s">
        <v>91</v>
      </c>
      <c r="N1801" s="3" t="s">
        <v>584</v>
      </c>
      <c r="O1801" s="3" t="s">
        <v>82</v>
      </c>
      <c r="P1801" s="3" t="str">
        <f>"2170815644                    "</f>
        <v xml:space="preserve">2170815644                    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15.46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v>0</v>
      </c>
      <c r="BA1801" s="3">
        <v>0</v>
      </c>
      <c r="BB1801" s="3">
        <v>0</v>
      </c>
      <c r="BC1801" s="3">
        <v>0</v>
      </c>
      <c r="BD1801" s="3">
        <v>0</v>
      </c>
      <c r="BE1801" s="3">
        <v>0</v>
      </c>
      <c r="BF1801" s="3">
        <v>0</v>
      </c>
      <c r="BG1801" s="3">
        <v>0</v>
      </c>
      <c r="BH1801" s="3">
        <v>1</v>
      </c>
      <c r="BI1801" s="3">
        <v>1</v>
      </c>
      <c r="BJ1801" s="3">
        <v>0.2</v>
      </c>
      <c r="BK1801" s="3">
        <v>1</v>
      </c>
      <c r="BL1801" s="3">
        <v>59</v>
      </c>
      <c r="BM1801" s="3">
        <v>8.85</v>
      </c>
      <c r="BN1801" s="3">
        <v>67.849999999999994</v>
      </c>
      <c r="BO1801" s="3">
        <v>67.849999999999994</v>
      </c>
      <c r="BQ1801" s="3" t="s">
        <v>83</v>
      </c>
      <c r="BR1801" s="3" t="s">
        <v>84</v>
      </c>
      <c r="BS1801" s="4">
        <v>44586</v>
      </c>
      <c r="BT1801" s="5">
        <v>0.3263888888888889</v>
      </c>
      <c r="BU1801" s="3" t="s">
        <v>1067</v>
      </c>
      <c r="BV1801" s="3" t="s">
        <v>105</v>
      </c>
      <c r="BY1801" s="3">
        <v>1200</v>
      </c>
      <c r="BZ1801" s="3" t="s">
        <v>165</v>
      </c>
      <c r="CA1801" s="3" t="s">
        <v>543</v>
      </c>
      <c r="CC1801" s="3" t="s">
        <v>91</v>
      </c>
      <c r="CD1801" s="3">
        <v>7530</v>
      </c>
      <c r="CE1801" s="3" t="s">
        <v>93</v>
      </c>
      <c r="CF1801" s="4">
        <v>44587</v>
      </c>
      <c r="CI1801" s="3">
        <v>1</v>
      </c>
      <c r="CJ1801" s="3">
        <v>1</v>
      </c>
      <c r="CK1801" s="3">
        <v>21</v>
      </c>
      <c r="CL1801" s="3" t="s">
        <v>87</v>
      </c>
    </row>
    <row r="1802" spans="1:90" x14ac:dyDescent="0.2">
      <c r="A1802" s="3" t="s">
        <v>72</v>
      </c>
      <c r="B1802" s="3" t="s">
        <v>73</v>
      </c>
      <c r="C1802" s="3" t="s">
        <v>74</v>
      </c>
      <c r="E1802" s="3" t="str">
        <f>"009941974419"</f>
        <v>009941974419</v>
      </c>
      <c r="F1802" s="4">
        <v>44585</v>
      </c>
      <c r="G1802" s="3">
        <v>202207</v>
      </c>
      <c r="H1802" s="3" t="s">
        <v>101</v>
      </c>
      <c r="I1802" s="3" t="s">
        <v>102</v>
      </c>
      <c r="J1802" s="3" t="s">
        <v>966</v>
      </c>
      <c r="K1802" s="3" t="s">
        <v>78</v>
      </c>
      <c r="L1802" s="3" t="s">
        <v>75</v>
      </c>
      <c r="M1802" s="3" t="s">
        <v>76</v>
      </c>
      <c r="N1802" s="3" t="s">
        <v>966</v>
      </c>
      <c r="O1802" s="3" t="s">
        <v>82</v>
      </c>
      <c r="P1802" s="3" t="str">
        <f>"                              "</f>
        <v xml:space="preserve">                              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15.46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v>0</v>
      </c>
      <c r="BA1802" s="3">
        <v>0</v>
      </c>
      <c r="BB1802" s="3">
        <v>0</v>
      </c>
      <c r="BC1802" s="3">
        <v>0</v>
      </c>
      <c r="BD1802" s="3">
        <v>0</v>
      </c>
      <c r="BE1802" s="3">
        <v>0</v>
      </c>
      <c r="BF1802" s="3">
        <v>0</v>
      </c>
      <c r="BG1802" s="3">
        <v>0</v>
      </c>
      <c r="BH1802" s="3">
        <v>1</v>
      </c>
      <c r="BI1802" s="3">
        <v>1</v>
      </c>
      <c r="BJ1802" s="3">
        <v>0.2</v>
      </c>
      <c r="BK1802" s="3">
        <v>1</v>
      </c>
      <c r="BL1802" s="3">
        <v>59</v>
      </c>
      <c r="BM1802" s="3">
        <v>8.85</v>
      </c>
      <c r="BN1802" s="3">
        <v>67.849999999999994</v>
      </c>
      <c r="BO1802" s="3">
        <v>67.849999999999994</v>
      </c>
      <c r="BQ1802" s="3" t="s">
        <v>2029</v>
      </c>
      <c r="BR1802" s="3" t="s">
        <v>2030</v>
      </c>
      <c r="BS1802" s="4">
        <v>44586</v>
      </c>
      <c r="BT1802" s="5">
        <v>0.3756944444444445</v>
      </c>
      <c r="BU1802" s="3" t="s">
        <v>1952</v>
      </c>
      <c r="BV1802" s="3" t="s">
        <v>105</v>
      </c>
      <c r="BY1802" s="3">
        <v>1200</v>
      </c>
      <c r="BZ1802" s="3" t="s">
        <v>165</v>
      </c>
      <c r="CA1802" s="3" t="s">
        <v>378</v>
      </c>
      <c r="CC1802" s="3" t="s">
        <v>76</v>
      </c>
      <c r="CD1802" s="3">
        <v>1600</v>
      </c>
      <c r="CE1802" s="3" t="s">
        <v>86</v>
      </c>
      <c r="CF1802" s="4">
        <v>44586</v>
      </c>
      <c r="CI1802" s="3">
        <v>1</v>
      </c>
      <c r="CJ1802" s="3">
        <v>1</v>
      </c>
      <c r="CK1802" s="3">
        <v>21</v>
      </c>
      <c r="CL1802" s="3" t="s">
        <v>87</v>
      </c>
    </row>
    <row r="1803" spans="1:90" x14ac:dyDescent="0.2">
      <c r="A1803" s="3" t="s">
        <v>72</v>
      </c>
      <c r="B1803" s="3" t="s">
        <v>73</v>
      </c>
      <c r="C1803" s="3" t="s">
        <v>74</v>
      </c>
      <c r="E1803" s="3" t="str">
        <f>"FES1162846320"</f>
        <v>FES1162846320</v>
      </c>
      <c r="F1803" s="4">
        <v>44585</v>
      </c>
      <c r="G1803" s="3">
        <v>202207</v>
      </c>
      <c r="H1803" s="3" t="s">
        <v>75</v>
      </c>
      <c r="I1803" s="3" t="s">
        <v>76</v>
      </c>
      <c r="J1803" s="3" t="s">
        <v>77</v>
      </c>
      <c r="K1803" s="3" t="s">
        <v>78</v>
      </c>
      <c r="L1803" s="3" t="s">
        <v>138</v>
      </c>
      <c r="M1803" s="3" t="s">
        <v>139</v>
      </c>
      <c r="N1803" s="3" t="s">
        <v>152</v>
      </c>
      <c r="O1803" s="3" t="s">
        <v>82</v>
      </c>
      <c r="P1803" s="3" t="str">
        <f>"2170816350                    "</f>
        <v xml:space="preserve">2170816350                    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15.46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v>0</v>
      </c>
      <c r="BA1803" s="3">
        <v>0</v>
      </c>
      <c r="BB1803" s="3">
        <v>0</v>
      </c>
      <c r="BC1803" s="3">
        <v>0</v>
      </c>
      <c r="BD1803" s="3">
        <v>0</v>
      </c>
      <c r="BE1803" s="3">
        <v>0</v>
      </c>
      <c r="BF1803" s="3">
        <v>0</v>
      </c>
      <c r="BG1803" s="3">
        <v>0</v>
      </c>
      <c r="BH1803" s="3">
        <v>1</v>
      </c>
      <c r="BI1803" s="3">
        <v>1</v>
      </c>
      <c r="BJ1803" s="3">
        <v>0.2</v>
      </c>
      <c r="BK1803" s="3">
        <v>1</v>
      </c>
      <c r="BL1803" s="3">
        <v>59</v>
      </c>
      <c r="BM1803" s="3">
        <v>8.85</v>
      </c>
      <c r="BN1803" s="3">
        <v>67.849999999999994</v>
      </c>
      <c r="BO1803" s="3">
        <v>67.849999999999994</v>
      </c>
      <c r="BQ1803" s="3" t="s">
        <v>83</v>
      </c>
      <c r="BR1803" s="3" t="s">
        <v>84</v>
      </c>
      <c r="BS1803" s="4">
        <v>44586</v>
      </c>
      <c r="BT1803" s="5">
        <v>0.3833333333333333</v>
      </c>
      <c r="BU1803" s="3" t="s">
        <v>655</v>
      </c>
      <c r="BV1803" s="3" t="s">
        <v>105</v>
      </c>
      <c r="BY1803" s="3">
        <v>1200</v>
      </c>
      <c r="BZ1803" s="3" t="s">
        <v>165</v>
      </c>
      <c r="CA1803" s="3" t="s">
        <v>303</v>
      </c>
      <c r="CC1803" s="3" t="s">
        <v>139</v>
      </c>
      <c r="CD1803" s="3">
        <v>3610</v>
      </c>
      <c r="CE1803" s="3" t="s">
        <v>93</v>
      </c>
      <c r="CF1803" s="4">
        <v>44587</v>
      </c>
      <c r="CI1803" s="3">
        <v>1</v>
      </c>
      <c r="CJ1803" s="3">
        <v>1</v>
      </c>
      <c r="CK1803" s="3">
        <v>21</v>
      </c>
      <c r="CL1803" s="3" t="s">
        <v>87</v>
      </c>
    </row>
    <row r="1804" spans="1:90" x14ac:dyDescent="0.2">
      <c r="A1804" s="3" t="s">
        <v>72</v>
      </c>
      <c r="B1804" s="3" t="s">
        <v>73</v>
      </c>
      <c r="C1804" s="3" t="s">
        <v>74</v>
      </c>
      <c r="E1804" s="3" t="str">
        <f>"FES1162846324"</f>
        <v>FES1162846324</v>
      </c>
      <c r="F1804" s="4">
        <v>44585</v>
      </c>
      <c r="G1804" s="3">
        <v>202207</v>
      </c>
      <c r="H1804" s="3" t="s">
        <v>75</v>
      </c>
      <c r="I1804" s="3" t="s">
        <v>76</v>
      </c>
      <c r="J1804" s="3" t="s">
        <v>77</v>
      </c>
      <c r="K1804" s="3" t="s">
        <v>78</v>
      </c>
      <c r="L1804" s="3" t="s">
        <v>75</v>
      </c>
      <c r="M1804" s="3" t="s">
        <v>76</v>
      </c>
      <c r="N1804" s="3" t="s">
        <v>147</v>
      </c>
      <c r="O1804" s="3" t="s">
        <v>82</v>
      </c>
      <c r="P1804" s="3" t="str">
        <f>"2170816519                    "</f>
        <v xml:space="preserve">2170816519                    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12.07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v>0</v>
      </c>
      <c r="BA1804" s="3">
        <v>0</v>
      </c>
      <c r="BB1804" s="3">
        <v>0</v>
      </c>
      <c r="BC1804" s="3">
        <v>0</v>
      </c>
      <c r="BD1804" s="3">
        <v>0</v>
      </c>
      <c r="BE1804" s="3">
        <v>0</v>
      </c>
      <c r="BF1804" s="3">
        <v>0</v>
      </c>
      <c r="BG1804" s="3">
        <v>0</v>
      </c>
      <c r="BH1804" s="3">
        <v>1</v>
      </c>
      <c r="BI1804" s="3">
        <v>1</v>
      </c>
      <c r="BJ1804" s="3">
        <v>0.2</v>
      </c>
      <c r="BK1804" s="3">
        <v>1</v>
      </c>
      <c r="BL1804" s="3">
        <v>46.08</v>
      </c>
      <c r="BM1804" s="3">
        <v>6.91</v>
      </c>
      <c r="BN1804" s="3">
        <v>52.99</v>
      </c>
      <c r="BO1804" s="3">
        <v>52.99</v>
      </c>
      <c r="BQ1804" s="3" t="s">
        <v>89</v>
      </c>
      <c r="BR1804" s="3" t="s">
        <v>84</v>
      </c>
      <c r="BS1804" s="4">
        <v>44586</v>
      </c>
      <c r="BT1804" s="5">
        <v>0.42777777777777781</v>
      </c>
      <c r="BU1804" s="3" t="s">
        <v>1994</v>
      </c>
      <c r="BV1804" s="3" t="s">
        <v>105</v>
      </c>
      <c r="BY1804" s="3">
        <v>1200</v>
      </c>
      <c r="BZ1804" s="3" t="s">
        <v>165</v>
      </c>
      <c r="CC1804" s="3" t="s">
        <v>76</v>
      </c>
      <c r="CD1804" s="3">
        <v>1645</v>
      </c>
      <c r="CE1804" s="3" t="s">
        <v>93</v>
      </c>
      <c r="CF1804" s="4">
        <v>44586</v>
      </c>
      <c r="CI1804" s="3">
        <v>1</v>
      </c>
      <c r="CJ1804" s="3">
        <v>1</v>
      </c>
      <c r="CK1804" s="3">
        <v>22</v>
      </c>
      <c r="CL1804" s="3" t="s">
        <v>87</v>
      </c>
    </row>
    <row r="1805" spans="1:90" x14ac:dyDescent="0.2">
      <c r="A1805" s="3" t="s">
        <v>72</v>
      </c>
      <c r="B1805" s="3" t="s">
        <v>73</v>
      </c>
      <c r="C1805" s="3" t="s">
        <v>74</v>
      </c>
      <c r="E1805" s="3" t="str">
        <f>"FES1162846493"</f>
        <v>FES1162846493</v>
      </c>
      <c r="F1805" s="4">
        <v>44585</v>
      </c>
      <c r="G1805" s="3">
        <v>202207</v>
      </c>
      <c r="H1805" s="3" t="s">
        <v>75</v>
      </c>
      <c r="I1805" s="3" t="s">
        <v>76</v>
      </c>
      <c r="J1805" s="3" t="s">
        <v>77</v>
      </c>
      <c r="K1805" s="3" t="s">
        <v>78</v>
      </c>
      <c r="L1805" s="3" t="s">
        <v>90</v>
      </c>
      <c r="M1805" s="3" t="s">
        <v>91</v>
      </c>
      <c r="N1805" s="3" t="s">
        <v>157</v>
      </c>
      <c r="O1805" s="3" t="s">
        <v>82</v>
      </c>
      <c r="P1805" s="3" t="str">
        <f>"2170815854                    "</f>
        <v xml:space="preserve">2170815854                    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15.46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v>0</v>
      </c>
      <c r="BA1805" s="3">
        <v>0</v>
      </c>
      <c r="BB1805" s="3">
        <v>0</v>
      </c>
      <c r="BC1805" s="3">
        <v>0</v>
      </c>
      <c r="BD1805" s="3">
        <v>0</v>
      </c>
      <c r="BE1805" s="3">
        <v>0</v>
      </c>
      <c r="BF1805" s="3">
        <v>0</v>
      </c>
      <c r="BG1805" s="3">
        <v>0</v>
      </c>
      <c r="BH1805" s="3">
        <v>1</v>
      </c>
      <c r="BI1805" s="3">
        <v>1</v>
      </c>
      <c r="BJ1805" s="3">
        <v>0.2</v>
      </c>
      <c r="BK1805" s="3">
        <v>1</v>
      </c>
      <c r="BL1805" s="3">
        <v>59</v>
      </c>
      <c r="BM1805" s="3">
        <v>8.85</v>
      </c>
      <c r="BN1805" s="3">
        <v>67.849999999999994</v>
      </c>
      <c r="BO1805" s="3">
        <v>67.849999999999994</v>
      </c>
      <c r="BQ1805" s="3" t="s">
        <v>89</v>
      </c>
      <c r="BR1805" s="3" t="s">
        <v>84</v>
      </c>
      <c r="BS1805" s="4">
        <v>44586</v>
      </c>
      <c r="BT1805" s="5">
        <v>0.39166666666666666</v>
      </c>
      <c r="BU1805" s="3" t="s">
        <v>1999</v>
      </c>
      <c r="BV1805" s="3" t="s">
        <v>105</v>
      </c>
      <c r="BY1805" s="3">
        <v>1200</v>
      </c>
      <c r="BZ1805" s="3" t="s">
        <v>165</v>
      </c>
      <c r="CA1805" s="3" t="s">
        <v>692</v>
      </c>
      <c r="CC1805" s="3" t="s">
        <v>91</v>
      </c>
      <c r="CD1805" s="3">
        <v>7441</v>
      </c>
      <c r="CE1805" s="3" t="s">
        <v>93</v>
      </c>
      <c r="CF1805" s="4">
        <v>44587</v>
      </c>
      <c r="CI1805" s="3">
        <v>1</v>
      </c>
      <c r="CJ1805" s="3">
        <v>1</v>
      </c>
      <c r="CK1805" s="3">
        <v>21</v>
      </c>
      <c r="CL1805" s="3" t="s">
        <v>87</v>
      </c>
    </row>
    <row r="1806" spans="1:90" x14ac:dyDescent="0.2">
      <c r="A1806" s="3" t="s">
        <v>72</v>
      </c>
      <c r="B1806" s="3" t="s">
        <v>73</v>
      </c>
      <c r="C1806" s="3" t="s">
        <v>74</v>
      </c>
      <c r="E1806" s="3" t="str">
        <f>"FES1162846515"</f>
        <v>FES1162846515</v>
      </c>
      <c r="F1806" s="4">
        <v>44585</v>
      </c>
      <c r="G1806" s="3">
        <v>202207</v>
      </c>
      <c r="H1806" s="3" t="s">
        <v>75</v>
      </c>
      <c r="I1806" s="3" t="s">
        <v>76</v>
      </c>
      <c r="J1806" s="3" t="s">
        <v>77</v>
      </c>
      <c r="K1806" s="3" t="s">
        <v>78</v>
      </c>
      <c r="L1806" s="3" t="s">
        <v>101</v>
      </c>
      <c r="M1806" s="3" t="s">
        <v>102</v>
      </c>
      <c r="N1806" s="3" t="s">
        <v>103</v>
      </c>
      <c r="O1806" s="3" t="s">
        <v>82</v>
      </c>
      <c r="P1806" s="3" t="str">
        <f>"2170816385                    "</f>
        <v xml:space="preserve">2170816385                    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15.46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v>0</v>
      </c>
      <c r="BA1806" s="3">
        <v>0</v>
      </c>
      <c r="BB1806" s="3">
        <v>0</v>
      </c>
      <c r="BC1806" s="3">
        <v>0</v>
      </c>
      <c r="BD1806" s="3">
        <v>0</v>
      </c>
      <c r="BE1806" s="3">
        <v>0</v>
      </c>
      <c r="BF1806" s="3">
        <v>0</v>
      </c>
      <c r="BG1806" s="3">
        <v>0</v>
      </c>
      <c r="BH1806" s="3">
        <v>1</v>
      </c>
      <c r="BI1806" s="3">
        <v>1</v>
      </c>
      <c r="BJ1806" s="3">
        <v>0.2</v>
      </c>
      <c r="BK1806" s="3">
        <v>1</v>
      </c>
      <c r="BL1806" s="3">
        <v>59</v>
      </c>
      <c r="BM1806" s="3">
        <v>8.85</v>
      </c>
      <c r="BN1806" s="3">
        <v>67.849999999999994</v>
      </c>
      <c r="BO1806" s="3">
        <v>67.849999999999994</v>
      </c>
      <c r="BQ1806" s="3" t="s">
        <v>83</v>
      </c>
      <c r="BR1806" s="3" t="s">
        <v>84</v>
      </c>
      <c r="BS1806" s="4">
        <v>44586</v>
      </c>
      <c r="BT1806" s="5">
        <v>0.31319444444444444</v>
      </c>
      <c r="BU1806" s="3" t="s">
        <v>1983</v>
      </c>
      <c r="BV1806" s="3" t="s">
        <v>105</v>
      </c>
      <c r="BY1806" s="3">
        <v>1200</v>
      </c>
      <c r="BZ1806" s="3" t="s">
        <v>165</v>
      </c>
      <c r="CA1806" s="3" t="s">
        <v>106</v>
      </c>
      <c r="CC1806" s="3" t="s">
        <v>102</v>
      </c>
      <c r="CD1806" s="3">
        <v>4001</v>
      </c>
      <c r="CE1806" s="3" t="s">
        <v>93</v>
      </c>
      <c r="CF1806" s="4">
        <v>44587</v>
      </c>
      <c r="CI1806" s="3">
        <v>1</v>
      </c>
      <c r="CJ1806" s="3">
        <v>1</v>
      </c>
      <c r="CK1806" s="3">
        <v>21</v>
      </c>
      <c r="CL1806" s="3" t="s">
        <v>87</v>
      </c>
    </row>
    <row r="1807" spans="1:90" x14ac:dyDescent="0.2">
      <c r="A1807" s="3" t="s">
        <v>72</v>
      </c>
      <c r="B1807" s="3" t="s">
        <v>73</v>
      </c>
      <c r="C1807" s="3" t="s">
        <v>74</v>
      </c>
      <c r="E1807" s="3" t="str">
        <f>"FES1162846531"</f>
        <v>FES1162846531</v>
      </c>
      <c r="F1807" s="4">
        <v>44585</v>
      </c>
      <c r="G1807" s="3">
        <v>202207</v>
      </c>
      <c r="H1807" s="3" t="s">
        <v>75</v>
      </c>
      <c r="I1807" s="3" t="s">
        <v>76</v>
      </c>
      <c r="J1807" s="3" t="s">
        <v>77</v>
      </c>
      <c r="K1807" s="3" t="s">
        <v>78</v>
      </c>
      <c r="L1807" s="3" t="s">
        <v>162</v>
      </c>
      <c r="M1807" s="3" t="s">
        <v>163</v>
      </c>
      <c r="N1807" s="3" t="s">
        <v>885</v>
      </c>
      <c r="O1807" s="3" t="s">
        <v>82</v>
      </c>
      <c r="P1807" s="3" t="str">
        <f>"2170817936                    "</f>
        <v xml:space="preserve">2170817936                    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12.07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v>0</v>
      </c>
      <c r="BA1807" s="3">
        <v>0</v>
      </c>
      <c r="BB1807" s="3">
        <v>0</v>
      </c>
      <c r="BC1807" s="3">
        <v>0</v>
      </c>
      <c r="BD1807" s="3">
        <v>0</v>
      </c>
      <c r="BE1807" s="3">
        <v>0</v>
      </c>
      <c r="BF1807" s="3">
        <v>0</v>
      </c>
      <c r="BG1807" s="3">
        <v>0</v>
      </c>
      <c r="BH1807" s="3">
        <v>1</v>
      </c>
      <c r="BI1807" s="3">
        <v>1</v>
      </c>
      <c r="BJ1807" s="3">
        <v>0.2</v>
      </c>
      <c r="BK1807" s="3">
        <v>1</v>
      </c>
      <c r="BL1807" s="3">
        <v>46.08</v>
      </c>
      <c r="BM1807" s="3">
        <v>6.91</v>
      </c>
      <c r="BN1807" s="3">
        <v>52.99</v>
      </c>
      <c r="BO1807" s="3">
        <v>52.99</v>
      </c>
      <c r="BQ1807" s="3" t="s">
        <v>83</v>
      </c>
      <c r="BR1807" s="3" t="s">
        <v>84</v>
      </c>
      <c r="BS1807" s="4">
        <v>44586</v>
      </c>
      <c r="BT1807" s="5">
        <v>0.38472222222222219</v>
      </c>
      <c r="BU1807" s="3" t="s">
        <v>886</v>
      </c>
      <c r="BV1807" s="3" t="s">
        <v>105</v>
      </c>
      <c r="BY1807" s="3">
        <v>1200</v>
      </c>
      <c r="BZ1807" s="3" t="s">
        <v>165</v>
      </c>
      <c r="CA1807" s="3" t="s">
        <v>591</v>
      </c>
      <c r="CC1807" s="3" t="s">
        <v>163</v>
      </c>
      <c r="CD1807" s="3">
        <v>1422</v>
      </c>
      <c r="CE1807" s="3" t="s">
        <v>93</v>
      </c>
      <c r="CF1807" s="4">
        <v>44586</v>
      </c>
      <c r="CI1807" s="3">
        <v>1</v>
      </c>
      <c r="CJ1807" s="3">
        <v>1</v>
      </c>
      <c r="CK1807" s="3">
        <v>22</v>
      </c>
      <c r="CL1807" s="3" t="s">
        <v>87</v>
      </c>
    </row>
    <row r="1808" spans="1:90" x14ac:dyDescent="0.2">
      <c r="A1808" s="3" t="s">
        <v>72</v>
      </c>
      <c r="B1808" s="3" t="s">
        <v>73</v>
      </c>
      <c r="C1808" s="3" t="s">
        <v>74</v>
      </c>
      <c r="E1808" s="3" t="str">
        <f>"FES1162846332"</f>
        <v>FES1162846332</v>
      </c>
      <c r="F1808" s="4">
        <v>44585</v>
      </c>
      <c r="G1808" s="3">
        <v>202207</v>
      </c>
      <c r="H1808" s="3" t="s">
        <v>75</v>
      </c>
      <c r="I1808" s="3" t="s">
        <v>76</v>
      </c>
      <c r="J1808" s="3" t="s">
        <v>77</v>
      </c>
      <c r="K1808" s="3" t="s">
        <v>78</v>
      </c>
      <c r="L1808" s="3" t="s">
        <v>180</v>
      </c>
      <c r="M1808" s="3" t="s">
        <v>181</v>
      </c>
      <c r="N1808" s="3" t="s">
        <v>1481</v>
      </c>
      <c r="O1808" s="3" t="s">
        <v>82</v>
      </c>
      <c r="P1808" s="3" t="str">
        <f>"2170817175                    "</f>
        <v xml:space="preserve">2170817175                    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95.84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v>0</v>
      </c>
      <c r="BA1808" s="3">
        <v>0</v>
      </c>
      <c r="BB1808" s="3">
        <v>0</v>
      </c>
      <c r="BC1808" s="3">
        <v>0</v>
      </c>
      <c r="BD1808" s="3">
        <v>0</v>
      </c>
      <c r="BE1808" s="3">
        <v>0</v>
      </c>
      <c r="BF1808" s="3">
        <v>0</v>
      </c>
      <c r="BG1808" s="3">
        <v>0</v>
      </c>
      <c r="BH1808" s="3">
        <v>1</v>
      </c>
      <c r="BI1808" s="3">
        <v>3</v>
      </c>
      <c r="BJ1808" s="3">
        <v>8.6999999999999993</v>
      </c>
      <c r="BK1808" s="3">
        <v>9</v>
      </c>
      <c r="BL1808" s="3">
        <v>365.82</v>
      </c>
      <c r="BM1808" s="3">
        <v>54.87</v>
      </c>
      <c r="BN1808" s="3">
        <v>420.69</v>
      </c>
      <c r="BO1808" s="3">
        <v>420.69</v>
      </c>
      <c r="BQ1808" s="3" t="s">
        <v>83</v>
      </c>
      <c r="BR1808" s="3" t="s">
        <v>84</v>
      </c>
      <c r="BS1808" s="4">
        <v>44586</v>
      </c>
      <c r="BT1808" s="5">
        <v>0.55694444444444446</v>
      </c>
      <c r="BU1808" s="3" t="s">
        <v>2031</v>
      </c>
      <c r="BV1808" s="3" t="s">
        <v>87</v>
      </c>
      <c r="BW1808" s="3" t="s">
        <v>353</v>
      </c>
      <c r="BX1808" s="3" t="s">
        <v>723</v>
      </c>
      <c r="BY1808" s="3">
        <v>43264</v>
      </c>
      <c r="BZ1808" s="3" t="s">
        <v>165</v>
      </c>
      <c r="CA1808" s="3" t="s">
        <v>1166</v>
      </c>
      <c r="CC1808" s="3" t="s">
        <v>181</v>
      </c>
      <c r="CD1808" s="3">
        <v>1934</v>
      </c>
      <c r="CE1808" s="3" t="s">
        <v>86</v>
      </c>
      <c r="CF1808" s="4">
        <v>44587</v>
      </c>
      <c r="CI1808" s="3">
        <v>1</v>
      </c>
      <c r="CJ1808" s="3">
        <v>1</v>
      </c>
      <c r="CK1808" s="3">
        <v>24</v>
      </c>
      <c r="CL1808" s="3" t="s">
        <v>87</v>
      </c>
    </row>
    <row r="1809" spans="1:90" x14ac:dyDescent="0.2">
      <c r="A1809" s="3" t="s">
        <v>72</v>
      </c>
      <c r="B1809" s="3" t="s">
        <v>73</v>
      </c>
      <c r="C1809" s="3" t="s">
        <v>74</v>
      </c>
      <c r="E1809" s="3" t="str">
        <f>"FES1162846331"</f>
        <v>FES1162846331</v>
      </c>
      <c r="F1809" s="4">
        <v>44585</v>
      </c>
      <c r="G1809" s="3">
        <v>202207</v>
      </c>
      <c r="H1809" s="3" t="s">
        <v>75</v>
      </c>
      <c r="I1809" s="3" t="s">
        <v>76</v>
      </c>
      <c r="J1809" s="3" t="s">
        <v>77</v>
      </c>
      <c r="K1809" s="3" t="s">
        <v>78</v>
      </c>
      <c r="L1809" s="3" t="s">
        <v>180</v>
      </c>
      <c r="M1809" s="3" t="s">
        <v>181</v>
      </c>
      <c r="N1809" s="3" t="s">
        <v>1164</v>
      </c>
      <c r="O1809" s="3" t="s">
        <v>82</v>
      </c>
      <c r="P1809" s="3" t="str">
        <f>"2170817093                    "</f>
        <v xml:space="preserve">2170817093                    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21.74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0</v>
      </c>
      <c r="AZ1809" s="3">
        <v>0</v>
      </c>
      <c r="BA1809" s="3">
        <v>0</v>
      </c>
      <c r="BB1809" s="3">
        <v>0</v>
      </c>
      <c r="BC1809" s="3">
        <v>0</v>
      </c>
      <c r="BD1809" s="3">
        <v>0</v>
      </c>
      <c r="BE1809" s="3">
        <v>0</v>
      </c>
      <c r="BF1809" s="3">
        <v>0</v>
      </c>
      <c r="BG1809" s="3">
        <v>0</v>
      </c>
      <c r="BH1809" s="3">
        <v>1</v>
      </c>
      <c r="BI1809" s="3">
        <v>1</v>
      </c>
      <c r="BJ1809" s="3">
        <v>0.2</v>
      </c>
      <c r="BK1809" s="3">
        <v>1</v>
      </c>
      <c r="BL1809" s="3">
        <v>82.98</v>
      </c>
      <c r="BM1809" s="3">
        <v>12.45</v>
      </c>
      <c r="BN1809" s="3">
        <v>95.43</v>
      </c>
      <c r="BO1809" s="3">
        <v>95.43</v>
      </c>
      <c r="BR1809" s="3" t="s">
        <v>84</v>
      </c>
      <c r="BS1809" s="4">
        <v>44586</v>
      </c>
      <c r="BT1809" s="5">
        <v>0.42708333333333331</v>
      </c>
      <c r="BU1809" s="3" t="s">
        <v>1165</v>
      </c>
      <c r="BV1809" s="3" t="s">
        <v>105</v>
      </c>
      <c r="BY1809" s="3">
        <v>1200</v>
      </c>
      <c r="BZ1809" s="3" t="s">
        <v>165</v>
      </c>
      <c r="CA1809" s="3" t="s">
        <v>1166</v>
      </c>
      <c r="CC1809" s="3" t="s">
        <v>181</v>
      </c>
      <c r="CD1809" s="3">
        <v>1939</v>
      </c>
      <c r="CE1809" s="3" t="s">
        <v>93</v>
      </c>
      <c r="CF1809" s="4">
        <v>44587</v>
      </c>
      <c r="CI1809" s="3">
        <v>1</v>
      </c>
      <c r="CJ1809" s="3">
        <v>1</v>
      </c>
      <c r="CK1809" s="3">
        <v>24</v>
      </c>
      <c r="CL1809" s="3" t="s">
        <v>87</v>
      </c>
    </row>
    <row r="1810" spans="1:90" x14ac:dyDescent="0.2">
      <c r="A1810" s="3" t="s">
        <v>72</v>
      </c>
      <c r="B1810" s="3" t="s">
        <v>73</v>
      </c>
      <c r="C1810" s="3" t="s">
        <v>74</v>
      </c>
      <c r="E1810" s="3" t="str">
        <f>"FES1162846543"</f>
        <v>FES1162846543</v>
      </c>
      <c r="F1810" s="4">
        <v>44585</v>
      </c>
      <c r="G1810" s="3">
        <v>202207</v>
      </c>
      <c r="H1810" s="3" t="s">
        <v>75</v>
      </c>
      <c r="I1810" s="3" t="s">
        <v>76</v>
      </c>
      <c r="J1810" s="3" t="s">
        <v>77</v>
      </c>
      <c r="K1810" s="3" t="s">
        <v>78</v>
      </c>
      <c r="L1810" s="3" t="s">
        <v>90</v>
      </c>
      <c r="M1810" s="3" t="s">
        <v>91</v>
      </c>
      <c r="N1810" s="3" t="s">
        <v>436</v>
      </c>
      <c r="O1810" s="3" t="s">
        <v>148</v>
      </c>
      <c r="P1810" s="3" t="str">
        <f>"2170815404                    "</f>
        <v xml:space="preserve">2170815404                    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29.89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v>0</v>
      </c>
      <c r="BA1810" s="3">
        <v>0</v>
      </c>
      <c r="BB1810" s="3">
        <v>0</v>
      </c>
      <c r="BC1810" s="3">
        <v>0</v>
      </c>
      <c r="BD1810" s="3">
        <v>0</v>
      </c>
      <c r="BE1810" s="3">
        <v>0</v>
      </c>
      <c r="BF1810" s="3">
        <v>0</v>
      </c>
      <c r="BG1810" s="3">
        <v>0</v>
      </c>
      <c r="BH1810" s="3">
        <v>1</v>
      </c>
      <c r="BI1810" s="3">
        <v>10</v>
      </c>
      <c r="BJ1810" s="3">
        <v>12</v>
      </c>
      <c r="BK1810" s="3">
        <v>12</v>
      </c>
      <c r="BL1810" s="3">
        <v>119.34</v>
      </c>
      <c r="BM1810" s="3">
        <v>17.899999999999999</v>
      </c>
      <c r="BN1810" s="3">
        <v>137.24</v>
      </c>
      <c r="BO1810" s="3">
        <v>137.24</v>
      </c>
      <c r="BQ1810" s="3" t="s">
        <v>83</v>
      </c>
      <c r="BR1810" s="3" t="s">
        <v>84</v>
      </c>
      <c r="BS1810" s="4">
        <v>44587</v>
      </c>
      <c r="BT1810" s="5">
        <v>0.36041666666666666</v>
      </c>
      <c r="BU1810" s="3" t="s">
        <v>2032</v>
      </c>
      <c r="BV1810" s="3" t="s">
        <v>105</v>
      </c>
      <c r="BY1810" s="3">
        <v>60000</v>
      </c>
      <c r="BZ1810" s="3" t="s">
        <v>327</v>
      </c>
      <c r="CA1810" s="3" t="s">
        <v>623</v>
      </c>
      <c r="CC1810" s="3" t="s">
        <v>91</v>
      </c>
      <c r="CD1810" s="3">
        <v>7800</v>
      </c>
      <c r="CE1810" s="3" t="s">
        <v>86</v>
      </c>
      <c r="CF1810" s="4">
        <v>44588</v>
      </c>
      <c r="CI1810" s="3">
        <v>2</v>
      </c>
      <c r="CJ1810" s="3">
        <v>2</v>
      </c>
      <c r="CK1810" s="3">
        <v>41</v>
      </c>
      <c r="CL1810" s="3" t="s">
        <v>87</v>
      </c>
    </row>
    <row r="1811" spans="1:90" x14ac:dyDescent="0.2">
      <c r="A1811" s="3" t="s">
        <v>72</v>
      </c>
      <c r="B1811" s="3" t="s">
        <v>73</v>
      </c>
      <c r="C1811" s="3" t="s">
        <v>74</v>
      </c>
      <c r="E1811" s="3" t="str">
        <f>"FES1162846330"</f>
        <v>FES1162846330</v>
      </c>
      <c r="F1811" s="4">
        <v>44585</v>
      </c>
      <c r="G1811" s="3">
        <v>202207</v>
      </c>
      <c r="H1811" s="3" t="s">
        <v>75</v>
      </c>
      <c r="I1811" s="3" t="s">
        <v>76</v>
      </c>
      <c r="J1811" s="3" t="s">
        <v>77</v>
      </c>
      <c r="K1811" s="3" t="s">
        <v>78</v>
      </c>
      <c r="L1811" s="3" t="s">
        <v>79</v>
      </c>
      <c r="M1811" s="3" t="s">
        <v>80</v>
      </c>
      <c r="N1811" s="3" t="s">
        <v>416</v>
      </c>
      <c r="O1811" s="3" t="s">
        <v>82</v>
      </c>
      <c r="P1811" s="3" t="str">
        <f>"2170817082                    "</f>
        <v xml:space="preserve">2170817082                    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15.46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v>0</v>
      </c>
      <c r="BA1811" s="3">
        <v>0</v>
      </c>
      <c r="BB1811" s="3">
        <v>0</v>
      </c>
      <c r="BC1811" s="3">
        <v>0</v>
      </c>
      <c r="BD1811" s="3">
        <v>0</v>
      </c>
      <c r="BE1811" s="3">
        <v>0</v>
      </c>
      <c r="BF1811" s="3">
        <v>0</v>
      </c>
      <c r="BG1811" s="3">
        <v>0</v>
      </c>
      <c r="BH1811" s="3">
        <v>1</v>
      </c>
      <c r="BI1811" s="3">
        <v>2</v>
      </c>
      <c r="BJ1811" s="3">
        <v>0.6</v>
      </c>
      <c r="BK1811" s="3">
        <v>2</v>
      </c>
      <c r="BL1811" s="3">
        <v>59</v>
      </c>
      <c r="BM1811" s="3">
        <v>8.85</v>
      </c>
      <c r="BN1811" s="3">
        <v>67.849999999999994</v>
      </c>
      <c r="BO1811" s="3">
        <v>67.849999999999994</v>
      </c>
      <c r="BQ1811" s="3" t="s">
        <v>126</v>
      </c>
      <c r="BR1811" s="3" t="s">
        <v>84</v>
      </c>
      <c r="BS1811" s="4">
        <v>44586</v>
      </c>
      <c r="BT1811" s="5">
        <v>0.54166666666666663</v>
      </c>
      <c r="BU1811" s="3" t="s">
        <v>1723</v>
      </c>
      <c r="BV1811" s="3" t="s">
        <v>105</v>
      </c>
      <c r="BY1811" s="3">
        <v>3240</v>
      </c>
      <c r="BZ1811" s="3" t="s">
        <v>165</v>
      </c>
      <c r="CA1811" s="3" t="s">
        <v>1499</v>
      </c>
      <c r="CC1811" s="3" t="s">
        <v>80</v>
      </c>
      <c r="CD1811" s="3">
        <v>186</v>
      </c>
      <c r="CE1811" s="3" t="s">
        <v>86</v>
      </c>
      <c r="CF1811" s="4">
        <v>44588</v>
      </c>
      <c r="CI1811" s="3">
        <v>1</v>
      </c>
      <c r="CJ1811" s="3">
        <v>1</v>
      </c>
      <c r="CK1811" s="3">
        <v>21</v>
      </c>
      <c r="CL1811" s="3" t="s">
        <v>87</v>
      </c>
    </row>
    <row r="1812" spans="1:90" x14ac:dyDescent="0.2">
      <c r="A1812" s="3" t="s">
        <v>72</v>
      </c>
      <c r="B1812" s="3" t="s">
        <v>73</v>
      </c>
      <c r="C1812" s="3" t="s">
        <v>74</v>
      </c>
      <c r="E1812" s="3" t="str">
        <f>"FES1162846396"</f>
        <v>FES1162846396</v>
      </c>
      <c r="F1812" s="4">
        <v>44585</v>
      </c>
      <c r="G1812" s="3">
        <v>202207</v>
      </c>
      <c r="H1812" s="3" t="s">
        <v>75</v>
      </c>
      <c r="I1812" s="3" t="s">
        <v>76</v>
      </c>
      <c r="J1812" s="3" t="s">
        <v>77</v>
      </c>
      <c r="K1812" s="3" t="s">
        <v>78</v>
      </c>
      <c r="L1812" s="3" t="s">
        <v>489</v>
      </c>
      <c r="M1812" s="3" t="s">
        <v>490</v>
      </c>
      <c r="N1812" s="3" t="s">
        <v>1473</v>
      </c>
      <c r="O1812" s="3" t="s">
        <v>82</v>
      </c>
      <c r="P1812" s="3" t="str">
        <f>"2170817909                    "</f>
        <v xml:space="preserve">2170817909                    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50.24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15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v>0</v>
      </c>
      <c r="BA1812" s="3">
        <v>0</v>
      </c>
      <c r="BB1812" s="3">
        <v>0</v>
      </c>
      <c r="BC1812" s="3">
        <v>0</v>
      </c>
      <c r="BD1812" s="3">
        <v>0</v>
      </c>
      <c r="BE1812" s="3">
        <v>0</v>
      </c>
      <c r="BF1812" s="3">
        <v>0</v>
      </c>
      <c r="BG1812" s="3">
        <v>0</v>
      </c>
      <c r="BH1812" s="3">
        <v>1</v>
      </c>
      <c r="BI1812" s="3">
        <v>2</v>
      </c>
      <c r="BJ1812" s="3">
        <v>3.1</v>
      </c>
      <c r="BK1812" s="3">
        <v>3.5</v>
      </c>
      <c r="BL1812" s="3">
        <v>206.75</v>
      </c>
      <c r="BM1812" s="3">
        <v>31.01</v>
      </c>
      <c r="BN1812" s="3">
        <v>237.76</v>
      </c>
      <c r="BO1812" s="3">
        <v>237.76</v>
      </c>
      <c r="BQ1812" s="3" t="s">
        <v>1474</v>
      </c>
      <c r="BR1812" s="3" t="s">
        <v>84</v>
      </c>
      <c r="BS1812" s="4">
        <v>44586</v>
      </c>
      <c r="BT1812" s="5">
        <v>0.60416666666666663</v>
      </c>
      <c r="BU1812" s="3" t="s">
        <v>1475</v>
      </c>
      <c r="BV1812" s="3" t="s">
        <v>87</v>
      </c>
      <c r="BW1812" s="3" t="s">
        <v>493</v>
      </c>
      <c r="BX1812" s="3" t="s">
        <v>1269</v>
      </c>
      <c r="BY1812" s="3">
        <v>15360</v>
      </c>
      <c r="BZ1812" s="3" t="s">
        <v>446</v>
      </c>
      <c r="CA1812" s="3" t="s">
        <v>495</v>
      </c>
      <c r="CC1812" s="3" t="s">
        <v>490</v>
      </c>
      <c r="CD1812" s="3">
        <v>250</v>
      </c>
      <c r="CE1812" s="3" t="s">
        <v>86</v>
      </c>
      <c r="CF1812" s="4">
        <v>44587</v>
      </c>
      <c r="CI1812" s="3">
        <v>1</v>
      </c>
      <c r="CJ1812" s="3">
        <v>1</v>
      </c>
      <c r="CK1812" s="3">
        <v>23</v>
      </c>
      <c r="CL1812" s="3" t="s">
        <v>87</v>
      </c>
    </row>
    <row r="1813" spans="1:90" x14ac:dyDescent="0.2">
      <c r="A1813" s="3" t="s">
        <v>72</v>
      </c>
      <c r="B1813" s="3" t="s">
        <v>73</v>
      </c>
      <c r="C1813" s="3" t="s">
        <v>74</v>
      </c>
      <c r="E1813" s="3" t="str">
        <f>"FES1162846382"</f>
        <v>FES1162846382</v>
      </c>
      <c r="F1813" s="4">
        <v>44585</v>
      </c>
      <c r="G1813" s="3">
        <v>202207</v>
      </c>
      <c r="H1813" s="3" t="s">
        <v>75</v>
      </c>
      <c r="I1813" s="3" t="s">
        <v>76</v>
      </c>
      <c r="J1813" s="3" t="s">
        <v>77</v>
      </c>
      <c r="K1813" s="3" t="s">
        <v>78</v>
      </c>
      <c r="L1813" s="3" t="s">
        <v>94</v>
      </c>
      <c r="M1813" s="3" t="s">
        <v>95</v>
      </c>
      <c r="N1813" s="3" t="s">
        <v>451</v>
      </c>
      <c r="O1813" s="3" t="s">
        <v>82</v>
      </c>
      <c r="P1813" s="3" t="str">
        <f>"2170817881                    "</f>
        <v xml:space="preserve">2170817881                    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15.46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0</v>
      </c>
      <c r="AZ1813" s="3">
        <v>0</v>
      </c>
      <c r="BA1813" s="3">
        <v>0</v>
      </c>
      <c r="BB1813" s="3">
        <v>0</v>
      </c>
      <c r="BC1813" s="3">
        <v>0</v>
      </c>
      <c r="BD1813" s="3">
        <v>0</v>
      </c>
      <c r="BE1813" s="3">
        <v>0</v>
      </c>
      <c r="BF1813" s="3">
        <v>0</v>
      </c>
      <c r="BG1813" s="3">
        <v>0</v>
      </c>
      <c r="BH1813" s="3">
        <v>1</v>
      </c>
      <c r="BI1813" s="3">
        <v>1</v>
      </c>
      <c r="BJ1813" s="3">
        <v>0.2</v>
      </c>
      <c r="BK1813" s="3">
        <v>1</v>
      </c>
      <c r="BL1813" s="3">
        <v>59</v>
      </c>
      <c r="BM1813" s="3">
        <v>8.85</v>
      </c>
      <c r="BN1813" s="3">
        <v>67.849999999999994</v>
      </c>
      <c r="BO1813" s="3">
        <v>67.849999999999994</v>
      </c>
      <c r="BQ1813" s="3" t="s">
        <v>83</v>
      </c>
      <c r="BR1813" s="3" t="s">
        <v>84</v>
      </c>
      <c r="BS1813" s="4">
        <v>44586</v>
      </c>
      <c r="BT1813" s="5">
        <v>0.49652777777777773</v>
      </c>
      <c r="BU1813" s="3" t="s">
        <v>2009</v>
      </c>
      <c r="BV1813" s="3" t="s">
        <v>87</v>
      </c>
      <c r="BW1813" s="3" t="s">
        <v>453</v>
      </c>
      <c r="BX1813" s="3" t="s">
        <v>279</v>
      </c>
      <c r="BY1813" s="3">
        <v>1200</v>
      </c>
      <c r="BZ1813" s="3" t="s">
        <v>165</v>
      </c>
      <c r="CC1813" s="3" t="s">
        <v>95</v>
      </c>
      <c r="CD1813" s="3">
        <v>3201</v>
      </c>
      <c r="CE1813" s="3" t="s">
        <v>93</v>
      </c>
      <c r="CF1813" s="4">
        <v>44589</v>
      </c>
      <c r="CI1813" s="3">
        <v>1</v>
      </c>
      <c r="CJ1813" s="3">
        <v>1</v>
      </c>
      <c r="CK1813" s="3">
        <v>21</v>
      </c>
      <c r="CL1813" s="3" t="s">
        <v>87</v>
      </c>
    </row>
    <row r="1814" spans="1:90" x14ac:dyDescent="0.2">
      <c r="A1814" s="3" t="s">
        <v>72</v>
      </c>
      <c r="B1814" s="3" t="s">
        <v>73</v>
      </c>
      <c r="C1814" s="3" t="s">
        <v>74</v>
      </c>
      <c r="E1814" s="3" t="str">
        <f>"FES1162846485"</f>
        <v>FES1162846485</v>
      </c>
      <c r="F1814" s="4">
        <v>44585</v>
      </c>
      <c r="G1814" s="3">
        <v>202207</v>
      </c>
      <c r="H1814" s="3" t="s">
        <v>75</v>
      </c>
      <c r="I1814" s="3" t="s">
        <v>76</v>
      </c>
      <c r="J1814" s="3" t="s">
        <v>77</v>
      </c>
      <c r="K1814" s="3" t="s">
        <v>78</v>
      </c>
      <c r="L1814" s="3" t="s">
        <v>79</v>
      </c>
      <c r="M1814" s="3" t="s">
        <v>80</v>
      </c>
      <c r="N1814" s="3" t="s">
        <v>237</v>
      </c>
      <c r="O1814" s="3" t="s">
        <v>82</v>
      </c>
      <c r="P1814" s="3" t="str">
        <f>"2170815781                    "</f>
        <v xml:space="preserve">2170815781                    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34.770000000000003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v>0</v>
      </c>
      <c r="BA1814" s="3">
        <v>0</v>
      </c>
      <c r="BB1814" s="3">
        <v>0</v>
      </c>
      <c r="BC1814" s="3">
        <v>0</v>
      </c>
      <c r="BD1814" s="3">
        <v>0</v>
      </c>
      <c r="BE1814" s="3">
        <v>0</v>
      </c>
      <c r="BF1814" s="3">
        <v>0</v>
      </c>
      <c r="BG1814" s="3">
        <v>0</v>
      </c>
      <c r="BH1814" s="3">
        <v>1</v>
      </c>
      <c r="BI1814" s="3">
        <v>3</v>
      </c>
      <c r="BJ1814" s="3">
        <v>4.0999999999999996</v>
      </c>
      <c r="BK1814" s="3">
        <v>4.5</v>
      </c>
      <c r="BL1814" s="3">
        <v>132.71</v>
      </c>
      <c r="BM1814" s="3">
        <v>19.91</v>
      </c>
      <c r="BN1814" s="3">
        <v>152.62</v>
      </c>
      <c r="BO1814" s="3">
        <v>152.62</v>
      </c>
      <c r="BQ1814" s="3" t="s">
        <v>83</v>
      </c>
      <c r="BR1814" s="3" t="s">
        <v>84</v>
      </c>
      <c r="BS1814" s="4">
        <v>44586</v>
      </c>
      <c r="BT1814" s="5">
        <v>0.32291666666666669</v>
      </c>
      <c r="BU1814" s="3" t="s">
        <v>1780</v>
      </c>
      <c r="BV1814" s="3" t="s">
        <v>105</v>
      </c>
      <c r="BY1814" s="3">
        <v>20535</v>
      </c>
      <c r="BZ1814" s="3" t="s">
        <v>165</v>
      </c>
      <c r="CA1814" s="3" t="s">
        <v>1781</v>
      </c>
      <c r="CC1814" s="3" t="s">
        <v>80</v>
      </c>
      <c r="CD1814" s="3">
        <v>1</v>
      </c>
      <c r="CE1814" s="3" t="s">
        <v>86</v>
      </c>
      <c r="CF1814" s="4">
        <v>44586</v>
      </c>
      <c r="CI1814" s="3">
        <v>1</v>
      </c>
      <c r="CJ1814" s="3">
        <v>1</v>
      </c>
      <c r="CK1814" s="3">
        <v>21</v>
      </c>
      <c r="CL1814" s="3" t="s">
        <v>87</v>
      </c>
    </row>
    <row r="1815" spans="1:90" x14ac:dyDescent="0.2">
      <c r="A1815" s="3" t="s">
        <v>72</v>
      </c>
      <c r="B1815" s="3" t="s">
        <v>73</v>
      </c>
      <c r="C1815" s="3" t="s">
        <v>74</v>
      </c>
      <c r="E1815" s="3" t="str">
        <f>"FES1162846366"</f>
        <v>FES1162846366</v>
      </c>
      <c r="F1815" s="4">
        <v>44585</v>
      </c>
      <c r="G1815" s="3">
        <v>202207</v>
      </c>
      <c r="H1815" s="3" t="s">
        <v>75</v>
      </c>
      <c r="I1815" s="3" t="s">
        <v>76</v>
      </c>
      <c r="J1815" s="3" t="s">
        <v>77</v>
      </c>
      <c r="K1815" s="3" t="s">
        <v>78</v>
      </c>
      <c r="L1815" s="3" t="s">
        <v>90</v>
      </c>
      <c r="M1815" s="3" t="s">
        <v>91</v>
      </c>
      <c r="N1815" s="3" t="s">
        <v>114</v>
      </c>
      <c r="O1815" s="3" t="s">
        <v>82</v>
      </c>
      <c r="P1815" s="3" t="str">
        <f>"2170817851                    "</f>
        <v xml:space="preserve">2170817851                    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15.46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v>0</v>
      </c>
      <c r="BA1815" s="3">
        <v>0</v>
      </c>
      <c r="BB1815" s="3">
        <v>0</v>
      </c>
      <c r="BC1815" s="3">
        <v>0</v>
      </c>
      <c r="BD1815" s="3">
        <v>0</v>
      </c>
      <c r="BE1815" s="3">
        <v>0</v>
      </c>
      <c r="BF1815" s="3">
        <v>0</v>
      </c>
      <c r="BG1815" s="3">
        <v>0</v>
      </c>
      <c r="BH1815" s="3">
        <v>1</v>
      </c>
      <c r="BI1815" s="3">
        <v>1</v>
      </c>
      <c r="BJ1815" s="3">
        <v>0.2</v>
      </c>
      <c r="BK1815" s="3">
        <v>1</v>
      </c>
      <c r="BL1815" s="3">
        <v>59</v>
      </c>
      <c r="BM1815" s="3">
        <v>8.85</v>
      </c>
      <c r="BN1815" s="3">
        <v>67.849999999999994</v>
      </c>
      <c r="BO1815" s="3">
        <v>67.849999999999994</v>
      </c>
      <c r="BQ1815" s="3" t="s">
        <v>89</v>
      </c>
      <c r="BR1815" s="3" t="s">
        <v>84</v>
      </c>
      <c r="BS1815" s="4">
        <v>44586</v>
      </c>
      <c r="BT1815" s="5">
        <v>0.40347222222222223</v>
      </c>
      <c r="BU1815" s="3" t="s">
        <v>2033</v>
      </c>
      <c r="BV1815" s="3" t="s">
        <v>105</v>
      </c>
      <c r="BY1815" s="3">
        <v>1200</v>
      </c>
      <c r="BZ1815" s="3" t="s">
        <v>165</v>
      </c>
      <c r="CA1815" s="3" t="s">
        <v>692</v>
      </c>
      <c r="CC1815" s="3" t="s">
        <v>91</v>
      </c>
      <c r="CD1815" s="3">
        <v>7441</v>
      </c>
      <c r="CE1815" s="3" t="s">
        <v>93</v>
      </c>
      <c r="CF1815" s="4">
        <v>44587</v>
      </c>
      <c r="CI1815" s="3">
        <v>1</v>
      </c>
      <c r="CJ1815" s="3">
        <v>1</v>
      </c>
      <c r="CK1815" s="3">
        <v>21</v>
      </c>
      <c r="CL1815" s="3" t="s">
        <v>87</v>
      </c>
    </row>
    <row r="1816" spans="1:90" x14ac:dyDescent="0.2">
      <c r="A1816" s="3" t="s">
        <v>72</v>
      </c>
      <c r="B1816" s="3" t="s">
        <v>73</v>
      </c>
      <c r="C1816" s="3" t="s">
        <v>74</v>
      </c>
      <c r="E1816" s="3" t="str">
        <f>"FES1162846523"</f>
        <v>FES1162846523</v>
      </c>
      <c r="F1816" s="4">
        <v>44585</v>
      </c>
      <c r="G1816" s="3">
        <v>202207</v>
      </c>
      <c r="H1816" s="3" t="s">
        <v>75</v>
      </c>
      <c r="I1816" s="3" t="s">
        <v>76</v>
      </c>
      <c r="J1816" s="3" t="s">
        <v>77</v>
      </c>
      <c r="K1816" s="3" t="s">
        <v>78</v>
      </c>
      <c r="L1816" s="3" t="s">
        <v>171</v>
      </c>
      <c r="M1816" s="3" t="s">
        <v>172</v>
      </c>
      <c r="N1816" s="3" t="s">
        <v>2034</v>
      </c>
      <c r="O1816" s="3" t="s">
        <v>82</v>
      </c>
      <c r="P1816" s="3" t="str">
        <f>"2170817601                    "</f>
        <v xml:space="preserve">2170817601                    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61.81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0</v>
      </c>
      <c r="AZ1816" s="3">
        <v>0</v>
      </c>
      <c r="BA1816" s="3">
        <v>0</v>
      </c>
      <c r="BB1816" s="3">
        <v>0</v>
      </c>
      <c r="BC1816" s="3">
        <v>0</v>
      </c>
      <c r="BD1816" s="3">
        <v>0</v>
      </c>
      <c r="BE1816" s="3">
        <v>0</v>
      </c>
      <c r="BF1816" s="3">
        <v>0</v>
      </c>
      <c r="BG1816" s="3">
        <v>0</v>
      </c>
      <c r="BH1816" s="3">
        <v>1</v>
      </c>
      <c r="BI1816" s="3">
        <v>8</v>
      </c>
      <c r="BJ1816" s="3">
        <v>4.0999999999999996</v>
      </c>
      <c r="BK1816" s="3">
        <v>8</v>
      </c>
      <c r="BL1816" s="3">
        <v>235.91</v>
      </c>
      <c r="BM1816" s="3">
        <v>35.39</v>
      </c>
      <c r="BN1816" s="3">
        <v>271.3</v>
      </c>
      <c r="BO1816" s="3">
        <v>271.3</v>
      </c>
      <c r="BR1816" s="3" t="s">
        <v>84</v>
      </c>
      <c r="BS1816" s="4">
        <v>44586</v>
      </c>
      <c r="BT1816" s="5">
        <v>0.40763888888888888</v>
      </c>
      <c r="BU1816" s="3" t="s">
        <v>1603</v>
      </c>
      <c r="BV1816" s="3" t="s">
        <v>105</v>
      </c>
      <c r="BY1816" s="3">
        <v>20358</v>
      </c>
      <c r="BZ1816" s="3" t="s">
        <v>165</v>
      </c>
      <c r="CA1816" s="3" t="s">
        <v>509</v>
      </c>
      <c r="CC1816" s="3" t="s">
        <v>172</v>
      </c>
      <c r="CD1816" s="3">
        <v>6000</v>
      </c>
      <c r="CE1816" s="3" t="s">
        <v>86</v>
      </c>
      <c r="CF1816" s="4">
        <v>44586</v>
      </c>
      <c r="CI1816" s="3">
        <v>1</v>
      </c>
      <c r="CJ1816" s="3">
        <v>1</v>
      </c>
      <c r="CK1816" s="3">
        <v>21</v>
      </c>
      <c r="CL1816" s="3" t="s">
        <v>87</v>
      </c>
    </row>
    <row r="1817" spans="1:90" x14ac:dyDescent="0.2">
      <c r="A1817" s="3" t="s">
        <v>72</v>
      </c>
      <c r="B1817" s="3" t="s">
        <v>73</v>
      </c>
      <c r="C1817" s="3" t="s">
        <v>74</v>
      </c>
      <c r="E1817" s="3" t="str">
        <f>"FES1162846369"</f>
        <v>FES1162846369</v>
      </c>
      <c r="F1817" s="4">
        <v>44585</v>
      </c>
      <c r="G1817" s="3">
        <v>202207</v>
      </c>
      <c r="H1817" s="3" t="s">
        <v>75</v>
      </c>
      <c r="I1817" s="3" t="s">
        <v>76</v>
      </c>
      <c r="J1817" s="3" t="s">
        <v>77</v>
      </c>
      <c r="K1817" s="3" t="s">
        <v>78</v>
      </c>
      <c r="L1817" s="3" t="s">
        <v>138</v>
      </c>
      <c r="M1817" s="3" t="s">
        <v>139</v>
      </c>
      <c r="N1817" s="3" t="s">
        <v>2035</v>
      </c>
      <c r="O1817" s="3" t="s">
        <v>82</v>
      </c>
      <c r="P1817" s="3" t="str">
        <f>"2170817854                    "</f>
        <v xml:space="preserve">2170817854                    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15.46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v>0</v>
      </c>
      <c r="BA1817" s="3">
        <v>0</v>
      </c>
      <c r="BB1817" s="3">
        <v>0</v>
      </c>
      <c r="BC1817" s="3">
        <v>0</v>
      </c>
      <c r="BD1817" s="3">
        <v>0</v>
      </c>
      <c r="BE1817" s="3">
        <v>0</v>
      </c>
      <c r="BF1817" s="3">
        <v>0</v>
      </c>
      <c r="BG1817" s="3">
        <v>0</v>
      </c>
      <c r="BH1817" s="3">
        <v>1</v>
      </c>
      <c r="BI1817" s="3">
        <v>1</v>
      </c>
      <c r="BJ1817" s="3">
        <v>0.2</v>
      </c>
      <c r="BK1817" s="3">
        <v>1</v>
      </c>
      <c r="BL1817" s="3">
        <v>59</v>
      </c>
      <c r="BM1817" s="3">
        <v>8.85</v>
      </c>
      <c r="BN1817" s="3">
        <v>67.849999999999994</v>
      </c>
      <c r="BO1817" s="3">
        <v>67.849999999999994</v>
      </c>
      <c r="BQ1817" s="3" t="s">
        <v>83</v>
      </c>
      <c r="BR1817" s="3" t="s">
        <v>84</v>
      </c>
      <c r="BS1817" s="4">
        <v>44586</v>
      </c>
      <c r="BT1817" s="5">
        <v>0.40069444444444446</v>
      </c>
      <c r="BU1817" s="3" t="s">
        <v>2036</v>
      </c>
      <c r="BV1817" s="3" t="s">
        <v>105</v>
      </c>
      <c r="BY1817" s="3">
        <v>1200</v>
      </c>
      <c r="BZ1817" s="3" t="s">
        <v>165</v>
      </c>
      <c r="CA1817" s="3" t="s">
        <v>106</v>
      </c>
      <c r="CC1817" s="3" t="s">
        <v>139</v>
      </c>
      <c r="CD1817" s="3">
        <v>3610</v>
      </c>
      <c r="CE1817" s="3" t="s">
        <v>93</v>
      </c>
      <c r="CF1817" s="4">
        <v>44587</v>
      </c>
      <c r="CI1817" s="3">
        <v>1</v>
      </c>
      <c r="CJ1817" s="3">
        <v>1</v>
      </c>
      <c r="CK1817" s="3">
        <v>21</v>
      </c>
      <c r="CL1817" s="3" t="s">
        <v>87</v>
      </c>
    </row>
    <row r="1818" spans="1:90" x14ac:dyDescent="0.2">
      <c r="A1818" s="3" t="s">
        <v>72</v>
      </c>
      <c r="B1818" s="3" t="s">
        <v>73</v>
      </c>
      <c r="C1818" s="3" t="s">
        <v>74</v>
      </c>
      <c r="E1818" s="3" t="str">
        <f>"FES1162846345"</f>
        <v>FES1162846345</v>
      </c>
      <c r="F1818" s="4">
        <v>44585</v>
      </c>
      <c r="G1818" s="3">
        <v>202207</v>
      </c>
      <c r="H1818" s="3" t="s">
        <v>75</v>
      </c>
      <c r="I1818" s="3" t="s">
        <v>76</v>
      </c>
      <c r="J1818" s="3" t="s">
        <v>77</v>
      </c>
      <c r="K1818" s="3" t="s">
        <v>78</v>
      </c>
      <c r="L1818" s="3" t="s">
        <v>79</v>
      </c>
      <c r="M1818" s="3" t="s">
        <v>80</v>
      </c>
      <c r="N1818" s="3" t="s">
        <v>337</v>
      </c>
      <c r="O1818" s="3" t="s">
        <v>82</v>
      </c>
      <c r="P1818" s="3" t="str">
        <f>"2170817703                    "</f>
        <v xml:space="preserve">2170817703                    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0</v>
      </c>
      <c r="AJ1818" s="3">
        <v>0</v>
      </c>
      <c r="AK1818" s="3">
        <v>30.91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0</v>
      </c>
      <c r="AZ1818" s="3">
        <v>0</v>
      </c>
      <c r="BA1818" s="3">
        <v>0</v>
      </c>
      <c r="BB1818" s="3">
        <v>0</v>
      </c>
      <c r="BC1818" s="3">
        <v>0</v>
      </c>
      <c r="BD1818" s="3">
        <v>0</v>
      </c>
      <c r="BE1818" s="3">
        <v>0</v>
      </c>
      <c r="BF1818" s="3">
        <v>0</v>
      </c>
      <c r="BG1818" s="3">
        <v>0</v>
      </c>
      <c r="BH1818" s="3">
        <v>1</v>
      </c>
      <c r="BI1818" s="3">
        <v>3</v>
      </c>
      <c r="BJ1818" s="3">
        <v>3.6</v>
      </c>
      <c r="BK1818" s="3">
        <v>4</v>
      </c>
      <c r="BL1818" s="3">
        <v>117.97</v>
      </c>
      <c r="BM1818" s="3">
        <v>17.7</v>
      </c>
      <c r="BN1818" s="3">
        <v>135.66999999999999</v>
      </c>
      <c r="BO1818" s="3">
        <v>135.66999999999999</v>
      </c>
      <c r="BQ1818" s="3" t="s">
        <v>89</v>
      </c>
      <c r="BR1818" s="3" t="s">
        <v>84</v>
      </c>
      <c r="BS1818" s="4">
        <v>44586</v>
      </c>
      <c r="BT1818" s="5">
        <v>0.41666666666666669</v>
      </c>
      <c r="BU1818" s="3" t="s">
        <v>1236</v>
      </c>
      <c r="BV1818" s="3" t="s">
        <v>105</v>
      </c>
      <c r="BY1818" s="3">
        <v>18032</v>
      </c>
      <c r="BZ1818" s="3" t="s">
        <v>165</v>
      </c>
      <c r="CA1818" s="3" t="s">
        <v>366</v>
      </c>
      <c r="CC1818" s="3" t="s">
        <v>80</v>
      </c>
      <c r="CD1818" s="3">
        <v>200</v>
      </c>
      <c r="CE1818" s="3" t="s">
        <v>86</v>
      </c>
      <c r="CF1818" s="4">
        <v>44587</v>
      </c>
      <c r="CI1818" s="3">
        <v>1</v>
      </c>
      <c r="CJ1818" s="3">
        <v>1</v>
      </c>
      <c r="CK1818" s="3">
        <v>21</v>
      </c>
      <c r="CL1818" s="3" t="s">
        <v>87</v>
      </c>
    </row>
    <row r="1819" spans="1:90" x14ac:dyDescent="0.2">
      <c r="A1819" s="3" t="s">
        <v>72</v>
      </c>
      <c r="B1819" s="3" t="s">
        <v>73</v>
      </c>
      <c r="C1819" s="3" t="s">
        <v>74</v>
      </c>
      <c r="E1819" s="3" t="str">
        <f>"FES1162846325"</f>
        <v>FES1162846325</v>
      </c>
      <c r="F1819" s="4">
        <v>44585</v>
      </c>
      <c r="G1819" s="3">
        <v>202207</v>
      </c>
      <c r="H1819" s="3" t="s">
        <v>75</v>
      </c>
      <c r="I1819" s="3" t="s">
        <v>76</v>
      </c>
      <c r="J1819" s="3" t="s">
        <v>77</v>
      </c>
      <c r="K1819" s="3" t="s">
        <v>78</v>
      </c>
      <c r="L1819" s="3" t="s">
        <v>79</v>
      </c>
      <c r="M1819" s="3" t="s">
        <v>80</v>
      </c>
      <c r="N1819" s="3" t="s">
        <v>248</v>
      </c>
      <c r="O1819" s="3" t="s">
        <v>82</v>
      </c>
      <c r="P1819" s="3" t="str">
        <f>"2170816605                    "</f>
        <v xml:space="preserve">2170816605                    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15.46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0</v>
      </c>
      <c r="AZ1819" s="3">
        <v>0</v>
      </c>
      <c r="BA1819" s="3">
        <v>0</v>
      </c>
      <c r="BB1819" s="3">
        <v>0</v>
      </c>
      <c r="BC1819" s="3">
        <v>0</v>
      </c>
      <c r="BD1819" s="3">
        <v>0</v>
      </c>
      <c r="BE1819" s="3">
        <v>0</v>
      </c>
      <c r="BF1819" s="3">
        <v>0</v>
      </c>
      <c r="BG1819" s="3">
        <v>0</v>
      </c>
      <c r="BH1819" s="3">
        <v>1</v>
      </c>
      <c r="BI1819" s="3">
        <v>1</v>
      </c>
      <c r="BJ1819" s="3">
        <v>0.2</v>
      </c>
      <c r="BK1819" s="3">
        <v>1</v>
      </c>
      <c r="BL1819" s="3">
        <v>59</v>
      </c>
      <c r="BM1819" s="3">
        <v>8.85</v>
      </c>
      <c r="BN1819" s="3">
        <v>67.849999999999994</v>
      </c>
      <c r="BO1819" s="3">
        <v>67.849999999999994</v>
      </c>
      <c r="BQ1819" s="3" t="s">
        <v>83</v>
      </c>
      <c r="BR1819" s="3" t="s">
        <v>84</v>
      </c>
      <c r="BS1819" s="4">
        <v>44586</v>
      </c>
      <c r="BT1819" s="5">
        <v>0.37083333333333335</v>
      </c>
      <c r="BU1819" s="3" t="s">
        <v>361</v>
      </c>
      <c r="BV1819" s="3" t="s">
        <v>105</v>
      </c>
      <c r="BY1819" s="3">
        <v>1200</v>
      </c>
      <c r="BZ1819" s="3" t="s">
        <v>165</v>
      </c>
      <c r="CA1819" s="3" t="s">
        <v>362</v>
      </c>
      <c r="CC1819" s="3" t="s">
        <v>80</v>
      </c>
      <c r="CD1819" s="3">
        <v>1</v>
      </c>
      <c r="CE1819" s="3" t="s">
        <v>93</v>
      </c>
      <c r="CF1819" s="4">
        <v>44586</v>
      </c>
      <c r="CI1819" s="3">
        <v>1</v>
      </c>
      <c r="CJ1819" s="3">
        <v>1</v>
      </c>
      <c r="CK1819" s="3">
        <v>21</v>
      </c>
      <c r="CL1819" s="3" t="s">
        <v>87</v>
      </c>
    </row>
    <row r="1820" spans="1:90" x14ac:dyDescent="0.2">
      <c r="A1820" s="3" t="s">
        <v>72</v>
      </c>
      <c r="B1820" s="3" t="s">
        <v>73</v>
      </c>
      <c r="C1820" s="3" t="s">
        <v>74</v>
      </c>
      <c r="E1820" s="3" t="str">
        <f>"FES1162846326"</f>
        <v>FES1162846326</v>
      </c>
      <c r="F1820" s="4">
        <v>44585</v>
      </c>
      <c r="G1820" s="3">
        <v>202207</v>
      </c>
      <c r="H1820" s="3" t="s">
        <v>75</v>
      </c>
      <c r="I1820" s="3" t="s">
        <v>76</v>
      </c>
      <c r="J1820" s="3" t="s">
        <v>77</v>
      </c>
      <c r="K1820" s="3" t="s">
        <v>78</v>
      </c>
      <c r="L1820" s="3" t="s">
        <v>90</v>
      </c>
      <c r="M1820" s="3" t="s">
        <v>91</v>
      </c>
      <c r="N1820" s="3" t="s">
        <v>735</v>
      </c>
      <c r="O1820" s="3" t="s">
        <v>82</v>
      </c>
      <c r="P1820" s="3" t="str">
        <f>"2170816640                    "</f>
        <v xml:space="preserve">2170816640                    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15.46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3">
        <v>0</v>
      </c>
      <c r="AY1820" s="3">
        <v>0</v>
      </c>
      <c r="AZ1820" s="3">
        <v>0</v>
      </c>
      <c r="BA1820" s="3">
        <v>0</v>
      </c>
      <c r="BB1820" s="3">
        <v>0</v>
      </c>
      <c r="BC1820" s="3">
        <v>0</v>
      </c>
      <c r="BD1820" s="3">
        <v>0</v>
      </c>
      <c r="BE1820" s="3">
        <v>0</v>
      </c>
      <c r="BF1820" s="3">
        <v>0</v>
      </c>
      <c r="BG1820" s="3">
        <v>0</v>
      </c>
      <c r="BH1820" s="3">
        <v>1</v>
      </c>
      <c r="BI1820" s="3">
        <v>1</v>
      </c>
      <c r="BJ1820" s="3">
        <v>0.2</v>
      </c>
      <c r="BK1820" s="3">
        <v>1</v>
      </c>
      <c r="BL1820" s="3">
        <v>59</v>
      </c>
      <c r="BM1820" s="3">
        <v>8.85</v>
      </c>
      <c r="BN1820" s="3">
        <v>67.849999999999994</v>
      </c>
      <c r="BO1820" s="3">
        <v>67.849999999999994</v>
      </c>
      <c r="BQ1820" s="3" t="s">
        <v>273</v>
      </c>
      <c r="BR1820" s="3" t="s">
        <v>84</v>
      </c>
      <c r="BS1820" s="4">
        <v>44586</v>
      </c>
      <c r="BT1820" s="5">
        <v>0.32013888888888892</v>
      </c>
      <c r="BU1820" s="3" t="s">
        <v>2018</v>
      </c>
      <c r="BV1820" s="3" t="s">
        <v>105</v>
      </c>
      <c r="BY1820" s="3">
        <v>1200</v>
      </c>
      <c r="BZ1820" s="3" t="s">
        <v>165</v>
      </c>
      <c r="CA1820" s="3" t="s">
        <v>566</v>
      </c>
      <c r="CC1820" s="3" t="s">
        <v>91</v>
      </c>
      <c r="CD1820" s="3">
        <v>7460</v>
      </c>
      <c r="CE1820" s="3" t="s">
        <v>93</v>
      </c>
      <c r="CF1820" s="4">
        <v>44587</v>
      </c>
      <c r="CI1820" s="3">
        <v>1</v>
      </c>
      <c r="CJ1820" s="3">
        <v>1</v>
      </c>
      <c r="CK1820" s="3">
        <v>21</v>
      </c>
      <c r="CL1820" s="3" t="s">
        <v>87</v>
      </c>
    </row>
    <row r="1821" spans="1:90" x14ac:dyDescent="0.2">
      <c r="A1821" s="3" t="s">
        <v>72</v>
      </c>
      <c r="B1821" s="3" t="s">
        <v>73</v>
      </c>
      <c r="C1821" s="3" t="s">
        <v>74</v>
      </c>
      <c r="E1821" s="3" t="str">
        <f>"FES1162846334"</f>
        <v>FES1162846334</v>
      </c>
      <c r="F1821" s="4">
        <v>44585</v>
      </c>
      <c r="G1821" s="3">
        <v>202207</v>
      </c>
      <c r="H1821" s="3" t="s">
        <v>75</v>
      </c>
      <c r="I1821" s="3" t="s">
        <v>76</v>
      </c>
      <c r="J1821" s="3" t="s">
        <v>77</v>
      </c>
      <c r="K1821" s="3" t="s">
        <v>78</v>
      </c>
      <c r="L1821" s="3" t="s">
        <v>79</v>
      </c>
      <c r="M1821" s="3" t="s">
        <v>80</v>
      </c>
      <c r="N1821" s="3" t="s">
        <v>237</v>
      </c>
      <c r="O1821" s="3" t="s">
        <v>82</v>
      </c>
      <c r="P1821" s="3" t="str">
        <f>"2170817397                    "</f>
        <v xml:space="preserve">2170817397                    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15.46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0</v>
      </c>
      <c r="AZ1821" s="3">
        <v>0</v>
      </c>
      <c r="BA1821" s="3">
        <v>0</v>
      </c>
      <c r="BB1821" s="3">
        <v>0</v>
      </c>
      <c r="BC1821" s="3">
        <v>0</v>
      </c>
      <c r="BD1821" s="3">
        <v>0</v>
      </c>
      <c r="BE1821" s="3">
        <v>0</v>
      </c>
      <c r="BF1821" s="3">
        <v>0</v>
      </c>
      <c r="BG1821" s="3">
        <v>0</v>
      </c>
      <c r="BH1821" s="3">
        <v>1</v>
      </c>
      <c r="BI1821" s="3">
        <v>1</v>
      </c>
      <c r="BJ1821" s="3">
        <v>0.2</v>
      </c>
      <c r="BK1821" s="3">
        <v>1</v>
      </c>
      <c r="BL1821" s="3">
        <v>59</v>
      </c>
      <c r="BM1821" s="3">
        <v>8.85</v>
      </c>
      <c r="BN1821" s="3">
        <v>67.849999999999994</v>
      </c>
      <c r="BO1821" s="3">
        <v>67.849999999999994</v>
      </c>
      <c r="BQ1821" s="3" t="s">
        <v>83</v>
      </c>
      <c r="BR1821" s="3" t="s">
        <v>84</v>
      </c>
      <c r="BS1821" s="4">
        <v>44586</v>
      </c>
      <c r="BT1821" s="5">
        <v>0.32291666666666669</v>
      </c>
      <c r="BU1821" s="3" t="s">
        <v>1780</v>
      </c>
      <c r="BV1821" s="3" t="s">
        <v>105</v>
      </c>
      <c r="BY1821" s="3">
        <v>1200</v>
      </c>
      <c r="BZ1821" s="3" t="s">
        <v>165</v>
      </c>
      <c r="CA1821" s="3" t="s">
        <v>1781</v>
      </c>
      <c r="CC1821" s="3" t="s">
        <v>80</v>
      </c>
      <c r="CD1821" s="3">
        <v>1</v>
      </c>
      <c r="CE1821" s="3" t="s">
        <v>93</v>
      </c>
      <c r="CF1821" s="4">
        <v>44586</v>
      </c>
      <c r="CI1821" s="3">
        <v>1</v>
      </c>
      <c r="CJ1821" s="3">
        <v>1</v>
      </c>
      <c r="CK1821" s="3">
        <v>21</v>
      </c>
      <c r="CL1821" s="3" t="s">
        <v>87</v>
      </c>
    </row>
    <row r="1822" spans="1:90" x14ac:dyDescent="0.2">
      <c r="A1822" s="3" t="s">
        <v>72</v>
      </c>
      <c r="B1822" s="3" t="s">
        <v>73</v>
      </c>
      <c r="C1822" s="3" t="s">
        <v>74</v>
      </c>
      <c r="E1822" s="3" t="str">
        <f>"FES1162846357"</f>
        <v>FES1162846357</v>
      </c>
      <c r="F1822" s="4">
        <v>44585</v>
      </c>
      <c r="G1822" s="3">
        <v>202207</v>
      </c>
      <c r="H1822" s="3" t="s">
        <v>75</v>
      </c>
      <c r="I1822" s="3" t="s">
        <v>76</v>
      </c>
      <c r="J1822" s="3" t="s">
        <v>77</v>
      </c>
      <c r="K1822" s="3" t="s">
        <v>78</v>
      </c>
      <c r="L1822" s="3" t="s">
        <v>2037</v>
      </c>
      <c r="M1822" s="3" t="s">
        <v>2038</v>
      </c>
      <c r="N1822" s="3" t="s">
        <v>2039</v>
      </c>
      <c r="O1822" s="3" t="s">
        <v>82</v>
      </c>
      <c r="P1822" s="3" t="str">
        <f>"2170817800                    "</f>
        <v xml:space="preserve">2170817800                    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21.74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v>0</v>
      </c>
      <c r="BA1822" s="3">
        <v>0</v>
      </c>
      <c r="BB1822" s="3">
        <v>0</v>
      </c>
      <c r="BC1822" s="3">
        <v>0</v>
      </c>
      <c r="BD1822" s="3">
        <v>0</v>
      </c>
      <c r="BE1822" s="3">
        <v>0</v>
      </c>
      <c r="BF1822" s="3">
        <v>0</v>
      </c>
      <c r="BG1822" s="3">
        <v>0</v>
      </c>
      <c r="BH1822" s="3">
        <v>1</v>
      </c>
      <c r="BI1822" s="3">
        <v>1</v>
      </c>
      <c r="BJ1822" s="3">
        <v>0.2</v>
      </c>
      <c r="BK1822" s="3">
        <v>1</v>
      </c>
      <c r="BL1822" s="3">
        <v>82.98</v>
      </c>
      <c r="BM1822" s="3">
        <v>12.45</v>
      </c>
      <c r="BN1822" s="3">
        <v>95.43</v>
      </c>
      <c r="BO1822" s="3">
        <v>95.43</v>
      </c>
      <c r="BR1822" s="3" t="s">
        <v>84</v>
      </c>
      <c r="BS1822" s="4">
        <v>44586</v>
      </c>
      <c r="BT1822" s="5">
        <v>0.41319444444444442</v>
      </c>
      <c r="BU1822" s="3" t="s">
        <v>2040</v>
      </c>
      <c r="BV1822" s="3" t="s">
        <v>105</v>
      </c>
      <c r="BY1822" s="3">
        <v>1200</v>
      </c>
      <c r="BZ1822" s="3" t="s">
        <v>165</v>
      </c>
      <c r="CC1822" s="3" t="s">
        <v>2038</v>
      </c>
      <c r="CD1822" s="3">
        <v>2280</v>
      </c>
      <c r="CE1822" s="3" t="s">
        <v>93</v>
      </c>
      <c r="CF1822" s="4">
        <v>44587</v>
      </c>
      <c r="CI1822" s="3">
        <v>1</v>
      </c>
      <c r="CJ1822" s="3">
        <v>1</v>
      </c>
      <c r="CK1822" s="3">
        <v>24</v>
      </c>
      <c r="CL1822" s="3" t="s">
        <v>87</v>
      </c>
    </row>
    <row r="1823" spans="1:90" x14ac:dyDescent="0.2">
      <c r="A1823" s="3" t="s">
        <v>72</v>
      </c>
      <c r="B1823" s="3" t="s">
        <v>73</v>
      </c>
      <c r="C1823" s="3" t="s">
        <v>74</v>
      </c>
      <c r="E1823" s="3" t="str">
        <f>"FES1162846342"</f>
        <v>FES1162846342</v>
      </c>
      <c r="F1823" s="4">
        <v>44585</v>
      </c>
      <c r="G1823" s="3">
        <v>202207</v>
      </c>
      <c r="H1823" s="3" t="s">
        <v>75</v>
      </c>
      <c r="I1823" s="3" t="s">
        <v>76</v>
      </c>
      <c r="J1823" s="3" t="s">
        <v>77</v>
      </c>
      <c r="K1823" s="3" t="s">
        <v>78</v>
      </c>
      <c r="L1823" s="3" t="s">
        <v>79</v>
      </c>
      <c r="M1823" s="3" t="s">
        <v>80</v>
      </c>
      <c r="N1823" s="3" t="s">
        <v>248</v>
      </c>
      <c r="O1823" s="3" t="s">
        <v>82</v>
      </c>
      <c r="P1823" s="3" t="str">
        <f>"2170817641                    "</f>
        <v xml:space="preserve">2170817641                    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15.46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0</v>
      </c>
      <c r="AZ1823" s="3">
        <v>0</v>
      </c>
      <c r="BA1823" s="3">
        <v>0</v>
      </c>
      <c r="BB1823" s="3">
        <v>0</v>
      </c>
      <c r="BC1823" s="3">
        <v>0</v>
      </c>
      <c r="BD1823" s="3">
        <v>0</v>
      </c>
      <c r="BE1823" s="3">
        <v>0</v>
      </c>
      <c r="BF1823" s="3">
        <v>0</v>
      </c>
      <c r="BG1823" s="3">
        <v>0</v>
      </c>
      <c r="BH1823" s="3">
        <v>1</v>
      </c>
      <c r="BI1823" s="3">
        <v>1</v>
      </c>
      <c r="BJ1823" s="3">
        <v>0.2</v>
      </c>
      <c r="BK1823" s="3">
        <v>1</v>
      </c>
      <c r="BL1823" s="3">
        <v>59</v>
      </c>
      <c r="BM1823" s="3">
        <v>8.85</v>
      </c>
      <c r="BN1823" s="3">
        <v>67.849999999999994</v>
      </c>
      <c r="BO1823" s="3">
        <v>67.849999999999994</v>
      </c>
      <c r="BQ1823" s="3" t="s">
        <v>83</v>
      </c>
      <c r="BR1823" s="3" t="s">
        <v>84</v>
      </c>
      <c r="BS1823" s="4">
        <v>44586</v>
      </c>
      <c r="BT1823" s="5">
        <v>0.37083333333333335</v>
      </c>
      <c r="BU1823" s="3" t="s">
        <v>361</v>
      </c>
      <c r="BV1823" s="3" t="s">
        <v>105</v>
      </c>
      <c r="BY1823" s="3">
        <v>1200</v>
      </c>
      <c r="BZ1823" s="3" t="s">
        <v>165</v>
      </c>
      <c r="CA1823" s="3" t="s">
        <v>362</v>
      </c>
      <c r="CC1823" s="3" t="s">
        <v>80</v>
      </c>
      <c r="CD1823" s="3">
        <v>1</v>
      </c>
      <c r="CE1823" s="3" t="s">
        <v>93</v>
      </c>
      <c r="CF1823" s="4">
        <v>44586</v>
      </c>
      <c r="CI1823" s="3">
        <v>1</v>
      </c>
      <c r="CJ1823" s="3">
        <v>1</v>
      </c>
      <c r="CK1823" s="3">
        <v>21</v>
      </c>
      <c r="CL1823" s="3" t="s">
        <v>87</v>
      </c>
    </row>
    <row r="1824" spans="1:90" x14ac:dyDescent="0.2">
      <c r="A1824" s="3" t="s">
        <v>72</v>
      </c>
      <c r="B1824" s="3" t="s">
        <v>73</v>
      </c>
      <c r="C1824" s="3" t="s">
        <v>74</v>
      </c>
      <c r="E1824" s="3" t="str">
        <f>"FES1162846526"</f>
        <v>FES1162846526</v>
      </c>
      <c r="F1824" s="4">
        <v>44585</v>
      </c>
      <c r="G1824" s="3">
        <v>202207</v>
      </c>
      <c r="H1824" s="3" t="s">
        <v>75</v>
      </c>
      <c r="I1824" s="3" t="s">
        <v>76</v>
      </c>
      <c r="J1824" s="3" t="s">
        <v>77</v>
      </c>
      <c r="K1824" s="3" t="s">
        <v>78</v>
      </c>
      <c r="L1824" s="3" t="s">
        <v>94</v>
      </c>
      <c r="M1824" s="3" t="s">
        <v>95</v>
      </c>
      <c r="N1824" s="3" t="s">
        <v>613</v>
      </c>
      <c r="O1824" s="3" t="s">
        <v>82</v>
      </c>
      <c r="P1824" s="3" t="str">
        <f>"2170817774                    "</f>
        <v xml:space="preserve">2170817774                    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15.46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0</v>
      </c>
      <c r="AZ1824" s="3">
        <v>0</v>
      </c>
      <c r="BA1824" s="3">
        <v>0</v>
      </c>
      <c r="BB1824" s="3">
        <v>0</v>
      </c>
      <c r="BC1824" s="3">
        <v>0</v>
      </c>
      <c r="BD1824" s="3">
        <v>0</v>
      </c>
      <c r="BE1824" s="3">
        <v>0</v>
      </c>
      <c r="BF1824" s="3">
        <v>0</v>
      </c>
      <c r="BG1824" s="3">
        <v>0</v>
      </c>
      <c r="BH1824" s="3">
        <v>1</v>
      </c>
      <c r="BI1824" s="3">
        <v>1</v>
      </c>
      <c r="BJ1824" s="3">
        <v>0.2</v>
      </c>
      <c r="BK1824" s="3">
        <v>1</v>
      </c>
      <c r="BL1824" s="3">
        <v>59</v>
      </c>
      <c r="BM1824" s="3">
        <v>8.85</v>
      </c>
      <c r="BN1824" s="3">
        <v>67.849999999999994</v>
      </c>
      <c r="BO1824" s="3">
        <v>67.849999999999994</v>
      </c>
      <c r="BQ1824" s="3" t="s">
        <v>89</v>
      </c>
      <c r="BR1824" s="3" t="s">
        <v>84</v>
      </c>
      <c r="BS1824" s="4">
        <v>44587</v>
      </c>
      <c r="BT1824" s="5">
        <v>0.38541666666666669</v>
      </c>
      <c r="BU1824" s="3" t="s">
        <v>1824</v>
      </c>
      <c r="BV1824" s="3" t="s">
        <v>87</v>
      </c>
      <c r="BW1824" s="3" t="s">
        <v>453</v>
      </c>
      <c r="BX1824" s="3" t="s">
        <v>279</v>
      </c>
      <c r="BY1824" s="3">
        <v>1200</v>
      </c>
      <c r="BZ1824" s="3" t="s">
        <v>165</v>
      </c>
      <c r="CC1824" s="3" t="s">
        <v>95</v>
      </c>
      <c r="CD1824" s="3">
        <v>3212</v>
      </c>
      <c r="CE1824" s="3" t="s">
        <v>93</v>
      </c>
      <c r="CF1824" s="4">
        <v>44589</v>
      </c>
      <c r="CI1824" s="3">
        <v>1</v>
      </c>
      <c r="CJ1824" s="3">
        <v>2</v>
      </c>
      <c r="CK1824" s="3">
        <v>21</v>
      </c>
      <c r="CL1824" s="3" t="s">
        <v>87</v>
      </c>
    </row>
    <row r="1825" spans="1:90" x14ac:dyDescent="0.2">
      <c r="A1825" s="3" t="s">
        <v>72</v>
      </c>
      <c r="B1825" s="3" t="s">
        <v>73</v>
      </c>
      <c r="C1825" s="3" t="s">
        <v>74</v>
      </c>
      <c r="E1825" s="3" t="str">
        <f>"FES1162846312"</f>
        <v>FES1162846312</v>
      </c>
      <c r="F1825" s="4">
        <v>44585</v>
      </c>
      <c r="G1825" s="3">
        <v>202207</v>
      </c>
      <c r="H1825" s="3" t="s">
        <v>75</v>
      </c>
      <c r="I1825" s="3" t="s">
        <v>76</v>
      </c>
      <c r="J1825" s="3" t="s">
        <v>77</v>
      </c>
      <c r="K1825" s="3" t="s">
        <v>78</v>
      </c>
      <c r="L1825" s="3" t="s">
        <v>250</v>
      </c>
      <c r="M1825" s="3" t="s">
        <v>251</v>
      </c>
      <c r="N1825" s="3" t="s">
        <v>252</v>
      </c>
      <c r="O1825" s="3" t="s">
        <v>82</v>
      </c>
      <c r="P1825" s="3" t="str">
        <f>"2170813024                    "</f>
        <v xml:space="preserve">2170813024                    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29.95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0</v>
      </c>
      <c r="AV1825" s="3">
        <v>0</v>
      </c>
      <c r="AW1825" s="3">
        <v>0</v>
      </c>
      <c r="AX1825" s="3">
        <v>0</v>
      </c>
      <c r="AY1825" s="3">
        <v>0</v>
      </c>
      <c r="AZ1825" s="3">
        <v>0</v>
      </c>
      <c r="BA1825" s="3">
        <v>0</v>
      </c>
      <c r="BB1825" s="3">
        <v>0</v>
      </c>
      <c r="BC1825" s="3">
        <v>0</v>
      </c>
      <c r="BD1825" s="3">
        <v>0</v>
      </c>
      <c r="BE1825" s="3">
        <v>0</v>
      </c>
      <c r="BF1825" s="3">
        <v>0</v>
      </c>
      <c r="BG1825" s="3">
        <v>0</v>
      </c>
      <c r="BH1825" s="3">
        <v>1</v>
      </c>
      <c r="BI1825" s="3">
        <v>1</v>
      </c>
      <c r="BJ1825" s="3">
        <v>0.2</v>
      </c>
      <c r="BK1825" s="3">
        <v>1</v>
      </c>
      <c r="BL1825" s="3">
        <v>114.31</v>
      </c>
      <c r="BM1825" s="3">
        <v>17.149999999999999</v>
      </c>
      <c r="BN1825" s="3">
        <v>131.46</v>
      </c>
      <c r="BO1825" s="3">
        <v>131.46</v>
      </c>
      <c r="BQ1825" s="3" t="s">
        <v>253</v>
      </c>
      <c r="BR1825" s="3" t="s">
        <v>84</v>
      </c>
      <c r="BS1825" s="4">
        <v>44586</v>
      </c>
      <c r="BT1825" s="5">
        <v>0.59236111111111112</v>
      </c>
      <c r="BU1825" s="3" t="s">
        <v>2041</v>
      </c>
      <c r="BV1825" s="3" t="s">
        <v>105</v>
      </c>
      <c r="BY1825" s="3">
        <v>1200</v>
      </c>
      <c r="BZ1825" s="3" t="s">
        <v>165</v>
      </c>
      <c r="CA1825" s="3" t="s">
        <v>368</v>
      </c>
      <c r="CC1825" s="3" t="s">
        <v>251</v>
      </c>
      <c r="CD1825" s="3">
        <v>6300</v>
      </c>
      <c r="CE1825" s="3" t="s">
        <v>93</v>
      </c>
      <c r="CF1825" s="4">
        <v>44586</v>
      </c>
      <c r="CI1825" s="3">
        <v>2</v>
      </c>
      <c r="CJ1825" s="3">
        <v>1</v>
      </c>
      <c r="CK1825" s="3">
        <v>23</v>
      </c>
      <c r="CL1825" s="3" t="s">
        <v>87</v>
      </c>
    </row>
    <row r="1826" spans="1:90" x14ac:dyDescent="0.2">
      <c r="A1826" s="3" t="s">
        <v>72</v>
      </c>
      <c r="B1826" s="3" t="s">
        <v>73</v>
      </c>
      <c r="C1826" s="3" t="s">
        <v>74</v>
      </c>
      <c r="E1826" s="3" t="str">
        <f>"FES1162846378"</f>
        <v>FES1162846378</v>
      </c>
      <c r="F1826" s="4">
        <v>44585</v>
      </c>
      <c r="G1826" s="3">
        <v>202207</v>
      </c>
      <c r="H1826" s="3" t="s">
        <v>75</v>
      </c>
      <c r="I1826" s="3" t="s">
        <v>76</v>
      </c>
      <c r="J1826" s="3" t="s">
        <v>77</v>
      </c>
      <c r="K1826" s="3" t="s">
        <v>78</v>
      </c>
      <c r="L1826" s="3" t="s">
        <v>90</v>
      </c>
      <c r="M1826" s="3" t="s">
        <v>91</v>
      </c>
      <c r="N1826" s="3" t="s">
        <v>735</v>
      </c>
      <c r="O1826" s="3" t="s">
        <v>82</v>
      </c>
      <c r="P1826" s="3" t="str">
        <f>"2170817872                    "</f>
        <v xml:space="preserve">2170817872                    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0</v>
      </c>
      <c r="AJ1826" s="3">
        <v>0</v>
      </c>
      <c r="AK1826" s="3">
        <v>15.46</v>
      </c>
      <c r="AL1826" s="3">
        <v>0</v>
      </c>
      <c r="AM1826" s="3">
        <v>0</v>
      </c>
      <c r="AN1826" s="3">
        <v>0</v>
      </c>
      <c r="AO1826" s="3">
        <v>0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v>0</v>
      </c>
      <c r="BA1826" s="3">
        <v>0</v>
      </c>
      <c r="BB1826" s="3">
        <v>0</v>
      </c>
      <c r="BC1826" s="3">
        <v>0</v>
      </c>
      <c r="BD1826" s="3">
        <v>0</v>
      </c>
      <c r="BE1826" s="3">
        <v>0</v>
      </c>
      <c r="BF1826" s="3">
        <v>0</v>
      </c>
      <c r="BG1826" s="3">
        <v>0</v>
      </c>
      <c r="BH1826" s="3">
        <v>1</v>
      </c>
      <c r="BI1826" s="3">
        <v>1</v>
      </c>
      <c r="BJ1826" s="3">
        <v>0.2</v>
      </c>
      <c r="BK1826" s="3">
        <v>1</v>
      </c>
      <c r="BL1826" s="3">
        <v>59</v>
      </c>
      <c r="BM1826" s="3">
        <v>8.85</v>
      </c>
      <c r="BN1826" s="3">
        <v>67.849999999999994</v>
      </c>
      <c r="BO1826" s="3">
        <v>67.849999999999994</v>
      </c>
      <c r="BQ1826" s="3" t="s">
        <v>273</v>
      </c>
      <c r="BR1826" s="3" t="s">
        <v>84</v>
      </c>
      <c r="BS1826" s="4">
        <v>44586</v>
      </c>
      <c r="BT1826" s="5">
        <v>0.32013888888888892</v>
      </c>
      <c r="BU1826" s="3" t="s">
        <v>2042</v>
      </c>
      <c r="BV1826" s="3" t="s">
        <v>105</v>
      </c>
      <c r="BY1826" s="3">
        <v>1200</v>
      </c>
      <c r="BZ1826" s="3" t="s">
        <v>165</v>
      </c>
      <c r="CA1826" s="3" t="s">
        <v>566</v>
      </c>
      <c r="CC1826" s="3" t="s">
        <v>91</v>
      </c>
      <c r="CD1826" s="3">
        <v>7460</v>
      </c>
      <c r="CE1826" s="3" t="s">
        <v>93</v>
      </c>
      <c r="CF1826" s="4">
        <v>44587</v>
      </c>
      <c r="CI1826" s="3">
        <v>1</v>
      </c>
      <c r="CJ1826" s="3">
        <v>1</v>
      </c>
      <c r="CK1826" s="3">
        <v>21</v>
      </c>
      <c r="CL1826" s="3" t="s">
        <v>87</v>
      </c>
    </row>
    <row r="1827" spans="1:90" x14ac:dyDescent="0.2">
      <c r="A1827" s="3" t="s">
        <v>72</v>
      </c>
      <c r="B1827" s="3" t="s">
        <v>73</v>
      </c>
      <c r="C1827" s="3" t="s">
        <v>74</v>
      </c>
      <c r="E1827" s="3" t="str">
        <f>"FES1162846363"</f>
        <v>FES1162846363</v>
      </c>
      <c r="F1827" s="4">
        <v>44585</v>
      </c>
      <c r="G1827" s="3">
        <v>202207</v>
      </c>
      <c r="H1827" s="3" t="s">
        <v>75</v>
      </c>
      <c r="I1827" s="3" t="s">
        <v>76</v>
      </c>
      <c r="J1827" s="3" t="s">
        <v>77</v>
      </c>
      <c r="K1827" s="3" t="s">
        <v>78</v>
      </c>
      <c r="L1827" s="3" t="s">
        <v>167</v>
      </c>
      <c r="M1827" s="3" t="s">
        <v>168</v>
      </c>
      <c r="N1827" s="3" t="s">
        <v>169</v>
      </c>
      <c r="O1827" s="3" t="s">
        <v>82</v>
      </c>
      <c r="P1827" s="3" t="str">
        <f>"2170817848                    "</f>
        <v xml:space="preserve">2170817848                    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0</v>
      </c>
      <c r="AJ1827" s="3">
        <v>0</v>
      </c>
      <c r="AK1827" s="3">
        <v>15.46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v>0</v>
      </c>
      <c r="BA1827" s="3">
        <v>0</v>
      </c>
      <c r="BB1827" s="3">
        <v>0</v>
      </c>
      <c r="BC1827" s="3">
        <v>0</v>
      </c>
      <c r="BD1827" s="3">
        <v>0</v>
      </c>
      <c r="BE1827" s="3">
        <v>0</v>
      </c>
      <c r="BF1827" s="3">
        <v>0</v>
      </c>
      <c r="BG1827" s="3">
        <v>0</v>
      </c>
      <c r="BH1827" s="3">
        <v>1</v>
      </c>
      <c r="BI1827" s="3">
        <v>2</v>
      </c>
      <c r="BJ1827" s="3">
        <v>1.5</v>
      </c>
      <c r="BK1827" s="3">
        <v>2</v>
      </c>
      <c r="BL1827" s="3">
        <v>59</v>
      </c>
      <c r="BM1827" s="3">
        <v>8.85</v>
      </c>
      <c r="BN1827" s="3">
        <v>67.849999999999994</v>
      </c>
      <c r="BO1827" s="3">
        <v>67.849999999999994</v>
      </c>
      <c r="BQ1827" s="3" t="s">
        <v>83</v>
      </c>
      <c r="BR1827" s="3" t="s">
        <v>84</v>
      </c>
      <c r="BS1827" s="4">
        <v>44586</v>
      </c>
      <c r="BT1827" s="5">
        <v>0.37013888888888885</v>
      </c>
      <c r="BU1827" s="3" t="s">
        <v>2013</v>
      </c>
      <c r="BV1827" s="3" t="s">
        <v>105</v>
      </c>
      <c r="BY1827" s="3">
        <v>7540</v>
      </c>
      <c r="BZ1827" s="3" t="s">
        <v>165</v>
      </c>
      <c r="CA1827" s="3" t="s">
        <v>1580</v>
      </c>
      <c r="CC1827" s="3" t="s">
        <v>168</v>
      </c>
      <c r="CD1827" s="3">
        <v>6220</v>
      </c>
      <c r="CE1827" s="3" t="s">
        <v>86</v>
      </c>
      <c r="CF1827" s="4">
        <v>44586</v>
      </c>
      <c r="CI1827" s="3">
        <v>1</v>
      </c>
      <c r="CJ1827" s="3">
        <v>1</v>
      </c>
      <c r="CK1827" s="3">
        <v>21</v>
      </c>
      <c r="CL1827" s="3" t="s">
        <v>87</v>
      </c>
    </row>
    <row r="1828" spans="1:90" x14ac:dyDescent="0.2">
      <c r="A1828" s="3" t="s">
        <v>72</v>
      </c>
      <c r="B1828" s="3" t="s">
        <v>73</v>
      </c>
      <c r="C1828" s="3" t="s">
        <v>74</v>
      </c>
      <c r="E1828" s="3" t="str">
        <f>"FES1162846327"</f>
        <v>FES1162846327</v>
      </c>
      <c r="F1828" s="4">
        <v>44585</v>
      </c>
      <c r="G1828" s="3">
        <v>202207</v>
      </c>
      <c r="H1828" s="3" t="s">
        <v>75</v>
      </c>
      <c r="I1828" s="3" t="s">
        <v>76</v>
      </c>
      <c r="J1828" s="3" t="s">
        <v>77</v>
      </c>
      <c r="K1828" s="3" t="s">
        <v>78</v>
      </c>
      <c r="L1828" s="3" t="s">
        <v>211</v>
      </c>
      <c r="M1828" s="3" t="s">
        <v>212</v>
      </c>
      <c r="N1828" s="3" t="s">
        <v>642</v>
      </c>
      <c r="O1828" s="3" t="s">
        <v>82</v>
      </c>
      <c r="P1828" s="3" t="str">
        <f>"2170816786                    "</f>
        <v xml:space="preserve">2170816786                    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29.45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0</v>
      </c>
      <c r="AZ1828" s="3">
        <v>0</v>
      </c>
      <c r="BA1828" s="3">
        <v>0</v>
      </c>
      <c r="BB1828" s="3">
        <v>0</v>
      </c>
      <c r="BC1828" s="3">
        <v>0</v>
      </c>
      <c r="BD1828" s="3">
        <v>0</v>
      </c>
      <c r="BE1828" s="3">
        <v>0</v>
      </c>
      <c r="BF1828" s="3">
        <v>0</v>
      </c>
      <c r="BG1828" s="3">
        <v>0</v>
      </c>
      <c r="BH1828" s="3">
        <v>2</v>
      </c>
      <c r="BI1828" s="3">
        <v>14</v>
      </c>
      <c r="BJ1828" s="3">
        <v>4</v>
      </c>
      <c r="BK1828" s="3">
        <v>14</v>
      </c>
      <c r="BL1828" s="3">
        <v>112.42</v>
      </c>
      <c r="BM1828" s="3">
        <v>16.86</v>
      </c>
      <c r="BN1828" s="3">
        <v>129.28</v>
      </c>
      <c r="BO1828" s="3">
        <v>129.28</v>
      </c>
      <c r="BQ1828" s="3" t="s">
        <v>89</v>
      </c>
      <c r="BR1828" s="3" t="s">
        <v>84</v>
      </c>
      <c r="BS1828" s="4">
        <v>44586</v>
      </c>
      <c r="BT1828" s="5">
        <v>0.40972222222222227</v>
      </c>
      <c r="BU1828" s="3" t="s">
        <v>798</v>
      </c>
      <c r="BV1828" s="3" t="s">
        <v>105</v>
      </c>
      <c r="BY1828" s="3">
        <v>9880</v>
      </c>
      <c r="BZ1828" s="3" t="s">
        <v>165</v>
      </c>
      <c r="CA1828" s="3" t="s">
        <v>345</v>
      </c>
      <c r="CC1828" s="3" t="s">
        <v>212</v>
      </c>
      <c r="CD1828" s="3">
        <v>2163</v>
      </c>
      <c r="CE1828" s="3" t="s">
        <v>221</v>
      </c>
      <c r="CF1828" s="4">
        <v>44586</v>
      </c>
      <c r="CI1828" s="3">
        <v>1</v>
      </c>
      <c r="CJ1828" s="3">
        <v>1</v>
      </c>
      <c r="CK1828" s="3">
        <v>22</v>
      </c>
      <c r="CL1828" s="3" t="s">
        <v>87</v>
      </c>
    </row>
    <row r="1829" spans="1:90" x14ac:dyDescent="0.2">
      <c r="A1829" s="3" t="s">
        <v>72</v>
      </c>
      <c r="B1829" s="3" t="s">
        <v>73</v>
      </c>
      <c r="C1829" s="3" t="s">
        <v>74</v>
      </c>
      <c r="E1829" s="3" t="str">
        <f>"FES1162846522"</f>
        <v>FES1162846522</v>
      </c>
      <c r="F1829" s="4">
        <v>44585</v>
      </c>
      <c r="G1829" s="3">
        <v>202207</v>
      </c>
      <c r="H1829" s="3" t="s">
        <v>75</v>
      </c>
      <c r="I1829" s="3" t="s">
        <v>76</v>
      </c>
      <c r="J1829" s="3" t="s">
        <v>77</v>
      </c>
      <c r="K1829" s="3" t="s">
        <v>78</v>
      </c>
      <c r="L1829" s="3" t="s">
        <v>79</v>
      </c>
      <c r="M1829" s="3" t="s">
        <v>80</v>
      </c>
      <c r="N1829" s="3" t="s">
        <v>1295</v>
      </c>
      <c r="O1829" s="3" t="s">
        <v>82</v>
      </c>
      <c r="P1829" s="3" t="str">
        <f>"2170817468                    "</f>
        <v xml:space="preserve">2170817468                    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15.46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v>0</v>
      </c>
      <c r="BA1829" s="3">
        <v>0</v>
      </c>
      <c r="BB1829" s="3">
        <v>0</v>
      </c>
      <c r="BC1829" s="3">
        <v>0</v>
      </c>
      <c r="BD1829" s="3">
        <v>0</v>
      </c>
      <c r="BE1829" s="3">
        <v>0</v>
      </c>
      <c r="BF1829" s="3">
        <v>0</v>
      </c>
      <c r="BG1829" s="3">
        <v>0</v>
      </c>
      <c r="BH1829" s="3">
        <v>1</v>
      </c>
      <c r="BI1829" s="3">
        <v>1</v>
      </c>
      <c r="BJ1829" s="3">
        <v>0.2</v>
      </c>
      <c r="BK1829" s="3">
        <v>1</v>
      </c>
      <c r="BL1829" s="3">
        <v>59</v>
      </c>
      <c r="BM1829" s="3">
        <v>8.85</v>
      </c>
      <c r="BN1829" s="3">
        <v>67.849999999999994</v>
      </c>
      <c r="BO1829" s="3">
        <v>67.849999999999994</v>
      </c>
      <c r="BQ1829" s="3" t="s">
        <v>83</v>
      </c>
      <c r="BR1829" s="3" t="s">
        <v>84</v>
      </c>
      <c r="BS1829" s="4">
        <v>44586</v>
      </c>
      <c r="BT1829" s="5">
        <v>0.39583333333333331</v>
      </c>
      <c r="BU1829" s="3" t="s">
        <v>2043</v>
      </c>
      <c r="BV1829" s="3" t="s">
        <v>105</v>
      </c>
      <c r="BY1829" s="3">
        <v>1200</v>
      </c>
      <c r="BZ1829" s="3" t="s">
        <v>165</v>
      </c>
      <c r="CA1829" s="3" t="s">
        <v>287</v>
      </c>
      <c r="CC1829" s="3" t="s">
        <v>80</v>
      </c>
      <c r="CD1829" s="3">
        <v>181</v>
      </c>
      <c r="CE1829" s="3" t="s">
        <v>93</v>
      </c>
      <c r="CF1829" s="4">
        <v>44587</v>
      </c>
      <c r="CI1829" s="3">
        <v>1</v>
      </c>
      <c r="CJ1829" s="3">
        <v>1</v>
      </c>
      <c r="CK1829" s="3">
        <v>21</v>
      </c>
      <c r="CL1829" s="3" t="s">
        <v>87</v>
      </c>
    </row>
    <row r="1830" spans="1:90" x14ac:dyDescent="0.2">
      <c r="A1830" s="3" t="s">
        <v>72</v>
      </c>
      <c r="B1830" s="3" t="s">
        <v>73</v>
      </c>
      <c r="C1830" s="3" t="s">
        <v>74</v>
      </c>
      <c r="E1830" s="3" t="str">
        <f>"FES1162846377"</f>
        <v>FES1162846377</v>
      </c>
      <c r="F1830" s="4">
        <v>44585</v>
      </c>
      <c r="G1830" s="3">
        <v>202207</v>
      </c>
      <c r="H1830" s="3" t="s">
        <v>75</v>
      </c>
      <c r="I1830" s="3" t="s">
        <v>76</v>
      </c>
      <c r="J1830" s="3" t="s">
        <v>77</v>
      </c>
      <c r="K1830" s="3" t="s">
        <v>78</v>
      </c>
      <c r="L1830" s="3" t="s">
        <v>90</v>
      </c>
      <c r="M1830" s="3" t="s">
        <v>91</v>
      </c>
      <c r="N1830" s="3" t="s">
        <v>1903</v>
      </c>
      <c r="O1830" s="3" t="s">
        <v>82</v>
      </c>
      <c r="P1830" s="3" t="str">
        <f>"2170817870                    "</f>
        <v xml:space="preserve">2170817870                    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15.46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v>0</v>
      </c>
      <c r="BA1830" s="3">
        <v>0</v>
      </c>
      <c r="BB1830" s="3">
        <v>0</v>
      </c>
      <c r="BC1830" s="3">
        <v>0</v>
      </c>
      <c r="BD1830" s="3">
        <v>0</v>
      </c>
      <c r="BE1830" s="3">
        <v>0</v>
      </c>
      <c r="BF1830" s="3">
        <v>0</v>
      </c>
      <c r="BG1830" s="3">
        <v>0</v>
      </c>
      <c r="BH1830" s="3">
        <v>1</v>
      </c>
      <c r="BI1830" s="3">
        <v>1</v>
      </c>
      <c r="BJ1830" s="3">
        <v>0.2</v>
      </c>
      <c r="BK1830" s="3">
        <v>1</v>
      </c>
      <c r="BL1830" s="3">
        <v>59</v>
      </c>
      <c r="BM1830" s="3">
        <v>8.85</v>
      </c>
      <c r="BN1830" s="3">
        <v>67.849999999999994</v>
      </c>
      <c r="BO1830" s="3">
        <v>67.849999999999994</v>
      </c>
      <c r="BQ1830" s="3" t="s">
        <v>83</v>
      </c>
      <c r="BR1830" s="3" t="s">
        <v>84</v>
      </c>
      <c r="BS1830" s="4">
        <v>44586</v>
      </c>
      <c r="BT1830" s="5">
        <v>0.43055555555555558</v>
      </c>
      <c r="BU1830" s="3" t="s">
        <v>1821</v>
      </c>
      <c r="BV1830" s="3" t="s">
        <v>105</v>
      </c>
      <c r="BY1830" s="3">
        <v>1200</v>
      </c>
      <c r="BZ1830" s="3" t="s">
        <v>165</v>
      </c>
      <c r="CA1830" s="3" t="s">
        <v>328</v>
      </c>
      <c r="CC1830" s="3" t="s">
        <v>91</v>
      </c>
      <c r="CD1830" s="3">
        <v>7800</v>
      </c>
      <c r="CE1830" s="3" t="s">
        <v>93</v>
      </c>
      <c r="CF1830" s="4">
        <v>44587</v>
      </c>
      <c r="CI1830" s="3">
        <v>1</v>
      </c>
      <c r="CJ1830" s="3">
        <v>1</v>
      </c>
      <c r="CK1830" s="3">
        <v>21</v>
      </c>
      <c r="CL1830" s="3" t="s">
        <v>87</v>
      </c>
    </row>
    <row r="1831" spans="1:90" x14ac:dyDescent="0.2">
      <c r="A1831" s="3" t="s">
        <v>72</v>
      </c>
      <c r="B1831" s="3" t="s">
        <v>73</v>
      </c>
      <c r="C1831" s="3" t="s">
        <v>74</v>
      </c>
      <c r="E1831" s="3" t="str">
        <f>"FES1162846513"</f>
        <v>FES1162846513</v>
      </c>
      <c r="F1831" s="4">
        <v>44585</v>
      </c>
      <c r="G1831" s="3">
        <v>202207</v>
      </c>
      <c r="H1831" s="3" t="s">
        <v>75</v>
      </c>
      <c r="I1831" s="3" t="s">
        <v>76</v>
      </c>
      <c r="J1831" s="3" t="s">
        <v>77</v>
      </c>
      <c r="K1831" s="3" t="s">
        <v>78</v>
      </c>
      <c r="L1831" s="3" t="s">
        <v>75</v>
      </c>
      <c r="M1831" s="3" t="s">
        <v>76</v>
      </c>
      <c r="N1831" s="3" t="s">
        <v>2044</v>
      </c>
      <c r="O1831" s="3" t="s">
        <v>82</v>
      </c>
      <c r="P1831" s="3" t="str">
        <f>"2170816272                    "</f>
        <v xml:space="preserve">2170816272                    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12.07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0</v>
      </c>
      <c r="AT1831" s="3">
        <v>0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v>0</v>
      </c>
      <c r="BA1831" s="3">
        <v>0</v>
      </c>
      <c r="BB1831" s="3">
        <v>0</v>
      </c>
      <c r="BC1831" s="3">
        <v>0</v>
      </c>
      <c r="BD1831" s="3">
        <v>0</v>
      </c>
      <c r="BE1831" s="3">
        <v>0</v>
      </c>
      <c r="BF1831" s="3">
        <v>0</v>
      </c>
      <c r="BG1831" s="3">
        <v>0</v>
      </c>
      <c r="BH1831" s="3">
        <v>1</v>
      </c>
      <c r="BI1831" s="3">
        <v>1</v>
      </c>
      <c r="BJ1831" s="3">
        <v>0.8</v>
      </c>
      <c r="BK1831" s="3">
        <v>1</v>
      </c>
      <c r="BL1831" s="3">
        <v>46.08</v>
      </c>
      <c r="BM1831" s="3">
        <v>6.91</v>
      </c>
      <c r="BN1831" s="3">
        <v>52.99</v>
      </c>
      <c r="BO1831" s="3">
        <v>52.99</v>
      </c>
      <c r="BR1831" s="3" t="s">
        <v>84</v>
      </c>
      <c r="BS1831" s="4">
        <v>44586</v>
      </c>
      <c r="BT1831" s="5">
        <v>0.38750000000000001</v>
      </c>
      <c r="BU1831" s="3" t="s">
        <v>2045</v>
      </c>
      <c r="BV1831" s="3" t="s">
        <v>105</v>
      </c>
      <c r="BY1831" s="3">
        <v>4176</v>
      </c>
      <c r="BZ1831" s="3" t="s">
        <v>165</v>
      </c>
      <c r="CA1831" s="3" t="s">
        <v>227</v>
      </c>
      <c r="CC1831" s="3" t="s">
        <v>76</v>
      </c>
      <c r="CD1831" s="3">
        <v>1600</v>
      </c>
      <c r="CE1831" s="3" t="s">
        <v>86</v>
      </c>
      <c r="CF1831" s="4">
        <v>44586</v>
      </c>
      <c r="CI1831" s="3">
        <v>1</v>
      </c>
      <c r="CJ1831" s="3">
        <v>1</v>
      </c>
      <c r="CK1831" s="3">
        <v>22</v>
      </c>
      <c r="CL1831" s="3" t="s">
        <v>87</v>
      </c>
    </row>
    <row r="1832" spans="1:90" x14ac:dyDescent="0.2">
      <c r="A1832" s="3" t="s">
        <v>72</v>
      </c>
      <c r="B1832" s="3" t="s">
        <v>73</v>
      </c>
      <c r="C1832" s="3" t="s">
        <v>74</v>
      </c>
      <c r="E1832" s="3" t="str">
        <f>"FES1162846263"</f>
        <v>FES1162846263</v>
      </c>
      <c r="F1832" s="4">
        <v>44585</v>
      </c>
      <c r="G1832" s="3">
        <v>202207</v>
      </c>
      <c r="H1832" s="3" t="s">
        <v>75</v>
      </c>
      <c r="I1832" s="3" t="s">
        <v>76</v>
      </c>
      <c r="J1832" s="3" t="s">
        <v>77</v>
      </c>
      <c r="K1832" s="3" t="s">
        <v>78</v>
      </c>
      <c r="L1832" s="3" t="s">
        <v>101</v>
      </c>
      <c r="M1832" s="3" t="s">
        <v>102</v>
      </c>
      <c r="N1832" s="3" t="s">
        <v>1463</v>
      </c>
      <c r="O1832" s="3" t="s">
        <v>82</v>
      </c>
      <c r="P1832" s="3" t="str">
        <f>"2170817780                    "</f>
        <v xml:space="preserve">2170817780                    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15.46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v>0</v>
      </c>
      <c r="BA1832" s="3">
        <v>0</v>
      </c>
      <c r="BB1832" s="3">
        <v>0</v>
      </c>
      <c r="BC1832" s="3">
        <v>0</v>
      </c>
      <c r="BD1832" s="3">
        <v>0</v>
      </c>
      <c r="BE1832" s="3">
        <v>0</v>
      </c>
      <c r="BF1832" s="3">
        <v>0</v>
      </c>
      <c r="BG1832" s="3">
        <v>0</v>
      </c>
      <c r="BH1832" s="3">
        <v>1</v>
      </c>
      <c r="BI1832" s="3">
        <v>1</v>
      </c>
      <c r="BJ1832" s="3">
        <v>0.2</v>
      </c>
      <c r="BK1832" s="3">
        <v>1</v>
      </c>
      <c r="BL1832" s="3">
        <v>59</v>
      </c>
      <c r="BM1832" s="3">
        <v>8.85</v>
      </c>
      <c r="BN1832" s="3">
        <v>67.849999999999994</v>
      </c>
      <c r="BO1832" s="3">
        <v>67.849999999999994</v>
      </c>
      <c r="BQ1832" s="3" t="s">
        <v>1464</v>
      </c>
      <c r="BR1832" s="3" t="s">
        <v>84</v>
      </c>
      <c r="BS1832" s="4">
        <v>44586</v>
      </c>
      <c r="BT1832" s="5">
        <v>0.34513888888888888</v>
      </c>
      <c r="BU1832" s="3" t="s">
        <v>2046</v>
      </c>
      <c r="BV1832" s="3" t="s">
        <v>105</v>
      </c>
      <c r="BY1832" s="3">
        <v>1200</v>
      </c>
      <c r="BZ1832" s="3" t="s">
        <v>165</v>
      </c>
      <c r="CA1832" s="3" t="s">
        <v>343</v>
      </c>
      <c r="CC1832" s="3" t="s">
        <v>102</v>
      </c>
      <c r="CD1832" s="3">
        <v>4001</v>
      </c>
      <c r="CE1832" s="3" t="s">
        <v>93</v>
      </c>
      <c r="CF1832" s="4">
        <v>44587</v>
      </c>
      <c r="CI1832" s="3">
        <v>1</v>
      </c>
      <c r="CJ1832" s="3">
        <v>1</v>
      </c>
      <c r="CK1832" s="3">
        <v>21</v>
      </c>
      <c r="CL1832" s="3" t="s">
        <v>87</v>
      </c>
    </row>
    <row r="1833" spans="1:90" x14ac:dyDescent="0.2">
      <c r="A1833" s="3" t="s">
        <v>72</v>
      </c>
      <c r="B1833" s="3" t="s">
        <v>73</v>
      </c>
      <c r="C1833" s="3" t="s">
        <v>74</v>
      </c>
      <c r="E1833" s="3" t="str">
        <f>"FES1162846559"</f>
        <v>FES1162846559</v>
      </c>
      <c r="F1833" s="4">
        <v>44585</v>
      </c>
      <c r="G1833" s="3">
        <v>202207</v>
      </c>
      <c r="H1833" s="3" t="s">
        <v>75</v>
      </c>
      <c r="I1833" s="3" t="s">
        <v>76</v>
      </c>
      <c r="J1833" s="3" t="s">
        <v>77</v>
      </c>
      <c r="K1833" s="3" t="s">
        <v>78</v>
      </c>
      <c r="L1833" s="3" t="s">
        <v>75</v>
      </c>
      <c r="M1833" s="3" t="s">
        <v>76</v>
      </c>
      <c r="N1833" s="3" t="s">
        <v>688</v>
      </c>
      <c r="O1833" s="3" t="s">
        <v>82</v>
      </c>
      <c r="P1833" s="3" t="str">
        <f>"2170817960                    "</f>
        <v xml:space="preserve">2170817960                    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12.07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v>0</v>
      </c>
      <c r="BA1833" s="3">
        <v>0</v>
      </c>
      <c r="BB1833" s="3">
        <v>0</v>
      </c>
      <c r="BC1833" s="3">
        <v>0</v>
      </c>
      <c r="BD1833" s="3">
        <v>0</v>
      </c>
      <c r="BE1833" s="3">
        <v>0</v>
      </c>
      <c r="BF1833" s="3">
        <v>0</v>
      </c>
      <c r="BG1833" s="3">
        <v>0</v>
      </c>
      <c r="BH1833" s="3">
        <v>1</v>
      </c>
      <c r="BI1833" s="3">
        <v>1</v>
      </c>
      <c r="BJ1833" s="3">
        <v>0.2</v>
      </c>
      <c r="BK1833" s="3">
        <v>1</v>
      </c>
      <c r="BL1833" s="3">
        <v>46.08</v>
      </c>
      <c r="BM1833" s="3">
        <v>6.91</v>
      </c>
      <c r="BN1833" s="3">
        <v>52.99</v>
      </c>
      <c r="BO1833" s="3">
        <v>52.99</v>
      </c>
      <c r="BQ1833" s="3" t="s">
        <v>83</v>
      </c>
      <c r="BR1833" s="3" t="s">
        <v>84</v>
      </c>
      <c r="BS1833" s="4">
        <v>44586</v>
      </c>
      <c r="BT1833" s="5">
        <v>0.30694444444444441</v>
      </c>
      <c r="BU1833" s="3" t="s">
        <v>689</v>
      </c>
      <c r="BV1833" s="3" t="s">
        <v>105</v>
      </c>
      <c r="BY1833" s="3">
        <v>1200</v>
      </c>
      <c r="BZ1833" s="3" t="s">
        <v>165</v>
      </c>
      <c r="CA1833" s="3" t="s">
        <v>227</v>
      </c>
      <c r="CC1833" s="3" t="s">
        <v>76</v>
      </c>
      <c r="CD1833" s="3">
        <v>1620</v>
      </c>
      <c r="CE1833" s="3" t="s">
        <v>93</v>
      </c>
      <c r="CF1833" s="4">
        <v>44586</v>
      </c>
      <c r="CI1833" s="3">
        <v>1</v>
      </c>
      <c r="CJ1833" s="3">
        <v>1</v>
      </c>
      <c r="CK1833" s="3">
        <v>22</v>
      </c>
      <c r="CL1833" s="3" t="s">
        <v>87</v>
      </c>
    </row>
    <row r="1834" spans="1:90" x14ac:dyDescent="0.2">
      <c r="A1834" s="3" t="s">
        <v>72</v>
      </c>
      <c r="B1834" s="3" t="s">
        <v>73</v>
      </c>
      <c r="C1834" s="3" t="s">
        <v>74</v>
      </c>
      <c r="E1834" s="3" t="str">
        <f>"FES1162846532"</f>
        <v>FES1162846532</v>
      </c>
      <c r="F1834" s="4">
        <v>44585</v>
      </c>
      <c r="G1834" s="3">
        <v>202207</v>
      </c>
      <c r="H1834" s="3" t="s">
        <v>75</v>
      </c>
      <c r="I1834" s="3" t="s">
        <v>76</v>
      </c>
      <c r="J1834" s="3" t="s">
        <v>77</v>
      </c>
      <c r="K1834" s="3" t="s">
        <v>78</v>
      </c>
      <c r="L1834" s="3" t="s">
        <v>731</v>
      </c>
      <c r="M1834" s="3" t="s">
        <v>732</v>
      </c>
      <c r="N1834" s="3" t="s">
        <v>733</v>
      </c>
      <c r="O1834" s="3" t="s">
        <v>82</v>
      </c>
      <c r="P1834" s="3" t="str">
        <f>"2170817937                    "</f>
        <v xml:space="preserve">2170817937                    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29.95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0</v>
      </c>
      <c r="AZ1834" s="3">
        <v>0</v>
      </c>
      <c r="BA1834" s="3">
        <v>0</v>
      </c>
      <c r="BB1834" s="3">
        <v>0</v>
      </c>
      <c r="BC1834" s="3">
        <v>0</v>
      </c>
      <c r="BD1834" s="3">
        <v>0</v>
      </c>
      <c r="BE1834" s="3">
        <v>0</v>
      </c>
      <c r="BF1834" s="3">
        <v>0</v>
      </c>
      <c r="BG1834" s="3">
        <v>0</v>
      </c>
      <c r="BH1834" s="3">
        <v>1</v>
      </c>
      <c r="BI1834" s="3">
        <v>1</v>
      </c>
      <c r="BJ1834" s="3">
        <v>0.2</v>
      </c>
      <c r="BK1834" s="3">
        <v>1</v>
      </c>
      <c r="BL1834" s="3">
        <v>114.31</v>
      </c>
      <c r="BM1834" s="3">
        <v>17.149999999999999</v>
      </c>
      <c r="BN1834" s="3">
        <v>131.46</v>
      </c>
      <c r="BO1834" s="3">
        <v>131.46</v>
      </c>
      <c r="BQ1834" s="3" t="s">
        <v>89</v>
      </c>
      <c r="BR1834" s="3" t="s">
        <v>84</v>
      </c>
      <c r="BS1834" s="4">
        <v>44587</v>
      </c>
      <c r="BT1834" s="5">
        <v>0.44791666666666669</v>
      </c>
      <c r="BU1834" s="3" t="s">
        <v>1980</v>
      </c>
      <c r="BV1834" s="3" t="s">
        <v>87</v>
      </c>
      <c r="BW1834" s="3" t="s">
        <v>453</v>
      </c>
      <c r="BX1834" s="3" t="s">
        <v>279</v>
      </c>
      <c r="BY1834" s="3">
        <v>1200</v>
      </c>
      <c r="BZ1834" s="3" t="s">
        <v>165</v>
      </c>
      <c r="CC1834" s="3" t="s">
        <v>732</v>
      </c>
      <c r="CD1834" s="3">
        <v>3290</v>
      </c>
      <c r="CE1834" s="3" t="s">
        <v>93</v>
      </c>
      <c r="CF1834" s="4">
        <v>44589</v>
      </c>
      <c r="CI1834" s="3">
        <v>1</v>
      </c>
      <c r="CJ1834" s="3">
        <v>2</v>
      </c>
      <c r="CK1834" s="3">
        <v>23</v>
      </c>
      <c r="CL1834" s="3" t="s">
        <v>87</v>
      </c>
    </row>
    <row r="1835" spans="1:90" x14ac:dyDescent="0.2">
      <c r="A1835" s="3" t="s">
        <v>72</v>
      </c>
      <c r="B1835" s="3" t="s">
        <v>73</v>
      </c>
      <c r="C1835" s="3" t="s">
        <v>74</v>
      </c>
      <c r="E1835" s="3" t="str">
        <f>"FES1162846467"</f>
        <v>FES1162846467</v>
      </c>
      <c r="F1835" s="4">
        <v>44585</v>
      </c>
      <c r="G1835" s="3">
        <v>202207</v>
      </c>
      <c r="H1835" s="3" t="s">
        <v>75</v>
      </c>
      <c r="I1835" s="3" t="s">
        <v>76</v>
      </c>
      <c r="J1835" s="3" t="s">
        <v>77</v>
      </c>
      <c r="K1835" s="3" t="s">
        <v>78</v>
      </c>
      <c r="L1835" s="3" t="s">
        <v>90</v>
      </c>
      <c r="M1835" s="3" t="s">
        <v>91</v>
      </c>
      <c r="N1835" s="3" t="s">
        <v>760</v>
      </c>
      <c r="O1835" s="3" t="s">
        <v>82</v>
      </c>
      <c r="P1835" s="3" t="str">
        <f>"2170815605                    "</f>
        <v xml:space="preserve">2170815605                    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15.46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v>0</v>
      </c>
      <c r="BA1835" s="3">
        <v>0</v>
      </c>
      <c r="BB1835" s="3">
        <v>0</v>
      </c>
      <c r="BC1835" s="3">
        <v>0</v>
      </c>
      <c r="BD1835" s="3">
        <v>0</v>
      </c>
      <c r="BE1835" s="3">
        <v>0</v>
      </c>
      <c r="BF1835" s="3">
        <v>0</v>
      </c>
      <c r="BG1835" s="3">
        <v>0</v>
      </c>
      <c r="BH1835" s="3">
        <v>1</v>
      </c>
      <c r="BI1835" s="3">
        <v>1</v>
      </c>
      <c r="BJ1835" s="3">
        <v>0.2</v>
      </c>
      <c r="BK1835" s="3">
        <v>1</v>
      </c>
      <c r="BL1835" s="3">
        <v>59</v>
      </c>
      <c r="BM1835" s="3">
        <v>8.85</v>
      </c>
      <c r="BN1835" s="3">
        <v>67.849999999999994</v>
      </c>
      <c r="BO1835" s="3">
        <v>67.849999999999994</v>
      </c>
      <c r="BQ1835" s="3" t="s">
        <v>83</v>
      </c>
      <c r="BR1835" s="3" t="s">
        <v>84</v>
      </c>
      <c r="BS1835" s="4">
        <v>44586</v>
      </c>
      <c r="BT1835" s="5">
        <v>0.33680555555555558</v>
      </c>
      <c r="BU1835" s="3" t="s">
        <v>761</v>
      </c>
      <c r="BV1835" s="3" t="s">
        <v>105</v>
      </c>
      <c r="BY1835" s="3">
        <v>1200</v>
      </c>
      <c r="BZ1835" s="3" t="s">
        <v>165</v>
      </c>
      <c r="CA1835" s="3" t="s">
        <v>566</v>
      </c>
      <c r="CC1835" s="3" t="s">
        <v>91</v>
      </c>
      <c r="CD1835" s="3">
        <v>7460</v>
      </c>
      <c r="CE1835" s="3" t="s">
        <v>93</v>
      </c>
      <c r="CF1835" s="4">
        <v>44587</v>
      </c>
      <c r="CI1835" s="3">
        <v>1</v>
      </c>
      <c r="CJ1835" s="3">
        <v>1</v>
      </c>
      <c r="CK1835" s="3">
        <v>21</v>
      </c>
      <c r="CL1835" s="3" t="s">
        <v>87</v>
      </c>
    </row>
    <row r="1836" spans="1:90" x14ac:dyDescent="0.2">
      <c r="A1836" s="3" t="s">
        <v>72</v>
      </c>
      <c r="B1836" s="3" t="s">
        <v>73</v>
      </c>
      <c r="C1836" s="3" t="s">
        <v>74</v>
      </c>
      <c r="E1836" s="3" t="str">
        <f>"FES1162846431"</f>
        <v>FES1162846431</v>
      </c>
      <c r="F1836" s="4">
        <v>44585</v>
      </c>
      <c r="G1836" s="3">
        <v>202207</v>
      </c>
      <c r="H1836" s="3" t="s">
        <v>75</v>
      </c>
      <c r="I1836" s="3" t="s">
        <v>76</v>
      </c>
      <c r="J1836" s="3" t="s">
        <v>77</v>
      </c>
      <c r="K1836" s="3" t="s">
        <v>78</v>
      </c>
      <c r="L1836" s="3" t="s">
        <v>171</v>
      </c>
      <c r="M1836" s="3" t="s">
        <v>172</v>
      </c>
      <c r="N1836" s="3" t="s">
        <v>200</v>
      </c>
      <c r="O1836" s="3" t="s">
        <v>82</v>
      </c>
      <c r="P1836" s="3" t="str">
        <f>"2170811975                    "</f>
        <v xml:space="preserve">2170811975                    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73.39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v>0</v>
      </c>
      <c r="BA1836" s="3">
        <v>0</v>
      </c>
      <c r="BB1836" s="3">
        <v>0</v>
      </c>
      <c r="BC1836" s="3">
        <v>0</v>
      </c>
      <c r="BD1836" s="3">
        <v>0</v>
      </c>
      <c r="BE1836" s="3">
        <v>0</v>
      </c>
      <c r="BF1836" s="3">
        <v>0</v>
      </c>
      <c r="BG1836" s="3">
        <v>0</v>
      </c>
      <c r="BH1836" s="3">
        <v>1</v>
      </c>
      <c r="BI1836" s="3">
        <v>5</v>
      </c>
      <c r="BJ1836" s="3">
        <v>9.1</v>
      </c>
      <c r="BK1836" s="3">
        <v>9.5</v>
      </c>
      <c r="BL1836" s="3">
        <v>280.13</v>
      </c>
      <c r="BM1836" s="3">
        <v>42.02</v>
      </c>
      <c r="BN1836" s="3">
        <v>322.14999999999998</v>
      </c>
      <c r="BO1836" s="3">
        <v>322.14999999999998</v>
      </c>
      <c r="BQ1836" s="3" t="s">
        <v>89</v>
      </c>
      <c r="BR1836" s="3" t="s">
        <v>84</v>
      </c>
      <c r="BS1836" s="4">
        <v>44586</v>
      </c>
      <c r="BT1836" s="5">
        <v>0.38611111111111113</v>
      </c>
      <c r="BU1836" s="3" t="s">
        <v>908</v>
      </c>
      <c r="BV1836" s="3" t="s">
        <v>105</v>
      </c>
      <c r="BY1836" s="3">
        <v>45632</v>
      </c>
      <c r="BZ1836" s="3" t="s">
        <v>165</v>
      </c>
      <c r="CA1836" s="3" t="s">
        <v>814</v>
      </c>
      <c r="CC1836" s="3" t="s">
        <v>172</v>
      </c>
      <c r="CD1836" s="3">
        <v>6001</v>
      </c>
      <c r="CE1836" s="3" t="s">
        <v>86</v>
      </c>
      <c r="CF1836" s="4">
        <v>44586</v>
      </c>
      <c r="CI1836" s="3">
        <v>1</v>
      </c>
      <c r="CJ1836" s="3">
        <v>1</v>
      </c>
      <c r="CK1836" s="3">
        <v>21</v>
      </c>
      <c r="CL1836" s="3" t="s">
        <v>87</v>
      </c>
    </row>
    <row r="1837" spans="1:90" x14ac:dyDescent="0.2">
      <c r="A1837" s="3" t="s">
        <v>72</v>
      </c>
      <c r="B1837" s="3" t="s">
        <v>73</v>
      </c>
      <c r="C1837" s="3" t="s">
        <v>74</v>
      </c>
      <c r="E1837" s="3" t="str">
        <f>"FES1162846527"</f>
        <v>FES1162846527</v>
      </c>
      <c r="F1837" s="4">
        <v>44585</v>
      </c>
      <c r="G1837" s="3">
        <v>202207</v>
      </c>
      <c r="H1837" s="3" t="s">
        <v>75</v>
      </c>
      <c r="I1837" s="3" t="s">
        <v>76</v>
      </c>
      <c r="J1837" s="3" t="s">
        <v>77</v>
      </c>
      <c r="K1837" s="3" t="s">
        <v>78</v>
      </c>
      <c r="L1837" s="3" t="s">
        <v>123</v>
      </c>
      <c r="M1837" s="3" t="s">
        <v>124</v>
      </c>
      <c r="N1837" s="3" t="s">
        <v>193</v>
      </c>
      <c r="O1837" s="3" t="s">
        <v>82</v>
      </c>
      <c r="P1837" s="3" t="str">
        <f>"2170817827                    "</f>
        <v xml:space="preserve">2170817827                    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12.07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v>0</v>
      </c>
      <c r="BA1837" s="3">
        <v>0</v>
      </c>
      <c r="BB1837" s="3">
        <v>0</v>
      </c>
      <c r="BC1837" s="3">
        <v>0</v>
      </c>
      <c r="BD1837" s="3">
        <v>0</v>
      </c>
      <c r="BE1837" s="3">
        <v>0</v>
      </c>
      <c r="BF1837" s="3">
        <v>0</v>
      </c>
      <c r="BG1837" s="3">
        <v>0</v>
      </c>
      <c r="BH1837" s="3">
        <v>1</v>
      </c>
      <c r="BI1837" s="3">
        <v>1</v>
      </c>
      <c r="BJ1837" s="3">
        <v>0.2</v>
      </c>
      <c r="BK1837" s="3">
        <v>1</v>
      </c>
      <c r="BL1837" s="3">
        <v>46.08</v>
      </c>
      <c r="BM1837" s="3">
        <v>6.91</v>
      </c>
      <c r="BN1837" s="3">
        <v>52.99</v>
      </c>
      <c r="BO1837" s="3">
        <v>52.99</v>
      </c>
      <c r="BQ1837" s="3" t="s">
        <v>83</v>
      </c>
      <c r="BR1837" s="3" t="s">
        <v>84</v>
      </c>
      <c r="BS1837" s="4">
        <v>44586</v>
      </c>
      <c r="BT1837" s="5">
        <v>0.35486111111111113</v>
      </c>
      <c r="BU1837" s="3" t="s">
        <v>2047</v>
      </c>
      <c r="BV1837" s="3" t="s">
        <v>105</v>
      </c>
      <c r="BY1837" s="3">
        <v>1200</v>
      </c>
      <c r="BZ1837" s="3" t="s">
        <v>165</v>
      </c>
      <c r="CA1837" s="3" t="s">
        <v>1703</v>
      </c>
      <c r="CC1837" s="3" t="s">
        <v>124</v>
      </c>
      <c r="CD1837" s="3">
        <v>1709</v>
      </c>
      <c r="CE1837" s="3" t="s">
        <v>93</v>
      </c>
      <c r="CF1837" s="4">
        <v>44586</v>
      </c>
      <c r="CI1837" s="3">
        <v>1</v>
      </c>
      <c r="CJ1837" s="3">
        <v>1</v>
      </c>
      <c r="CK1837" s="3">
        <v>22</v>
      </c>
      <c r="CL1837" s="3" t="s">
        <v>87</v>
      </c>
    </row>
    <row r="1838" spans="1:90" x14ac:dyDescent="0.2">
      <c r="A1838" s="3" t="s">
        <v>72</v>
      </c>
      <c r="B1838" s="3" t="s">
        <v>73</v>
      </c>
      <c r="C1838" s="3" t="s">
        <v>74</v>
      </c>
      <c r="E1838" s="3" t="str">
        <f>"FES1162846438"</f>
        <v>FES1162846438</v>
      </c>
      <c r="F1838" s="4">
        <v>44585</v>
      </c>
      <c r="G1838" s="3">
        <v>202207</v>
      </c>
      <c r="H1838" s="3" t="s">
        <v>75</v>
      </c>
      <c r="I1838" s="3" t="s">
        <v>76</v>
      </c>
      <c r="J1838" s="3" t="s">
        <v>77</v>
      </c>
      <c r="K1838" s="3" t="s">
        <v>78</v>
      </c>
      <c r="L1838" s="3" t="s">
        <v>211</v>
      </c>
      <c r="M1838" s="3" t="s">
        <v>212</v>
      </c>
      <c r="N1838" s="3" t="s">
        <v>834</v>
      </c>
      <c r="O1838" s="3" t="s">
        <v>82</v>
      </c>
      <c r="P1838" s="3" t="str">
        <f>"2170814908                    "</f>
        <v xml:space="preserve">2170814908                    </v>
      </c>
      <c r="Q1838" s="3">
        <v>0</v>
      </c>
      <c r="R1838" s="3">
        <v>0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12.07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0</v>
      </c>
      <c r="AZ1838" s="3">
        <v>0</v>
      </c>
      <c r="BA1838" s="3">
        <v>0</v>
      </c>
      <c r="BB1838" s="3">
        <v>0</v>
      </c>
      <c r="BC1838" s="3">
        <v>0</v>
      </c>
      <c r="BD1838" s="3">
        <v>0</v>
      </c>
      <c r="BE1838" s="3">
        <v>0</v>
      </c>
      <c r="BF1838" s="3">
        <v>0</v>
      </c>
      <c r="BG1838" s="3">
        <v>0</v>
      </c>
      <c r="BH1838" s="3">
        <v>1</v>
      </c>
      <c r="BI1838" s="3">
        <v>1</v>
      </c>
      <c r="BJ1838" s="3">
        <v>0.2</v>
      </c>
      <c r="BK1838" s="3">
        <v>1</v>
      </c>
      <c r="BL1838" s="3">
        <v>46.08</v>
      </c>
      <c r="BM1838" s="3">
        <v>6.91</v>
      </c>
      <c r="BN1838" s="3">
        <v>52.99</v>
      </c>
      <c r="BO1838" s="3">
        <v>52.99</v>
      </c>
      <c r="BQ1838" s="3" t="s">
        <v>835</v>
      </c>
      <c r="BR1838" s="3" t="s">
        <v>84</v>
      </c>
      <c r="BS1838" s="4">
        <v>44586</v>
      </c>
      <c r="BT1838" s="5">
        <v>0.51041666666666663</v>
      </c>
      <c r="BU1838" s="3" t="s">
        <v>2048</v>
      </c>
      <c r="BV1838" s="3" t="s">
        <v>87</v>
      </c>
      <c r="BW1838" s="3" t="s">
        <v>353</v>
      </c>
      <c r="BX1838" s="3" t="s">
        <v>377</v>
      </c>
      <c r="BY1838" s="3">
        <v>1200</v>
      </c>
      <c r="BZ1838" s="3" t="s">
        <v>165</v>
      </c>
      <c r="CA1838" s="3" t="s">
        <v>2049</v>
      </c>
      <c r="CC1838" s="3" t="s">
        <v>212</v>
      </c>
      <c r="CD1838" s="3">
        <v>2170</v>
      </c>
      <c r="CE1838" s="3" t="s">
        <v>93</v>
      </c>
      <c r="CF1838" s="4">
        <v>44586</v>
      </c>
      <c r="CI1838" s="3">
        <v>1</v>
      </c>
      <c r="CJ1838" s="3">
        <v>1</v>
      </c>
      <c r="CK1838" s="3">
        <v>22</v>
      </c>
      <c r="CL1838" s="3" t="s">
        <v>87</v>
      </c>
    </row>
    <row r="1839" spans="1:90" x14ac:dyDescent="0.2">
      <c r="A1839" s="3" t="s">
        <v>72</v>
      </c>
      <c r="B1839" s="3" t="s">
        <v>73</v>
      </c>
      <c r="C1839" s="3" t="s">
        <v>74</v>
      </c>
      <c r="E1839" s="3" t="str">
        <f>"FES1162846406"</f>
        <v>FES1162846406</v>
      </c>
      <c r="F1839" s="4">
        <v>44585</v>
      </c>
      <c r="G1839" s="3">
        <v>202207</v>
      </c>
      <c r="H1839" s="3" t="s">
        <v>75</v>
      </c>
      <c r="I1839" s="3" t="s">
        <v>76</v>
      </c>
      <c r="J1839" s="3" t="s">
        <v>77</v>
      </c>
      <c r="K1839" s="3" t="s">
        <v>78</v>
      </c>
      <c r="L1839" s="3" t="s">
        <v>228</v>
      </c>
      <c r="M1839" s="3" t="s">
        <v>229</v>
      </c>
      <c r="N1839" s="3" t="s">
        <v>2050</v>
      </c>
      <c r="O1839" s="3" t="s">
        <v>82</v>
      </c>
      <c r="P1839" s="3" t="str">
        <f>"2170817925                    "</f>
        <v xml:space="preserve">2170817925                    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29.95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15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0</v>
      </c>
      <c r="AZ1839" s="3">
        <v>0</v>
      </c>
      <c r="BA1839" s="3">
        <v>0</v>
      </c>
      <c r="BB1839" s="3">
        <v>0</v>
      </c>
      <c r="BC1839" s="3">
        <v>0</v>
      </c>
      <c r="BD1839" s="3">
        <v>0</v>
      </c>
      <c r="BE1839" s="3">
        <v>0</v>
      </c>
      <c r="BF1839" s="3">
        <v>0</v>
      </c>
      <c r="BG1839" s="3">
        <v>0</v>
      </c>
      <c r="BH1839" s="3">
        <v>1</v>
      </c>
      <c r="BI1839" s="3">
        <v>1</v>
      </c>
      <c r="BJ1839" s="3">
        <v>0.2</v>
      </c>
      <c r="BK1839" s="3">
        <v>1</v>
      </c>
      <c r="BL1839" s="3">
        <v>129.31</v>
      </c>
      <c r="BM1839" s="3">
        <v>19.399999999999999</v>
      </c>
      <c r="BN1839" s="3">
        <v>148.71</v>
      </c>
      <c r="BO1839" s="3">
        <v>148.71</v>
      </c>
      <c r="BQ1839" s="3" t="s">
        <v>83</v>
      </c>
      <c r="BR1839" s="3" t="s">
        <v>84</v>
      </c>
      <c r="BS1839" s="4">
        <v>44586</v>
      </c>
      <c r="BT1839" s="5">
        <v>0.72222222222222221</v>
      </c>
      <c r="BU1839" s="3" t="s">
        <v>2051</v>
      </c>
      <c r="BV1839" s="3" t="s">
        <v>105</v>
      </c>
      <c r="BY1839" s="3">
        <v>1200</v>
      </c>
      <c r="BZ1839" s="3" t="s">
        <v>446</v>
      </c>
      <c r="CA1839" s="3" t="s">
        <v>1030</v>
      </c>
      <c r="CC1839" s="3" t="s">
        <v>229</v>
      </c>
      <c r="CD1839" s="3">
        <v>4242</v>
      </c>
      <c r="CE1839" s="3" t="s">
        <v>93</v>
      </c>
      <c r="CF1839" s="4">
        <v>44587</v>
      </c>
      <c r="CI1839" s="3">
        <v>2</v>
      </c>
      <c r="CJ1839" s="3">
        <v>1</v>
      </c>
      <c r="CK1839" s="3">
        <v>23</v>
      </c>
      <c r="CL1839" s="3" t="s">
        <v>87</v>
      </c>
    </row>
    <row r="1840" spans="1:90" x14ac:dyDescent="0.2">
      <c r="A1840" s="3" t="s">
        <v>72</v>
      </c>
      <c r="B1840" s="3" t="s">
        <v>73</v>
      </c>
      <c r="C1840" s="3" t="s">
        <v>74</v>
      </c>
      <c r="E1840" s="3" t="str">
        <f>"FES1162846398"</f>
        <v>FES1162846398</v>
      </c>
      <c r="F1840" s="4">
        <v>44585</v>
      </c>
      <c r="G1840" s="3">
        <v>202207</v>
      </c>
      <c r="H1840" s="3" t="s">
        <v>75</v>
      </c>
      <c r="I1840" s="3" t="s">
        <v>76</v>
      </c>
      <c r="J1840" s="3" t="s">
        <v>77</v>
      </c>
      <c r="K1840" s="3" t="s">
        <v>78</v>
      </c>
      <c r="L1840" s="3" t="s">
        <v>94</v>
      </c>
      <c r="M1840" s="3" t="s">
        <v>95</v>
      </c>
      <c r="N1840" s="3" t="s">
        <v>1443</v>
      </c>
      <c r="O1840" s="3" t="s">
        <v>82</v>
      </c>
      <c r="P1840" s="3" t="str">
        <f>"2170817913                    "</f>
        <v xml:space="preserve">2170817913                    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15.46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v>0</v>
      </c>
      <c r="BA1840" s="3">
        <v>0</v>
      </c>
      <c r="BB1840" s="3">
        <v>0</v>
      </c>
      <c r="BC1840" s="3">
        <v>0</v>
      </c>
      <c r="BD1840" s="3">
        <v>0</v>
      </c>
      <c r="BE1840" s="3">
        <v>0</v>
      </c>
      <c r="BF1840" s="3">
        <v>0</v>
      </c>
      <c r="BG1840" s="3">
        <v>0</v>
      </c>
      <c r="BH1840" s="3">
        <v>1</v>
      </c>
      <c r="BI1840" s="3">
        <v>1</v>
      </c>
      <c r="BJ1840" s="3">
        <v>0.2</v>
      </c>
      <c r="BK1840" s="3">
        <v>1</v>
      </c>
      <c r="BL1840" s="3">
        <v>59</v>
      </c>
      <c r="BM1840" s="3">
        <v>8.85</v>
      </c>
      <c r="BN1840" s="3">
        <v>67.849999999999994</v>
      </c>
      <c r="BO1840" s="3">
        <v>67.849999999999994</v>
      </c>
      <c r="BR1840" s="3" t="s">
        <v>84</v>
      </c>
      <c r="BS1840" s="4">
        <v>44586</v>
      </c>
      <c r="BT1840" s="5">
        <v>0.54166666666666663</v>
      </c>
      <c r="BU1840" s="3" t="s">
        <v>2052</v>
      </c>
      <c r="BV1840" s="3" t="s">
        <v>87</v>
      </c>
      <c r="BW1840" s="3" t="s">
        <v>453</v>
      </c>
      <c r="BX1840" s="3" t="s">
        <v>279</v>
      </c>
      <c r="BY1840" s="3">
        <v>1200</v>
      </c>
      <c r="BZ1840" s="3" t="s">
        <v>165</v>
      </c>
      <c r="CC1840" s="3" t="s">
        <v>95</v>
      </c>
      <c r="CD1840" s="3">
        <v>3200</v>
      </c>
      <c r="CE1840" s="3" t="s">
        <v>93</v>
      </c>
      <c r="CF1840" s="4">
        <v>44589</v>
      </c>
      <c r="CI1840" s="3">
        <v>1</v>
      </c>
      <c r="CJ1840" s="3">
        <v>1</v>
      </c>
      <c r="CK1840" s="3">
        <v>21</v>
      </c>
      <c r="CL1840" s="3" t="s">
        <v>87</v>
      </c>
    </row>
    <row r="1841" spans="1:90" x14ac:dyDescent="0.2">
      <c r="A1841" s="3" t="s">
        <v>72</v>
      </c>
      <c r="B1841" s="3" t="s">
        <v>73</v>
      </c>
      <c r="C1841" s="3" t="s">
        <v>74</v>
      </c>
      <c r="E1841" s="3" t="str">
        <f>"FES1162846323"</f>
        <v>FES1162846323</v>
      </c>
      <c r="F1841" s="4">
        <v>44585</v>
      </c>
      <c r="G1841" s="3">
        <v>202207</v>
      </c>
      <c r="H1841" s="3" t="s">
        <v>75</v>
      </c>
      <c r="I1841" s="3" t="s">
        <v>76</v>
      </c>
      <c r="J1841" s="3" t="s">
        <v>77</v>
      </c>
      <c r="K1841" s="3" t="s">
        <v>78</v>
      </c>
      <c r="L1841" s="3" t="s">
        <v>75</v>
      </c>
      <c r="M1841" s="3" t="s">
        <v>76</v>
      </c>
      <c r="N1841" s="3" t="s">
        <v>224</v>
      </c>
      <c r="O1841" s="3" t="s">
        <v>82</v>
      </c>
      <c r="P1841" s="3" t="str">
        <f>"2170816477                    "</f>
        <v xml:space="preserve">2170816477                    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12.07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v>0</v>
      </c>
      <c r="BA1841" s="3">
        <v>0</v>
      </c>
      <c r="BB1841" s="3">
        <v>0</v>
      </c>
      <c r="BC1841" s="3">
        <v>0</v>
      </c>
      <c r="BD1841" s="3">
        <v>0</v>
      </c>
      <c r="BE1841" s="3">
        <v>0</v>
      </c>
      <c r="BF1841" s="3">
        <v>0</v>
      </c>
      <c r="BG1841" s="3">
        <v>0</v>
      </c>
      <c r="BH1841" s="3">
        <v>1</v>
      </c>
      <c r="BI1841" s="3">
        <v>1</v>
      </c>
      <c r="BJ1841" s="3">
        <v>0.2</v>
      </c>
      <c r="BK1841" s="3">
        <v>1</v>
      </c>
      <c r="BL1841" s="3">
        <v>46.08</v>
      </c>
      <c r="BM1841" s="3">
        <v>6.91</v>
      </c>
      <c r="BN1841" s="3">
        <v>52.99</v>
      </c>
      <c r="BO1841" s="3">
        <v>52.99</v>
      </c>
      <c r="BQ1841" s="3" t="s">
        <v>83</v>
      </c>
      <c r="BR1841" s="3" t="s">
        <v>84</v>
      </c>
      <c r="BS1841" s="4">
        <v>44586</v>
      </c>
      <c r="BT1841" s="5">
        <v>0.36874999999999997</v>
      </c>
      <c r="BU1841" s="3" t="s">
        <v>347</v>
      </c>
      <c r="BV1841" s="3" t="s">
        <v>105</v>
      </c>
      <c r="BY1841" s="3">
        <v>1200</v>
      </c>
      <c r="BZ1841" s="3" t="s">
        <v>165</v>
      </c>
      <c r="CA1841" s="3" t="s">
        <v>227</v>
      </c>
      <c r="CC1841" s="3" t="s">
        <v>76</v>
      </c>
      <c r="CD1841" s="3">
        <v>1600</v>
      </c>
      <c r="CE1841" s="3" t="s">
        <v>93</v>
      </c>
      <c r="CF1841" s="4">
        <v>44586</v>
      </c>
      <c r="CI1841" s="3">
        <v>1</v>
      </c>
      <c r="CJ1841" s="3">
        <v>1</v>
      </c>
      <c r="CK1841" s="3">
        <v>22</v>
      </c>
      <c r="CL1841" s="3" t="s">
        <v>87</v>
      </c>
    </row>
    <row r="1842" spans="1:90" x14ac:dyDescent="0.2">
      <c r="A1842" s="3" t="s">
        <v>72</v>
      </c>
      <c r="B1842" s="3" t="s">
        <v>73</v>
      </c>
      <c r="C1842" s="3" t="s">
        <v>74</v>
      </c>
      <c r="E1842" s="3" t="str">
        <f>"FES1162846372"</f>
        <v>FES1162846372</v>
      </c>
      <c r="F1842" s="4">
        <v>44585</v>
      </c>
      <c r="G1842" s="3">
        <v>202207</v>
      </c>
      <c r="H1842" s="3" t="s">
        <v>75</v>
      </c>
      <c r="I1842" s="3" t="s">
        <v>76</v>
      </c>
      <c r="J1842" s="3" t="s">
        <v>77</v>
      </c>
      <c r="K1842" s="3" t="s">
        <v>78</v>
      </c>
      <c r="L1842" s="3" t="s">
        <v>218</v>
      </c>
      <c r="M1842" s="3" t="s">
        <v>219</v>
      </c>
      <c r="N1842" s="3" t="s">
        <v>1745</v>
      </c>
      <c r="O1842" s="3" t="s">
        <v>82</v>
      </c>
      <c r="P1842" s="3" t="str">
        <f>"                              "</f>
        <v xml:space="preserve">                              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15.46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v>0</v>
      </c>
      <c r="BA1842" s="3">
        <v>0</v>
      </c>
      <c r="BB1842" s="3">
        <v>0</v>
      </c>
      <c r="BC1842" s="3">
        <v>0</v>
      </c>
      <c r="BD1842" s="3">
        <v>0</v>
      </c>
      <c r="BE1842" s="3">
        <v>0</v>
      </c>
      <c r="BF1842" s="3">
        <v>0</v>
      </c>
      <c r="BG1842" s="3">
        <v>0</v>
      </c>
      <c r="BH1842" s="3">
        <v>1</v>
      </c>
      <c r="BI1842" s="3">
        <v>1</v>
      </c>
      <c r="BJ1842" s="3">
        <v>0.2</v>
      </c>
      <c r="BK1842" s="3">
        <v>1</v>
      </c>
      <c r="BL1842" s="3">
        <v>59</v>
      </c>
      <c r="BM1842" s="3">
        <v>8.85</v>
      </c>
      <c r="BN1842" s="3">
        <v>67.849999999999994</v>
      </c>
      <c r="BO1842" s="3">
        <v>67.849999999999994</v>
      </c>
      <c r="BQ1842" s="3" t="s">
        <v>89</v>
      </c>
      <c r="BR1842" s="3" t="s">
        <v>84</v>
      </c>
      <c r="BS1842" s="4">
        <v>44586</v>
      </c>
      <c r="BT1842" s="5">
        <v>0.375</v>
      </c>
      <c r="BU1842" s="3" t="s">
        <v>1888</v>
      </c>
      <c r="BV1842" s="3" t="s">
        <v>105</v>
      </c>
      <c r="BY1842" s="3">
        <v>1200</v>
      </c>
      <c r="BZ1842" s="3" t="s">
        <v>165</v>
      </c>
      <c r="CA1842" s="3" t="s">
        <v>2053</v>
      </c>
      <c r="CC1842" s="3" t="s">
        <v>219</v>
      </c>
      <c r="CD1842" s="3">
        <v>157</v>
      </c>
      <c r="CE1842" s="3" t="s">
        <v>93</v>
      </c>
      <c r="CF1842" s="4">
        <v>44587</v>
      </c>
      <c r="CI1842" s="3">
        <v>1</v>
      </c>
      <c r="CJ1842" s="3">
        <v>1</v>
      </c>
      <c r="CK1842" s="3">
        <v>21</v>
      </c>
      <c r="CL1842" s="3" t="s">
        <v>87</v>
      </c>
    </row>
    <row r="1843" spans="1:90" x14ac:dyDescent="0.2">
      <c r="A1843" s="3" t="s">
        <v>72</v>
      </c>
      <c r="B1843" s="3" t="s">
        <v>73</v>
      </c>
      <c r="C1843" s="3" t="s">
        <v>74</v>
      </c>
      <c r="E1843" s="3" t="str">
        <f>"FES1162846489"</f>
        <v>FES1162846489</v>
      </c>
      <c r="F1843" s="4">
        <v>44585</v>
      </c>
      <c r="G1843" s="3">
        <v>202207</v>
      </c>
      <c r="H1843" s="3" t="s">
        <v>75</v>
      </c>
      <c r="I1843" s="3" t="s">
        <v>76</v>
      </c>
      <c r="J1843" s="3" t="s">
        <v>77</v>
      </c>
      <c r="K1843" s="3" t="s">
        <v>78</v>
      </c>
      <c r="L1843" s="3" t="s">
        <v>94</v>
      </c>
      <c r="M1843" s="3" t="s">
        <v>95</v>
      </c>
      <c r="N1843" s="3" t="s">
        <v>613</v>
      </c>
      <c r="O1843" s="3" t="s">
        <v>82</v>
      </c>
      <c r="P1843" s="3" t="str">
        <f>"2170815818                    "</f>
        <v xml:space="preserve">2170815818                    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15.46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0</v>
      </c>
      <c r="AZ1843" s="3">
        <v>0</v>
      </c>
      <c r="BA1843" s="3">
        <v>0</v>
      </c>
      <c r="BB1843" s="3">
        <v>0</v>
      </c>
      <c r="BC1843" s="3">
        <v>0</v>
      </c>
      <c r="BD1843" s="3">
        <v>0</v>
      </c>
      <c r="BE1843" s="3">
        <v>0</v>
      </c>
      <c r="BF1843" s="3">
        <v>0</v>
      </c>
      <c r="BG1843" s="3">
        <v>0</v>
      </c>
      <c r="BH1843" s="3">
        <v>1</v>
      </c>
      <c r="BI1843" s="3">
        <v>1</v>
      </c>
      <c r="BJ1843" s="3">
        <v>0.2</v>
      </c>
      <c r="BK1843" s="3">
        <v>1</v>
      </c>
      <c r="BL1843" s="3">
        <v>59</v>
      </c>
      <c r="BM1843" s="3">
        <v>8.85</v>
      </c>
      <c r="BN1843" s="3">
        <v>67.849999999999994</v>
      </c>
      <c r="BO1843" s="3">
        <v>67.849999999999994</v>
      </c>
      <c r="BQ1843" s="3" t="s">
        <v>89</v>
      </c>
      <c r="BR1843" s="3" t="s">
        <v>84</v>
      </c>
      <c r="BS1843" s="4">
        <v>44586</v>
      </c>
      <c r="BT1843" s="5">
        <v>0.47916666666666669</v>
      </c>
      <c r="BU1843" s="3" t="s">
        <v>2054</v>
      </c>
      <c r="BV1843" s="3" t="s">
        <v>105</v>
      </c>
      <c r="BY1843" s="3">
        <v>1200</v>
      </c>
      <c r="BZ1843" s="3" t="s">
        <v>165</v>
      </c>
      <c r="CC1843" s="3" t="s">
        <v>95</v>
      </c>
      <c r="CD1843" s="3">
        <v>3212</v>
      </c>
      <c r="CE1843" s="3" t="s">
        <v>93</v>
      </c>
      <c r="CF1843" s="4">
        <v>44589</v>
      </c>
      <c r="CI1843" s="3">
        <v>1</v>
      </c>
      <c r="CJ1843" s="3">
        <v>1</v>
      </c>
      <c r="CK1843" s="3">
        <v>21</v>
      </c>
      <c r="CL1843" s="3" t="s">
        <v>87</v>
      </c>
    </row>
    <row r="1844" spans="1:90" x14ac:dyDescent="0.2">
      <c r="A1844" s="3" t="s">
        <v>72</v>
      </c>
      <c r="B1844" s="3" t="s">
        <v>73</v>
      </c>
      <c r="C1844" s="3" t="s">
        <v>74</v>
      </c>
      <c r="E1844" s="3" t="str">
        <f>"FES1162846338"</f>
        <v>FES1162846338</v>
      </c>
      <c r="F1844" s="4">
        <v>44585</v>
      </c>
      <c r="G1844" s="3">
        <v>202207</v>
      </c>
      <c r="H1844" s="3" t="s">
        <v>75</v>
      </c>
      <c r="I1844" s="3" t="s">
        <v>76</v>
      </c>
      <c r="J1844" s="3" t="s">
        <v>77</v>
      </c>
      <c r="K1844" s="3" t="s">
        <v>78</v>
      </c>
      <c r="L1844" s="3" t="s">
        <v>75</v>
      </c>
      <c r="M1844" s="3" t="s">
        <v>76</v>
      </c>
      <c r="N1844" s="3" t="s">
        <v>1221</v>
      </c>
      <c r="O1844" s="3" t="s">
        <v>82</v>
      </c>
      <c r="P1844" s="3" t="str">
        <f>"2170817508                    "</f>
        <v xml:space="preserve">2170817508                    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12.07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v>0</v>
      </c>
      <c r="BA1844" s="3">
        <v>0</v>
      </c>
      <c r="BB1844" s="3">
        <v>0</v>
      </c>
      <c r="BC1844" s="3">
        <v>0</v>
      </c>
      <c r="BD1844" s="3">
        <v>0</v>
      </c>
      <c r="BE1844" s="3">
        <v>0</v>
      </c>
      <c r="BF1844" s="3">
        <v>0</v>
      </c>
      <c r="BG1844" s="3">
        <v>0</v>
      </c>
      <c r="BH1844" s="3">
        <v>1</v>
      </c>
      <c r="BI1844" s="3">
        <v>1</v>
      </c>
      <c r="BJ1844" s="3">
        <v>0.2</v>
      </c>
      <c r="BK1844" s="3">
        <v>1</v>
      </c>
      <c r="BL1844" s="3">
        <v>46.08</v>
      </c>
      <c r="BM1844" s="3">
        <v>6.91</v>
      </c>
      <c r="BN1844" s="3">
        <v>52.99</v>
      </c>
      <c r="BO1844" s="3">
        <v>52.99</v>
      </c>
      <c r="BQ1844" s="3" t="s">
        <v>89</v>
      </c>
      <c r="BR1844" s="3" t="s">
        <v>84</v>
      </c>
      <c r="BS1844" s="4">
        <v>44586</v>
      </c>
      <c r="BT1844" s="5">
        <v>0.32083333333333336</v>
      </c>
      <c r="BU1844" s="3" t="s">
        <v>2055</v>
      </c>
      <c r="BV1844" s="3" t="s">
        <v>105</v>
      </c>
      <c r="BY1844" s="3">
        <v>1200</v>
      </c>
      <c r="BZ1844" s="3" t="s">
        <v>165</v>
      </c>
      <c r="CA1844" s="3" t="s">
        <v>378</v>
      </c>
      <c r="CC1844" s="3" t="s">
        <v>76</v>
      </c>
      <c r="CD1844" s="3">
        <v>1601</v>
      </c>
      <c r="CE1844" s="3" t="s">
        <v>93</v>
      </c>
      <c r="CF1844" s="4">
        <v>44586</v>
      </c>
      <c r="CI1844" s="3">
        <v>1</v>
      </c>
      <c r="CJ1844" s="3">
        <v>1</v>
      </c>
      <c r="CK1844" s="3">
        <v>22</v>
      </c>
      <c r="CL1844" s="3" t="s">
        <v>87</v>
      </c>
    </row>
    <row r="1845" spans="1:90" x14ac:dyDescent="0.2">
      <c r="A1845" s="3" t="s">
        <v>72</v>
      </c>
      <c r="B1845" s="3" t="s">
        <v>73</v>
      </c>
      <c r="C1845" s="3" t="s">
        <v>74</v>
      </c>
      <c r="E1845" s="3" t="str">
        <f>"FES1162846560"</f>
        <v>FES1162846560</v>
      </c>
      <c r="F1845" s="4">
        <v>44585</v>
      </c>
      <c r="G1845" s="3">
        <v>202207</v>
      </c>
      <c r="H1845" s="3" t="s">
        <v>75</v>
      </c>
      <c r="I1845" s="3" t="s">
        <v>76</v>
      </c>
      <c r="J1845" s="3" t="s">
        <v>77</v>
      </c>
      <c r="K1845" s="3" t="s">
        <v>78</v>
      </c>
      <c r="L1845" s="3" t="s">
        <v>180</v>
      </c>
      <c r="M1845" s="3" t="s">
        <v>181</v>
      </c>
      <c r="N1845" s="3" t="s">
        <v>1612</v>
      </c>
      <c r="O1845" s="3" t="s">
        <v>82</v>
      </c>
      <c r="P1845" s="3" t="str">
        <f>"2170816449                    "</f>
        <v xml:space="preserve">2170816449                    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85.26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v>0</v>
      </c>
      <c r="BA1845" s="3">
        <v>0</v>
      </c>
      <c r="BB1845" s="3">
        <v>0</v>
      </c>
      <c r="BC1845" s="3">
        <v>0</v>
      </c>
      <c r="BD1845" s="3">
        <v>0</v>
      </c>
      <c r="BE1845" s="3">
        <v>0</v>
      </c>
      <c r="BF1845" s="3">
        <v>0</v>
      </c>
      <c r="BG1845" s="3">
        <v>0</v>
      </c>
      <c r="BH1845" s="3">
        <v>1</v>
      </c>
      <c r="BI1845" s="3">
        <v>8</v>
      </c>
      <c r="BJ1845" s="3">
        <v>1.5</v>
      </c>
      <c r="BK1845" s="3">
        <v>8</v>
      </c>
      <c r="BL1845" s="3">
        <v>325.42</v>
      </c>
      <c r="BM1845" s="3">
        <v>48.81</v>
      </c>
      <c r="BN1845" s="3">
        <v>374.23</v>
      </c>
      <c r="BO1845" s="3">
        <v>374.23</v>
      </c>
      <c r="BQ1845" s="3" t="s">
        <v>83</v>
      </c>
      <c r="BR1845" s="3" t="s">
        <v>84</v>
      </c>
      <c r="BS1845" s="4">
        <v>44586</v>
      </c>
      <c r="BT1845" s="5">
        <v>0.40972222222222227</v>
      </c>
      <c r="BU1845" s="3" t="s">
        <v>1191</v>
      </c>
      <c r="BV1845" s="3" t="s">
        <v>105</v>
      </c>
      <c r="BY1845" s="3">
        <v>7540</v>
      </c>
      <c r="BZ1845" s="3" t="s">
        <v>165</v>
      </c>
      <c r="CA1845" s="3" t="s">
        <v>1166</v>
      </c>
      <c r="CC1845" s="3" t="s">
        <v>181</v>
      </c>
      <c r="CD1845" s="3">
        <v>1939</v>
      </c>
      <c r="CE1845" s="3" t="s">
        <v>86</v>
      </c>
      <c r="CF1845" s="4">
        <v>44587</v>
      </c>
      <c r="CI1845" s="3">
        <v>1</v>
      </c>
      <c r="CJ1845" s="3">
        <v>1</v>
      </c>
      <c r="CK1845" s="3">
        <v>24</v>
      </c>
      <c r="CL1845" s="3" t="s">
        <v>87</v>
      </c>
    </row>
    <row r="1846" spans="1:90" x14ac:dyDescent="0.2">
      <c r="A1846" s="3" t="s">
        <v>72</v>
      </c>
      <c r="B1846" s="3" t="s">
        <v>73</v>
      </c>
      <c r="C1846" s="3" t="s">
        <v>74</v>
      </c>
      <c r="E1846" s="3" t="str">
        <f>"FES1162846530"</f>
        <v>FES1162846530</v>
      </c>
      <c r="F1846" s="4">
        <v>44585</v>
      </c>
      <c r="G1846" s="3">
        <v>202207</v>
      </c>
      <c r="H1846" s="3" t="s">
        <v>75</v>
      </c>
      <c r="I1846" s="3" t="s">
        <v>76</v>
      </c>
      <c r="J1846" s="3" t="s">
        <v>77</v>
      </c>
      <c r="K1846" s="3" t="s">
        <v>78</v>
      </c>
      <c r="L1846" s="3" t="s">
        <v>101</v>
      </c>
      <c r="M1846" s="3" t="s">
        <v>102</v>
      </c>
      <c r="N1846" s="3" t="s">
        <v>272</v>
      </c>
      <c r="O1846" s="3" t="s">
        <v>82</v>
      </c>
      <c r="P1846" s="3" t="str">
        <f>"2170817935                    "</f>
        <v xml:space="preserve">2170817935                    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15.46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0</v>
      </c>
      <c r="AZ1846" s="3">
        <v>0</v>
      </c>
      <c r="BA1846" s="3">
        <v>0</v>
      </c>
      <c r="BB1846" s="3">
        <v>0</v>
      </c>
      <c r="BC1846" s="3">
        <v>0</v>
      </c>
      <c r="BD1846" s="3">
        <v>0</v>
      </c>
      <c r="BE1846" s="3">
        <v>0</v>
      </c>
      <c r="BF1846" s="3">
        <v>0</v>
      </c>
      <c r="BG1846" s="3">
        <v>0</v>
      </c>
      <c r="BH1846" s="3">
        <v>1</v>
      </c>
      <c r="BI1846" s="3">
        <v>1</v>
      </c>
      <c r="BJ1846" s="3">
        <v>0.4</v>
      </c>
      <c r="BK1846" s="3">
        <v>1</v>
      </c>
      <c r="BL1846" s="3">
        <v>59</v>
      </c>
      <c r="BM1846" s="3">
        <v>8.85</v>
      </c>
      <c r="BN1846" s="3">
        <v>67.849999999999994</v>
      </c>
      <c r="BO1846" s="3">
        <v>67.849999999999994</v>
      </c>
      <c r="BQ1846" s="3" t="s">
        <v>273</v>
      </c>
      <c r="BR1846" s="3" t="s">
        <v>84</v>
      </c>
      <c r="BS1846" s="4">
        <v>44586</v>
      </c>
      <c r="BT1846" s="5">
        <v>0.36319444444444443</v>
      </c>
      <c r="BU1846" s="3" t="s">
        <v>274</v>
      </c>
      <c r="BV1846" s="3" t="s">
        <v>105</v>
      </c>
      <c r="BY1846" s="3">
        <v>1862</v>
      </c>
      <c r="BZ1846" s="3" t="s">
        <v>165</v>
      </c>
      <c r="CA1846" s="3" t="s">
        <v>275</v>
      </c>
      <c r="CC1846" s="3" t="s">
        <v>102</v>
      </c>
      <c r="CD1846" s="3">
        <v>4000</v>
      </c>
      <c r="CE1846" s="3" t="s">
        <v>86</v>
      </c>
      <c r="CF1846" s="4">
        <v>44587</v>
      </c>
      <c r="CI1846" s="3">
        <v>1</v>
      </c>
      <c r="CJ1846" s="3">
        <v>1</v>
      </c>
      <c r="CK1846" s="3">
        <v>21</v>
      </c>
      <c r="CL1846" s="3" t="s">
        <v>87</v>
      </c>
    </row>
    <row r="1847" spans="1:90" x14ac:dyDescent="0.2">
      <c r="A1847" s="3" t="s">
        <v>72</v>
      </c>
      <c r="B1847" s="3" t="s">
        <v>73</v>
      </c>
      <c r="C1847" s="3" t="s">
        <v>74</v>
      </c>
      <c r="E1847" s="3" t="str">
        <f>"FES1162846434"</f>
        <v>FES1162846434</v>
      </c>
      <c r="F1847" s="4">
        <v>44585</v>
      </c>
      <c r="G1847" s="3">
        <v>202207</v>
      </c>
      <c r="H1847" s="3" t="s">
        <v>75</v>
      </c>
      <c r="I1847" s="3" t="s">
        <v>76</v>
      </c>
      <c r="J1847" s="3" t="s">
        <v>77</v>
      </c>
      <c r="K1847" s="3" t="s">
        <v>78</v>
      </c>
      <c r="L1847" s="3" t="s">
        <v>167</v>
      </c>
      <c r="M1847" s="3" t="s">
        <v>168</v>
      </c>
      <c r="N1847" s="3" t="s">
        <v>2015</v>
      </c>
      <c r="O1847" s="3" t="s">
        <v>82</v>
      </c>
      <c r="P1847" s="3" t="str">
        <f>"2170814495                    "</f>
        <v xml:space="preserve">2170814495                    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15.46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v>0</v>
      </c>
      <c r="BA1847" s="3">
        <v>0</v>
      </c>
      <c r="BB1847" s="3">
        <v>0</v>
      </c>
      <c r="BC1847" s="3">
        <v>0</v>
      </c>
      <c r="BD1847" s="3">
        <v>0</v>
      </c>
      <c r="BE1847" s="3">
        <v>0</v>
      </c>
      <c r="BF1847" s="3">
        <v>0</v>
      </c>
      <c r="BG1847" s="3">
        <v>0</v>
      </c>
      <c r="BH1847" s="3">
        <v>1</v>
      </c>
      <c r="BI1847" s="3">
        <v>1</v>
      </c>
      <c r="BJ1847" s="3">
        <v>0.5</v>
      </c>
      <c r="BK1847" s="3">
        <v>1</v>
      </c>
      <c r="BL1847" s="3">
        <v>59</v>
      </c>
      <c r="BM1847" s="3">
        <v>8.85</v>
      </c>
      <c r="BN1847" s="3">
        <v>67.849999999999994</v>
      </c>
      <c r="BO1847" s="3">
        <v>67.849999999999994</v>
      </c>
      <c r="BQ1847" s="3" t="s">
        <v>126</v>
      </c>
      <c r="BR1847" s="3" t="s">
        <v>84</v>
      </c>
      <c r="BS1847" s="4">
        <v>44586</v>
      </c>
      <c r="BT1847" s="5">
        <v>0.39305555555555555</v>
      </c>
      <c r="BU1847" s="3" t="s">
        <v>2016</v>
      </c>
      <c r="BV1847" s="3" t="s">
        <v>105</v>
      </c>
      <c r="BY1847" s="3">
        <v>2349</v>
      </c>
      <c r="BZ1847" s="3" t="s">
        <v>165</v>
      </c>
      <c r="CA1847" s="3" t="s">
        <v>553</v>
      </c>
      <c r="CC1847" s="3" t="s">
        <v>168</v>
      </c>
      <c r="CD1847" s="3">
        <v>6229</v>
      </c>
      <c r="CE1847" s="3" t="s">
        <v>86</v>
      </c>
      <c r="CF1847" s="4">
        <v>44586</v>
      </c>
      <c r="CI1847" s="3">
        <v>1</v>
      </c>
      <c r="CJ1847" s="3">
        <v>1</v>
      </c>
      <c r="CK1847" s="3">
        <v>21</v>
      </c>
      <c r="CL1847" s="3" t="s">
        <v>87</v>
      </c>
    </row>
    <row r="1848" spans="1:90" x14ac:dyDescent="0.2">
      <c r="A1848" s="3" t="s">
        <v>72</v>
      </c>
      <c r="B1848" s="3" t="s">
        <v>73</v>
      </c>
      <c r="C1848" s="3" t="s">
        <v>74</v>
      </c>
      <c r="E1848" s="3" t="str">
        <f>"FES1162846356"</f>
        <v>FES1162846356</v>
      </c>
      <c r="F1848" s="4">
        <v>44585</v>
      </c>
      <c r="G1848" s="3">
        <v>202207</v>
      </c>
      <c r="H1848" s="3" t="s">
        <v>75</v>
      </c>
      <c r="I1848" s="3" t="s">
        <v>76</v>
      </c>
      <c r="J1848" s="3" t="s">
        <v>77</v>
      </c>
      <c r="K1848" s="3" t="s">
        <v>78</v>
      </c>
      <c r="L1848" s="3" t="s">
        <v>97</v>
      </c>
      <c r="M1848" s="3" t="s">
        <v>98</v>
      </c>
      <c r="N1848" s="3" t="s">
        <v>183</v>
      </c>
      <c r="O1848" s="3" t="s">
        <v>82</v>
      </c>
      <c r="P1848" s="3" t="str">
        <f>"2170817798                    "</f>
        <v xml:space="preserve">2170817798                    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12.07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v>0</v>
      </c>
      <c r="BA1848" s="3">
        <v>0</v>
      </c>
      <c r="BB1848" s="3">
        <v>0</v>
      </c>
      <c r="BC1848" s="3">
        <v>0</v>
      </c>
      <c r="BD1848" s="3">
        <v>0</v>
      </c>
      <c r="BE1848" s="3">
        <v>0</v>
      </c>
      <c r="BF1848" s="3">
        <v>0</v>
      </c>
      <c r="BG1848" s="3">
        <v>0</v>
      </c>
      <c r="BH1848" s="3">
        <v>1</v>
      </c>
      <c r="BI1848" s="3">
        <v>1</v>
      </c>
      <c r="BJ1848" s="3">
        <v>1.5</v>
      </c>
      <c r="BK1848" s="3">
        <v>1.5</v>
      </c>
      <c r="BL1848" s="3">
        <v>46.08</v>
      </c>
      <c r="BM1848" s="3">
        <v>6.91</v>
      </c>
      <c r="BN1848" s="3">
        <v>52.99</v>
      </c>
      <c r="BO1848" s="3">
        <v>52.99</v>
      </c>
      <c r="BQ1848" s="3" t="s">
        <v>89</v>
      </c>
      <c r="BR1848" s="3" t="s">
        <v>84</v>
      </c>
      <c r="BS1848" s="4">
        <v>44586</v>
      </c>
      <c r="BT1848" s="5">
        <v>0.42152777777777778</v>
      </c>
      <c r="BU1848" s="3" t="s">
        <v>2012</v>
      </c>
      <c r="BV1848" s="3" t="s">
        <v>105</v>
      </c>
      <c r="BY1848" s="3">
        <v>7540</v>
      </c>
      <c r="BZ1848" s="3" t="s">
        <v>165</v>
      </c>
      <c r="CA1848" s="3" t="s">
        <v>1057</v>
      </c>
      <c r="CC1848" s="3" t="s">
        <v>98</v>
      </c>
      <c r="CD1848" s="3">
        <v>2090</v>
      </c>
      <c r="CE1848" s="3" t="s">
        <v>86</v>
      </c>
      <c r="CF1848" s="4">
        <v>44586</v>
      </c>
      <c r="CI1848" s="3">
        <v>1</v>
      </c>
      <c r="CJ1848" s="3">
        <v>1</v>
      </c>
      <c r="CK1848" s="3">
        <v>22</v>
      </c>
      <c r="CL1848" s="3" t="s">
        <v>87</v>
      </c>
    </row>
    <row r="1849" spans="1:90" x14ac:dyDescent="0.2">
      <c r="A1849" s="3" t="s">
        <v>72</v>
      </c>
      <c r="B1849" s="3" t="s">
        <v>73</v>
      </c>
      <c r="C1849" s="3" t="s">
        <v>74</v>
      </c>
      <c r="E1849" s="3" t="str">
        <f>"FES1162846566"</f>
        <v>FES1162846566</v>
      </c>
      <c r="F1849" s="4">
        <v>44585</v>
      </c>
      <c r="G1849" s="3">
        <v>202207</v>
      </c>
      <c r="H1849" s="3" t="s">
        <v>75</v>
      </c>
      <c r="I1849" s="3" t="s">
        <v>76</v>
      </c>
      <c r="J1849" s="3" t="s">
        <v>77</v>
      </c>
      <c r="K1849" s="3" t="s">
        <v>78</v>
      </c>
      <c r="L1849" s="3" t="s">
        <v>90</v>
      </c>
      <c r="M1849" s="3" t="s">
        <v>91</v>
      </c>
      <c r="N1849" s="3" t="s">
        <v>577</v>
      </c>
      <c r="O1849" s="3" t="s">
        <v>82</v>
      </c>
      <c r="P1849" s="3" t="str">
        <f>"2170815329                    "</f>
        <v xml:space="preserve">2170815329                    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38.630000000000003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0</v>
      </c>
      <c r="AZ1849" s="3">
        <v>0</v>
      </c>
      <c r="BA1849" s="3">
        <v>0</v>
      </c>
      <c r="BB1849" s="3">
        <v>0</v>
      </c>
      <c r="BC1849" s="3">
        <v>0</v>
      </c>
      <c r="BD1849" s="3">
        <v>0</v>
      </c>
      <c r="BE1849" s="3">
        <v>0</v>
      </c>
      <c r="BF1849" s="3">
        <v>0</v>
      </c>
      <c r="BG1849" s="3">
        <v>0</v>
      </c>
      <c r="BH1849" s="3">
        <v>1</v>
      </c>
      <c r="BI1849" s="3">
        <v>5</v>
      </c>
      <c r="BJ1849" s="3">
        <v>1.1000000000000001</v>
      </c>
      <c r="BK1849" s="3">
        <v>5</v>
      </c>
      <c r="BL1849" s="3">
        <v>147.44999999999999</v>
      </c>
      <c r="BM1849" s="3">
        <v>22.12</v>
      </c>
      <c r="BN1849" s="3">
        <v>169.57</v>
      </c>
      <c r="BO1849" s="3">
        <v>169.57</v>
      </c>
      <c r="BQ1849" s="3" t="s">
        <v>126</v>
      </c>
      <c r="BR1849" s="3" t="s">
        <v>84</v>
      </c>
      <c r="BS1849" s="4">
        <v>44586</v>
      </c>
      <c r="BT1849" s="5">
        <v>0.36388888888888887</v>
      </c>
      <c r="BU1849" s="3" t="s">
        <v>1208</v>
      </c>
      <c r="BV1849" s="3" t="s">
        <v>105</v>
      </c>
      <c r="BY1849" s="3">
        <v>5320</v>
      </c>
      <c r="BZ1849" s="3" t="s">
        <v>165</v>
      </c>
      <c r="CA1849" s="3" t="s">
        <v>271</v>
      </c>
      <c r="CC1849" s="3" t="s">
        <v>91</v>
      </c>
      <c r="CD1849" s="3">
        <v>7441</v>
      </c>
      <c r="CE1849" s="3" t="s">
        <v>86</v>
      </c>
      <c r="CF1849" s="4">
        <v>44587</v>
      </c>
      <c r="CI1849" s="3">
        <v>1</v>
      </c>
      <c r="CJ1849" s="3">
        <v>1</v>
      </c>
      <c r="CK1849" s="3">
        <v>21</v>
      </c>
      <c r="CL1849" s="3" t="s">
        <v>87</v>
      </c>
    </row>
    <row r="1850" spans="1:90" x14ac:dyDescent="0.2">
      <c r="A1850" s="3" t="s">
        <v>72</v>
      </c>
      <c r="B1850" s="3" t="s">
        <v>73</v>
      </c>
      <c r="C1850" s="3" t="s">
        <v>74</v>
      </c>
      <c r="E1850" s="3" t="str">
        <f>"FES1162846496"</f>
        <v>FES1162846496</v>
      </c>
      <c r="F1850" s="4">
        <v>44585</v>
      </c>
      <c r="G1850" s="3">
        <v>202207</v>
      </c>
      <c r="H1850" s="3" t="s">
        <v>75</v>
      </c>
      <c r="I1850" s="3" t="s">
        <v>76</v>
      </c>
      <c r="J1850" s="3" t="s">
        <v>77</v>
      </c>
      <c r="K1850" s="3" t="s">
        <v>78</v>
      </c>
      <c r="L1850" s="3" t="s">
        <v>171</v>
      </c>
      <c r="M1850" s="3" t="s">
        <v>172</v>
      </c>
      <c r="N1850" s="3" t="s">
        <v>2056</v>
      </c>
      <c r="O1850" s="3" t="s">
        <v>148</v>
      </c>
      <c r="P1850" s="3" t="str">
        <f>"2170815873                    "</f>
        <v xml:space="preserve">2170815873                    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39.75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v>0</v>
      </c>
      <c r="BA1850" s="3">
        <v>0</v>
      </c>
      <c r="BB1850" s="3">
        <v>0</v>
      </c>
      <c r="BC1850" s="3">
        <v>0</v>
      </c>
      <c r="BD1850" s="3">
        <v>0</v>
      </c>
      <c r="BE1850" s="3">
        <v>0</v>
      </c>
      <c r="BF1850" s="3">
        <v>0</v>
      </c>
      <c r="BG1850" s="3">
        <v>0</v>
      </c>
      <c r="BH1850" s="3">
        <v>1</v>
      </c>
      <c r="BI1850" s="3">
        <v>23</v>
      </c>
      <c r="BJ1850" s="3">
        <v>9.1</v>
      </c>
      <c r="BK1850" s="3">
        <v>23</v>
      </c>
      <c r="BL1850" s="3">
        <v>156.96</v>
      </c>
      <c r="BM1850" s="3">
        <v>23.54</v>
      </c>
      <c r="BN1850" s="3">
        <v>180.5</v>
      </c>
      <c r="BO1850" s="3">
        <v>180.5</v>
      </c>
      <c r="BQ1850" s="3" t="s">
        <v>83</v>
      </c>
      <c r="BR1850" s="3" t="s">
        <v>84</v>
      </c>
      <c r="BS1850" s="4">
        <v>44587</v>
      </c>
      <c r="BT1850" s="5">
        <v>0.3125</v>
      </c>
      <c r="BU1850" s="3" t="s">
        <v>1500</v>
      </c>
      <c r="BV1850" s="3" t="s">
        <v>105</v>
      </c>
      <c r="BY1850" s="3">
        <v>45632</v>
      </c>
      <c r="BZ1850" s="3" t="s">
        <v>327</v>
      </c>
      <c r="CA1850" s="3" t="s">
        <v>408</v>
      </c>
      <c r="CC1850" s="3" t="s">
        <v>172</v>
      </c>
      <c r="CD1850" s="3">
        <v>6045</v>
      </c>
      <c r="CE1850" s="3" t="s">
        <v>86</v>
      </c>
      <c r="CF1850" s="4">
        <v>44587</v>
      </c>
      <c r="CI1850" s="3">
        <v>2</v>
      </c>
      <c r="CJ1850" s="3">
        <v>2</v>
      </c>
      <c r="CK1850" s="3">
        <v>41</v>
      </c>
      <c r="CL1850" s="3" t="s">
        <v>87</v>
      </c>
    </row>
    <row r="1851" spans="1:90" x14ac:dyDescent="0.2">
      <c r="A1851" s="3" t="s">
        <v>72</v>
      </c>
      <c r="B1851" s="3" t="s">
        <v>73</v>
      </c>
      <c r="C1851" s="3" t="s">
        <v>74</v>
      </c>
      <c r="E1851" s="3" t="str">
        <f>"FES1162846428"</f>
        <v>FES1162846428</v>
      </c>
      <c r="F1851" s="4">
        <v>44585</v>
      </c>
      <c r="G1851" s="3">
        <v>202207</v>
      </c>
      <c r="H1851" s="3" t="s">
        <v>75</v>
      </c>
      <c r="I1851" s="3" t="s">
        <v>76</v>
      </c>
      <c r="J1851" s="3" t="s">
        <v>77</v>
      </c>
      <c r="K1851" s="3" t="s">
        <v>78</v>
      </c>
      <c r="L1851" s="3" t="s">
        <v>75</v>
      </c>
      <c r="M1851" s="3" t="s">
        <v>76</v>
      </c>
      <c r="N1851" s="3" t="s">
        <v>2026</v>
      </c>
      <c r="O1851" s="3" t="s">
        <v>82</v>
      </c>
      <c r="P1851" s="3" t="str">
        <f>"2170810038                    "</f>
        <v xml:space="preserve">2170810038                    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16.420000000000002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v>0</v>
      </c>
      <c r="BA1851" s="3">
        <v>0</v>
      </c>
      <c r="BB1851" s="3">
        <v>0</v>
      </c>
      <c r="BC1851" s="3">
        <v>0</v>
      </c>
      <c r="BD1851" s="3">
        <v>0</v>
      </c>
      <c r="BE1851" s="3">
        <v>0</v>
      </c>
      <c r="BF1851" s="3">
        <v>0</v>
      </c>
      <c r="BG1851" s="3">
        <v>0</v>
      </c>
      <c r="BH1851" s="3">
        <v>1</v>
      </c>
      <c r="BI1851" s="3">
        <v>5</v>
      </c>
      <c r="BJ1851" s="3">
        <v>9.1</v>
      </c>
      <c r="BK1851" s="3">
        <v>9.5</v>
      </c>
      <c r="BL1851" s="3">
        <v>62.67</v>
      </c>
      <c r="BM1851" s="3">
        <v>9.4</v>
      </c>
      <c r="BN1851" s="3">
        <v>72.069999999999993</v>
      </c>
      <c r="BO1851" s="3">
        <v>72.069999999999993</v>
      </c>
      <c r="BQ1851" s="3" t="s">
        <v>83</v>
      </c>
      <c r="BR1851" s="3" t="s">
        <v>84</v>
      </c>
      <c r="BS1851" s="4">
        <v>44586</v>
      </c>
      <c r="BT1851" s="5">
        <v>0.4375</v>
      </c>
      <c r="BU1851" s="3" t="s">
        <v>2027</v>
      </c>
      <c r="BV1851" s="3" t="s">
        <v>105</v>
      </c>
      <c r="BY1851" s="3">
        <v>45632</v>
      </c>
      <c r="BZ1851" s="3" t="s">
        <v>165</v>
      </c>
      <c r="CA1851" s="3" t="s">
        <v>2028</v>
      </c>
      <c r="CC1851" s="3" t="s">
        <v>76</v>
      </c>
      <c r="CD1851" s="3">
        <v>1619</v>
      </c>
      <c r="CE1851" s="3" t="s">
        <v>86</v>
      </c>
      <c r="CF1851" s="4">
        <v>44587</v>
      </c>
      <c r="CI1851" s="3">
        <v>1</v>
      </c>
      <c r="CJ1851" s="3">
        <v>1</v>
      </c>
      <c r="CK1851" s="3">
        <v>22</v>
      </c>
      <c r="CL1851" s="3" t="s">
        <v>87</v>
      </c>
    </row>
    <row r="1852" spans="1:90" x14ac:dyDescent="0.2">
      <c r="A1852" s="3" t="s">
        <v>72</v>
      </c>
      <c r="B1852" s="3" t="s">
        <v>73</v>
      </c>
      <c r="C1852" s="3" t="s">
        <v>74</v>
      </c>
      <c r="E1852" s="3" t="str">
        <f>"FES1162846528"</f>
        <v>FES1162846528</v>
      </c>
      <c r="F1852" s="4">
        <v>44585</v>
      </c>
      <c r="G1852" s="3">
        <v>202207</v>
      </c>
      <c r="H1852" s="3" t="s">
        <v>75</v>
      </c>
      <c r="I1852" s="3" t="s">
        <v>76</v>
      </c>
      <c r="J1852" s="3" t="s">
        <v>77</v>
      </c>
      <c r="K1852" s="3" t="s">
        <v>78</v>
      </c>
      <c r="L1852" s="3" t="s">
        <v>97</v>
      </c>
      <c r="M1852" s="3" t="s">
        <v>98</v>
      </c>
      <c r="N1852" s="3" t="s">
        <v>183</v>
      </c>
      <c r="O1852" s="3" t="s">
        <v>82</v>
      </c>
      <c r="P1852" s="3" t="str">
        <f>"2170817875                    "</f>
        <v xml:space="preserve">2170817875                    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12.07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v>0</v>
      </c>
      <c r="BA1852" s="3">
        <v>0</v>
      </c>
      <c r="BB1852" s="3">
        <v>0</v>
      </c>
      <c r="BC1852" s="3">
        <v>0</v>
      </c>
      <c r="BD1852" s="3">
        <v>0</v>
      </c>
      <c r="BE1852" s="3">
        <v>0</v>
      </c>
      <c r="BF1852" s="3">
        <v>0</v>
      </c>
      <c r="BG1852" s="3">
        <v>0</v>
      </c>
      <c r="BH1852" s="3">
        <v>1</v>
      </c>
      <c r="BI1852" s="3">
        <v>1</v>
      </c>
      <c r="BJ1852" s="3">
        <v>0.2</v>
      </c>
      <c r="BK1852" s="3">
        <v>1</v>
      </c>
      <c r="BL1852" s="3">
        <v>46.08</v>
      </c>
      <c r="BM1852" s="3">
        <v>6.91</v>
      </c>
      <c r="BN1852" s="3">
        <v>52.99</v>
      </c>
      <c r="BO1852" s="3">
        <v>52.99</v>
      </c>
      <c r="BQ1852" s="3" t="s">
        <v>89</v>
      </c>
      <c r="BR1852" s="3" t="s">
        <v>84</v>
      </c>
      <c r="BS1852" s="4">
        <v>44586</v>
      </c>
      <c r="BT1852" s="5">
        <v>0.42152777777777778</v>
      </c>
      <c r="BU1852" s="3" t="s">
        <v>2012</v>
      </c>
      <c r="BV1852" s="3" t="s">
        <v>105</v>
      </c>
      <c r="BY1852" s="3">
        <v>1200</v>
      </c>
      <c r="BZ1852" s="3" t="s">
        <v>165</v>
      </c>
      <c r="CA1852" s="3" t="s">
        <v>1057</v>
      </c>
      <c r="CC1852" s="3" t="s">
        <v>98</v>
      </c>
      <c r="CD1852" s="3">
        <v>2090</v>
      </c>
      <c r="CE1852" s="3" t="s">
        <v>93</v>
      </c>
      <c r="CF1852" s="4">
        <v>44586</v>
      </c>
      <c r="CI1852" s="3">
        <v>1</v>
      </c>
      <c r="CJ1852" s="3">
        <v>1</v>
      </c>
      <c r="CK1852" s="3">
        <v>22</v>
      </c>
      <c r="CL1852" s="3" t="s">
        <v>87</v>
      </c>
    </row>
    <row r="1853" spans="1:90" x14ac:dyDescent="0.2">
      <c r="A1853" s="3" t="s">
        <v>72</v>
      </c>
      <c r="B1853" s="3" t="s">
        <v>73</v>
      </c>
      <c r="C1853" s="3" t="s">
        <v>74</v>
      </c>
      <c r="E1853" s="3" t="str">
        <f>"FES1162846607"</f>
        <v>FES1162846607</v>
      </c>
      <c r="F1853" s="4">
        <v>44585</v>
      </c>
      <c r="G1853" s="3">
        <v>202207</v>
      </c>
      <c r="H1853" s="3" t="s">
        <v>75</v>
      </c>
      <c r="I1853" s="3" t="s">
        <v>76</v>
      </c>
      <c r="J1853" s="3" t="s">
        <v>77</v>
      </c>
      <c r="K1853" s="3" t="s">
        <v>78</v>
      </c>
      <c r="L1853" s="3" t="s">
        <v>90</v>
      </c>
      <c r="M1853" s="3" t="s">
        <v>91</v>
      </c>
      <c r="N1853" s="3" t="s">
        <v>157</v>
      </c>
      <c r="O1853" s="3" t="s">
        <v>82</v>
      </c>
      <c r="P1853" s="3" t="str">
        <f>"2170818007                    "</f>
        <v xml:space="preserve">2170818007                    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15.46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0</v>
      </c>
      <c r="AZ1853" s="3">
        <v>0</v>
      </c>
      <c r="BA1853" s="3">
        <v>0</v>
      </c>
      <c r="BB1853" s="3">
        <v>0</v>
      </c>
      <c r="BC1853" s="3">
        <v>0</v>
      </c>
      <c r="BD1853" s="3">
        <v>0</v>
      </c>
      <c r="BE1853" s="3">
        <v>0</v>
      </c>
      <c r="BF1853" s="3">
        <v>0</v>
      </c>
      <c r="BG1853" s="3">
        <v>0</v>
      </c>
      <c r="BH1853" s="3">
        <v>1</v>
      </c>
      <c r="BI1853" s="3">
        <v>1</v>
      </c>
      <c r="BJ1853" s="3">
        <v>0.2</v>
      </c>
      <c r="BK1853" s="3">
        <v>1</v>
      </c>
      <c r="BL1853" s="3">
        <v>59</v>
      </c>
      <c r="BM1853" s="3">
        <v>8.85</v>
      </c>
      <c r="BN1853" s="3">
        <v>67.849999999999994</v>
      </c>
      <c r="BO1853" s="3">
        <v>67.849999999999994</v>
      </c>
      <c r="BQ1853" s="3" t="s">
        <v>89</v>
      </c>
      <c r="BR1853" s="3" t="s">
        <v>84</v>
      </c>
      <c r="BS1853" s="4">
        <v>44586</v>
      </c>
      <c r="BT1853" s="5">
        <v>0.39166666666666666</v>
      </c>
      <c r="BU1853" s="3" t="s">
        <v>1999</v>
      </c>
      <c r="BV1853" s="3" t="s">
        <v>105</v>
      </c>
      <c r="BY1853" s="3">
        <v>1200</v>
      </c>
      <c r="BZ1853" s="3" t="s">
        <v>165</v>
      </c>
      <c r="CA1853" s="3" t="s">
        <v>692</v>
      </c>
      <c r="CC1853" s="3" t="s">
        <v>91</v>
      </c>
      <c r="CD1853" s="3">
        <v>7441</v>
      </c>
      <c r="CE1853" s="3" t="s">
        <v>93</v>
      </c>
      <c r="CF1853" s="4">
        <v>44587</v>
      </c>
      <c r="CI1853" s="3">
        <v>1</v>
      </c>
      <c r="CJ1853" s="3">
        <v>1</v>
      </c>
      <c r="CK1853" s="3">
        <v>21</v>
      </c>
      <c r="CL1853" s="3" t="s">
        <v>87</v>
      </c>
    </row>
    <row r="1854" spans="1:90" x14ac:dyDescent="0.2">
      <c r="A1854" s="3" t="s">
        <v>72</v>
      </c>
      <c r="B1854" s="3" t="s">
        <v>73</v>
      </c>
      <c r="C1854" s="3" t="s">
        <v>74</v>
      </c>
      <c r="E1854" s="3" t="str">
        <f>"FES1162846374"</f>
        <v>FES1162846374</v>
      </c>
      <c r="F1854" s="4">
        <v>44585</v>
      </c>
      <c r="G1854" s="3">
        <v>202207</v>
      </c>
      <c r="H1854" s="3" t="s">
        <v>75</v>
      </c>
      <c r="I1854" s="3" t="s">
        <v>76</v>
      </c>
      <c r="J1854" s="3" t="s">
        <v>77</v>
      </c>
      <c r="K1854" s="3" t="s">
        <v>78</v>
      </c>
      <c r="L1854" s="3" t="s">
        <v>162</v>
      </c>
      <c r="M1854" s="3" t="s">
        <v>163</v>
      </c>
      <c r="N1854" s="3" t="s">
        <v>164</v>
      </c>
      <c r="O1854" s="3" t="s">
        <v>82</v>
      </c>
      <c r="P1854" s="3" t="str">
        <f>"2170817864                    "</f>
        <v xml:space="preserve">2170817864                    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12.07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3">
        <v>0</v>
      </c>
      <c r="AY1854" s="3">
        <v>0</v>
      </c>
      <c r="AZ1854" s="3">
        <v>0</v>
      </c>
      <c r="BA1854" s="3">
        <v>0</v>
      </c>
      <c r="BB1854" s="3">
        <v>0</v>
      </c>
      <c r="BC1854" s="3">
        <v>0</v>
      </c>
      <c r="BD1854" s="3">
        <v>0</v>
      </c>
      <c r="BE1854" s="3">
        <v>0</v>
      </c>
      <c r="BF1854" s="3">
        <v>0</v>
      </c>
      <c r="BG1854" s="3">
        <v>0</v>
      </c>
      <c r="BH1854" s="3">
        <v>1</v>
      </c>
      <c r="BI1854" s="3">
        <v>1</v>
      </c>
      <c r="BJ1854" s="3">
        <v>0.2</v>
      </c>
      <c r="BK1854" s="3">
        <v>1</v>
      </c>
      <c r="BL1854" s="3">
        <v>46.08</v>
      </c>
      <c r="BM1854" s="3">
        <v>6.91</v>
      </c>
      <c r="BN1854" s="3">
        <v>52.99</v>
      </c>
      <c r="BO1854" s="3">
        <v>52.99</v>
      </c>
      <c r="BQ1854" s="3" t="s">
        <v>89</v>
      </c>
      <c r="BR1854" s="3" t="s">
        <v>84</v>
      </c>
      <c r="BS1854" s="4">
        <v>44586</v>
      </c>
      <c r="BT1854" s="5">
        <v>0.39513888888888887</v>
      </c>
      <c r="BU1854" s="3" t="s">
        <v>1117</v>
      </c>
      <c r="BV1854" s="3" t="s">
        <v>105</v>
      </c>
      <c r="BY1854" s="3">
        <v>1200</v>
      </c>
      <c r="BZ1854" s="3" t="s">
        <v>165</v>
      </c>
      <c r="CA1854" s="3" t="s">
        <v>591</v>
      </c>
      <c r="CC1854" s="3" t="s">
        <v>163</v>
      </c>
      <c r="CD1854" s="3">
        <v>1428</v>
      </c>
      <c r="CE1854" s="3" t="s">
        <v>93</v>
      </c>
      <c r="CF1854" s="4">
        <v>44586</v>
      </c>
      <c r="CI1854" s="3">
        <v>1</v>
      </c>
      <c r="CJ1854" s="3">
        <v>1</v>
      </c>
      <c r="CK1854" s="3">
        <v>22</v>
      </c>
      <c r="CL1854" s="3" t="s">
        <v>87</v>
      </c>
    </row>
    <row r="1855" spans="1:90" x14ac:dyDescent="0.2">
      <c r="A1855" s="3" t="s">
        <v>72</v>
      </c>
      <c r="B1855" s="3" t="s">
        <v>73</v>
      </c>
      <c r="C1855" s="3" t="s">
        <v>74</v>
      </c>
      <c r="E1855" s="3" t="str">
        <f>"FES1162846586"</f>
        <v>FES1162846586</v>
      </c>
      <c r="F1855" s="4">
        <v>44585</v>
      </c>
      <c r="G1855" s="3">
        <v>202207</v>
      </c>
      <c r="H1855" s="3" t="s">
        <v>75</v>
      </c>
      <c r="I1855" s="3" t="s">
        <v>76</v>
      </c>
      <c r="J1855" s="3" t="s">
        <v>77</v>
      </c>
      <c r="K1855" s="3" t="s">
        <v>78</v>
      </c>
      <c r="L1855" s="3" t="s">
        <v>90</v>
      </c>
      <c r="M1855" s="3" t="s">
        <v>91</v>
      </c>
      <c r="N1855" s="3" t="s">
        <v>114</v>
      </c>
      <c r="O1855" s="3" t="s">
        <v>82</v>
      </c>
      <c r="P1855" s="3" t="str">
        <f>"2170817988                    "</f>
        <v xml:space="preserve">2170817988                    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15.46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0</v>
      </c>
      <c r="AZ1855" s="3">
        <v>0</v>
      </c>
      <c r="BA1855" s="3">
        <v>0</v>
      </c>
      <c r="BB1855" s="3">
        <v>0</v>
      </c>
      <c r="BC1855" s="3">
        <v>0</v>
      </c>
      <c r="BD1855" s="3">
        <v>0</v>
      </c>
      <c r="BE1855" s="3">
        <v>0</v>
      </c>
      <c r="BF1855" s="3">
        <v>0</v>
      </c>
      <c r="BG1855" s="3">
        <v>0</v>
      </c>
      <c r="BH1855" s="3">
        <v>1</v>
      </c>
      <c r="BI1855" s="3">
        <v>1</v>
      </c>
      <c r="BJ1855" s="3">
        <v>0.2</v>
      </c>
      <c r="BK1855" s="3">
        <v>1</v>
      </c>
      <c r="BL1855" s="3">
        <v>59</v>
      </c>
      <c r="BM1855" s="3">
        <v>8.85</v>
      </c>
      <c r="BN1855" s="3">
        <v>67.849999999999994</v>
      </c>
      <c r="BO1855" s="3">
        <v>67.849999999999994</v>
      </c>
      <c r="BQ1855" s="3" t="s">
        <v>89</v>
      </c>
      <c r="BR1855" s="3" t="s">
        <v>84</v>
      </c>
      <c r="BS1855" s="4">
        <v>44586</v>
      </c>
      <c r="BT1855" s="5">
        <v>0.40347222222222223</v>
      </c>
      <c r="BU1855" s="3" t="s">
        <v>2033</v>
      </c>
      <c r="BV1855" s="3" t="s">
        <v>105</v>
      </c>
      <c r="BY1855" s="3">
        <v>1200</v>
      </c>
      <c r="BZ1855" s="3" t="s">
        <v>165</v>
      </c>
      <c r="CA1855" s="3" t="s">
        <v>692</v>
      </c>
      <c r="CC1855" s="3" t="s">
        <v>91</v>
      </c>
      <c r="CD1855" s="3">
        <v>7441</v>
      </c>
      <c r="CE1855" s="3" t="s">
        <v>93</v>
      </c>
      <c r="CF1855" s="4">
        <v>44587</v>
      </c>
      <c r="CI1855" s="3">
        <v>1</v>
      </c>
      <c r="CJ1855" s="3">
        <v>1</v>
      </c>
      <c r="CK1855" s="3">
        <v>21</v>
      </c>
      <c r="CL1855" s="3" t="s">
        <v>87</v>
      </c>
    </row>
    <row r="1856" spans="1:90" x14ac:dyDescent="0.2">
      <c r="A1856" s="3" t="s">
        <v>72</v>
      </c>
      <c r="B1856" s="3" t="s">
        <v>73</v>
      </c>
      <c r="C1856" s="3" t="s">
        <v>74</v>
      </c>
      <c r="E1856" s="3" t="str">
        <f>"FES1162846381"</f>
        <v>FES1162846381</v>
      </c>
      <c r="F1856" s="4">
        <v>44585</v>
      </c>
      <c r="G1856" s="3">
        <v>202207</v>
      </c>
      <c r="H1856" s="3" t="s">
        <v>75</v>
      </c>
      <c r="I1856" s="3" t="s">
        <v>76</v>
      </c>
      <c r="J1856" s="3" t="s">
        <v>77</v>
      </c>
      <c r="K1856" s="3" t="s">
        <v>78</v>
      </c>
      <c r="L1856" s="3" t="s">
        <v>79</v>
      </c>
      <c r="M1856" s="3" t="s">
        <v>80</v>
      </c>
      <c r="N1856" s="3" t="s">
        <v>410</v>
      </c>
      <c r="O1856" s="3" t="s">
        <v>82</v>
      </c>
      <c r="P1856" s="3" t="str">
        <f>"2170817877                    "</f>
        <v xml:space="preserve">2170817877                    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15.46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v>0</v>
      </c>
      <c r="BA1856" s="3">
        <v>0</v>
      </c>
      <c r="BB1856" s="3">
        <v>0</v>
      </c>
      <c r="BC1856" s="3">
        <v>0</v>
      </c>
      <c r="BD1856" s="3">
        <v>0</v>
      </c>
      <c r="BE1856" s="3">
        <v>0</v>
      </c>
      <c r="BF1856" s="3">
        <v>0</v>
      </c>
      <c r="BG1856" s="3">
        <v>0</v>
      </c>
      <c r="BH1856" s="3">
        <v>1</v>
      </c>
      <c r="BI1856" s="3">
        <v>1</v>
      </c>
      <c r="BJ1856" s="3">
        <v>0.2</v>
      </c>
      <c r="BK1856" s="3">
        <v>1</v>
      </c>
      <c r="BL1856" s="3">
        <v>59</v>
      </c>
      <c r="BM1856" s="3">
        <v>8.85</v>
      </c>
      <c r="BN1856" s="3">
        <v>67.849999999999994</v>
      </c>
      <c r="BO1856" s="3">
        <v>67.849999999999994</v>
      </c>
      <c r="BQ1856" s="3" t="s">
        <v>83</v>
      </c>
      <c r="BR1856" s="3" t="s">
        <v>84</v>
      </c>
      <c r="BS1856" s="4">
        <v>44586</v>
      </c>
      <c r="BT1856" s="5">
        <v>0.62222222222222223</v>
      </c>
      <c r="BU1856" s="3" t="s">
        <v>2057</v>
      </c>
      <c r="BV1856" s="3" t="s">
        <v>87</v>
      </c>
      <c r="BY1856" s="3">
        <v>1200</v>
      </c>
      <c r="BZ1856" s="3" t="s">
        <v>165</v>
      </c>
      <c r="CA1856" s="3">
        <v>80010374635</v>
      </c>
      <c r="CC1856" s="3" t="s">
        <v>80</v>
      </c>
      <c r="CD1856" s="3">
        <v>183</v>
      </c>
      <c r="CE1856" s="3" t="s">
        <v>93</v>
      </c>
      <c r="CF1856" s="4">
        <v>44587</v>
      </c>
      <c r="CI1856" s="3">
        <v>1</v>
      </c>
      <c r="CJ1856" s="3">
        <v>1</v>
      </c>
      <c r="CK1856" s="3">
        <v>21</v>
      </c>
      <c r="CL1856" s="3" t="s">
        <v>87</v>
      </c>
    </row>
    <row r="1857" spans="1:90" x14ac:dyDescent="0.2">
      <c r="A1857" s="3" t="s">
        <v>72</v>
      </c>
      <c r="B1857" s="3" t="s">
        <v>73</v>
      </c>
      <c r="C1857" s="3" t="s">
        <v>74</v>
      </c>
      <c r="E1857" s="3" t="str">
        <f>"FES1162846536"</f>
        <v>FES1162846536</v>
      </c>
      <c r="F1857" s="4">
        <v>44585</v>
      </c>
      <c r="G1857" s="3">
        <v>202207</v>
      </c>
      <c r="H1857" s="3" t="s">
        <v>75</v>
      </c>
      <c r="I1857" s="3" t="s">
        <v>76</v>
      </c>
      <c r="J1857" s="3" t="s">
        <v>77</v>
      </c>
      <c r="K1857" s="3" t="s">
        <v>78</v>
      </c>
      <c r="L1857" s="3" t="s">
        <v>258</v>
      </c>
      <c r="M1857" s="3" t="s">
        <v>259</v>
      </c>
      <c r="N1857" s="3" t="s">
        <v>260</v>
      </c>
      <c r="O1857" s="3" t="s">
        <v>82</v>
      </c>
      <c r="P1857" s="3" t="str">
        <f>"2170817929                    "</f>
        <v xml:space="preserve">2170817929                    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95.84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0</v>
      </c>
      <c r="AT1857" s="3">
        <v>0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v>0</v>
      </c>
      <c r="BA1857" s="3">
        <v>0</v>
      </c>
      <c r="BB1857" s="3">
        <v>0</v>
      </c>
      <c r="BC1857" s="3">
        <v>0</v>
      </c>
      <c r="BD1857" s="3">
        <v>0</v>
      </c>
      <c r="BE1857" s="3">
        <v>0</v>
      </c>
      <c r="BF1857" s="3">
        <v>0</v>
      </c>
      <c r="BG1857" s="3">
        <v>0</v>
      </c>
      <c r="BH1857" s="3">
        <v>1</v>
      </c>
      <c r="BI1857" s="3">
        <v>9</v>
      </c>
      <c r="BJ1857" s="3">
        <v>4.0999999999999996</v>
      </c>
      <c r="BK1857" s="3">
        <v>9</v>
      </c>
      <c r="BL1857" s="3">
        <v>365.82</v>
      </c>
      <c r="BM1857" s="3">
        <v>54.87</v>
      </c>
      <c r="BN1857" s="3">
        <v>420.69</v>
      </c>
      <c r="BO1857" s="3">
        <v>420.69</v>
      </c>
      <c r="BQ1857" s="3" t="s">
        <v>83</v>
      </c>
      <c r="BR1857" s="3" t="s">
        <v>84</v>
      </c>
      <c r="BS1857" s="4">
        <v>44586</v>
      </c>
      <c r="BT1857" s="5">
        <v>0.53749999999999998</v>
      </c>
      <c r="BU1857" s="3" t="s">
        <v>722</v>
      </c>
      <c r="BV1857" s="3" t="s">
        <v>87</v>
      </c>
      <c r="BW1857" s="3" t="s">
        <v>353</v>
      </c>
      <c r="BX1857" s="3" t="s">
        <v>723</v>
      </c>
      <c r="BY1857" s="3">
        <v>20358</v>
      </c>
      <c r="BZ1857" s="3" t="s">
        <v>165</v>
      </c>
      <c r="CA1857" s="3" t="s">
        <v>724</v>
      </c>
      <c r="CC1857" s="3" t="s">
        <v>259</v>
      </c>
      <c r="CD1857" s="3">
        <v>2302</v>
      </c>
      <c r="CE1857" s="3" t="s">
        <v>86</v>
      </c>
      <c r="CF1857" s="4">
        <v>44587</v>
      </c>
      <c r="CI1857" s="3">
        <v>1</v>
      </c>
      <c r="CJ1857" s="3">
        <v>1</v>
      </c>
      <c r="CK1857" s="3">
        <v>24</v>
      </c>
      <c r="CL1857" s="3" t="s">
        <v>87</v>
      </c>
    </row>
    <row r="1858" spans="1:90" x14ac:dyDescent="0.2">
      <c r="A1858" s="3" t="s">
        <v>72</v>
      </c>
      <c r="B1858" s="3" t="s">
        <v>73</v>
      </c>
      <c r="C1858" s="3" t="s">
        <v>74</v>
      </c>
      <c r="E1858" s="3" t="str">
        <f>"FES1162846397"</f>
        <v>FES1162846397</v>
      </c>
      <c r="F1858" s="4">
        <v>44585</v>
      </c>
      <c r="G1858" s="3">
        <v>202207</v>
      </c>
      <c r="H1858" s="3" t="s">
        <v>75</v>
      </c>
      <c r="I1858" s="3" t="s">
        <v>76</v>
      </c>
      <c r="J1858" s="3" t="s">
        <v>77</v>
      </c>
      <c r="K1858" s="3" t="s">
        <v>78</v>
      </c>
      <c r="L1858" s="3" t="s">
        <v>123</v>
      </c>
      <c r="M1858" s="3" t="s">
        <v>124</v>
      </c>
      <c r="N1858" s="3" t="s">
        <v>709</v>
      </c>
      <c r="O1858" s="3" t="s">
        <v>82</v>
      </c>
      <c r="P1858" s="3" t="str">
        <f>"2170817910                    "</f>
        <v xml:space="preserve">2170817910                    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12.07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v>0</v>
      </c>
      <c r="BA1858" s="3">
        <v>0</v>
      </c>
      <c r="BB1858" s="3">
        <v>0</v>
      </c>
      <c r="BC1858" s="3">
        <v>0</v>
      </c>
      <c r="BD1858" s="3">
        <v>0</v>
      </c>
      <c r="BE1858" s="3">
        <v>0</v>
      </c>
      <c r="BF1858" s="3">
        <v>0</v>
      </c>
      <c r="BG1858" s="3">
        <v>0</v>
      </c>
      <c r="BH1858" s="3">
        <v>1</v>
      </c>
      <c r="BI1858" s="3">
        <v>2</v>
      </c>
      <c r="BJ1858" s="3">
        <v>0.5</v>
      </c>
      <c r="BK1858" s="3">
        <v>2</v>
      </c>
      <c r="BL1858" s="3">
        <v>46.08</v>
      </c>
      <c r="BM1858" s="3">
        <v>6.91</v>
      </c>
      <c r="BN1858" s="3">
        <v>52.99</v>
      </c>
      <c r="BO1858" s="3">
        <v>52.99</v>
      </c>
      <c r="BQ1858" s="3" t="s">
        <v>89</v>
      </c>
      <c r="BR1858" s="3" t="s">
        <v>84</v>
      </c>
      <c r="BS1858" s="4">
        <v>44586</v>
      </c>
      <c r="BT1858" s="5">
        <v>0.3611111111111111</v>
      </c>
      <c r="BU1858" s="3" t="s">
        <v>2058</v>
      </c>
      <c r="BV1858" s="3" t="s">
        <v>105</v>
      </c>
      <c r="BY1858" s="3">
        <v>2268</v>
      </c>
      <c r="BZ1858" s="3" t="s">
        <v>165</v>
      </c>
      <c r="CA1858" s="3" t="s">
        <v>266</v>
      </c>
      <c r="CC1858" s="3" t="s">
        <v>124</v>
      </c>
      <c r="CD1858" s="3">
        <v>1725</v>
      </c>
      <c r="CE1858" s="3" t="s">
        <v>86</v>
      </c>
      <c r="CF1858" s="4">
        <v>44586</v>
      </c>
      <c r="CI1858" s="3">
        <v>1</v>
      </c>
      <c r="CJ1858" s="3">
        <v>1</v>
      </c>
      <c r="CK1858" s="3">
        <v>22</v>
      </c>
      <c r="CL1858" s="3" t="s">
        <v>87</v>
      </c>
    </row>
    <row r="1859" spans="1:90" x14ac:dyDescent="0.2">
      <c r="A1859" s="3" t="s">
        <v>72</v>
      </c>
      <c r="B1859" s="3" t="s">
        <v>73</v>
      </c>
      <c r="C1859" s="3" t="s">
        <v>74</v>
      </c>
      <c r="E1859" s="3" t="str">
        <f>"FES1162846346"</f>
        <v>FES1162846346</v>
      </c>
      <c r="F1859" s="4">
        <v>44585</v>
      </c>
      <c r="G1859" s="3">
        <v>202207</v>
      </c>
      <c r="H1859" s="3" t="s">
        <v>75</v>
      </c>
      <c r="I1859" s="3" t="s">
        <v>76</v>
      </c>
      <c r="J1859" s="3" t="s">
        <v>77</v>
      </c>
      <c r="K1859" s="3" t="s">
        <v>78</v>
      </c>
      <c r="L1859" s="3" t="s">
        <v>158</v>
      </c>
      <c r="M1859" s="3" t="s">
        <v>159</v>
      </c>
      <c r="N1859" s="3" t="s">
        <v>1977</v>
      </c>
      <c r="O1859" s="3" t="s">
        <v>82</v>
      </c>
      <c r="P1859" s="3" t="str">
        <f>"2170817712                    "</f>
        <v xml:space="preserve">2170817712                    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12.07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v>0</v>
      </c>
      <c r="BA1859" s="3">
        <v>0</v>
      </c>
      <c r="BB1859" s="3">
        <v>0</v>
      </c>
      <c r="BC1859" s="3">
        <v>0</v>
      </c>
      <c r="BD1859" s="3">
        <v>0</v>
      </c>
      <c r="BE1859" s="3">
        <v>0</v>
      </c>
      <c r="BF1859" s="3">
        <v>0</v>
      </c>
      <c r="BG1859" s="3">
        <v>0</v>
      </c>
      <c r="BH1859" s="3">
        <v>1</v>
      </c>
      <c r="BI1859" s="3">
        <v>2</v>
      </c>
      <c r="BJ1859" s="3">
        <v>4.0999999999999996</v>
      </c>
      <c r="BK1859" s="3">
        <v>4.5</v>
      </c>
      <c r="BL1859" s="3">
        <v>46.08</v>
      </c>
      <c r="BM1859" s="3">
        <v>6.91</v>
      </c>
      <c r="BN1859" s="3">
        <v>52.99</v>
      </c>
      <c r="BO1859" s="3">
        <v>52.99</v>
      </c>
      <c r="BQ1859" s="3" t="s">
        <v>89</v>
      </c>
      <c r="BR1859" s="3" t="s">
        <v>84</v>
      </c>
      <c r="BS1859" s="4">
        <v>44586</v>
      </c>
      <c r="BT1859" s="5">
        <v>0.30277777777777776</v>
      </c>
      <c r="BU1859" s="3" t="s">
        <v>1978</v>
      </c>
      <c r="BV1859" s="3" t="s">
        <v>105</v>
      </c>
      <c r="BY1859" s="3">
        <v>20358</v>
      </c>
      <c r="BZ1859" s="3" t="s">
        <v>165</v>
      </c>
      <c r="CA1859" s="3" t="s">
        <v>653</v>
      </c>
      <c r="CC1859" s="3" t="s">
        <v>159</v>
      </c>
      <c r="CD1859" s="3">
        <v>1459</v>
      </c>
      <c r="CE1859" s="3" t="s">
        <v>86</v>
      </c>
      <c r="CF1859" s="4">
        <v>44587</v>
      </c>
      <c r="CI1859" s="3">
        <v>1</v>
      </c>
      <c r="CJ1859" s="3">
        <v>1</v>
      </c>
      <c r="CK1859" s="3">
        <v>22</v>
      </c>
      <c r="CL1859" s="3" t="s">
        <v>87</v>
      </c>
    </row>
    <row r="1860" spans="1:90" x14ac:dyDescent="0.2">
      <c r="A1860" s="3" t="s">
        <v>72</v>
      </c>
      <c r="B1860" s="3" t="s">
        <v>73</v>
      </c>
      <c r="C1860" s="3" t="s">
        <v>74</v>
      </c>
      <c r="E1860" s="3" t="str">
        <f>"FES1162846339"</f>
        <v>FES1162846339</v>
      </c>
      <c r="F1860" s="4">
        <v>44585</v>
      </c>
      <c r="G1860" s="3">
        <v>202207</v>
      </c>
      <c r="H1860" s="3" t="s">
        <v>75</v>
      </c>
      <c r="I1860" s="3" t="s">
        <v>76</v>
      </c>
      <c r="J1860" s="3" t="s">
        <v>77</v>
      </c>
      <c r="K1860" s="3" t="s">
        <v>78</v>
      </c>
      <c r="L1860" s="3" t="s">
        <v>244</v>
      </c>
      <c r="M1860" s="3" t="s">
        <v>245</v>
      </c>
      <c r="N1860" s="3" t="s">
        <v>400</v>
      </c>
      <c r="O1860" s="3" t="s">
        <v>82</v>
      </c>
      <c r="P1860" s="3" t="str">
        <f>"2170817523                    "</f>
        <v xml:space="preserve">2170817523                    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63.76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v>0</v>
      </c>
      <c r="BA1860" s="3">
        <v>0</v>
      </c>
      <c r="BB1860" s="3">
        <v>0</v>
      </c>
      <c r="BC1860" s="3">
        <v>0</v>
      </c>
      <c r="BD1860" s="3">
        <v>0</v>
      </c>
      <c r="BE1860" s="3">
        <v>0</v>
      </c>
      <c r="BF1860" s="3">
        <v>0</v>
      </c>
      <c r="BG1860" s="3">
        <v>0</v>
      </c>
      <c r="BH1860" s="3">
        <v>1</v>
      </c>
      <c r="BI1860" s="3">
        <v>1</v>
      </c>
      <c r="BJ1860" s="3">
        <v>4.0999999999999996</v>
      </c>
      <c r="BK1860" s="3">
        <v>4.5</v>
      </c>
      <c r="BL1860" s="3">
        <v>243.37</v>
      </c>
      <c r="BM1860" s="3">
        <v>36.51</v>
      </c>
      <c r="BN1860" s="3">
        <v>279.88</v>
      </c>
      <c r="BO1860" s="3">
        <v>279.88</v>
      </c>
      <c r="BQ1860" s="3" t="s">
        <v>83</v>
      </c>
      <c r="BR1860" s="3" t="s">
        <v>84</v>
      </c>
      <c r="BS1860" s="4">
        <v>44586</v>
      </c>
      <c r="BT1860" s="5">
        <v>0.37777777777777777</v>
      </c>
      <c r="BU1860" s="3" t="s">
        <v>1995</v>
      </c>
      <c r="BV1860" s="3" t="s">
        <v>105</v>
      </c>
      <c r="BY1860" s="3">
        <v>20250</v>
      </c>
      <c r="BZ1860" s="3" t="s">
        <v>165</v>
      </c>
      <c r="CA1860" s="3" t="s">
        <v>1996</v>
      </c>
      <c r="CC1860" s="3" t="s">
        <v>245</v>
      </c>
      <c r="CD1860" s="3">
        <v>1947</v>
      </c>
      <c r="CE1860" s="3" t="s">
        <v>86</v>
      </c>
      <c r="CF1860" s="4">
        <v>44587</v>
      </c>
      <c r="CI1860" s="3">
        <v>1</v>
      </c>
      <c r="CJ1860" s="3">
        <v>1</v>
      </c>
      <c r="CK1860" s="3">
        <v>23</v>
      </c>
      <c r="CL1860" s="3" t="s">
        <v>87</v>
      </c>
    </row>
    <row r="1861" spans="1:90" x14ac:dyDescent="0.2">
      <c r="A1861" s="3" t="s">
        <v>72</v>
      </c>
      <c r="B1861" s="3" t="s">
        <v>73</v>
      </c>
      <c r="C1861" s="3" t="s">
        <v>74</v>
      </c>
      <c r="E1861" s="3" t="str">
        <f>"FES1162846412"</f>
        <v>FES1162846412</v>
      </c>
      <c r="F1861" s="4">
        <v>44585</v>
      </c>
      <c r="G1861" s="3">
        <v>202207</v>
      </c>
      <c r="H1861" s="3" t="s">
        <v>75</v>
      </c>
      <c r="I1861" s="3" t="s">
        <v>76</v>
      </c>
      <c r="J1861" s="3" t="s">
        <v>77</v>
      </c>
      <c r="K1861" s="3" t="s">
        <v>78</v>
      </c>
      <c r="L1861" s="3" t="s">
        <v>171</v>
      </c>
      <c r="M1861" s="3" t="s">
        <v>172</v>
      </c>
      <c r="N1861" s="3" t="s">
        <v>200</v>
      </c>
      <c r="O1861" s="3" t="s">
        <v>82</v>
      </c>
      <c r="P1861" s="3" t="str">
        <f>"2170792757                    "</f>
        <v xml:space="preserve">2170792757                    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15.46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v>0</v>
      </c>
      <c r="BA1861" s="3">
        <v>0</v>
      </c>
      <c r="BB1861" s="3">
        <v>0</v>
      </c>
      <c r="BC1861" s="3">
        <v>0</v>
      </c>
      <c r="BD1861" s="3">
        <v>0</v>
      </c>
      <c r="BE1861" s="3">
        <v>0</v>
      </c>
      <c r="BF1861" s="3">
        <v>0</v>
      </c>
      <c r="BG1861" s="3">
        <v>0</v>
      </c>
      <c r="BH1861" s="3">
        <v>1</v>
      </c>
      <c r="BI1861" s="3">
        <v>1</v>
      </c>
      <c r="BJ1861" s="3">
        <v>2</v>
      </c>
      <c r="BK1861" s="3">
        <v>2</v>
      </c>
      <c r="BL1861" s="3">
        <v>59</v>
      </c>
      <c r="BM1861" s="3">
        <v>8.85</v>
      </c>
      <c r="BN1861" s="3">
        <v>67.849999999999994</v>
      </c>
      <c r="BO1861" s="3">
        <v>67.849999999999994</v>
      </c>
      <c r="BQ1861" s="3" t="s">
        <v>89</v>
      </c>
      <c r="BR1861" s="3" t="s">
        <v>84</v>
      </c>
      <c r="BS1861" s="4">
        <v>44586</v>
      </c>
      <c r="BT1861" s="5">
        <v>0.3888888888888889</v>
      </c>
      <c r="BU1861" s="3" t="s">
        <v>908</v>
      </c>
      <c r="BV1861" s="3" t="s">
        <v>105</v>
      </c>
      <c r="BY1861" s="3">
        <v>9918</v>
      </c>
      <c r="BZ1861" s="3" t="s">
        <v>165</v>
      </c>
      <c r="CA1861" s="3" t="s">
        <v>814</v>
      </c>
      <c r="CC1861" s="3" t="s">
        <v>172</v>
      </c>
      <c r="CD1861" s="3">
        <v>6001</v>
      </c>
      <c r="CE1861" s="3" t="s">
        <v>86</v>
      </c>
      <c r="CF1861" s="4">
        <v>44586</v>
      </c>
      <c r="CI1861" s="3">
        <v>1</v>
      </c>
      <c r="CJ1861" s="3">
        <v>1</v>
      </c>
      <c r="CK1861" s="3">
        <v>21</v>
      </c>
      <c r="CL1861" s="3" t="s">
        <v>87</v>
      </c>
    </row>
    <row r="1862" spans="1:90" x14ac:dyDescent="0.2">
      <c r="A1862" s="3" t="s">
        <v>72</v>
      </c>
      <c r="B1862" s="3" t="s">
        <v>73</v>
      </c>
      <c r="C1862" s="3" t="s">
        <v>74</v>
      </c>
      <c r="E1862" s="3" t="str">
        <f>"FES1162846425"</f>
        <v>FES1162846425</v>
      </c>
      <c r="F1862" s="4">
        <v>44585</v>
      </c>
      <c r="G1862" s="3">
        <v>202207</v>
      </c>
      <c r="H1862" s="3" t="s">
        <v>75</v>
      </c>
      <c r="I1862" s="3" t="s">
        <v>76</v>
      </c>
      <c r="J1862" s="3" t="s">
        <v>77</v>
      </c>
      <c r="K1862" s="3" t="s">
        <v>78</v>
      </c>
      <c r="L1862" s="3" t="s">
        <v>75</v>
      </c>
      <c r="M1862" s="3" t="s">
        <v>76</v>
      </c>
      <c r="N1862" s="3" t="s">
        <v>688</v>
      </c>
      <c r="O1862" s="3" t="s">
        <v>148</v>
      </c>
      <c r="P1862" s="3" t="str">
        <f>"2170808837                    "</f>
        <v xml:space="preserve">2170808837                    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30.48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v>0</v>
      </c>
      <c r="BA1862" s="3">
        <v>0</v>
      </c>
      <c r="BB1862" s="3">
        <v>0</v>
      </c>
      <c r="BC1862" s="3">
        <v>0</v>
      </c>
      <c r="BD1862" s="3">
        <v>0</v>
      </c>
      <c r="BE1862" s="3">
        <v>0</v>
      </c>
      <c r="BF1862" s="3">
        <v>0</v>
      </c>
      <c r="BG1862" s="3">
        <v>0</v>
      </c>
      <c r="BH1862" s="3">
        <v>2</v>
      </c>
      <c r="BI1862" s="3">
        <v>26</v>
      </c>
      <c r="BJ1862" s="3">
        <v>8.1</v>
      </c>
      <c r="BK1862" s="3">
        <v>26</v>
      </c>
      <c r="BL1862" s="3">
        <v>121.6</v>
      </c>
      <c r="BM1862" s="3">
        <v>18.239999999999998</v>
      </c>
      <c r="BN1862" s="3">
        <v>139.84</v>
      </c>
      <c r="BO1862" s="3">
        <v>139.84</v>
      </c>
      <c r="BQ1862" s="3" t="s">
        <v>83</v>
      </c>
      <c r="BR1862" s="3" t="s">
        <v>84</v>
      </c>
      <c r="BS1862" s="4">
        <v>44586</v>
      </c>
      <c r="BT1862" s="5">
        <v>0.30694444444444441</v>
      </c>
      <c r="BU1862" s="3" t="s">
        <v>689</v>
      </c>
      <c r="BV1862" s="3" t="s">
        <v>105</v>
      </c>
      <c r="BY1862" s="3">
        <v>20358</v>
      </c>
      <c r="BZ1862" s="3" t="s">
        <v>327</v>
      </c>
      <c r="CA1862" s="3" t="s">
        <v>227</v>
      </c>
      <c r="CC1862" s="3" t="s">
        <v>76</v>
      </c>
      <c r="CD1862" s="3">
        <v>1620</v>
      </c>
      <c r="CE1862" s="3" t="s">
        <v>221</v>
      </c>
      <c r="CF1862" s="4">
        <v>44586</v>
      </c>
      <c r="CI1862" s="3">
        <v>1</v>
      </c>
      <c r="CJ1862" s="3">
        <v>1</v>
      </c>
      <c r="CK1862" s="3">
        <v>42</v>
      </c>
      <c r="CL1862" s="3" t="s">
        <v>87</v>
      </c>
    </row>
    <row r="1863" spans="1:90" x14ac:dyDescent="0.2">
      <c r="A1863" s="3" t="s">
        <v>72</v>
      </c>
      <c r="B1863" s="3" t="s">
        <v>73</v>
      </c>
      <c r="C1863" s="3" t="s">
        <v>74</v>
      </c>
      <c r="E1863" s="3" t="str">
        <f>"FES1162846539"</f>
        <v>FES1162846539</v>
      </c>
      <c r="F1863" s="4">
        <v>44585</v>
      </c>
      <c r="G1863" s="3">
        <v>202207</v>
      </c>
      <c r="H1863" s="3" t="s">
        <v>75</v>
      </c>
      <c r="I1863" s="3" t="s">
        <v>76</v>
      </c>
      <c r="J1863" s="3" t="s">
        <v>77</v>
      </c>
      <c r="K1863" s="3" t="s">
        <v>78</v>
      </c>
      <c r="L1863" s="3" t="s">
        <v>154</v>
      </c>
      <c r="M1863" s="3" t="s">
        <v>155</v>
      </c>
      <c r="N1863" s="3" t="s">
        <v>2059</v>
      </c>
      <c r="O1863" s="3" t="s">
        <v>148</v>
      </c>
      <c r="P1863" s="3" t="str">
        <f>"2170806021                    "</f>
        <v xml:space="preserve">2170806021                    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28.46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0</v>
      </c>
      <c r="AZ1863" s="3">
        <v>0</v>
      </c>
      <c r="BA1863" s="3">
        <v>0</v>
      </c>
      <c r="BB1863" s="3">
        <v>0</v>
      </c>
      <c r="BC1863" s="3">
        <v>0</v>
      </c>
      <c r="BD1863" s="3">
        <v>0</v>
      </c>
      <c r="BE1863" s="3">
        <v>0</v>
      </c>
      <c r="BF1863" s="3">
        <v>0</v>
      </c>
      <c r="BG1863" s="3">
        <v>0</v>
      </c>
      <c r="BH1863" s="3">
        <v>1</v>
      </c>
      <c r="BI1863" s="3">
        <v>23</v>
      </c>
      <c r="BJ1863" s="3">
        <v>20</v>
      </c>
      <c r="BK1863" s="3">
        <v>23</v>
      </c>
      <c r="BL1863" s="3">
        <v>113.88</v>
      </c>
      <c r="BM1863" s="3">
        <v>17.079999999999998</v>
      </c>
      <c r="BN1863" s="3">
        <v>130.96</v>
      </c>
      <c r="BO1863" s="3">
        <v>130.96</v>
      </c>
      <c r="BR1863" s="3" t="s">
        <v>84</v>
      </c>
      <c r="BS1863" s="4">
        <v>44586</v>
      </c>
      <c r="BT1863" s="5">
        <v>0.42638888888888887</v>
      </c>
      <c r="BU1863" s="3" t="s">
        <v>2060</v>
      </c>
      <c r="BV1863" s="3" t="s">
        <v>105</v>
      </c>
      <c r="BY1863" s="3">
        <v>100000</v>
      </c>
      <c r="BZ1863" s="3" t="s">
        <v>327</v>
      </c>
      <c r="CC1863" s="3" t="s">
        <v>155</v>
      </c>
      <c r="CD1863" s="3">
        <v>1682</v>
      </c>
      <c r="CE1863" s="3" t="s">
        <v>86</v>
      </c>
      <c r="CF1863" s="4">
        <v>44586</v>
      </c>
      <c r="CI1863" s="3">
        <v>1</v>
      </c>
      <c r="CJ1863" s="3">
        <v>1</v>
      </c>
      <c r="CK1863" s="3">
        <v>42</v>
      </c>
      <c r="CL1863" s="3" t="s">
        <v>87</v>
      </c>
    </row>
    <row r="1864" spans="1:90" x14ac:dyDescent="0.2">
      <c r="A1864" s="3" t="s">
        <v>72</v>
      </c>
      <c r="B1864" s="3" t="s">
        <v>73</v>
      </c>
      <c r="C1864" s="3" t="s">
        <v>74</v>
      </c>
      <c r="E1864" s="3" t="str">
        <f>"FES1162846421"</f>
        <v>FES1162846421</v>
      </c>
      <c r="F1864" s="4">
        <v>44585</v>
      </c>
      <c r="G1864" s="3">
        <v>202207</v>
      </c>
      <c r="H1864" s="3" t="s">
        <v>75</v>
      </c>
      <c r="I1864" s="3" t="s">
        <v>76</v>
      </c>
      <c r="J1864" s="3" t="s">
        <v>77</v>
      </c>
      <c r="K1864" s="3" t="s">
        <v>78</v>
      </c>
      <c r="L1864" s="3" t="s">
        <v>90</v>
      </c>
      <c r="M1864" s="3" t="s">
        <v>91</v>
      </c>
      <c r="N1864" s="3" t="s">
        <v>418</v>
      </c>
      <c r="O1864" s="3" t="s">
        <v>82</v>
      </c>
      <c r="P1864" s="3" t="str">
        <f>"2170805207                    "</f>
        <v xml:space="preserve">2170805207                    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15.46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v>0</v>
      </c>
      <c r="BA1864" s="3">
        <v>0</v>
      </c>
      <c r="BB1864" s="3">
        <v>0</v>
      </c>
      <c r="BC1864" s="3">
        <v>0</v>
      </c>
      <c r="BD1864" s="3">
        <v>0</v>
      </c>
      <c r="BE1864" s="3">
        <v>0</v>
      </c>
      <c r="BF1864" s="3">
        <v>0</v>
      </c>
      <c r="BG1864" s="3">
        <v>0</v>
      </c>
      <c r="BH1864" s="3">
        <v>1</v>
      </c>
      <c r="BI1864" s="3">
        <v>1</v>
      </c>
      <c r="BJ1864" s="3">
        <v>0.2</v>
      </c>
      <c r="BK1864" s="3">
        <v>1</v>
      </c>
      <c r="BL1864" s="3">
        <v>59</v>
      </c>
      <c r="BM1864" s="3">
        <v>8.85</v>
      </c>
      <c r="BN1864" s="3">
        <v>67.849999999999994</v>
      </c>
      <c r="BO1864" s="3">
        <v>67.849999999999994</v>
      </c>
      <c r="BQ1864" s="3" t="s">
        <v>128</v>
      </c>
      <c r="BR1864" s="3" t="s">
        <v>84</v>
      </c>
      <c r="BS1864" s="4">
        <v>44586</v>
      </c>
      <c r="BT1864" s="5">
        <v>0.36805555555555558</v>
      </c>
      <c r="BU1864" s="3" t="s">
        <v>515</v>
      </c>
      <c r="BV1864" s="3" t="s">
        <v>105</v>
      </c>
      <c r="BY1864" s="3">
        <v>1200</v>
      </c>
      <c r="BZ1864" s="3" t="s">
        <v>165</v>
      </c>
      <c r="CA1864" s="3" t="s">
        <v>271</v>
      </c>
      <c r="CC1864" s="3" t="s">
        <v>91</v>
      </c>
      <c r="CD1864" s="3">
        <v>7441</v>
      </c>
      <c r="CE1864" s="3" t="s">
        <v>93</v>
      </c>
      <c r="CF1864" s="4">
        <v>44587</v>
      </c>
      <c r="CI1864" s="3">
        <v>1</v>
      </c>
      <c r="CJ1864" s="3">
        <v>1</v>
      </c>
      <c r="CK1864" s="3">
        <v>21</v>
      </c>
      <c r="CL1864" s="3" t="s">
        <v>87</v>
      </c>
    </row>
    <row r="1865" spans="1:90" x14ac:dyDescent="0.2">
      <c r="A1865" s="3" t="s">
        <v>72</v>
      </c>
      <c r="B1865" s="3" t="s">
        <v>73</v>
      </c>
      <c r="C1865" s="3" t="s">
        <v>74</v>
      </c>
      <c r="E1865" s="3" t="str">
        <f>"FES1162846370"</f>
        <v>FES1162846370</v>
      </c>
      <c r="F1865" s="4">
        <v>44585</v>
      </c>
      <c r="G1865" s="3">
        <v>202207</v>
      </c>
      <c r="H1865" s="3" t="s">
        <v>75</v>
      </c>
      <c r="I1865" s="3" t="s">
        <v>76</v>
      </c>
      <c r="J1865" s="3" t="s">
        <v>77</v>
      </c>
      <c r="K1865" s="3" t="s">
        <v>78</v>
      </c>
      <c r="L1865" s="3" t="s">
        <v>97</v>
      </c>
      <c r="M1865" s="3" t="s">
        <v>98</v>
      </c>
      <c r="N1865" s="3" t="s">
        <v>232</v>
      </c>
      <c r="O1865" s="3" t="s">
        <v>82</v>
      </c>
      <c r="P1865" s="3" t="str">
        <f>"2170817856                    "</f>
        <v xml:space="preserve">2170817856                    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12.07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v>0</v>
      </c>
      <c r="BA1865" s="3">
        <v>0</v>
      </c>
      <c r="BB1865" s="3">
        <v>0</v>
      </c>
      <c r="BC1865" s="3">
        <v>0</v>
      </c>
      <c r="BD1865" s="3">
        <v>0</v>
      </c>
      <c r="BE1865" s="3">
        <v>0</v>
      </c>
      <c r="BF1865" s="3">
        <v>0</v>
      </c>
      <c r="BG1865" s="3">
        <v>0</v>
      </c>
      <c r="BH1865" s="3">
        <v>1</v>
      </c>
      <c r="BI1865" s="3">
        <v>1</v>
      </c>
      <c r="BJ1865" s="3">
        <v>0.2</v>
      </c>
      <c r="BK1865" s="3">
        <v>1</v>
      </c>
      <c r="BL1865" s="3">
        <v>46.08</v>
      </c>
      <c r="BM1865" s="3">
        <v>6.91</v>
      </c>
      <c r="BN1865" s="3">
        <v>52.99</v>
      </c>
      <c r="BO1865" s="3">
        <v>52.99</v>
      </c>
      <c r="BQ1865" s="3" t="s">
        <v>83</v>
      </c>
      <c r="BR1865" s="3" t="s">
        <v>84</v>
      </c>
      <c r="BS1865" s="4">
        <v>44586</v>
      </c>
      <c r="BT1865" s="5">
        <v>0.38819444444444445</v>
      </c>
      <c r="BU1865" s="3" t="s">
        <v>1190</v>
      </c>
      <c r="BV1865" s="3" t="s">
        <v>105</v>
      </c>
      <c r="BY1865" s="3">
        <v>1200</v>
      </c>
      <c r="BZ1865" s="3" t="s">
        <v>165</v>
      </c>
      <c r="CA1865" s="3" t="s">
        <v>297</v>
      </c>
      <c r="CC1865" s="3" t="s">
        <v>98</v>
      </c>
      <c r="CD1865" s="3">
        <v>2091</v>
      </c>
      <c r="CE1865" s="3" t="s">
        <v>93</v>
      </c>
      <c r="CF1865" s="4">
        <v>44587</v>
      </c>
      <c r="CI1865" s="3">
        <v>1</v>
      </c>
      <c r="CJ1865" s="3">
        <v>1</v>
      </c>
      <c r="CK1865" s="3">
        <v>22</v>
      </c>
      <c r="CL1865" s="3" t="s">
        <v>87</v>
      </c>
    </row>
    <row r="1866" spans="1:90" x14ac:dyDescent="0.2">
      <c r="A1866" s="3" t="s">
        <v>72</v>
      </c>
      <c r="B1866" s="3" t="s">
        <v>73</v>
      </c>
      <c r="C1866" s="3" t="s">
        <v>74</v>
      </c>
      <c r="E1866" s="3" t="str">
        <f>"FES1162846429"</f>
        <v>FES1162846429</v>
      </c>
      <c r="F1866" s="4">
        <v>44585</v>
      </c>
      <c r="G1866" s="3">
        <v>202207</v>
      </c>
      <c r="H1866" s="3" t="s">
        <v>75</v>
      </c>
      <c r="I1866" s="3" t="s">
        <v>76</v>
      </c>
      <c r="J1866" s="3" t="s">
        <v>77</v>
      </c>
      <c r="K1866" s="3" t="s">
        <v>78</v>
      </c>
      <c r="L1866" s="3" t="s">
        <v>171</v>
      </c>
      <c r="M1866" s="3" t="s">
        <v>172</v>
      </c>
      <c r="N1866" s="3" t="s">
        <v>725</v>
      </c>
      <c r="O1866" s="3" t="s">
        <v>82</v>
      </c>
      <c r="P1866" s="3" t="str">
        <f>"2170810832                    "</f>
        <v xml:space="preserve">2170810832                    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15.46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v>0</v>
      </c>
      <c r="BA1866" s="3">
        <v>0</v>
      </c>
      <c r="BB1866" s="3">
        <v>0</v>
      </c>
      <c r="BC1866" s="3">
        <v>0</v>
      </c>
      <c r="BD1866" s="3">
        <v>0</v>
      </c>
      <c r="BE1866" s="3">
        <v>0</v>
      </c>
      <c r="BF1866" s="3">
        <v>0</v>
      </c>
      <c r="BG1866" s="3">
        <v>0</v>
      </c>
      <c r="BH1866" s="3">
        <v>1</v>
      </c>
      <c r="BI1866" s="3">
        <v>2</v>
      </c>
      <c r="BJ1866" s="3">
        <v>1.1000000000000001</v>
      </c>
      <c r="BK1866" s="3">
        <v>2</v>
      </c>
      <c r="BL1866" s="3">
        <v>59</v>
      </c>
      <c r="BM1866" s="3">
        <v>8.85</v>
      </c>
      <c r="BN1866" s="3">
        <v>67.849999999999994</v>
      </c>
      <c r="BO1866" s="3">
        <v>67.849999999999994</v>
      </c>
      <c r="BQ1866" s="3" t="s">
        <v>83</v>
      </c>
      <c r="BR1866" s="3" t="s">
        <v>84</v>
      </c>
      <c r="BS1866" s="4">
        <v>44586</v>
      </c>
      <c r="BT1866" s="5">
        <v>0.36180555555555555</v>
      </c>
      <c r="BU1866" s="3" t="s">
        <v>2061</v>
      </c>
      <c r="BV1866" s="3" t="s">
        <v>105</v>
      </c>
      <c r="BY1866" s="3">
        <v>5320</v>
      </c>
      <c r="BZ1866" s="3" t="s">
        <v>165</v>
      </c>
      <c r="CA1866" s="3" t="s">
        <v>408</v>
      </c>
      <c r="CC1866" s="3" t="s">
        <v>172</v>
      </c>
      <c r="CD1866" s="3">
        <v>6001</v>
      </c>
      <c r="CE1866" s="3" t="s">
        <v>86</v>
      </c>
      <c r="CF1866" s="4">
        <v>44586</v>
      </c>
      <c r="CI1866" s="3">
        <v>1</v>
      </c>
      <c r="CJ1866" s="3">
        <v>1</v>
      </c>
      <c r="CK1866" s="3">
        <v>21</v>
      </c>
      <c r="CL1866" s="3" t="s">
        <v>87</v>
      </c>
    </row>
    <row r="1867" spans="1:90" x14ac:dyDescent="0.2">
      <c r="A1867" s="3" t="s">
        <v>72</v>
      </c>
      <c r="B1867" s="3" t="s">
        <v>73</v>
      </c>
      <c r="C1867" s="3" t="s">
        <v>74</v>
      </c>
      <c r="E1867" s="3" t="str">
        <f>"FES1162846375"</f>
        <v>FES1162846375</v>
      </c>
      <c r="F1867" s="4">
        <v>44585</v>
      </c>
      <c r="G1867" s="3">
        <v>202207</v>
      </c>
      <c r="H1867" s="3" t="s">
        <v>75</v>
      </c>
      <c r="I1867" s="3" t="s">
        <v>76</v>
      </c>
      <c r="J1867" s="3" t="s">
        <v>77</v>
      </c>
      <c r="K1867" s="3" t="s">
        <v>78</v>
      </c>
      <c r="L1867" s="3" t="s">
        <v>171</v>
      </c>
      <c r="M1867" s="3" t="s">
        <v>172</v>
      </c>
      <c r="N1867" s="3" t="s">
        <v>200</v>
      </c>
      <c r="O1867" s="3" t="s">
        <v>82</v>
      </c>
      <c r="P1867" s="3" t="str">
        <f>"2170817865                    "</f>
        <v xml:space="preserve">2170817865                    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15.46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v>0</v>
      </c>
      <c r="BA1867" s="3">
        <v>0</v>
      </c>
      <c r="BB1867" s="3">
        <v>0</v>
      </c>
      <c r="BC1867" s="3">
        <v>0</v>
      </c>
      <c r="BD1867" s="3">
        <v>0</v>
      </c>
      <c r="BE1867" s="3">
        <v>0</v>
      </c>
      <c r="BF1867" s="3">
        <v>0</v>
      </c>
      <c r="BG1867" s="3">
        <v>0</v>
      </c>
      <c r="BH1867" s="3">
        <v>1</v>
      </c>
      <c r="BI1867" s="3">
        <v>1</v>
      </c>
      <c r="BJ1867" s="3">
        <v>0.2</v>
      </c>
      <c r="BK1867" s="3">
        <v>1</v>
      </c>
      <c r="BL1867" s="3">
        <v>59</v>
      </c>
      <c r="BM1867" s="3">
        <v>8.85</v>
      </c>
      <c r="BN1867" s="3">
        <v>67.849999999999994</v>
      </c>
      <c r="BO1867" s="3">
        <v>67.849999999999994</v>
      </c>
      <c r="BQ1867" s="3" t="s">
        <v>89</v>
      </c>
      <c r="BR1867" s="3" t="s">
        <v>84</v>
      </c>
      <c r="BS1867" s="4">
        <v>44586</v>
      </c>
      <c r="BT1867" s="5">
        <v>0.38819444444444445</v>
      </c>
      <c r="BU1867" s="3" t="s">
        <v>908</v>
      </c>
      <c r="BV1867" s="3" t="s">
        <v>105</v>
      </c>
      <c r="BY1867" s="3">
        <v>1200</v>
      </c>
      <c r="BZ1867" s="3" t="s">
        <v>165</v>
      </c>
      <c r="CA1867" s="3" t="s">
        <v>814</v>
      </c>
      <c r="CC1867" s="3" t="s">
        <v>172</v>
      </c>
      <c r="CD1867" s="3">
        <v>6001</v>
      </c>
      <c r="CE1867" s="3" t="s">
        <v>93</v>
      </c>
      <c r="CF1867" s="4">
        <v>44586</v>
      </c>
      <c r="CI1867" s="3">
        <v>1</v>
      </c>
      <c r="CJ1867" s="3">
        <v>1</v>
      </c>
      <c r="CK1867" s="3">
        <v>21</v>
      </c>
      <c r="CL1867" s="3" t="s">
        <v>87</v>
      </c>
    </row>
    <row r="1868" spans="1:90" x14ac:dyDescent="0.2">
      <c r="A1868" s="3" t="s">
        <v>72</v>
      </c>
      <c r="B1868" s="3" t="s">
        <v>73</v>
      </c>
      <c r="C1868" s="3" t="s">
        <v>74</v>
      </c>
      <c r="E1868" s="3" t="str">
        <f>"FES1162846333"</f>
        <v>FES1162846333</v>
      </c>
      <c r="F1868" s="4">
        <v>44585</v>
      </c>
      <c r="G1868" s="3">
        <v>202207</v>
      </c>
      <c r="H1868" s="3" t="s">
        <v>75</v>
      </c>
      <c r="I1868" s="3" t="s">
        <v>76</v>
      </c>
      <c r="J1868" s="3" t="s">
        <v>77</v>
      </c>
      <c r="K1868" s="3" t="s">
        <v>78</v>
      </c>
      <c r="L1868" s="3" t="s">
        <v>184</v>
      </c>
      <c r="M1868" s="3" t="s">
        <v>185</v>
      </c>
      <c r="N1868" s="3" t="s">
        <v>503</v>
      </c>
      <c r="O1868" s="3" t="s">
        <v>82</v>
      </c>
      <c r="P1868" s="3" t="str">
        <f>"2170817343                    "</f>
        <v xml:space="preserve">2170817343                    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15.46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v>0</v>
      </c>
      <c r="BA1868" s="3">
        <v>0</v>
      </c>
      <c r="BB1868" s="3">
        <v>0</v>
      </c>
      <c r="BC1868" s="3">
        <v>0</v>
      </c>
      <c r="BD1868" s="3">
        <v>0</v>
      </c>
      <c r="BE1868" s="3">
        <v>0</v>
      </c>
      <c r="BF1868" s="3">
        <v>0</v>
      </c>
      <c r="BG1868" s="3">
        <v>0</v>
      </c>
      <c r="BH1868" s="3">
        <v>1</v>
      </c>
      <c r="BI1868" s="3">
        <v>1</v>
      </c>
      <c r="BJ1868" s="3">
        <v>0.2</v>
      </c>
      <c r="BK1868" s="3">
        <v>1</v>
      </c>
      <c r="BL1868" s="3">
        <v>59</v>
      </c>
      <c r="BM1868" s="3">
        <v>8.85</v>
      </c>
      <c r="BN1868" s="3">
        <v>67.849999999999994</v>
      </c>
      <c r="BO1868" s="3">
        <v>67.849999999999994</v>
      </c>
      <c r="BQ1868" s="3" t="s">
        <v>89</v>
      </c>
      <c r="BR1868" s="3" t="s">
        <v>84</v>
      </c>
      <c r="BS1868" s="4">
        <v>44586</v>
      </c>
      <c r="BT1868" s="5">
        <v>0.39930555555555558</v>
      </c>
      <c r="BU1868" s="3" t="s">
        <v>2025</v>
      </c>
      <c r="BV1868" s="3" t="s">
        <v>105</v>
      </c>
      <c r="BY1868" s="3">
        <v>1200</v>
      </c>
      <c r="BZ1868" s="3" t="s">
        <v>165</v>
      </c>
      <c r="CA1868" s="3" t="s">
        <v>1681</v>
      </c>
      <c r="CC1868" s="3" t="s">
        <v>185</v>
      </c>
      <c r="CD1868" s="3">
        <v>5201</v>
      </c>
      <c r="CE1868" s="3" t="s">
        <v>93</v>
      </c>
      <c r="CF1868" s="4">
        <v>44586</v>
      </c>
      <c r="CI1868" s="3">
        <v>1</v>
      </c>
      <c r="CJ1868" s="3">
        <v>1</v>
      </c>
      <c r="CK1868" s="3">
        <v>21</v>
      </c>
      <c r="CL1868" s="3" t="s">
        <v>87</v>
      </c>
    </row>
    <row r="1869" spans="1:90" x14ac:dyDescent="0.2">
      <c r="A1869" s="3" t="s">
        <v>72</v>
      </c>
      <c r="B1869" s="3" t="s">
        <v>73</v>
      </c>
      <c r="C1869" s="3" t="s">
        <v>74</v>
      </c>
      <c r="E1869" s="3" t="str">
        <f>"FES1162846494"</f>
        <v>FES1162846494</v>
      </c>
      <c r="F1869" s="4">
        <v>44585</v>
      </c>
      <c r="G1869" s="3">
        <v>202207</v>
      </c>
      <c r="H1869" s="3" t="s">
        <v>75</v>
      </c>
      <c r="I1869" s="3" t="s">
        <v>76</v>
      </c>
      <c r="J1869" s="3" t="s">
        <v>77</v>
      </c>
      <c r="K1869" s="3" t="s">
        <v>78</v>
      </c>
      <c r="L1869" s="3" t="s">
        <v>120</v>
      </c>
      <c r="M1869" s="3" t="s">
        <v>121</v>
      </c>
      <c r="N1869" s="3" t="s">
        <v>410</v>
      </c>
      <c r="O1869" s="3" t="s">
        <v>82</v>
      </c>
      <c r="P1869" s="3" t="str">
        <f>"2170815856                    "</f>
        <v xml:space="preserve">2170815856                    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15.46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v>0</v>
      </c>
      <c r="BA1869" s="3">
        <v>0</v>
      </c>
      <c r="BB1869" s="3">
        <v>0</v>
      </c>
      <c r="BC1869" s="3">
        <v>0</v>
      </c>
      <c r="BD1869" s="3">
        <v>0</v>
      </c>
      <c r="BE1869" s="3">
        <v>0</v>
      </c>
      <c r="BF1869" s="3">
        <v>0</v>
      </c>
      <c r="BG1869" s="3">
        <v>0</v>
      </c>
      <c r="BH1869" s="3">
        <v>1</v>
      </c>
      <c r="BI1869" s="3">
        <v>2</v>
      </c>
      <c r="BJ1869" s="3">
        <v>0.7</v>
      </c>
      <c r="BK1869" s="3">
        <v>2</v>
      </c>
      <c r="BL1869" s="3">
        <v>59</v>
      </c>
      <c r="BM1869" s="3">
        <v>8.85</v>
      </c>
      <c r="BN1869" s="3">
        <v>67.849999999999994</v>
      </c>
      <c r="BO1869" s="3">
        <v>67.849999999999994</v>
      </c>
      <c r="BQ1869" s="3" t="s">
        <v>411</v>
      </c>
      <c r="BR1869" s="3" t="s">
        <v>84</v>
      </c>
      <c r="BS1869" s="4">
        <v>44586</v>
      </c>
      <c r="BT1869" s="5">
        <v>0.42222222222222222</v>
      </c>
      <c r="BU1869" s="3" t="s">
        <v>2062</v>
      </c>
      <c r="BV1869" s="3" t="s">
        <v>105</v>
      </c>
      <c r="BY1869" s="3">
        <v>3267</v>
      </c>
      <c r="BZ1869" s="3" t="s">
        <v>165</v>
      </c>
      <c r="CA1869" s="3" t="s">
        <v>553</v>
      </c>
      <c r="CC1869" s="3" t="s">
        <v>121</v>
      </c>
      <c r="CD1869" s="3">
        <v>6230</v>
      </c>
      <c r="CE1869" s="3" t="s">
        <v>86</v>
      </c>
      <c r="CF1869" s="4">
        <v>44586</v>
      </c>
      <c r="CI1869" s="3">
        <v>1</v>
      </c>
      <c r="CJ1869" s="3">
        <v>1</v>
      </c>
      <c r="CK1869" s="3">
        <v>21</v>
      </c>
      <c r="CL1869" s="3" t="s">
        <v>87</v>
      </c>
    </row>
    <row r="1870" spans="1:90" x14ac:dyDescent="0.2">
      <c r="A1870" s="3" t="s">
        <v>72</v>
      </c>
      <c r="B1870" s="3" t="s">
        <v>73</v>
      </c>
      <c r="C1870" s="3" t="s">
        <v>74</v>
      </c>
      <c r="E1870" s="3" t="str">
        <f>"FES1162846491"</f>
        <v>FES1162846491</v>
      </c>
      <c r="F1870" s="4">
        <v>44585</v>
      </c>
      <c r="G1870" s="3">
        <v>202207</v>
      </c>
      <c r="H1870" s="3" t="s">
        <v>75</v>
      </c>
      <c r="I1870" s="3" t="s">
        <v>76</v>
      </c>
      <c r="J1870" s="3" t="s">
        <v>77</v>
      </c>
      <c r="K1870" s="3" t="s">
        <v>78</v>
      </c>
      <c r="L1870" s="3" t="s">
        <v>115</v>
      </c>
      <c r="M1870" s="3" t="s">
        <v>116</v>
      </c>
      <c r="N1870" s="3" t="s">
        <v>442</v>
      </c>
      <c r="O1870" s="3" t="s">
        <v>82</v>
      </c>
      <c r="P1870" s="3" t="str">
        <f>"2170815840                    "</f>
        <v xml:space="preserve">2170815840                    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12.07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0</v>
      </c>
      <c r="AZ1870" s="3">
        <v>0</v>
      </c>
      <c r="BA1870" s="3">
        <v>0</v>
      </c>
      <c r="BB1870" s="3">
        <v>0</v>
      </c>
      <c r="BC1870" s="3">
        <v>0</v>
      </c>
      <c r="BD1870" s="3">
        <v>0</v>
      </c>
      <c r="BE1870" s="3">
        <v>0</v>
      </c>
      <c r="BF1870" s="3">
        <v>0</v>
      </c>
      <c r="BG1870" s="3">
        <v>0</v>
      </c>
      <c r="BH1870" s="3">
        <v>1</v>
      </c>
      <c r="BI1870" s="3">
        <v>1</v>
      </c>
      <c r="BJ1870" s="3">
        <v>0.2</v>
      </c>
      <c r="BK1870" s="3">
        <v>1</v>
      </c>
      <c r="BL1870" s="3">
        <v>46.08</v>
      </c>
      <c r="BM1870" s="3">
        <v>6.91</v>
      </c>
      <c r="BN1870" s="3">
        <v>52.99</v>
      </c>
      <c r="BO1870" s="3">
        <v>52.99</v>
      </c>
      <c r="BQ1870" s="3" t="s">
        <v>83</v>
      </c>
      <c r="BR1870" s="3" t="s">
        <v>84</v>
      </c>
      <c r="BS1870" s="4">
        <v>44586</v>
      </c>
      <c r="BT1870" s="5">
        <v>0.4458333333333333</v>
      </c>
      <c r="BU1870" s="3" t="s">
        <v>2063</v>
      </c>
      <c r="BV1870" s="3" t="s">
        <v>87</v>
      </c>
      <c r="BW1870" s="3" t="s">
        <v>278</v>
      </c>
      <c r="BX1870" s="3" t="s">
        <v>723</v>
      </c>
      <c r="BY1870" s="3">
        <v>1200</v>
      </c>
      <c r="BZ1870" s="3" t="s">
        <v>165</v>
      </c>
      <c r="CA1870" s="3" t="s">
        <v>1350</v>
      </c>
      <c r="CC1870" s="3" t="s">
        <v>116</v>
      </c>
      <c r="CD1870" s="3">
        <v>1559</v>
      </c>
      <c r="CE1870" s="3" t="s">
        <v>93</v>
      </c>
      <c r="CF1870" s="4">
        <v>44587</v>
      </c>
      <c r="CI1870" s="3">
        <v>1</v>
      </c>
      <c r="CJ1870" s="3">
        <v>1</v>
      </c>
      <c r="CK1870" s="3">
        <v>22</v>
      </c>
      <c r="CL1870" s="3" t="s">
        <v>87</v>
      </c>
    </row>
    <row r="1871" spans="1:90" x14ac:dyDescent="0.2">
      <c r="A1871" s="3" t="s">
        <v>72</v>
      </c>
      <c r="B1871" s="3" t="s">
        <v>73</v>
      </c>
      <c r="C1871" s="3" t="s">
        <v>74</v>
      </c>
      <c r="E1871" s="3" t="str">
        <f>"FES1162846511"</f>
        <v>FES1162846511</v>
      </c>
      <c r="F1871" s="4">
        <v>44585</v>
      </c>
      <c r="G1871" s="3">
        <v>202207</v>
      </c>
      <c r="H1871" s="3" t="s">
        <v>75</v>
      </c>
      <c r="I1871" s="3" t="s">
        <v>76</v>
      </c>
      <c r="J1871" s="3" t="s">
        <v>77</v>
      </c>
      <c r="K1871" s="3" t="s">
        <v>78</v>
      </c>
      <c r="L1871" s="3" t="s">
        <v>167</v>
      </c>
      <c r="M1871" s="3" t="s">
        <v>168</v>
      </c>
      <c r="N1871" s="3" t="s">
        <v>247</v>
      </c>
      <c r="O1871" s="3" t="s">
        <v>82</v>
      </c>
      <c r="P1871" s="3" t="str">
        <f>"2170815989                    "</f>
        <v xml:space="preserve">2170815989                    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15.46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v>0</v>
      </c>
      <c r="BA1871" s="3">
        <v>0</v>
      </c>
      <c r="BB1871" s="3">
        <v>0</v>
      </c>
      <c r="BC1871" s="3">
        <v>0</v>
      </c>
      <c r="BD1871" s="3">
        <v>0</v>
      </c>
      <c r="BE1871" s="3">
        <v>0</v>
      </c>
      <c r="BF1871" s="3">
        <v>0</v>
      </c>
      <c r="BG1871" s="3">
        <v>0</v>
      </c>
      <c r="BH1871" s="3">
        <v>1</v>
      </c>
      <c r="BI1871" s="3">
        <v>1</v>
      </c>
      <c r="BJ1871" s="3">
        <v>0.2</v>
      </c>
      <c r="BK1871" s="3">
        <v>1</v>
      </c>
      <c r="BL1871" s="3">
        <v>59</v>
      </c>
      <c r="BM1871" s="3">
        <v>8.85</v>
      </c>
      <c r="BN1871" s="3">
        <v>67.849999999999994</v>
      </c>
      <c r="BO1871" s="3">
        <v>67.849999999999994</v>
      </c>
      <c r="BQ1871" s="3" t="s">
        <v>89</v>
      </c>
      <c r="BR1871" s="3" t="s">
        <v>84</v>
      </c>
      <c r="BS1871" s="4">
        <v>44586</v>
      </c>
      <c r="BT1871" s="5">
        <v>0.3888888888888889</v>
      </c>
      <c r="BU1871" s="3" t="s">
        <v>2003</v>
      </c>
      <c r="BV1871" s="3" t="s">
        <v>105</v>
      </c>
      <c r="BY1871" s="3">
        <v>1200</v>
      </c>
      <c r="BZ1871" s="3" t="s">
        <v>165</v>
      </c>
      <c r="CA1871" s="3" t="s">
        <v>553</v>
      </c>
      <c r="CC1871" s="3" t="s">
        <v>168</v>
      </c>
      <c r="CD1871" s="3">
        <v>6229</v>
      </c>
      <c r="CE1871" s="3" t="s">
        <v>93</v>
      </c>
      <c r="CF1871" s="4">
        <v>44586</v>
      </c>
      <c r="CI1871" s="3">
        <v>1</v>
      </c>
      <c r="CJ1871" s="3">
        <v>1</v>
      </c>
      <c r="CK1871" s="3">
        <v>21</v>
      </c>
      <c r="CL1871" s="3" t="s">
        <v>87</v>
      </c>
    </row>
    <row r="1872" spans="1:90" x14ac:dyDescent="0.2">
      <c r="A1872" s="3" t="s">
        <v>72</v>
      </c>
      <c r="B1872" s="3" t="s">
        <v>73</v>
      </c>
      <c r="C1872" s="3" t="s">
        <v>74</v>
      </c>
      <c r="E1872" s="3" t="str">
        <f>"FES1162846417"</f>
        <v>FES1162846417</v>
      </c>
      <c r="F1872" s="4">
        <v>44585</v>
      </c>
      <c r="G1872" s="3">
        <v>202207</v>
      </c>
      <c r="H1872" s="3" t="s">
        <v>75</v>
      </c>
      <c r="I1872" s="3" t="s">
        <v>76</v>
      </c>
      <c r="J1872" s="3" t="s">
        <v>77</v>
      </c>
      <c r="K1872" s="3" t="s">
        <v>78</v>
      </c>
      <c r="L1872" s="3" t="s">
        <v>171</v>
      </c>
      <c r="M1872" s="3" t="s">
        <v>172</v>
      </c>
      <c r="N1872" s="3" t="s">
        <v>200</v>
      </c>
      <c r="O1872" s="3" t="s">
        <v>82</v>
      </c>
      <c r="P1872" s="3" t="str">
        <f>"2170796901                    "</f>
        <v xml:space="preserve">2170796901                    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15.46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v>0</v>
      </c>
      <c r="BA1872" s="3">
        <v>0</v>
      </c>
      <c r="BB1872" s="3">
        <v>0</v>
      </c>
      <c r="BC1872" s="3">
        <v>0</v>
      </c>
      <c r="BD1872" s="3">
        <v>0</v>
      </c>
      <c r="BE1872" s="3">
        <v>0</v>
      </c>
      <c r="BF1872" s="3">
        <v>0</v>
      </c>
      <c r="BG1872" s="3">
        <v>0</v>
      </c>
      <c r="BH1872" s="3">
        <v>1</v>
      </c>
      <c r="BI1872" s="3">
        <v>1</v>
      </c>
      <c r="BJ1872" s="3">
        <v>2</v>
      </c>
      <c r="BK1872" s="3">
        <v>2</v>
      </c>
      <c r="BL1872" s="3">
        <v>59</v>
      </c>
      <c r="BM1872" s="3">
        <v>8.85</v>
      </c>
      <c r="BN1872" s="3">
        <v>67.849999999999994</v>
      </c>
      <c r="BO1872" s="3">
        <v>67.849999999999994</v>
      </c>
      <c r="BQ1872" s="3" t="s">
        <v>89</v>
      </c>
      <c r="BR1872" s="3" t="s">
        <v>84</v>
      </c>
      <c r="BS1872" s="4">
        <v>44586</v>
      </c>
      <c r="BT1872" s="5">
        <v>0.38680555555555557</v>
      </c>
      <c r="BU1872" s="3" t="s">
        <v>908</v>
      </c>
      <c r="BV1872" s="3" t="s">
        <v>105</v>
      </c>
      <c r="BY1872" s="3">
        <v>9918</v>
      </c>
      <c r="BZ1872" s="3" t="s">
        <v>165</v>
      </c>
      <c r="CA1872" s="3" t="s">
        <v>814</v>
      </c>
      <c r="CC1872" s="3" t="s">
        <v>172</v>
      </c>
      <c r="CD1872" s="3">
        <v>6001</v>
      </c>
      <c r="CE1872" s="3" t="s">
        <v>86</v>
      </c>
      <c r="CF1872" s="4">
        <v>44586</v>
      </c>
      <c r="CI1872" s="3">
        <v>1</v>
      </c>
      <c r="CJ1872" s="3">
        <v>1</v>
      </c>
      <c r="CK1872" s="3">
        <v>21</v>
      </c>
      <c r="CL1872" s="3" t="s">
        <v>87</v>
      </c>
    </row>
    <row r="1873" spans="1:90" x14ac:dyDescent="0.2">
      <c r="A1873" s="3" t="s">
        <v>72</v>
      </c>
      <c r="B1873" s="3" t="s">
        <v>73</v>
      </c>
      <c r="C1873" s="3" t="s">
        <v>74</v>
      </c>
      <c r="E1873" s="3" t="str">
        <f>"FES1162846415"</f>
        <v>FES1162846415</v>
      </c>
      <c r="F1873" s="4">
        <v>44585</v>
      </c>
      <c r="G1873" s="3">
        <v>202207</v>
      </c>
      <c r="H1873" s="3" t="s">
        <v>75</v>
      </c>
      <c r="I1873" s="3" t="s">
        <v>76</v>
      </c>
      <c r="J1873" s="3" t="s">
        <v>77</v>
      </c>
      <c r="K1873" s="3" t="s">
        <v>78</v>
      </c>
      <c r="L1873" s="3" t="s">
        <v>171</v>
      </c>
      <c r="M1873" s="3" t="s">
        <v>172</v>
      </c>
      <c r="N1873" s="3" t="s">
        <v>200</v>
      </c>
      <c r="O1873" s="3" t="s">
        <v>82</v>
      </c>
      <c r="P1873" s="3" t="str">
        <f>"2170795338                    "</f>
        <v xml:space="preserve">2170795338                    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15.46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0</v>
      </c>
      <c r="AZ1873" s="3">
        <v>0</v>
      </c>
      <c r="BA1873" s="3">
        <v>0</v>
      </c>
      <c r="BB1873" s="3">
        <v>0</v>
      </c>
      <c r="BC1873" s="3">
        <v>0</v>
      </c>
      <c r="BD1873" s="3">
        <v>0</v>
      </c>
      <c r="BE1873" s="3">
        <v>0</v>
      </c>
      <c r="BF1873" s="3">
        <v>0</v>
      </c>
      <c r="BG1873" s="3">
        <v>0</v>
      </c>
      <c r="BH1873" s="3">
        <v>1</v>
      </c>
      <c r="BI1873" s="3">
        <v>1</v>
      </c>
      <c r="BJ1873" s="3">
        <v>2</v>
      </c>
      <c r="BK1873" s="3">
        <v>2</v>
      </c>
      <c r="BL1873" s="3">
        <v>59</v>
      </c>
      <c r="BM1873" s="3">
        <v>8.85</v>
      </c>
      <c r="BN1873" s="3">
        <v>67.849999999999994</v>
      </c>
      <c r="BO1873" s="3">
        <v>67.849999999999994</v>
      </c>
      <c r="BQ1873" s="3" t="s">
        <v>89</v>
      </c>
      <c r="BR1873" s="3" t="s">
        <v>84</v>
      </c>
      <c r="BS1873" s="4">
        <v>44586</v>
      </c>
      <c r="BT1873" s="5">
        <v>0.38541666666666669</v>
      </c>
      <c r="BU1873" s="3" t="s">
        <v>908</v>
      </c>
      <c r="BV1873" s="3" t="s">
        <v>105</v>
      </c>
      <c r="BY1873" s="3">
        <v>9918</v>
      </c>
      <c r="BZ1873" s="3" t="s">
        <v>165</v>
      </c>
      <c r="CA1873" s="3" t="s">
        <v>814</v>
      </c>
      <c r="CC1873" s="3" t="s">
        <v>172</v>
      </c>
      <c r="CD1873" s="3">
        <v>6001</v>
      </c>
      <c r="CE1873" s="3" t="s">
        <v>86</v>
      </c>
      <c r="CF1873" s="4">
        <v>44586</v>
      </c>
      <c r="CI1873" s="3">
        <v>1</v>
      </c>
      <c r="CJ1873" s="3">
        <v>1</v>
      </c>
      <c r="CK1873" s="3">
        <v>21</v>
      </c>
      <c r="CL1873" s="3" t="s">
        <v>87</v>
      </c>
    </row>
    <row r="1874" spans="1:90" x14ac:dyDescent="0.2">
      <c r="A1874" s="3" t="s">
        <v>72</v>
      </c>
      <c r="B1874" s="3" t="s">
        <v>73</v>
      </c>
      <c r="C1874" s="3" t="s">
        <v>74</v>
      </c>
      <c r="E1874" s="3" t="str">
        <f>"RFES1162843350"</f>
        <v>RFES1162843350</v>
      </c>
      <c r="F1874" s="4">
        <v>44582</v>
      </c>
      <c r="G1874" s="3">
        <v>202207</v>
      </c>
      <c r="H1874" s="3" t="s">
        <v>171</v>
      </c>
      <c r="I1874" s="3" t="s">
        <v>172</v>
      </c>
      <c r="J1874" s="3" t="s">
        <v>398</v>
      </c>
      <c r="K1874" s="3" t="s">
        <v>78</v>
      </c>
      <c r="L1874" s="3" t="s">
        <v>75</v>
      </c>
      <c r="M1874" s="3" t="s">
        <v>76</v>
      </c>
      <c r="N1874" s="3" t="s">
        <v>77</v>
      </c>
      <c r="O1874" s="3" t="s">
        <v>148</v>
      </c>
      <c r="P1874" s="3" t="str">
        <f>"2170815450                    "</f>
        <v xml:space="preserve">2170815450                    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29.89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0</v>
      </c>
      <c r="AZ1874" s="3">
        <v>0</v>
      </c>
      <c r="BA1874" s="3">
        <v>0</v>
      </c>
      <c r="BB1874" s="3">
        <v>0</v>
      </c>
      <c r="BC1874" s="3">
        <v>0</v>
      </c>
      <c r="BD1874" s="3">
        <v>0</v>
      </c>
      <c r="BE1874" s="3">
        <v>0</v>
      </c>
      <c r="BF1874" s="3">
        <v>0</v>
      </c>
      <c r="BG1874" s="3">
        <v>0</v>
      </c>
      <c r="BH1874" s="3">
        <v>1</v>
      </c>
      <c r="BI1874" s="3">
        <v>1</v>
      </c>
      <c r="BJ1874" s="3">
        <v>0.2</v>
      </c>
      <c r="BK1874" s="3">
        <v>1</v>
      </c>
      <c r="BL1874" s="3">
        <v>119.34</v>
      </c>
      <c r="BM1874" s="3">
        <v>17.899999999999999</v>
      </c>
      <c r="BN1874" s="3">
        <v>137.24</v>
      </c>
      <c r="BO1874" s="3">
        <v>137.24</v>
      </c>
      <c r="BQ1874" s="3" t="s">
        <v>308</v>
      </c>
      <c r="BR1874" s="3" t="s">
        <v>126</v>
      </c>
      <c r="BS1874" s="4">
        <v>44585</v>
      </c>
      <c r="BT1874" s="5">
        <v>0.43055555555555558</v>
      </c>
      <c r="BU1874" s="3" t="s">
        <v>1752</v>
      </c>
      <c r="BV1874" s="3" t="s">
        <v>105</v>
      </c>
      <c r="BY1874" s="3">
        <v>1200</v>
      </c>
      <c r="CA1874" s="3" t="s">
        <v>378</v>
      </c>
      <c r="CC1874" s="3" t="s">
        <v>76</v>
      </c>
      <c r="CD1874" s="3">
        <v>1601</v>
      </c>
      <c r="CE1874" s="3" t="s">
        <v>86</v>
      </c>
      <c r="CF1874" s="4">
        <v>44585</v>
      </c>
      <c r="CI1874" s="3">
        <v>2</v>
      </c>
      <c r="CJ1874" s="3">
        <v>1</v>
      </c>
      <c r="CK1874" s="3">
        <v>41</v>
      </c>
      <c r="CL1874" s="3" t="s">
        <v>87</v>
      </c>
    </row>
    <row r="1875" spans="1:90" x14ac:dyDescent="0.2">
      <c r="A1875" s="3" t="s">
        <v>72</v>
      </c>
      <c r="B1875" s="3" t="s">
        <v>73</v>
      </c>
      <c r="C1875" s="3" t="s">
        <v>74</v>
      </c>
      <c r="E1875" s="3" t="str">
        <f>"FES1162844301"</f>
        <v>FES1162844301</v>
      </c>
      <c r="F1875" s="4">
        <v>44571</v>
      </c>
      <c r="G1875" s="3">
        <v>202207</v>
      </c>
      <c r="H1875" s="3" t="s">
        <v>75</v>
      </c>
      <c r="I1875" s="3" t="s">
        <v>76</v>
      </c>
      <c r="J1875" s="3" t="s">
        <v>77</v>
      </c>
      <c r="K1875" s="3" t="s">
        <v>78</v>
      </c>
      <c r="L1875" s="3" t="s">
        <v>75</v>
      </c>
      <c r="M1875" s="3" t="s">
        <v>76</v>
      </c>
      <c r="N1875" s="3" t="s">
        <v>153</v>
      </c>
      <c r="O1875" s="3" t="s">
        <v>82</v>
      </c>
      <c r="P1875" s="3" t="str">
        <f>"2170812581                    "</f>
        <v xml:space="preserve">2170812581                    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12.07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0</v>
      </c>
      <c r="AZ1875" s="3">
        <v>0</v>
      </c>
      <c r="BA1875" s="3">
        <v>0</v>
      </c>
      <c r="BB1875" s="3">
        <v>0</v>
      </c>
      <c r="BC1875" s="3">
        <v>0</v>
      </c>
      <c r="BD1875" s="3">
        <v>0</v>
      </c>
      <c r="BE1875" s="3">
        <v>0</v>
      </c>
      <c r="BF1875" s="3">
        <v>0</v>
      </c>
      <c r="BG1875" s="3">
        <v>0</v>
      </c>
      <c r="BH1875" s="3">
        <v>1</v>
      </c>
      <c r="BI1875" s="3">
        <v>1</v>
      </c>
      <c r="BJ1875" s="3">
        <v>0.2</v>
      </c>
      <c r="BK1875" s="3">
        <v>1</v>
      </c>
      <c r="BL1875" s="3">
        <v>46.08</v>
      </c>
      <c r="BM1875" s="3">
        <v>6.91</v>
      </c>
      <c r="BN1875" s="3">
        <v>52.99</v>
      </c>
      <c r="BO1875" s="3">
        <v>52.99</v>
      </c>
      <c r="BR1875" s="3" t="s">
        <v>84</v>
      </c>
      <c r="BS1875" s="4">
        <v>44572</v>
      </c>
      <c r="BT1875" s="5">
        <v>0.38541666666666669</v>
      </c>
      <c r="BU1875" s="3" t="s">
        <v>370</v>
      </c>
      <c r="BV1875" s="3" t="s">
        <v>105</v>
      </c>
      <c r="BY1875" s="3">
        <v>1200</v>
      </c>
      <c r="BZ1875" s="3" t="s">
        <v>165</v>
      </c>
      <c r="CA1875" s="3" t="s">
        <v>227</v>
      </c>
      <c r="CC1875" s="3" t="s">
        <v>76</v>
      </c>
      <c r="CD1875" s="3">
        <v>1600</v>
      </c>
      <c r="CE1875" s="3" t="s">
        <v>93</v>
      </c>
      <c r="CF1875" s="4">
        <v>44573</v>
      </c>
      <c r="CI1875" s="3">
        <v>1</v>
      </c>
      <c r="CJ1875" s="3">
        <v>1</v>
      </c>
      <c r="CK1875" s="3">
        <v>22</v>
      </c>
      <c r="CL1875" s="3" t="s">
        <v>87</v>
      </c>
    </row>
    <row r="1876" spans="1:90" x14ac:dyDescent="0.2">
      <c r="A1876" s="3" t="s">
        <v>72</v>
      </c>
      <c r="B1876" s="3" t="s">
        <v>73</v>
      </c>
      <c r="C1876" s="3" t="s">
        <v>74</v>
      </c>
      <c r="E1876" s="3" t="str">
        <f>"FES1162844250"</f>
        <v>FES1162844250</v>
      </c>
      <c r="F1876" s="4">
        <v>44571</v>
      </c>
      <c r="G1876" s="3">
        <v>202207</v>
      </c>
      <c r="H1876" s="3" t="s">
        <v>75</v>
      </c>
      <c r="I1876" s="3" t="s">
        <v>76</v>
      </c>
      <c r="J1876" s="3" t="s">
        <v>77</v>
      </c>
      <c r="K1876" s="3" t="s">
        <v>78</v>
      </c>
      <c r="L1876" s="3" t="s">
        <v>171</v>
      </c>
      <c r="M1876" s="3" t="s">
        <v>172</v>
      </c>
      <c r="N1876" s="3" t="s">
        <v>838</v>
      </c>
      <c r="O1876" s="3" t="s">
        <v>148</v>
      </c>
      <c r="P1876" s="3" t="str">
        <f>"2170814390                    "</f>
        <v xml:space="preserve">2170814390                    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29.89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v>0</v>
      </c>
      <c r="BA1876" s="3">
        <v>0</v>
      </c>
      <c r="BB1876" s="3">
        <v>0</v>
      </c>
      <c r="BC1876" s="3">
        <v>0</v>
      </c>
      <c r="BD1876" s="3">
        <v>0</v>
      </c>
      <c r="BE1876" s="3">
        <v>0</v>
      </c>
      <c r="BF1876" s="3">
        <v>0</v>
      </c>
      <c r="BG1876" s="3">
        <v>0</v>
      </c>
      <c r="BH1876" s="3">
        <v>1</v>
      </c>
      <c r="BI1876" s="3">
        <v>1</v>
      </c>
      <c r="BJ1876" s="3">
        <v>1.2</v>
      </c>
      <c r="BK1876" s="3">
        <v>2</v>
      </c>
      <c r="BL1876" s="3">
        <v>119.34</v>
      </c>
      <c r="BM1876" s="3">
        <v>17.899999999999999</v>
      </c>
      <c r="BN1876" s="3">
        <v>137.24</v>
      </c>
      <c r="BO1876" s="3">
        <v>137.24</v>
      </c>
      <c r="BQ1876" s="3" t="s">
        <v>83</v>
      </c>
      <c r="BR1876" s="3" t="s">
        <v>84</v>
      </c>
      <c r="BS1876" s="4">
        <v>44573</v>
      </c>
      <c r="BT1876" s="5">
        <v>0.42291666666666666</v>
      </c>
      <c r="BU1876" s="3" t="s">
        <v>1161</v>
      </c>
      <c r="BV1876" s="3" t="s">
        <v>105</v>
      </c>
      <c r="BY1876" s="3">
        <v>6000</v>
      </c>
      <c r="BZ1876" s="3" t="s">
        <v>327</v>
      </c>
      <c r="CA1876" s="3" t="s">
        <v>509</v>
      </c>
      <c r="CC1876" s="3" t="s">
        <v>172</v>
      </c>
      <c r="CD1876" s="3">
        <v>6001</v>
      </c>
      <c r="CE1876" s="3" t="s">
        <v>86</v>
      </c>
      <c r="CF1876" s="4">
        <v>44574</v>
      </c>
      <c r="CI1876" s="3">
        <v>2</v>
      </c>
      <c r="CJ1876" s="3">
        <v>2</v>
      </c>
      <c r="CK1876" s="3">
        <v>41</v>
      </c>
      <c r="CL1876" s="3" t="s">
        <v>87</v>
      </c>
    </row>
    <row r="1877" spans="1:90" x14ac:dyDescent="0.2">
      <c r="A1877" s="3" t="s">
        <v>72</v>
      </c>
      <c r="B1877" s="3" t="s">
        <v>73</v>
      </c>
      <c r="C1877" s="3" t="s">
        <v>74</v>
      </c>
      <c r="E1877" s="3" t="str">
        <f>"FES1162844269"</f>
        <v>FES1162844269</v>
      </c>
      <c r="F1877" s="4">
        <v>44571</v>
      </c>
      <c r="G1877" s="3">
        <v>202207</v>
      </c>
      <c r="H1877" s="3" t="s">
        <v>75</v>
      </c>
      <c r="I1877" s="3" t="s">
        <v>76</v>
      </c>
      <c r="J1877" s="3" t="s">
        <v>77</v>
      </c>
      <c r="K1877" s="3" t="s">
        <v>78</v>
      </c>
      <c r="L1877" s="3" t="s">
        <v>162</v>
      </c>
      <c r="M1877" s="3" t="s">
        <v>163</v>
      </c>
      <c r="N1877" s="3" t="s">
        <v>917</v>
      </c>
      <c r="O1877" s="3" t="s">
        <v>82</v>
      </c>
      <c r="P1877" s="3" t="str">
        <f>"2170816015                    "</f>
        <v xml:space="preserve">2170816015                    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12.07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v>0</v>
      </c>
      <c r="BA1877" s="3">
        <v>0</v>
      </c>
      <c r="BB1877" s="3">
        <v>0</v>
      </c>
      <c r="BC1877" s="3">
        <v>0</v>
      </c>
      <c r="BD1877" s="3">
        <v>0</v>
      </c>
      <c r="BE1877" s="3">
        <v>0</v>
      </c>
      <c r="BF1877" s="3">
        <v>0</v>
      </c>
      <c r="BG1877" s="3">
        <v>0</v>
      </c>
      <c r="BH1877" s="3">
        <v>1</v>
      </c>
      <c r="BI1877" s="3">
        <v>5</v>
      </c>
      <c r="BJ1877" s="3">
        <v>4.0999999999999996</v>
      </c>
      <c r="BK1877" s="3">
        <v>5</v>
      </c>
      <c r="BL1877" s="3">
        <v>46.08</v>
      </c>
      <c r="BM1877" s="3">
        <v>6.91</v>
      </c>
      <c r="BN1877" s="3">
        <v>52.99</v>
      </c>
      <c r="BO1877" s="3">
        <v>52.99</v>
      </c>
      <c r="BQ1877" s="3" t="s">
        <v>89</v>
      </c>
      <c r="BR1877" s="3" t="s">
        <v>84</v>
      </c>
      <c r="BS1877" s="4">
        <v>44572</v>
      </c>
      <c r="BT1877" s="5">
        <v>0.38055555555555554</v>
      </c>
      <c r="BU1877" s="3" t="s">
        <v>1675</v>
      </c>
      <c r="BV1877" s="3" t="s">
        <v>105</v>
      </c>
      <c r="BY1877" s="3">
        <v>20358</v>
      </c>
      <c r="BZ1877" s="3" t="s">
        <v>165</v>
      </c>
      <c r="CA1877" s="3" t="s">
        <v>1051</v>
      </c>
      <c r="CC1877" s="3" t="s">
        <v>163</v>
      </c>
      <c r="CD1877" s="3">
        <v>1401</v>
      </c>
      <c r="CE1877" s="3" t="s">
        <v>86</v>
      </c>
      <c r="CF1877" s="4">
        <v>44573</v>
      </c>
      <c r="CI1877" s="3">
        <v>1</v>
      </c>
      <c r="CJ1877" s="3">
        <v>1</v>
      </c>
      <c r="CK1877" s="3">
        <v>22</v>
      </c>
      <c r="CL1877" s="3" t="s">
        <v>87</v>
      </c>
    </row>
    <row r="1878" spans="1:90" x14ac:dyDescent="0.2">
      <c r="A1878" s="3" t="s">
        <v>72</v>
      </c>
      <c r="B1878" s="3" t="s">
        <v>73</v>
      </c>
      <c r="C1878" s="3" t="s">
        <v>74</v>
      </c>
      <c r="E1878" s="3" t="str">
        <f>"FES1162844240"</f>
        <v>FES1162844240</v>
      </c>
      <c r="F1878" s="4">
        <v>44571</v>
      </c>
      <c r="G1878" s="3">
        <v>202207</v>
      </c>
      <c r="H1878" s="3" t="s">
        <v>75</v>
      </c>
      <c r="I1878" s="3" t="s">
        <v>76</v>
      </c>
      <c r="J1878" s="3" t="s">
        <v>77</v>
      </c>
      <c r="K1878" s="3" t="s">
        <v>78</v>
      </c>
      <c r="L1878" s="3" t="s">
        <v>75</v>
      </c>
      <c r="M1878" s="3" t="s">
        <v>76</v>
      </c>
      <c r="N1878" s="3" t="s">
        <v>2064</v>
      </c>
      <c r="O1878" s="3" t="s">
        <v>82</v>
      </c>
      <c r="P1878" s="3" t="str">
        <f>"2170815983                    "</f>
        <v xml:space="preserve">2170815983                    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12.07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v>0</v>
      </c>
      <c r="BA1878" s="3">
        <v>0</v>
      </c>
      <c r="BB1878" s="3">
        <v>0</v>
      </c>
      <c r="BC1878" s="3">
        <v>0</v>
      </c>
      <c r="BD1878" s="3">
        <v>0</v>
      </c>
      <c r="BE1878" s="3">
        <v>0</v>
      </c>
      <c r="BF1878" s="3">
        <v>0</v>
      </c>
      <c r="BG1878" s="3">
        <v>0</v>
      </c>
      <c r="BH1878" s="3">
        <v>1</v>
      </c>
      <c r="BI1878" s="3">
        <v>1</v>
      </c>
      <c r="BJ1878" s="3">
        <v>0.2</v>
      </c>
      <c r="BK1878" s="3">
        <v>1</v>
      </c>
      <c r="BL1878" s="3">
        <v>46.08</v>
      </c>
      <c r="BM1878" s="3">
        <v>6.91</v>
      </c>
      <c r="BN1878" s="3">
        <v>52.99</v>
      </c>
      <c r="BO1878" s="3">
        <v>52.99</v>
      </c>
      <c r="BQ1878" s="3" t="s">
        <v>126</v>
      </c>
      <c r="BR1878" s="3" t="s">
        <v>84</v>
      </c>
      <c r="BS1878" s="4">
        <v>44572</v>
      </c>
      <c r="BT1878" s="5">
        <v>0.3666666666666667</v>
      </c>
      <c r="BU1878" s="3" t="s">
        <v>1218</v>
      </c>
      <c r="BV1878" s="3" t="s">
        <v>105</v>
      </c>
      <c r="BY1878" s="3">
        <v>1200</v>
      </c>
      <c r="BZ1878" s="3" t="s">
        <v>165</v>
      </c>
      <c r="CA1878" s="3" t="s">
        <v>1146</v>
      </c>
      <c r="CC1878" s="3" t="s">
        <v>76</v>
      </c>
      <c r="CD1878" s="3">
        <v>1620</v>
      </c>
      <c r="CE1878" s="3" t="s">
        <v>93</v>
      </c>
      <c r="CF1878" s="4">
        <v>44573</v>
      </c>
      <c r="CI1878" s="3">
        <v>1</v>
      </c>
      <c r="CJ1878" s="3">
        <v>1</v>
      </c>
      <c r="CK1878" s="3">
        <v>22</v>
      </c>
      <c r="CL1878" s="3" t="s">
        <v>87</v>
      </c>
    </row>
    <row r="1879" spans="1:90" x14ac:dyDescent="0.2">
      <c r="A1879" s="3" t="s">
        <v>72</v>
      </c>
      <c r="B1879" s="3" t="s">
        <v>73</v>
      </c>
      <c r="C1879" s="3" t="s">
        <v>74</v>
      </c>
      <c r="E1879" s="3" t="str">
        <f>"FES1162844255"</f>
        <v>FES1162844255</v>
      </c>
      <c r="F1879" s="4">
        <v>44571</v>
      </c>
      <c r="G1879" s="3">
        <v>202207</v>
      </c>
      <c r="H1879" s="3" t="s">
        <v>75</v>
      </c>
      <c r="I1879" s="3" t="s">
        <v>76</v>
      </c>
      <c r="J1879" s="3" t="s">
        <v>77</v>
      </c>
      <c r="K1879" s="3" t="s">
        <v>78</v>
      </c>
      <c r="L1879" s="3" t="s">
        <v>335</v>
      </c>
      <c r="M1879" s="3" t="s">
        <v>336</v>
      </c>
      <c r="N1879" s="3" t="s">
        <v>1197</v>
      </c>
      <c r="O1879" s="3" t="s">
        <v>82</v>
      </c>
      <c r="P1879" s="3" t="str">
        <f>"2170815977                    "</f>
        <v xml:space="preserve">2170815977                    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15.46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v>0</v>
      </c>
      <c r="BA1879" s="3">
        <v>0</v>
      </c>
      <c r="BB1879" s="3">
        <v>0</v>
      </c>
      <c r="BC1879" s="3">
        <v>0</v>
      </c>
      <c r="BD1879" s="3">
        <v>0</v>
      </c>
      <c r="BE1879" s="3">
        <v>0</v>
      </c>
      <c r="BF1879" s="3">
        <v>0</v>
      </c>
      <c r="BG1879" s="3">
        <v>0</v>
      </c>
      <c r="BH1879" s="3">
        <v>1</v>
      </c>
      <c r="BI1879" s="3">
        <v>1</v>
      </c>
      <c r="BJ1879" s="3">
        <v>1.1000000000000001</v>
      </c>
      <c r="BK1879" s="3">
        <v>1.5</v>
      </c>
      <c r="BL1879" s="3">
        <v>59</v>
      </c>
      <c r="BM1879" s="3">
        <v>8.85</v>
      </c>
      <c r="BN1879" s="3">
        <v>67.849999999999994</v>
      </c>
      <c r="BO1879" s="3">
        <v>67.849999999999994</v>
      </c>
      <c r="BR1879" s="3" t="s">
        <v>84</v>
      </c>
      <c r="BS1879" s="4">
        <v>44572</v>
      </c>
      <c r="BT1879" s="5">
        <v>0.37847222222222227</v>
      </c>
      <c r="BU1879" s="3" t="s">
        <v>785</v>
      </c>
      <c r="BV1879" s="3" t="s">
        <v>105</v>
      </c>
      <c r="BY1879" s="3">
        <v>5320</v>
      </c>
      <c r="BZ1879" s="3" t="s">
        <v>165</v>
      </c>
      <c r="CA1879" s="3" t="s">
        <v>339</v>
      </c>
      <c r="CC1879" s="3" t="s">
        <v>336</v>
      </c>
      <c r="CD1879" s="3">
        <v>4133</v>
      </c>
      <c r="CE1879" s="3" t="s">
        <v>86</v>
      </c>
      <c r="CF1879" s="4">
        <v>44572</v>
      </c>
      <c r="CI1879" s="3">
        <v>1</v>
      </c>
      <c r="CJ1879" s="3">
        <v>1</v>
      </c>
      <c r="CK1879" s="3">
        <v>21</v>
      </c>
      <c r="CL1879" s="3" t="s">
        <v>87</v>
      </c>
    </row>
    <row r="1880" spans="1:90" x14ac:dyDescent="0.2">
      <c r="A1880" s="3" t="s">
        <v>72</v>
      </c>
      <c r="B1880" s="3" t="s">
        <v>73</v>
      </c>
      <c r="C1880" s="3" t="s">
        <v>74</v>
      </c>
      <c r="E1880" s="3" t="str">
        <f>"FES1162844235"</f>
        <v>FES1162844235</v>
      </c>
      <c r="F1880" s="4">
        <v>44571</v>
      </c>
      <c r="G1880" s="3">
        <v>202207</v>
      </c>
      <c r="H1880" s="3" t="s">
        <v>75</v>
      </c>
      <c r="I1880" s="3" t="s">
        <v>76</v>
      </c>
      <c r="J1880" s="3" t="s">
        <v>77</v>
      </c>
      <c r="K1880" s="3" t="s">
        <v>78</v>
      </c>
      <c r="L1880" s="3" t="s">
        <v>184</v>
      </c>
      <c r="M1880" s="3" t="s">
        <v>185</v>
      </c>
      <c r="N1880" s="3" t="s">
        <v>503</v>
      </c>
      <c r="O1880" s="3" t="s">
        <v>148</v>
      </c>
      <c r="P1880" s="3" t="str">
        <f>"2170812651                    "</f>
        <v xml:space="preserve">2170812651                    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29.89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v>0</v>
      </c>
      <c r="BA1880" s="3">
        <v>0</v>
      </c>
      <c r="BB1880" s="3">
        <v>0</v>
      </c>
      <c r="BC1880" s="3">
        <v>0</v>
      </c>
      <c r="BD1880" s="3">
        <v>0</v>
      </c>
      <c r="BE1880" s="3">
        <v>0</v>
      </c>
      <c r="BF1880" s="3">
        <v>0</v>
      </c>
      <c r="BG1880" s="3">
        <v>0</v>
      </c>
      <c r="BH1880" s="3">
        <v>2</v>
      </c>
      <c r="BI1880" s="3">
        <v>10</v>
      </c>
      <c r="BJ1880" s="3">
        <v>8.1999999999999993</v>
      </c>
      <c r="BK1880" s="3">
        <v>10</v>
      </c>
      <c r="BL1880" s="3">
        <v>119.34</v>
      </c>
      <c r="BM1880" s="3">
        <v>17.899999999999999</v>
      </c>
      <c r="BN1880" s="3">
        <v>137.24</v>
      </c>
      <c r="BO1880" s="3">
        <v>137.24</v>
      </c>
      <c r="BQ1880" s="3" t="s">
        <v>89</v>
      </c>
      <c r="BR1880" s="3" t="s">
        <v>84</v>
      </c>
      <c r="BS1880" s="4">
        <v>44573</v>
      </c>
      <c r="BT1880" s="5">
        <v>0.62777777777777777</v>
      </c>
      <c r="BU1880" s="3" t="s">
        <v>2065</v>
      </c>
      <c r="BV1880" s="3" t="s">
        <v>105</v>
      </c>
      <c r="BY1880" s="3">
        <v>41140</v>
      </c>
      <c r="BZ1880" s="3" t="s">
        <v>327</v>
      </c>
      <c r="CA1880" s="3" t="s">
        <v>357</v>
      </c>
      <c r="CC1880" s="3" t="s">
        <v>185</v>
      </c>
      <c r="CD1880" s="3">
        <v>5201</v>
      </c>
      <c r="CE1880" s="3" t="s">
        <v>221</v>
      </c>
      <c r="CF1880" s="4">
        <v>44573</v>
      </c>
      <c r="CI1880" s="3">
        <v>3</v>
      </c>
      <c r="CJ1880" s="3">
        <v>2</v>
      </c>
      <c r="CK1880" s="3">
        <v>41</v>
      </c>
      <c r="CL1880" s="3" t="s">
        <v>87</v>
      </c>
    </row>
    <row r="1881" spans="1:90" x14ac:dyDescent="0.2">
      <c r="A1881" s="3" t="s">
        <v>72</v>
      </c>
      <c r="B1881" s="3" t="s">
        <v>73</v>
      </c>
      <c r="C1881" s="3" t="s">
        <v>74</v>
      </c>
      <c r="E1881" s="3" t="str">
        <f>"FES1162844368"</f>
        <v>FES1162844368</v>
      </c>
      <c r="F1881" s="4">
        <v>44571</v>
      </c>
      <c r="G1881" s="3">
        <v>202207</v>
      </c>
      <c r="H1881" s="3" t="s">
        <v>75</v>
      </c>
      <c r="I1881" s="3" t="s">
        <v>76</v>
      </c>
      <c r="J1881" s="3" t="s">
        <v>77</v>
      </c>
      <c r="K1881" s="3" t="s">
        <v>78</v>
      </c>
      <c r="L1881" s="3" t="s">
        <v>250</v>
      </c>
      <c r="M1881" s="3" t="s">
        <v>251</v>
      </c>
      <c r="N1881" s="3" t="s">
        <v>252</v>
      </c>
      <c r="O1881" s="3" t="s">
        <v>82</v>
      </c>
      <c r="P1881" s="3" t="str">
        <f>"2170814893                    "</f>
        <v xml:space="preserve">2170814893                    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29.95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v>0</v>
      </c>
      <c r="BA1881" s="3">
        <v>0</v>
      </c>
      <c r="BB1881" s="3">
        <v>0</v>
      </c>
      <c r="BC1881" s="3">
        <v>0</v>
      </c>
      <c r="BD1881" s="3">
        <v>0</v>
      </c>
      <c r="BE1881" s="3">
        <v>0</v>
      </c>
      <c r="BF1881" s="3">
        <v>0</v>
      </c>
      <c r="BG1881" s="3">
        <v>0</v>
      </c>
      <c r="BH1881" s="3">
        <v>1</v>
      </c>
      <c r="BI1881" s="3">
        <v>2</v>
      </c>
      <c r="BJ1881" s="3">
        <v>0.2</v>
      </c>
      <c r="BK1881" s="3">
        <v>2</v>
      </c>
      <c r="BL1881" s="3">
        <v>114.31</v>
      </c>
      <c r="BM1881" s="3">
        <v>17.149999999999999</v>
      </c>
      <c r="BN1881" s="3">
        <v>131.46</v>
      </c>
      <c r="BO1881" s="3">
        <v>131.46</v>
      </c>
      <c r="BQ1881" s="3" t="s">
        <v>253</v>
      </c>
      <c r="BR1881" s="3" t="s">
        <v>84</v>
      </c>
      <c r="BS1881" s="4">
        <v>44572</v>
      </c>
      <c r="BT1881" s="5">
        <v>0.42222222222222222</v>
      </c>
      <c r="BU1881" s="3" t="s">
        <v>752</v>
      </c>
      <c r="BV1881" s="3" t="s">
        <v>105</v>
      </c>
      <c r="BY1881" s="3">
        <v>1200</v>
      </c>
      <c r="BZ1881" s="3" t="s">
        <v>165</v>
      </c>
      <c r="CC1881" s="3" t="s">
        <v>251</v>
      </c>
      <c r="CD1881" s="3">
        <v>6300</v>
      </c>
      <c r="CE1881" s="3" t="s">
        <v>93</v>
      </c>
      <c r="CF1881" s="4">
        <v>44572</v>
      </c>
      <c r="CI1881" s="3">
        <v>2</v>
      </c>
      <c r="CJ1881" s="3">
        <v>1</v>
      </c>
      <c r="CK1881" s="3">
        <v>23</v>
      </c>
      <c r="CL1881" s="3" t="s">
        <v>87</v>
      </c>
    </row>
    <row r="1882" spans="1:90" x14ac:dyDescent="0.2">
      <c r="A1882" s="3" t="s">
        <v>72</v>
      </c>
      <c r="B1882" s="3" t="s">
        <v>73</v>
      </c>
      <c r="C1882" s="3" t="s">
        <v>74</v>
      </c>
      <c r="E1882" s="3" t="str">
        <f>"FES1162844421"</f>
        <v>FES1162844421</v>
      </c>
      <c r="F1882" s="4">
        <v>44571</v>
      </c>
      <c r="G1882" s="3">
        <v>202207</v>
      </c>
      <c r="H1882" s="3" t="s">
        <v>75</v>
      </c>
      <c r="I1882" s="3" t="s">
        <v>76</v>
      </c>
      <c r="J1882" s="3" t="s">
        <v>77</v>
      </c>
      <c r="K1882" s="3" t="s">
        <v>78</v>
      </c>
      <c r="L1882" s="3" t="s">
        <v>120</v>
      </c>
      <c r="M1882" s="3" t="s">
        <v>121</v>
      </c>
      <c r="N1882" s="3" t="s">
        <v>122</v>
      </c>
      <c r="O1882" s="3" t="s">
        <v>82</v>
      </c>
      <c r="P1882" s="3" t="str">
        <f>"2170816049                    "</f>
        <v xml:space="preserve">2170816049                    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15.46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v>0</v>
      </c>
      <c r="BA1882" s="3">
        <v>0</v>
      </c>
      <c r="BB1882" s="3">
        <v>0</v>
      </c>
      <c r="BC1882" s="3">
        <v>0</v>
      </c>
      <c r="BD1882" s="3">
        <v>0</v>
      </c>
      <c r="BE1882" s="3">
        <v>0</v>
      </c>
      <c r="BF1882" s="3">
        <v>0</v>
      </c>
      <c r="BG1882" s="3">
        <v>0</v>
      </c>
      <c r="BH1882" s="3">
        <v>1</v>
      </c>
      <c r="BI1882" s="3">
        <v>1</v>
      </c>
      <c r="BJ1882" s="3">
        <v>0.2</v>
      </c>
      <c r="BK1882" s="3">
        <v>1</v>
      </c>
      <c r="BL1882" s="3">
        <v>59</v>
      </c>
      <c r="BM1882" s="3">
        <v>8.85</v>
      </c>
      <c r="BN1882" s="3">
        <v>67.849999999999994</v>
      </c>
      <c r="BO1882" s="3">
        <v>67.849999999999994</v>
      </c>
      <c r="BQ1882" s="3" t="s">
        <v>89</v>
      </c>
      <c r="BR1882" s="3" t="s">
        <v>84</v>
      </c>
      <c r="BS1882" s="4">
        <v>44572</v>
      </c>
      <c r="BT1882" s="5">
        <v>0.4375</v>
      </c>
      <c r="BU1882" s="3" t="s">
        <v>346</v>
      </c>
      <c r="BV1882" s="3" t="s">
        <v>105</v>
      </c>
      <c r="BY1882" s="3">
        <v>1200</v>
      </c>
      <c r="CC1882" s="3" t="s">
        <v>121</v>
      </c>
      <c r="CD1882" s="3">
        <v>6230</v>
      </c>
      <c r="CE1882" s="3" t="s">
        <v>93</v>
      </c>
      <c r="CF1882" s="4">
        <v>44572</v>
      </c>
      <c r="CI1882" s="3">
        <v>1</v>
      </c>
      <c r="CJ1882" s="3">
        <v>1</v>
      </c>
      <c r="CK1882" s="3">
        <v>21</v>
      </c>
      <c r="CL1882" s="3" t="s">
        <v>87</v>
      </c>
    </row>
    <row r="1883" spans="1:90" x14ac:dyDescent="0.2">
      <c r="A1883" s="3" t="s">
        <v>72</v>
      </c>
      <c r="B1883" s="3" t="s">
        <v>73</v>
      </c>
      <c r="C1883" s="3" t="s">
        <v>74</v>
      </c>
      <c r="E1883" s="3" t="str">
        <f>"FES1162844237"</f>
        <v>FES1162844237</v>
      </c>
      <c r="F1883" s="4">
        <v>44571</v>
      </c>
      <c r="G1883" s="3">
        <v>202207</v>
      </c>
      <c r="H1883" s="3" t="s">
        <v>75</v>
      </c>
      <c r="I1883" s="3" t="s">
        <v>76</v>
      </c>
      <c r="J1883" s="3" t="s">
        <v>77</v>
      </c>
      <c r="K1883" s="3" t="s">
        <v>78</v>
      </c>
      <c r="L1883" s="3" t="s">
        <v>529</v>
      </c>
      <c r="M1883" s="3" t="s">
        <v>530</v>
      </c>
      <c r="N1883" s="3" t="s">
        <v>531</v>
      </c>
      <c r="O1883" s="3" t="s">
        <v>82</v>
      </c>
      <c r="P1883" s="3" t="str">
        <f>"2170815400                    "</f>
        <v xml:space="preserve">2170815400                    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29.95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v>0</v>
      </c>
      <c r="BA1883" s="3">
        <v>0</v>
      </c>
      <c r="BB1883" s="3">
        <v>0</v>
      </c>
      <c r="BC1883" s="3">
        <v>0</v>
      </c>
      <c r="BD1883" s="3">
        <v>0</v>
      </c>
      <c r="BE1883" s="3">
        <v>0</v>
      </c>
      <c r="BF1883" s="3">
        <v>0</v>
      </c>
      <c r="BG1883" s="3">
        <v>0</v>
      </c>
      <c r="BH1883" s="3">
        <v>1</v>
      </c>
      <c r="BI1883" s="3">
        <v>1</v>
      </c>
      <c r="BJ1883" s="3">
        <v>0.2</v>
      </c>
      <c r="BK1883" s="3">
        <v>1</v>
      </c>
      <c r="BL1883" s="3">
        <v>114.31</v>
      </c>
      <c r="BM1883" s="3">
        <v>17.149999999999999</v>
      </c>
      <c r="BN1883" s="3">
        <v>131.46</v>
      </c>
      <c r="BO1883" s="3">
        <v>131.46</v>
      </c>
      <c r="BQ1883" s="3" t="s">
        <v>83</v>
      </c>
      <c r="BR1883" s="3" t="s">
        <v>84</v>
      </c>
      <c r="BS1883" s="4">
        <v>44572</v>
      </c>
      <c r="BT1883" s="5">
        <v>0.4381944444444445</v>
      </c>
      <c r="BU1883" s="3" t="s">
        <v>2066</v>
      </c>
      <c r="BV1883" s="3" t="s">
        <v>105</v>
      </c>
      <c r="BY1883" s="3">
        <v>1200</v>
      </c>
      <c r="CA1883" s="3" t="s">
        <v>328</v>
      </c>
      <c r="CC1883" s="3" t="s">
        <v>530</v>
      </c>
      <c r="CD1883" s="3">
        <v>6500</v>
      </c>
      <c r="CE1883" s="3" t="s">
        <v>93</v>
      </c>
      <c r="CF1883" s="4">
        <v>44572</v>
      </c>
      <c r="CI1883" s="3">
        <v>1</v>
      </c>
      <c r="CJ1883" s="3">
        <v>1</v>
      </c>
      <c r="CK1883" s="3">
        <v>23</v>
      </c>
      <c r="CL1883" s="3" t="s">
        <v>87</v>
      </c>
    </row>
    <row r="1884" spans="1:90" x14ac:dyDescent="0.2">
      <c r="A1884" s="3" t="s">
        <v>72</v>
      </c>
      <c r="B1884" s="3" t="s">
        <v>73</v>
      </c>
      <c r="C1884" s="3" t="s">
        <v>74</v>
      </c>
      <c r="E1884" s="3" t="str">
        <f>"FES1162844424"</f>
        <v>FES1162844424</v>
      </c>
      <c r="F1884" s="4">
        <v>44571</v>
      </c>
      <c r="G1884" s="3">
        <v>202207</v>
      </c>
      <c r="H1884" s="3" t="s">
        <v>75</v>
      </c>
      <c r="I1884" s="3" t="s">
        <v>76</v>
      </c>
      <c r="J1884" s="3" t="s">
        <v>77</v>
      </c>
      <c r="K1884" s="3" t="s">
        <v>78</v>
      </c>
      <c r="L1884" s="3" t="s">
        <v>120</v>
      </c>
      <c r="M1884" s="3" t="s">
        <v>121</v>
      </c>
      <c r="N1884" s="3" t="s">
        <v>122</v>
      </c>
      <c r="O1884" s="3" t="s">
        <v>82</v>
      </c>
      <c r="P1884" s="3" t="str">
        <f>"2170816052                    "</f>
        <v xml:space="preserve">2170816052                    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15.46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v>0</v>
      </c>
      <c r="BA1884" s="3">
        <v>0</v>
      </c>
      <c r="BB1884" s="3">
        <v>0</v>
      </c>
      <c r="BC1884" s="3">
        <v>0</v>
      </c>
      <c r="BD1884" s="3">
        <v>0</v>
      </c>
      <c r="BE1884" s="3">
        <v>0</v>
      </c>
      <c r="BF1884" s="3">
        <v>0</v>
      </c>
      <c r="BG1884" s="3">
        <v>0</v>
      </c>
      <c r="BH1884" s="3">
        <v>1</v>
      </c>
      <c r="BI1884" s="3">
        <v>1</v>
      </c>
      <c r="BJ1884" s="3">
        <v>0.2</v>
      </c>
      <c r="BK1884" s="3">
        <v>1</v>
      </c>
      <c r="BL1884" s="3">
        <v>59</v>
      </c>
      <c r="BM1884" s="3">
        <v>8.85</v>
      </c>
      <c r="BN1884" s="3">
        <v>67.849999999999994</v>
      </c>
      <c r="BO1884" s="3">
        <v>67.849999999999994</v>
      </c>
      <c r="BQ1884" s="3" t="s">
        <v>89</v>
      </c>
      <c r="BR1884" s="3" t="s">
        <v>84</v>
      </c>
      <c r="BS1884" s="4">
        <v>44572</v>
      </c>
      <c r="BT1884" s="5">
        <v>0.4375</v>
      </c>
      <c r="BU1884" s="3" t="s">
        <v>346</v>
      </c>
      <c r="BV1884" s="3" t="s">
        <v>105</v>
      </c>
      <c r="BY1884" s="3">
        <v>1200</v>
      </c>
      <c r="CC1884" s="3" t="s">
        <v>121</v>
      </c>
      <c r="CD1884" s="3">
        <v>6230</v>
      </c>
      <c r="CE1884" s="3" t="s">
        <v>93</v>
      </c>
      <c r="CF1884" s="4">
        <v>44572</v>
      </c>
      <c r="CI1884" s="3">
        <v>1</v>
      </c>
      <c r="CJ1884" s="3">
        <v>1</v>
      </c>
      <c r="CK1884" s="3">
        <v>21</v>
      </c>
      <c r="CL1884" s="3" t="s">
        <v>87</v>
      </c>
    </row>
    <row r="1885" spans="1:90" x14ac:dyDescent="0.2">
      <c r="A1885" s="3" t="s">
        <v>72</v>
      </c>
      <c r="B1885" s="3" t="s">
        <v>73</v>
      </c>
      <c r="C1885" s="3" t="s">
        <v>74</v>
      </c>
      <c r="E1885" s="3" t="str">
        <f>"FES1162844248"</f>
        <v>FES1162844248</v>
      </c>
      <c r="F1885" s="4">
        <v>44571</v>
      </c>
      <c r="G1885" s="3">
        <v>202207</v>
      </c>
      <c r="H1885" s="3" t="s">
        <v>75</v>
      </c>
      <c r="I1885" s="3" t="s">
        <v>76</v>
      </c>
      <c r="J1885" s="3" t="s">
        <v>77</v>
      </c>
      <c r="K1885" s="3" t="s">
        <v>78</v>
      </c>
      <c r="L1885" s="3" t="s">
        <v>158</v>
      </c>
      <c r="M1885" s="3" t="s">
        <v>159</v>
      </c>
      <c r="N1885" s="3" t="s">
        <v>2067</v>
      </c>
      <c r="O1885" s="3" t="s">
        <v>82</v>
      </c>
      <c r="P1885" s="3" t="str">
        <f>"2170816000                    "</f>
        <v xml:space="preserve">2170816000                    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12.07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v>0</v>
      </c>
      <c r="BA1885" s="3">
        <v>0</v>
      </c>
      <c r="BB1885" s="3">
        <v>0</v>
      </c>
      <c r="BC1885" s="3">
        <v>0</v>
      </c>
      <c r="BD1885" s="3">
        <v>0</v>
      </c>
      <c r="BE1885" s="3">
        <v>0</v>
      </c>
      <c r="BF1885" s="3">
        <v>0</v>
      </c>
      <c r="BG1885" s="3">
        <v>0</v>
      </c>
      <c r="BH1885" s="3">
        <v>1</v>
      </c>
      <c r="BI1885" s="3">
        <v>1</v>
      </c>
      <c r="BJ1885" s="3">
        <v>0.2</v>
      </c>
      <c r="BK1885" s="3">
        <v>1</v>
      </c>
      <c r="BL1885" s="3">
        <v>46.08</v>
      </c>
      <c r="BM1885" s="3">
        <v>6.91</v>
      </c>
      <c r="BN1885" s="3">
        <v>52.99</v>
      </c>
      <c r="BO1885" s="3">
        <v>52.99</v>
      </c>
      <c r="BQ1885" s="3" t="s">
        <v>89</v>
      </c>
      <c r="BR1885" s="3" t="s">
        <v>84</v>
      </c>
      <c r="BS1885" s="4">
        <v>44572</v>
      </c>
      <c r="BT1885" s="5">
        <v>0.41875000000000001</v>
      </c>
      <c r="BU1885" s="3" t="s">
        <v>1637</v>
      </c>
      <c r="BV1885" s="3" t="s">
        <v>105</v>
      </c>
      <c r="BY1885" s="3">
        <v>1200</v>
      </c>
      <c r="CA1885" s="3" t="s">
        <v>653</v>
      </c>
      <c r="CC1885" s="3" t="s">
        <v>159</v>
      </c>
      <c r="CD1885" s="3">
        <v>1459</v>
      </c>
      <c r="CE1885" s="3" t="s">
        <v>93</v>
      </c>
      <c r="CF1885" s="4">
        <v>44572</v>
      </c>
      <c r="CI1885" s="3">
        <v>1</v>
      </c>
      <c r="CJ1885" s="3">
        <v>1</v>
      </c>
      <c r="CK1885" s="3">
        <v>22</v>
      </c>
      <c r="CL1885" s="3" t="s">
        <v>87</v>
      </c>
    </row>
    <row r="1886" spans="1:90" x14ac:dyDescent="0.2">
      <c r="A1886" s="3" t="s">
        <v>72</v>
      </c>
      <c r="B1886" s="3" t="s">
        <v>73</v>
      </c>
      <c r="C1886" s="3" t="s">
        <v>74</v>
      </c>
      <c r="E1886" s="3" t="str">
        <f>"FES1162844369"</f>
        <v>FES1162844369</v>
      </c>
      <c r="F1886" s="4">
        <v>44571</v>
      </c>
      <c r="G1886" s="3">
        <v>202207</v>
      </c>
      <c r="H1886" s="3" t="s">
        <v>75</v>
      </c>
      <c r="I1886" s="3" t="s">
        <v>76</v>
      </c>
      <c r="J1886" s="3" t="s">
        <v>77</v>
      </c>
      <c r="K1886" s="3" t="s">
        <v>78</v>
      </c>
      <c r="L1886" s="3" t="s">
        <v>167</v>
      </c>
      <c r="M1886" s="3" t="s">
        <v>168</v>
      </c>
      <c r="N1886" s="3" t="s">
        <v>169</v>
      </c>
      <c r="O1886" s="3" t="s">
        <v>82</v>
      </c>
      <c r="P1886" s="3" t="str">
        <f>"2170814898                    "</f>
        <v xml:space="preserve">2170814898                    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15.46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v>0</v>
      </c>
      <c r="BA1886" s="3">
        <v>0</v>
      </c>
      <c r="BB1886" s="3">
        <v>0</v>
      </c>
      <c r="BC1886" s="3">
        <v>0</v>
      </c>
      <c r="BD1886" s="3">
        <v>0</v>
      </c>
      <c r="BE1886" s="3">
        <v>0</v>
      </c>
      <c r="BF1886" s="3">
        <v>0</v>
      </c>
      <c r="BG1886" s="3">
        <v>0</v>
      </c>
      <c r="BH1886" s="3">
        <v>1</v>
      </c>
      <c r="BI1886" s="3">
        <v>1</v>
      </c>
      <c r="BJ1886" s="3">
        <v>0.2</v>
      </c>
      <c r="BK1886" s="3">
        <v>1</v>
      </c>
      <c r="BL1886" s="3">
        <v>59</v>
      </c>
      <c r="BM1886" s="3">
        <v>8.85</v>
      </c>
      <c r="BN1886" s="3">
        <v>67.849999999999994</v>
      </c>
      <c r="BO1886" s="3">
        <v>67.849999999999994</v>
      </c>
      <c r="BQ1886" s="3" t="s">
        <v>83</v>
      </c>
      <c r="BR1886" s="3" t="s">
        <v>84</v>
      </c>
      <c r="BS1886" s="4">
        <v>44572</v>
      </c>
      <c r="BT1886" s="5">
        <v>0.38958333333333334</v>
      </c>
      <c r="BU1886" s="3" t="s">
        <v>262</v>
      </c>
      <c r="BV1886" s="3" t="s">
        <v>105</v>
      </c>
      <c r="BY1886" s="3">
        <v>1200</v>
      </c>
      <c r="CA1886" s="3" t="s">
        <v>263</v>
      </c>
      <c r="CC1886" s="3" t="s">
        <v>168</v>
      </c>
      <c r="CD1886" s="3">
        <v>6220</v>
      </c>
      <c r="CE1886" s="3" t="s">
        <v>93</v>
      </c>
      <c r="CF1886" s="4">
        <v>44572</v>
      </c>
      <c r="CI1886" s="3">
        <v>1</v>
      </c>
      <c r="CJ1886" s="3">
        <v>1</v>
      </c>
      <c r="CK1886" s="3">
        <v>21</v>
      </c>
      <c r="CL1886" s="3" t="s">
        <v>87</v>
      </c>
    </row>
    <row r="1887" spans="1:90" x14ac:dyDescent="0.2">
      <c r="A1887" s="3" t="s">
        <v>72</v>
      </c>
      <c r="B1887" s="3" t="s">
        <v>73</v>
      </c>
      <c r="C1887" s="3" t="s">
        <v>74</v>
      </c>
      <c r="E1887" s="3" t="str">
        <f>"FES1162844392"</f>
        <v>FES1162844392</v>
      </c>
      <c r="F1887" s="4">
        <v>44571</v>
      </c>
      <c r="G1887" s="3">
        <v>202207</v>
      </c>
      <c r="H1887" s="3" t="s">
        <v>75</v>
      </c>
      <c r="I1887" s="3" t="s">
        <v>76</v>
      </c>
      <c r="J1887" s="3" t="s">
        <v>77</v>
      </c>
      <c r="K1887" s="3" t="s">
        <v>78</v>
      </c>
      <c r="L1887" s="3" t="s">
        <v>94</v>
      </c>
      <c r="M1887" s="3" t="s">
        <v>95</v>
      </c>
      <c r="N1887" s="3" t="s">
        <v>179</v>
      </c>
      <c r="O1887" s="3" t="s">
        <v>82</v>
      </c>
      <c r="P1887" s="3" t="str">
        <f>"2170815784                    "</f>
        <v xml:space="preserve">2170815784                    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15.46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v>0</v>
      </c>
      <c r="BA1887" s="3">
        <v>0</v>
      </c>
      <c r="BB1887" s="3">
        <v>0</v>
      </c>
      <c r="BC1887" s="3">
        <v>0</v>
      </c>
      <c r="BD1887" s="3">
        <v>0</v>
      </c>
      <c r="BE1887" s="3">
        <v>0</v>
      </c>
      <c r="BF1887" s="3">
        <v>0</v>
      </c>
      <c r="BG1887" s="3">
        <v>0</v>
      </c>
      <c r="BH1887" s="3">
        <v>1</v>
      </c>
      <c r="BI1887" s="3">
        <v>1</v>
      </c>
      <c r="BJ1887" s="3">
        <v>0.2</v>
      </c>
      <c r="BK1887" s="3">
        <v>1</v>
      </c>
      <c r="BL1887" s="3">
        <v>59</v>
      </c>
      <c r="BM1887" s="3">
        <v>8.85</v>
      </c>
      <c r="BN1887" s="3">
        <v>67.849999999999994</v>
      </c>
      <c r="BO1887" s="3">
        <v>67.849999999999994</v>
      </c>
      <c r="BQ1887" s="3" t="s">
        <v>83</v>
      </c>
      <c r="BR1887" s="3" t="s">
        <v>84</v>
      </c>
      <c r="BS1887" s="4">
        <v>44572</v>
      </c>
      <c r="BT1887" s="5">
        <v>0.4826388888888889</v>
      </c>
      <c r="BU1887" s="3" t="s">
        <v>988</v>
      </c>
      <c r="BV1887" s="3" t="s">
        <v>87</v>
      </c>
      <c r="BW1887" s="3" t="s">
        <v>453</v>
      </c>
      <c r="BX1887" s="3" t="s">
        <v>279</v>
      </c>
      <c r="BY1887" s="3">
        <v>1200</v>
      </c>
      <c r="BZ1887" s="3" t="s">
        <v>165</v>
      </c>
      <c r="CA1887" s="3" t="s">
        <v>328</v>
      </c>
      <c r="CC1887" s="3" t="s">
        <v>95</v>
      </c>
      <c r="CD1887" s="3">
        <v>3201</v>
      </c>
      <c r="CE1887" s="3" t="s">
        <v>93</v>
      </c>
      <c r="CF1887" s="4">
        <v>44574</v>
      </c>
      <c r="CI1887" s="3">
        <v>1</v>
      </c>
      <c r="CJ1887" s="3">
        <v>1</v>
      </c>
      <c r="CK1887" s="3">
        <v>21</v>
      </c>
      <c r="CL1887" s="3" t="s">
        <v>87</v>
      </c>
    </row>
    <row r="1888" spans="1:90" x14ac:dyDescent="0.2">
      <c r="A1888" s="3" t="s">
        <v>72</v>
      </c>
      <c r="B1888" s="3" t="s">
        <v>73</v>
      </c>
      <c r="C1888" s="3" t="s">
        <v>74</v>
      </c>
      <c r="E1888" s="3" t="str">
        <f>"FES1162844307"</f>
        <v>FES1162844307</v>
      </c>
      <c r="F1888" s="4">
        <v>44571</v>
      </c>
      <c r="G1888" s="3">
        <v>202207</v>
      </c>
      <c r="H1888" s="3" t="s">
        <v>75</v>
      </c>
      <c r="I1888" s="3" t="s">
        <v>76</v>
      </c>
      <c r="J1888" s="3" t="s">
        <v>77</v>
      </c>
      <c r="K1888" s="3" t="s">
        <v>78</v>
      </c>
      <c r="L1888" s="3" t="s">
        <v>123</v>
      </c>
      <c r="M1888" s="3" t="s">
        <v>124</v>
      </c>
      <c r="N1888" s="3" t="s">
        <v>2068</v>
      </c>
      <c r="O1888" s="3" t="s">
        <v>82</v>
      </c>
      <c r="P1888" s="3" t="str">
        <f>"2170813082                    "</f>
        <v xml:space="preserve">2170813082                    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12.07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v>0</v>
      </c>
      <c r="BA1888" s="3">
        <v>0</v>
      </c>
      <c r="BB1888" s="3">
        <v>0</v>
      </c>
      <c r="BC1888" s="3">
        <v>0</v>
      </c>
      <c r="BD1888" s="3">
        <v>0</v>
      </c>
      <c r="BE1888" s="3">
        <v>0</v>
      </c>
      <c r="BF1888" s="3">
        <v>0</v>
      </c>
      <c r="BG1888" s="3">
        <v>0</v>
      </c>
      <c r="BH1888" s="3">
        <v>1</v>
      </c>
      <c r="BI1888" s="3">
        <v>1</v>
      </c>
      <c r="BJ1888" s="3">
        <v>0.2</v>
      </c>
      <c r="BK1888" s="3">
        <v>1</v>
      </c>
      <c r="BL1888" s="3">
        <v>46.08</v>
      </c>
      <c r="BM1888" s="3">
        <v>6.91</v>
      </c>
      <c r="BN1888" s="3">
        <v>52.99</v>
      </c>
      <c r="BO1888" s="3">
        <v>52.99</v>
      </c>
      <c r="BQ1888" s="3" t="s">
        <v>83</v>
      </c>
      <c r="BR1888" s="3" t="s">
        <v>84</v>
      </c>
      <c r="BS1888" s="4">
        <v>44572</v>
      </c>
      <c r="BT1888" s="5">
        <v>0.3840277777777778</v>
      </c>
      <c r="BU1888" s="3" t="s">
        <v>2069</v>
      </c>
      <c r="BV1888" s="3" t="s">
        <v>105</v>
      </c>
      <c r="BY1888" s="3">
        <v>1200</v>
      </c>
      <c r="CA1888" s="3" t="s">
        <v>320</v>
      </c>
      <c r="CC1888" s="3" t="s">
        <v>124</v>
      </c>
      <c r="CD1888" s="3">
        <v>1709</v>
      </c>
      <c r="CE1888" s="3" t="s">
        <v>93</v>
      </c>
      <c r="CF1888" s="4">
        <v>44572</v>
      </c>
      <c r="CI1888" s="3">
        <v>1</v>
      </c>
      <c r="CJ1888" s="3">
        <v>1</v>
      </c>
      <c r="CK1888" s="3">
        <v>22</v>
      </c>
      <c r="CL1888" s="3" t="s">
        <v>87</v>
      </c>
    </row>
    <row r="1889" spans="1:90" x14ac:dyDescent="0.2">
      <c r="A1889" s="3" t="s">
        <v>72</v>
      </c>
      <c r="B1889" s="3" t="s">
        <v>73</v>
      </c>
      <c r="C1889" s="3" t="s">
        <v>74</v>
      </c>
      <c r="E1889" s="3" t="str">
        <f>"FES1162844466"</f>
        <v>FES1162844466</v>
      </c>
      <c r="F1889" s="4">
        <v>44571</v>
      </c>
      <c r="G1889" s="3">
        <v>202207</v>
      </c>
      <c r="H1889" s="3" t="s">
        <v>75</v>
      </c>
      <c r="I1889" s="3" t="s">
        <v>76</v>
      </c>
      <c r="J1889" s="3" t="s">
        <v>77</v>
      </c>
      <c r="K1889" s="3" t="s">
        <v>78</v>
      </c>
      <c r="L1889" s="3" t="s">
        <v>138</v>
      </c>
      <c r="M1889" s="3" t="s">
        <v>139</v>
      </c>
      <c r="N1889" s="3" t="s">
        <v>1037</v>
      </c>
      <c r="O1889" s="3" t="s">
        <v>82</v>
      </c>
      <c r="P1889" s="3" t="str">
        <f>"2170816099                    "</f>
        <v xml:space="preserve">2170816099                    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15.46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v>0</v>
      </c>
      <c r="BA1889" s="3">
        <v>0</v>
      </c>
      <c r="BB1889" s="3">
        <v>0</v>
      </c>
      <c r="BC1889" s="3">
        <v>0</v>
      </c>
      <c r="BD1889" s="3">
        <v>0</v>
      </c>
      <c r="BE1889" s="3">
        <v>0</v>
      </c>
      <c r="BF1889" s="3">
        <v>0</v>
      </c>
      <c r="BG1889" s="3">
        <v>0</v>
      </c>
      <c r="BH1889" s="3">
        <v>1</v>
      </c>
      <c r="BI1889" s="3">
        <v>1</v>
      </c>
      <c r="BJ1889" s="3">
        <v>0.2</v>
      </c>
      <c r="BK1889" s="3">
        <v>1</v>
      </c>
      <c r="BL1889" s="3">
        <v>59</v>
      </c>
      <c r="BM1889" s="3">
        <v>8.85</v>
      </c>
      <c r="BN1889" s="3">
        <v>67.849999999999994</v>
      </c>
      <c r="BO1889" s="3">
        <v>67.849999999999994</v>
      </c>
      <c r="BR1889" s="3" t="s">
        <v>84</v>
      </c>
      <c r="BS1889" s="4">
        <v>44572</v>
      </c>
      <c r="BT1889" s="5">
        <v>0.40902777777777777</v>
      </c>
      <c r="BU1889" s="3" t="s">
        <v>2070</v>
      </c>
      <c r="BV1889" s="3" t="s">
        <v>105</v>
      </c>
      <c r="BY1889" s="3">
        <v>1200</v>
      </c>
      <c r="BZ1889" s="3" t="s">
        <v>165</v>
      </c>
      <c r="CA1889" s="3" t="s">
        <v>2071</v>
      </c>
      <c r="CC1889" s="3" t="s">
        <v>139</v>
      </c>
      <c r="CD1889" s="3">
        <v>3610</v>
      </c>
      <c r="CE1889" s="3" t="s">
        <v>93</v>
      </c>
      <c r="CF1889" s="4">
        <v>44572</v>
      </c>
      <c r="CI1889" s="3">
        <v>1</v>
      </c>
      <c r="CJ1889" s="3">
        <v>1</v>
      </c>
      <c r="CK1889" s="3">
        <v>21</v>
      </c>
      <c r="CL1889" s="3" t="s">
        <v>87</v>
      </c>
    </row>
    <row r="1890" spans="1:90" x14ac:dyDescent="0.2">
      <c r="A1890" s="3" t="s">
        <v>72</v>
      </c>
      <c r="B1890" s="3" t="s">
        <v>73</v>
      </c>
      <c r="C1890" s="3" t="s">
        <v>74</v>
      </c>
      <c r="E1890" s="3" t="str">
        <f>"FES1162844481"</f>
        <v>FES1162844481</v>
      </c>
      <c r="F1890" s="4">
        <v>44571</v>
      </c>
      <c r="G1890" s="3">
        <v>202207</v>
      </c>
      <c r="H1890" s="3" t="s">
        <v>75</v>
      </c>
      <c r="I1890" s="3" t="s">
        <v>76</v>
      </c>
      <c r="J1890" s="3" t="s">
        <v>77</v>
      </c>
      <c r="K1890" s="3" t="s">
        <v>78</v>
      </c>
      <c r="L1890" s="3" t="s">
        <v>90</v>
      </c>
      <c r="M1890" s="3" t="s">
        <v>91</v>
      </c>
      <c r="N1890" s="3" t="s">
        <v>114</v>
      </c>
      <c r="O1890" s="3" t="s">
        <v>82</v>
      </c>
      <c r="P1890" s="3" t="str">
        <f>"2170816125                    "</f>
        <v xml:space="preserve">2170816125                    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15.46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v>0</v>
      </c>
      <c r="BA1890" s="3">
        <v>0</v>
      </c>
      <c r="BB1890" s="3">
        <v>0</v>
      </c>
      <c r="BC1890" s="3">
        <v>0</v>
      </c>
      <c r="BD1890" s="3">
        <v>0</v>
      </c>
      <c r="BE1890" s="3">
        <v>0</v>
      </c>
      <c r="BF1890" s="3">
        <v>0</v>
      </c>
      <c r="BG1890" s="3">
        <v>0</v>
      </c>
      <c r="BH1890" s="3">
        <v>1</v>
      </c>
      <c r="BI1890" s="3">
        <v>1</v>
      </c>
      <c r="BJ1890" s="3">
        <v>1.9</v>
      </c>
      <c r="BK1890" s="3">
        <v>2</v>
      </c>
      <c r="BL1890" s="3">
        <v>59</v>
      </c>
      <c r="BM1890" s="3">
        <v>8.85</v>
      </c>
      <c r="BN1890" s="3">
        <v>67.849999999999994</v>
      </c>
      <c r="BO1890" s="3">
        <v>67.849999999999994</v>
      </c>
      <c r="BQ1890" s="3" t="s">
        <v>89</v>
      </c>
      <c r="BR1890" s="3" t="s">
        <v>84</v>
      </c>
      <c r="BS1890" s="4">
        <v>44572</v>
      </c>
      <c r="BT1890" s="5">
        <v>0.36944444444444446</v>
      </c>
      <c r="BU1890" s="3" t="s">
        <v>288</v>
      </c>
      <c r="BV1890" s="3" t="s">
        <v>105</v>
      </c>
      <c r="BY1890" s="3">
        <v>9408</v>
      </c>
      <c r="BZ1890" s="3" t="s">
        <v>165</v>
      </c>
      <c r="CA1890" s="3" t="s">
        <v>289</v>
      </c>
      <c r="CC1890" s="3" t="s">
        <v>91</v>
      </c>
      <c r="CD1890" s="3">
        <v>7441</v>
      </c>
      <c r="CE1890" s="3" t="s">
        <v>86</v>
      </c>
      <c r="CF1890" s="4">
        <v>44573</v>
      </c>
      <c r="CI1890" s="3">
        <v>1</v>
      </c>
      <c r="CJ1890" s="3">
        <v>1</v>
      </c>
      <c r="CK1890" s="3">
        <v>21</v>
      </c>
      <c r="CL1890" s="3" t="s">
        <v>87</v>
      </c>
    </row>
    <row r="1891" spans="1:90" x14ac:dyDescent="0.2">
      <c r="A1891" s="3" t="s">
        <v>72</v>
      </c>
      <c r="B1891" s="3" t="s">
        <v>73</v>
      </c>
      <c r="C1891" s="3" t="s">
        <v>74</v>
      </c>
      <c r="E1891" s="3" t="str">
        <f>"FES1162844470"</f>
        <v>FES1162844470</v>
      </c>
      <c r="F1891" s="4">
        <v>44571</v>
      </c>
      <c r="G1891" s="3">
        <v>202207</v>
      </c>
      <c r="H1891" s="3" t="s">
        <v>75</v>
      </c>
      <c r="I1891" s="3" t="s">
        <v>76</v>
      </c>
      <c r="J1891" s="3" t="s">
        <v>77</v>
      </c>
      <c r="K1891" s="3" t="s">
        <v>78</v>
      </c>
      <c r="L1891" s="3" t="s">
        <v>90</v>
      </c>
      <c r="M1891" s="3" t="s">
        <v>91</v>
      </c>
      <c r="N1891" s="3" t="s">
        <v>269</v>
      </c>
      <c r="O1891" s="3" t="s">
        <v>82</v>
      </c>
      <c r="P1891" s="3" t="str">
        <f>"2170816116                    "</f>
        <v xml:space="preserve">2170816116                    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15.46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v>0</v>
      </c>
      <c r="BA1891" s="3">
        <v>0</v>
      </c>
      <c r="BB1891" s="3">
        <v>0</v>
      </c>
      <c r="BC1891" s="3">
        <v>0</v>
      </c>
      <c r="BD1891" s="3">
        <v>0</v>
      </c>
      <c r="BE1891" s="3">
        <v>0</v>
      </c>
      <c r="BF1891" s="3">
        <v>0</v>
      </c>
      <c r="BG1891" s="3">
        <v>0</v>
      </c>
      <c r="BH1891" s="3">
        <v>1</v>
      </c>
      <c r="BI1891" s="3">
        <v>1</v>
      </c>
      <c r="BJ1891" s="3">
        <v>0.2</v>
      </c>
      <c r="BK1891" s="3">
        <v>1</v>
      </c>
      <c r="BL1891" s="3">
        <v>59</v>
      </c>
      <c r="BM1891" s="3">
        <v>8.85</v>
      </c>
      <c r="BN1891" s="3">
        <v>67.849999999999994</v>
      </c>
      <c r="BO1891" s="3">
        <v>67.849999999999994</v>
      </c>
      <c r="BQ1891" s="3" t="s">
        <v>83</v>
      </c>
      <c r="BR1891" s="3" t="s">
        <v>84</v>
      </c>
      <c r="BS1891" s="4">
        <v>44572</v>
      </c>
      <c r="BT1891" s="5">
        <v>0.34166666666666662</v>
      </c>
      <c r="BU1891" s="3" t="s">
        <v>270</v>
      </c>
      <c r="BV1891" s="3" t="s">
        <v>105</v>
      </c>
      <c r="BY1891" s="3">
        <v>1200</v>
      </c>
      <c r="BZ1891" s="3" t="s">
        <v>165</v>
      </c>
      <c r="CA1891" s="3" t="s">
        <v>271</v>
      </c>
      <c r="CC1891" s="3" t="s">
        <v>91</v>
      </c>
      <c r="CD1891" s="3">
        <v>8001</v>
      </c>
      <c r="CE1891" s="3" t="s">
        <v>93</v>
      </c>
      <c r="CF1891" s="4">
        <v>44573</v>
      </c>
      <c r="CI1891" s="3">
        <v>1</v>
      </c>
      <c r="CJ1891" s="3">
        <v>1</v>
      </c>
      <c r="CK1891" s="3">
        <v>21</v>
      </c>
      <c r="CL1891" s="3" t="s">
        <v>87</v>
      </c>
    </row>
    <row r="1892" spans="1:90" x14ac:dyDescent="0.2">
      <c r="A1892" s="3" t="s">
        <v>72</v>
      </c>
      <c r="B1892" s="3" t="s">
        <v>73</v>
      </c>
      <c r="C1892" s="3" t="s">
        <v>74</v>
      </c>
      <c r="E1892" s="3" t="str">
        <f>"FES1162844451"</f>
        <v>FES1162844451</v>
      </c>
      <c r="F1892" s="4">
        <v>44571</v>
      </c>
      <c r="G1892" s="3">
        <v>202207</v>
      </c>
      <c r="H1892" s="3" t="s">
        <v>75</v>
      </c>
      <c r="I1892" s="3" t="s">
        <v>76</v>
      </c>
      <c r="J1892" s="3" t="s">
        <v>77</v>
      </c>
      <c r="K1892" s="3" t="s">
        <v>78</v>
      </c>
      <c r="L1892" s="3" t="s">
        <v>138</v>
      </c>
      <c r="M1892" s="3" t="s">
        <v>139</v>
      </c>
      <c r="N1892" s="3" t="s">
        <v>478</v>
      </c>
      <c r="O1892" s="3" t="s">
        <v>82</v>
      </c>
      <c r="P1892" s="3" t="str">
        <f>"2170816084                    "</f>
        <v xml:space="preserve">2170816084                    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15.46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v>0</v>
      </c>
      <c r="BA1892" s="3">
        <v>0</v>
      </c>
      <c r="BB1892" s="3">
        <v>0</v>
      </c>
      <c r="BC1892" s="3">
        <v>0</v>
      </c>
      <c r="BD1892" s="3">
        <v>0</v>
      </c>
      <c r="BE1892" s="3">
        <v>0</v>
      </c>
      <c r="BF1892" s="3">
        <v>0</v>
      </c>
      <c r="BG1892" s="3">
        <v>0</v>
      </c>
      <c r="BH1892" s="3">
        <v>1</v>
      </c>
      <c r="BI1892" s="3">
        <v>1</v>
      </c>
      <c r="BJ1892" s="3">
        <v>0.2</v>
      </c>
      <c r="BK1892" s="3">
        <v>1</v>
      </c>
      <c r="BL1892" s="3">
        <v>59</v>
      </c>
      <c r="BM1892" s="3">
        <v>8.85</v>
      </c>
      <c r="BN1892" s="3">
        <v>67.849999999999994</v>
      </c>
      <c r="BO1892" s="3">
        <v>67.849999999999994</v>
      </c>
      <c r="BQ1892" s="3" t="s">
        <v>83</v>
      </c>
      <c r="BR1892" s="3" t="s">
        <v>84</v>
      </c>
      <c r="BS1892" s="4">
        <v>44572</v>
      </c>
      <c r="BT1892" s="5">
        <v>0.41875000000000001</v>
      </c>
      <c r="BU1892" s="3" t="s">
        <v>479</v>
      </c>
      <c r="BV1892" s="3" t="s">
        <v>105</v>
      </c>
      <c r="BY1892" s="3">
        <v>1200</v>
      </c>
      <c r="BZ1892" s="3" t="s">
        <v>165</v>
      </c>
      <c r="CA1892" s="3" t="s">
        <v>303</v>
      </c>
      <c r="CC1892" s="3" t="s">
        <v>139</v>
      </c>
      <c r="CD1892" s="3">
        <v>3610</v>
      </c>
      <c r="CE1892" s="3" t="s">
        <v>93</v>
      </c>
      <c r="CF1892" s="4">
        <v>44572</v>
      </c>
      <c r="CI1892" s="3">
        <v>1</v>
      </c>
      <c r="CJ1892" s="3">
        <v>1</v>
      </c>
      <c r="CK1892" s="3">
        <v>21</v>
      </c>
      <c r="CL1892" s="3" t="s">
        <v>87</v>
      </c>
    </row>
    <row r="1893" spans="1:90" x14ac:dyDescent="0.2">
      <c r="A1893" s="3" t="s">
        <v>72</v>
      </c>
      <c r="B1893" s="3" t="s">
        <v>73</v>
      </c>
      <c r="C1893" s="3" t="s">
        <v>74</v>
      </c>
      <c r="E1893" s="3" t="str">
        <f>"FES1162844287"</f>
        <v>FES1162844287</v>
      </c>
      <c r="F1893" s="4">
        <v>44571</v>
      </c>
      <c r="G1893" s="3">
        <v>202207</v>
      </c>
      <c r="H1893" s="3" t="s">
        <v>75</v>
      </c>
      <c r="I1893" s="3" t="s">
        <v>76</v>
      </c>
      <c r="J1893" s="3" t="s">
        <v>77</v>
      </c>
      <c r="K1893" s="3" t="s">
        <v>78</v>
      </c>
      <c r="L1893" s="3" t="s">
        <v>171</v>
      </c>
      <c r="M1893" s="3" t="s">
        <v>172</v>
      </c>
      <c r="N1893" s="3" t="s">
        <v>235</v>
      </c>
      <c r="O1893" s="3" t="s">
        <v>148</v>
      </c>
      <c r="P1893" s="3" t="str">
        <f>"2170810467                    "</f>
        <v xml:space="preserve">2170810467                    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33.590000000000003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v>0</v>
      </c>
      <c r="BA1893" s="3">
        <v>0</v>
      </c>
      <c r="BB1893" s="3">
        <v>0</v>
      </c>
      <c r="BC1893" s="3">
        <v>0</v>
      </c>
      <c r="BD1893" s="3">
        <v>0</v>
      </c>
      <c r="BE1893" s="3">
        <v>0</v>
      </c>
      <c r="BF1893" s="3">
        <v>0</v>
      </c>
      <c r="BG1893" s="3">
        <v>0</v>
      </c>
      <c r="BH1893" s="3">
        <v>1</v>
      </c>
      <c r="BI1893" s="3">
        <v>18</v>
      </c>
      <c r="BJ1893" s="3">
        <v>6.9</v>
      </c>
      <c r="BK1893" s="3">
        <v>18</v>
      </c>
      <c r="BL1893" s="3">
        <v>133.44999999999999</v>
      </c>
      <c r="BM1893" s="3">
        <v>20.02</v>
      </c>
      <c r="BN1893" s="3">
        <v>153.47</v>
      </c>
      <c r="BO1893" s="3">
        <v>153.47</v>
      </c>
      <c r="BQ1893" s="3" t="s">
        <v>83</v>
      </c>
      <c r="BR1893" s="3" t="s">
        <v>84</v>
      </c>
      <c r="BS1893" s="4">
        <v>44573</v>
      </c>
      <c r="BT1893" s="5">
        <v>0.46666666666666662</v>
      </c>
      <c r="BU1893" s="3" t="s">
        <v>536</v>
      </c>
      <c r="BV1893" s="3" t="s">
        <v>105</v>
      </c>
      <c r="BY1893" s="3">
        <v>34656</v>
      </c>
      <c r="BZ1893" s="3" t="s">
        <v>327</v>
      </c>
      <c r="CA1893" s="3" t="s">
        <v>263</v>
      </c>
      <c r="CC1893" s="3" t="s">
        <v>172</v>
      </c>
      <c r="CD1893" s="3">
        <v>6001</v>
      </c>
      <c r="CE1893" s="3" t="s">
        <v>86</v>
      </c>
      <c r="CF1893" s="4">
        <v>44574</v>
      </c>
      <c r="CI1893" s="3">
        <v>2</v>
      </c>
      <c r="CJ1893" s="3">
        <v>2</v>
      </c>
      <c r="CK1893" s="3">
        <v>41</v>
      </c>
      <c r="CL1893" s="3" t="s">
        <v>87</v>
      </c>
    </row>
    <row r="1894" spans="1:90" x14ac:dyDescent="0.2">
      <c r="A1894" s="3" t="s">
        <v>72</v>
      </c>
      <c r="B1894" s="3" t="s">
        <v>73</v>
      </c>
      <c r="C1894" s="3" t="s">
        <v>74</v>
      </c>
      <c r="E1894" s="3" t="str">
        <f>"FES1162844482"</f>
        <v>FES1162844482</v>
      </c>
      <c r="F1894" s="4">
        <v>44571</v>
      </c>
      <c r="G1894" s="3">
        <v>202207</v>
      </c>
      <c r="H1894" s="3" t="s">
        <v>75</v>
      </c>
      <c r="I1894" s="3" t="s">
        <v>76</v>
      </c>
      <c r="J1894" s="3" t="s">
        <v>77</v>
      </c>
      <c r="K1894" s="3" t="s">
        <v>78</v>
      </c>
      <c r="L1894" s="3" t="s">
        <v>799</v>
      </c>
      <c r="M1894" s="3" t="s">
        <v>800</v>
      </c>
      <c r="N1894" s="3" t="s">
        <v>801</v>
      </c>
      <c r="O1894" s="3" t="s">
        <v>82</v>
      </c>
      <c r="P1894" s="3" t="str">
        <f>"2170816126                    "</f>
        <v xml:space="preserve">2170816126                    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21.74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v>0</v>
      </c>
      <c r="BA1894" s="3">
        <v>0</v>
      </c>
      <c r="BB1894" s="3">
        <v>0</v>
      </c>
      <c r="BC1894" s="3">
        <v>0</v>
      </c>
      <c r="BD1894" s="3">
        <v>0</v>
      </c>
      <c r="BE1894" s="3">
        <v>0</v>
      </c>
      <c r="BF1894" s="3">
        <v>0</v>
      </c>
      <c r="BG1894" s="3">
        <v>0</v>
      </c>
      <c r="BH1894" s="3">
        <v>1</v>
      </c>
      <c r="BI1894" s="3">
        <v>1</v>
      </c>
      <c r="BJ1894" s="3">
        <v>0.2</v>
      </c>
      <c r="BK1894" s="3">
        <v>1</v>
      </c>
      <c r="BL1894" s="3">
        <v>82.98</v>
      </c>
      <c r="BM1894" s="3">
        <v>12.45</v>
      </c>
      <c r="BN1894" s="3">
        <v>95.43</v>
      </c>
      <c r="BO1894" s="3">
        <v>95.43</v>
      </c>
      <c r="BQ1894" s="3" t="s">
        <v>89</v>
      </c>
      <c r="BR1894" s="3" t="s">
        <v>84</v>
      </c>
      <c r="BS1894" s="4">
        <v>44572</v>
      </c>
      <c r="BT1894" s="5">
        <v>0.39444444444444443</v>
      </c>
      <c r="BU1894" s="3" t="s">
        <v>2072</v>
      </c>
      <c r="BV1894" s="3" t="s">
        <v>105</v>
      </c>
      <c r="BY1894" s="3">
        <v>1200</v>
      </c>
      <c r="CC1894" s="3" t="s">
        <v>800</v>
      </c>
      <c r="CD1894" s="3">
        <v>2210</v>
      </c>
      <c r="CE1894" s="3" t="s">
        <v>93</v>
      </c>
      <c r="CF1894" s="4">
        <v>44573</v>
      </c>
      <c r="CI1894" s="3">
        <v>1</v>
      </c>
      <c r="CJ1894" s="3">
        <v>1</v>
      </c>
      <c r="CK1894" s="3">
        <v>24</v>
      </c>
      <c r="CL1894" s="3" t="s">
        <v>87</v>
      </c>
    </row>
    <row r="1895" spans="1:90" x14ac:dyDescent="0.2">
      <c r="A1895" s="3" t="s">
        <v>72</v>
      </c>
      <c r="B1895" s="3" t="s">
        <v>73</v>
      </c>
      <c r="C1895" s="3" t="s">
        <v>74</v>
      </c>
      <c r="E1895" s="3" t="str">
        <f>"FES1162844278"</f>
        <v>FES1162844278</v>
      </c>
      <c r="F1895" s="4">
        <v>44571</v>
      </c>
      <c r="G1895" s="3">
        <v>202207</v>
      </c>
      <c r="H1895" s="3" t="s">
        <v>75</v>
      </c>
      <c r="I1895" s="3" t="s">
        <v>76</v>
      </c>
      <c r="J1895" s="3" t="s">
        <v>77</v>
      </c>
      <c r="K1895" s="3" t="s">
        <v>78</v>
      </c>
      <c r="L1895" s="3" t="s">
        <v>79</v>
      </c>
      <c r="M1895" s="3" t="s">
        <v>80</v>
      </c>
      <c r="N1895" s="3" t="s">
        <v>1259</v>
      </c>
      <c r="O1895" s="3" t="s">
        <v>82</v>
      </c>
      <c r="P1895" s="3" t="str">
        <f>"2170808306                    "</f>
        <v xml:space="preserve">2170808306                    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15.46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v>0</v>
      </c>
      <c r="BA1895" s="3">
        <v>0</v>
      </c>
      <c r="BB1895" s="3">
        <v>0</v>
      </c>
      <c r="BC1895" s="3">
        <v>0</v>
      </c>
      <c r="BD1895" s="3">
        <v>0</v>
      </c>
      <c r="BE1895" s="3">
        <v>0</v>
      </c>
      <c r="BF1895" s="3">
        <v>0</v>
      </c>
      <c r="BG1895" s="3">
        <v>0</v>
      </c>
      <c r="BH1895" s="3">
        <v>1</v>
      </c>
      <c r="BI1895" s="3">
        <v>2</v>
      </c>
      <c r="BJ1895" s="3">
        <v>2</v>
      </c>
      <c r="BK1895" s="3">
        <v>2</v>
      </c>
      <c r="BL1895" s="3">
        <v>59</v>
      </c>
      <c r="BM1895" s="3">
        <v>8.85</v>
      </c>
      <c r="BN1895" s="3">
        <v>67.849999999999994</v>
      </c>
      <c r="BO1895" s="3">
        <v>67.849999999999994</v>
      </c>
      <c r="BR1895" s="3" t="s">
        <v>84</v>
      </c>
      <c r="BS1895" s="4">
        <v>44572</v>
      </c>
      <c r="BT1895" s="5">
        <v>0.3527777777777778</v>
      </c>
      <c r="BU1895" s="3" t="s">
        <v>2073</v>
      </c>
      <c r="BV1895" s="3" t="s">
        <v>105</v>
      </c>
      <c r="BY1895" s="3">
        <v>9918</v>
      </c>
      <c r="BZ1895" s="3" t="s">
        <v>165</v>
      </c>
      <c r="CA1895" s="3" t="s">
        <v>2074</v>
      </c>
      <c r="CC1895" s="3" t="s">
        <v>80</v>
      </c>
      <c r="CD1895" s="3">
        <v>2</v>
      </c>
      <c r="CE1895" s="3" t="s">
        <v>86</v>
      </c>
      <c r="CF1895" s="4">
        <v>44572</v>
      </c>
      <c r="CI1895" s="3">
        <v>1</v>
      </c>
      <c r="CJ1895" s="3">
        <v>1</v>
      </c>
      <c r="CK1895" s="3">
        <v>21</v>
      </c>
      <c r="CL1895" s="3" t="s">
        <v>87</v>
      </c>
    </row>
    <row r="1896" spans="1:90" x14ac:dyDescent="0.2">
      <c r="A1896" s="3" t="s">
        <v>72</v>
      </c>
      <c r="B1896" s="3" t="s">
        <v>73</v>
      </c>
      <c r="C1896" s="3" t="s">
        <v>74</v>
      </c>
      <c r="E1896" s="3" t="str">
        <f>"FES1162844935"</f>
        <v>FES1162844935</v>
      </c>
      <c r="F1896" s="4">
        <v>44574</v>
      </c>
      <c r="G1896" s="3">
        <v>202207</v>
      </c>
      <c r="H1896" s="3" t="s">
        <v>75</v>
      </c>
      <c r="I1896" s="3" t="s">
        <v>76</v>
      </c>
      <c r="J1896" s="3" t="s">
        <v>77</v>
      </c>
      <c r="K1896" s="3" t="s">
        <v>78</v>
      </c>
      <c r="L1896" s="3" t="s">
        <v>171</v>
      </c>
      <c r="M1896" s="3" t="s">
        <v>172</v>
      </c>
      <c r="N1896" s="3" t="s">
        <v>249</v>
      </c>
      <c r="O1896" s="3" t="s">
        <v>82</v>
      </c>
      <c r="P1896" s="3" t="str">
        <f>"2170816503                    "</f>
        <v xml:space="preserve">2170816503                    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15.46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v>0</v>
      </c>
      <c r="BA1896" s="3">
        <v>0</v>
      </c>
      <c r="BB1896" s="3">
        <v>0</v>
      </c>
      <c r="BC1896" s="3">
        <v>0</v>
      </c>
      <c r="BD1896" s="3">
        <v>0</v>
      </c>
      <c r="BE1896" s="3">
        <v>0</v>
      </c>
      <c r="BF1896" s="3">
        <v>0</v>
      </c>
      <c r="BG1896" s="3">
        <v>0</v>
      </c>
      <c r="BH1896" s="3">
        <v>1</v>
      </c>
      <c r="BI1896" s="3">
        <v>2</v>
      </c>
      <c r="BJ1896" s="3">
        <v>2</v>
      </c>
      <c r="BK1896" s="3">
        <v>2</v>
      </c>
      <c r="BL1896" s="3">
        <v>59</v>
      </c>
      <c r="BM1896" s="3">
        <v>8.85</v>
      </c>
      <c r="BN1896" s="3">
        <v>67.849999999999994</v>
      </c>
      <c r="BO1896" s="3">
        <v>67.849999999999994</v>
      </c>
      <c r="BQ1896" s="3" t="s">
        <v>89</v>
      </c>
      <c r="BR1896" s="3" t="s">
        <v>84</v>
      </c>
      <c r="BS1896" s="4">
        <v>44575</v>
      </c>
      <c r="BT1896" s="5">
        <v>0.41805555555555557</v>
      </c>
      <c r="BU1896" s="3" t="s">
        <v>1106</v>
      </c>
      <c r="BV1896" s="3" t="s">
        <v>105</v>
      </c>
      <c r="BY1896" s="3">
        <v>9900</v>
      </c>
      <c r="BZ1896" s="3" t="s">
        <v>165</v>
      </c>
      <c r="CA1896" s="3" t="s">
        <v>509</v>
      </c>
      <c r="CC1896" s="3" t="s">
        <v>172</v>
      </c>
      <c r="CD1896" s="3">
        <v>6001</v>
      </c>
      <c r="CE1896" s="3" t="s">
        <v>86</v>
      </c>
      <c r="CF1896" s="4">
        <v>44575</v>
      </c>
      <c r="CI1896" s="3">
        <v>1</v>
      </c>
      <c r="CJ1896" s="3">
        <v>1</v>
      </c>
      <c r="CK1896" s="3">
        <v>21</v>
      </c>
      <c r="CL1896" s="3" t="s">
        <v>87</v>
      </c>
    </row>
    <row r="1897" spans="1:90" x14ac:dyDescent="0.2">
      <c r="A1897" s="3" t="s">
        <v>72</v>
      </c>
      <c r="B1897" s="3" t="s">
        <v>73</v>
      </c>
      <c r="C1897" s="3" t="s">
        <v>74</v>
      </c>
      <c r="E1897" s="3" t="str">
        <f>"FES1162844917"</f>
        <v>FES1162844917</v>
      </c>
      <c r="F1897" s="4">
        <v>44574</v>
      </c>
      <c r="G1897" s="3">
        <v>202207</v>
      </c>
      <c r="H1897" s="3" t="s">
        <v>75</v>
      </c>
      <c r="I1897" s="3" t="s">
        <v>76</v>
      </c>
      <c r="J1897" s="3" t="s">
        <v>77</v>
      </c>
      <c r="K1897" s="3" t="s">
        <v>78</v>
      </c>
      <c r="L1897" s="3" t="s">
        <v>90</v>
      </c>
      <c r="M1897" s="3" t="s">
        <v>91</v>
      </c>
      <c r="N1897" s="3" t="s">
        <v>157</v>
      </c>
      <c r="O1897" s="3" t="s">
        <v>82</v>
      </c>
      <c r="P1897" s="3" t="str">
        <f>"2170816480                    "</f>
        <v xml:space="preserve">2170816480                    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15.46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v>0</v>
      </c>
      <c r="BA1897" s="3">
        <v>0</v>
      </c>
      <c r="BB1897" s="3">
        <v>0</v>
      </c>
      <c r="BC1897" s="3">
        <v>0</v>
      </c>
      <c r="BD1897" s="3">
        <v>0</v>
      </c>
      <c r="BE1897" s="3">
        <v>0</v>
      </c>
      <c r="BF1897" s="3">
        <v>0</v>
      </c>
      <c r="BG1897" s="3">
        <v>0</v>
      </c>
      <c r="BH1897" s="3">
        <v>1</v>
      </c>
      <c r="BI1897" s="3">
        <v>1</v>
      </c>
      <c r="BJ1897" s="3">
        <v>0.2</v>
      </c>
      <c r="BK1897" s="3">
        <v>1</v>
      </c>
      <c r="BL1897" s="3">
        <v>59</v>
      </c>
      <c r="BM1897" s="3">
        <v>8.85</v>
      </c>
      <c r="BN1897" s="3">
        <v>67.849999999999994</v>
      </c>
      <c r="BO1897" s="3">
        <v>67.849999999999994</v>
      </c>
      <c r="BQ1897" s="3" t="s">
        <v>89</v>
      </c>
      <c r="BR1897" s="3" t="s">
        <v>84</v>
      </c>
      <c r="BS1897" s="4">
        <v>44575</v>
      </c>
      <c r="BT1897" s="5">
        <v>0.39374999999999999</v>
      </c>
      <c r="BU1897" s="3" t="s">
        <v>691</v>
      </c>
      <c r="BV1897" s="3" t="s">
        <v>105</v>
      </c>
      <c r="BY1897" s="3">
        <v>1200</v>
      </c>
      <c r="BZ1897" s="3" t="s">
        <v>165</v>
      </c>
      <c r="CA1897" s="3" t="s">
        <v>713</v>
      </c>
      <c r="CC1897" s="3" t="s">
        <v>91</v>
      </c>
      <c r="CD1897" s="3">
        <v>7441</v>
      </c>
      <c r="CE1897" s="3" t="s">
        <v>93</v>
      </c>
      <c r="CF1897" s="4">
        <v>44578</v>
      </c>
      <c r="CI1897" s="3">
        <v>1</v>
      </c>
      <c r="CJ1897" s="3">
        <v>1</v>
      </c>
      <c r="CK1897" s="3">
        <v>21</v>
      </c>
      <c r="CL1897" s="3" t="s">
        <v>87</v>
      </c>
    </row>
    <row r="1898" spans="1:90" x14ac:dyDescent="0.2">
      <c r="A1898" s="3" t="s">
        <v>72</v>
      </c>
      <c r="B1898" s="3" t="s">
        <v>73</v>
      </c>
      <c r="C1898" s="3" t="s">
        <v>74</v>
      </c>
      <c r="E1898" s="3" t="str">
        <f>"FES1162844824"</f>
        <v>FES1162844824</v>
      </c>
      <c r="F1898" s="4">
        <v>44574</v>
      </c>
      <c r="G1898" s="3">
        <v>202207</v>
      </c>
      <c r="H1898" s="3" t="s">
        <v>75</v>
      </c>
      <c r="I1898" s="3" t="s">
        <v>76</v>
      </c>
      <c r="J1898" s="3" t="s">
        <v>77</v>
      </c>
      <c r="K1898" s="3" t="s">
        <v>78</v>
      </c>
      <c r="L1898" s="3" t="s">
        <v>101</v>
      </c>
      <c r="M1898" s="3" t="s">
        <v>102</v>
      </c>
      <c r="N1898" s="3" t="s">
        <v>103</v>
      </c>
      <c r="O1898" s="3" t="s">
        <v>82</v>
      </c>
      <c r="P1898" s="3" t="str">
        <f>"2170816385                    "</f>
        <v xml:space="preserve">2170816385                    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15.46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0</v>
      </c>
      <c r="AZ1898" s="3">
        <v>0</v>
      </c>
      <c r="BA1898" s="3">
        <v>0</v>
      </c>
      <c r="BB1898" s="3">
        <v>0</v>
      </c>
      <c r="BC1898" s="3">
        <v>0</v>
      </c>
      <c r="BD1898" s="3">
        <v>0</v>
      </c>
      <c r="BE1898" s="3">
        <v>0</v>
      </c>
      <c r="BF1898" s="3">
        <v>0</v>
      </c>
      <c r="BG1898" s="3">
        <v>0</v>
      </c>
      <c r="BH1898" s="3">
        <v>1</v>
      </c>
      <c r="BI1898" s="3">
        <v>1</v>
      </c>
      <c r="BJ1898" s="3">
        <v>0.2</v>
      </c>
      <c r="BK1898" s="3">
        <v>1</v>
      </c>
      <c r="BL1898" s="3">
        <v>59</v>
      </c>
      <c r="BM1898" s="3">
        <v>8.85</v>
      </c>
      <c r="BN1898" s="3">
        <v>67.849999999999994</v>
      </c>
      <c r="BO1898" s="3">
        <v>67.849999999999994</v>
      </c>
      <c r="BQ1898" s="3" t="s">
        <v>83</v>
      </c>
      <c r="BR1898" s="3" t="s">
        <v>84</v>
      </c>
      <c r="BS1898" s="4">
        <v>44575</v>
      </c>
      <c r="BT1898" s="5">
        <v>0.34166666666666662</v>
      </c>
      <c r="BU1898" s="3" t="s">
        <v>463</v>
      </c>
      <c r="BV1898" s="3" t="s">
        <v>105</v>
      </c>
      <c r="BY1898" s="3">
        <v>1200</v>
      </c>
      <c r="BZ1898" s="3" t="s">
        <v>165</v>
      </c>
      <c r="CA1898" s="3" t="s">
        <v>334</v>
      </c>
      <c r="CC1898" s="3" t="s">
        <v>102</v>
      </c>
      <c r="CD1898" s="3">
        <v>4001</v>
      </c>
      <c r="CE1898" s="3" t="s">
        <v>93</v>
      </c>
      <c r="CF1898" s="4">
        <v>44578</v>
      </c>
      <c r="CI1898" s="3">
        <v>1</v>
      </c>
      <c r="CJ1898" s="3">
        <v>1</v>
      </c>
      <c r="CK1898" s="3">
        <v>21</v>
      </c>
      <c r="CL1898" s="3" t="s">
        <v>87</v>
      </c>
    </row>
    <row r="1899" spans="1:90" x14ac:dyDescent="0.2">
      <c r="A1899" s="3" t="s">
        <v>72</v>
      </c>
      <c r="B1899" s="3" t="s">
        <v>73</v>
      </c>
      <c r="C1899" s="3" t="s">
        <v>74</v>
      </c>
      <c r="E1899" s="3" t="str">
        <f>"FES1162845095"</f>
        <v>FES1162845095</v>
      </c>
      <c r="F1899" s="4">
        <v>44574</v>
      </c>
      <c r="G1899" s="3">
        <v>202207</v>
      </c>
      <c r="H1899" s="3" t="s">
        <v>75</v>
      </c>
      <c r="I1899" s="3" t="s">
        <v>76</v>
      </c>
      <c r="J1899" s="3" t="s">
        <v>77</v>
      </c>
      <c r="K1899" s="3" t="s">
        <v>78</v>
      </c>
      <c r="L1899" s="3" t="s">
        <v>211</v>
      </c>
      <c r="M1899" s="3" t="s">
        <v>212</v>
      </c>
      <c r="N1899" s="3" t="s">
        <v>257</v>
      </c>
      <c r="O1899" s="3" t="s">
        <v>82</v>
      </c>
      <c r="P1899" s="3" t="str">
        <f>"2170816669                    "</f>
        <v xml:space="preserve">2170816669                    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12.07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v>0</v>
      </c>
      <c r="BA1899" s="3">
        <v>0</v>
      </c>
      <c r="BB1899" s="3">
        <v>0</v>
      </c>
      <c r="BC1899" s="3">
        <v>0</v>
      </c>
      <c r="BD1899" s="3">
        <v>0</v>
      </c>
      <c r="BE1899" s="3">
        <v>0</v>
      </c>
      <c r="BF1899" s="3">
        <v>0</v>
      </c>
      <c r="BG1899" s="3">
        <v>0</v>
      </c>
      <c r="BH1899" s="3">
        <v>1</v>
      </c>
      <c r="BI1899" s="3">
        <v>1</v>
      </c>
      <c r="BJ1899" s="3">
        <v>1.6</v>
      </c>
      <c r="BK1899" s="3">
        <v>2</v>
      </c>
      <c r="BL1899" s="3">
        <v>46.08</v>
      </c>
      <c r="BM1899" s="3">
        <v>6.91</v>
      </c>
      <c r="BN1899" s="3">
        <v>52.99</v>
      </c>
      <c r="BO1899" s="3">
        <v>52.99</v>
      </c>
      <c r="BR1899" s="3" t="s">
        <v>84</v>
      </c>
      <c r="BS1899" s="4">
        <v>44575</v>
      </c>
      <c r="BT1899" s="5">
        <v>0.37916666666666665</v>
      </c>
      <c r="BU1899" s="3" t="s">
        <v>2075</v>
      </c>
      <c r="BV1899" s="3" t="s">
        <v>105</v>
      </c>
      <c r="BY1899" s="3">
        <v>7800</v>
      </c>
      <c r="BZ1899" s="3" t="s">
        <v>165</v>
      </c>
      <c r="CA1899" s="3" t="s">
        <v>2076</v>
      </c>
      <c r="CC1899" s="3" t="s">
        <v>212</v>
      </c>
      <c r="CD1899" s="3">
        <v>2194</v>
      </c>
      <c r="CE1899" s="3" t="s">
        <v>86</v>
      </c>
      <c r="CF1899" s="4">
        <v>44576</v>
      </c>
      <c r="CI1899" s="3">
        <v>1</v>
      </c>
      <c r="CJ1899" s="3">
        <v>1</v>
      </c>
      <c r="CK1899" s="3">
        <v>22</v>
      </c>
      <c r="CL1899" s="3" t="s">
        <v>87</v>
      </c>
    </row>
    <row r="1900" spans="1:90" x14ac:dyDescent="0.2">
      <c r="A1900" s="3" t="s">
        <v>72</v>
      </c>
      <c r="B1900" s="3" t="s">
        <v>73</v>
      </c>
      <c r="C1900" s="3" t="s">
        <v>74</v>
      </c>
      <c r="E1900" s="3" t="str">
        <f>"FES1162844979"</f>
        <v>FES1162844979</v>
      </c>
      <c r="F1900" s="4">
        <v>44574</v>
      </c>
      <c r="G1900" s="3">
        <v>202207</v>
      </c>
      <c r="H1900" s="3" t="s">
        <v>75</v>
      </c>
      <c r="I1900" s="3" t="s">
        <v>76</v>
      </c>
      <c r="J1900" s="3" t="s">
        <v>77</v>
      </c>
      <c r="K1900" s="3" t="s">
        <v>78</v>
      </c>
      <c r="L1900" s="3" t="s">
        <v>90</v>
      </c>
      <c r="M1900" s="3" t="s">
        <v>91</v>
      </c>
      <c r="N1900" s="3" t="s">
        <v>2077</v>
      </c>
      <c r="O1900" s="3" t="s">
        <v>82</v>
      </c>
      <c r="P1900" s="3" t="str">
        <f>"2170816534                    "</f>
        <v xml:space="preserve">2170816534                    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15.46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v>0</v>
      </c>
      <c r="BA1900" s="3">
        <v>0</v>
      </c>
      <c r="BB1900" s="3">
        <v>0</v>
      </c>
      <c r="BC1900" s="3">
        <v>0</v>
      </c>
      <c r="BD1900" s="3">
        <v>0</v>
      </c>
      <c r="BE1900" s="3">
        <v>0</v>
      </c>
      <c r="BF1900" s="3">
        <v>0</v>
      </c>
      <c r="BG1900" s="3">
        <v>0</v>
      </c>
      <c r="BH1900" s="3">
        <v>1</v>
      </c>
      <c r="BI1900" s="3">
        <v>1</v>
      </c>
      <c r="BJ1900" s="3">
        <v>0.2</v>
      </c>
      <c r="BK1900" s="3">
        <v>1</v>
      </c>
      <c r="BL1900" s="3">
        <v>59</v>
      </c>
      <c r="BM1900" s="3">
        <v>8.85</v>
      </c>
      <c r="BN1900" s="3">
        <v>67.849999999999994</v>
      </c>
      <c r="BO1900" s="3">
        <v>67.849999999999994</v>
      </c>
      <c r="BQ1900" s="3" t="s">
        <v>89</v>
      </c>
      <c r="BR1900" s="3" t="s">
        <v>84</v>
      </c>
      <c r="BS1900" s="4">
        <v>44575</v>
      </c>
      <c r="BT1900" s="5">
        <v>0.41597222222222219</v>
      </c>
      <c r="BU1900" s="3" t="s">
        <v>1917</v>
      </c>
      <c r="BV1900" s="3" t="s">
        <v>105</v>
      </c>
      <c r="BY1900" s="3">
        <v>1200</v>
      </c>
      <c r="BZ1900" s="3" t="s">
        <v>165</v>
      </c>
      <c r="CA1900" s="3" t="s">
        <v>1632</v>
      </c>
      <c r="CC1900" s="3" t="s">
        <v>91</v>
      </c>
      <c r="CD1900" s="3">
        <v>7925</v>
      </c>
      <c r="CE1900" s="3" t="s">
        <v>93</v>
      </c>
      <c r="CF1900" s="4">
        <v>44578</v>
      </c>
      <c r="CI1900" s="3">
        <v>1</v>
      </c>
      <c r="CJ1900" s="3">
        <v>1</v>
      </c>
      <c r="CK1900" s="3">
        <v>21</v>
      </c>
      <c r="CL1900" s="3" t="s">
        <v>87</v>
      </c>
    </row>
    <row r="1901" spans="1:90" x14ac:dyDescent="0.2">
      <c r="A1901" s="3" t="s">
        <v>72</v>
      </c>
      <c r="B1901" s="3" t="s">
        <v>73</v>
      </c>
      <c r="C1901" s="3" t="s">
        <v>74</v>
      </c>
      <c r="E1901" s="3" t="str">
        <f>"FES1162844959"</f>
        <v>FES1162844959</v>
      </c>
      <c r="F1901" s="4">
        <v>44574</v>
      </c>
      <c r="G1901" s="3">
        <v>202207</v>
      </c>
      <c r="H1901" s="3" t="s">
        <v>75</v>
      </c>
      <c r="I1901" s="3" t="s">
        <v>76</v>
      </c>
      <c r="J1901" s="3" t="s">
        <v>77</v>
      </c>
      <c r="K1901" s="3" t="s">
        <v>78</v>
      </c>
      <c r="L1901" s="3" t="s">
        <v>75</v>
      </c>
      <c r="M1901" s="3" t="s">
        <v>76</v>
      </c>
      <c r="N1901" s="3" t="s">
        <v>560</v>
      </c>
      <c r="O1901" s="3" t="s">
        <v>82</v>
      </c>
      <c r="P1901" s="3" t="str">
        <f>"2170814712                    "</f>
        <v xml:space="preserve">2170814712                    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12.07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v>0</v>
      </c>
      <c r="BA1901" s="3">
        <v>0</v>
      </c>
      <c r="BB1901" s="3">
        <v>0</v>
      </c>
      <c r="BC1901" s="3">
        <v>0</v>
      </c>
      <c r="BD1901" s="3">
        <v>0</v>
      </c>
      <c r="BE1901" s="3">
        <v>0</v>
      </c>
      <c r="BF1901" s="3">
        <v>0</v>
      </c>
      <c r="BG1901" s="3">
        <v>0</v>
      </c>
      <c r="BH1901" s="3">
        <v>1</v>
      </c>
      <c r="BI1901" s="3">
        <v>4</v>
      </c>
      <c r="BJ1901" s="3">
        <v>4.4000000000000004</v>
      </c>
      <c r="BK1901" s="3">
        <v>4.5</v>
      </c>
      <c r="BL1901" s="3">
        <v>46.08</v>
      </c>
      <c r="BM1901" s="3">
        <v>6.91</v>
      </c>
      <c r="BN1901" s="3">
        <v>52.99</v>
      </c>
      <c r="BO1901" s="3">
        <v>52.99</v>
      </c>
      <c r="BQ1901" s="3" t="s">
        <v>83</v>
      </c>
      <c r="BR1901" s="3" t="s">
        <v>84</v>
      </c>
      <c r="BS1901" s="4">
        <v>44575</v>
      </c>
      <c r="BT1901" s="5">
        <v>0.38750000000000001</v>
      </c>
      <c r="BU1901" s="3" t="s">
        <v>561</v>
      </c>
      <c r="BV1901" s="3" t="s">
        <v>105</v>
      </c>
      <c r="BY1901" s="3">
        <v>22050</v>
      </c>
      <c r="BZ1901" s="3" t="s">
        <v>165</v>
      </c>
      <c r="CA1901" s="3" t="s">
        <v>378</v>
      </c>
      <c r="CC1901" s="3" t="s">
        <v>76</v>
      </c>
      <c r="CD1901" s="3">
        <v>1601</v>
      </c>
      <c r="CE1901" s="3" t="s">
        <v>86</v>
      </c>
      <c r="CF1901" s="4">
        <v>44576</v>
      </c>
      <c r="CI1901" s="3">
        <v>1</v>
      </c>
      <c r="CJ1901" s="3">
        <v>1</v>
      </c>
      <c r="CK1901" s="3">
        <v>22</v>
      </c>
      <c r="CL1901" s="3" t="s">
        <v>87</v>
      </c>
    </row>
    <row r="1902" spans="1:90" x14ac:dyDescent="0.2">
      <c r="A1902" s="3" t="s">
        <v>72</v>
      </c>
      <c r="B1902" s="3" t="s">
        <v>73</v>
      </c>
      <c r="C1902" s="3" t="s">
        <v>74</v>
      </c>
      <c r="E1902" s="3" t="str">
        <f>"FES1162844977"</f>
        <v>FES1162844977</v>
      </c>
      <c r="F1902" s="4">
        <v>44574</v>
      </c>
      <c r="G1902" s="3">
        <v>202207</v>
      </c>
      <c r="H1902" s="3" t="s">
        <v>75</v>
      </c>
      <c r="I1902" s="3" t="s">
        <v>76</v>
      </c>
      <c r="J1902" s="3" t="s">
        <v>77</v>
      </c>
      <c r="K1902" s="3" t="s">
        <v>78</v>
      </c>
      <c r="L1902" s="3" t="s">
        <v>158</v>
      </c>
      <c r="M1902" s="3" t="s">
        <v>159</v>
      </c>
      <c r="N1902" s="3" t="s">
        <v>823</v>
      </c>
      <c r="O1902" s="3" t="s">
        <v>82</v>
      </c>
      <c r="P1902" s="3" t="str">
        <f>"2170816531                    "</f>
        <v xml:space="preserve">2170816531                    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12.07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v>0</v>
      </c>
      <c r="BA1902" s="3">
        <v>0</v>
      </c>
      <c r="BB1902" s="3">
        <v>0</v>
      </c>
      <c r="BC1902" s="3">
        <v>0</v>
      </c>
      <c r="BD1902" s="3">
        <v>0</v>
      </c>
      <c r="BE1902" s="3">
        <v>0</v>
      </c>
      <c r="BF1902" s="3">
        <v>0</v>
      </c>
      <c r="BG1902" s="3">
        <v>0</v>
      </c>
      <c r="BH1902" s="3">
        <v>1</v>
      </c>
      <c r="BI1902" s="3">
        <v>1</v>
      </c>
      <c r="BJ1902" s="3">
        <v>0.2</v>
      </c>
      <c r="BK1902" s="3">
        <v>1</v>
      </c>
      <c r="BL1902" s="3">
        <v>46.08</v>
      </c>
      <c r="BM1902" s="3">
        <v>6.91</v>
      </c>
      <c r="BN1902" s="3">
        <v>52.99</v>
      </c>
      <c r="BO1902" s="3">
        <v>52.99</v>
      </c>
      <c r="BQ1902" s="3" t="s">
        <v>89</v>
      </c>
      <c r="BR1902" s="3" t="s">
        <v>84</v>
      </c>
      <c r="BS1902" s="4">
        <v>44575</v>
      </c>
      <c r="BT1902" s="5">
        <v>0.35486111111111113</v>
      </c>
      <c r="BU1902" s="3" t="s">
        <v>1937</v>
      </c>
      <c r="BV1902" s="3" t="s">
        <v>105</v>
      </c>
      <c r="BY1902" s="3">
        <v>1200</v>
      </c>
      <c r="BZ1902" s="3" t="s">
        <v>165</v>
      </c>
      <c r="CA1902" s="3" t="s">
        <v>653</v>
      </c>
      <c r="CC1902" s="3" t="s">
        <v>159</v>
      </c>
      <c r="CD1902" s="3">
        <v>1459</v>
      </c>
      <c r="CE1902" s="3" t="s">
        <v>93</v>
      </c>
      <c r="CF1902" s="4">
        <v>44576</v>
      </c>
      <c r="CI1902" s="3">
        <v>1</v>
      </c>
      <c r="CJ1902" s="3">
        <v>1</v>
      </c>
      <c r="CK1902" s="3">
        <v>22</v>
      </c>
      <c r="CL1902" s="3" t="s">
        <v>87</v>
      </c>
    </row>
    <row r="1903" spans="1:90" x14ac:dyDescent="0.2">
      <c r="A1903" s="3" t="s">
        <v>72</v>
      </c>
      <c r="B1903" s="3" t="s">
        <v>73</v>
      </c>
      <c r="C1903" s="3" t="s">
        <v>74</v>
      </c>
      <c r="E1903" s="3" t="str">
        <f>"FES1162844883"</f>
        <v>FES1162844883</v>
      </c>
      <c r="F1903" s="4">
        <v>44574</v>
      </c>
      <c r="G1903" s="3">
        <v>202207</v>
      </c>
      <c r="H1903" s="3" t="s">
        <v>75</v>
      </c>
      <c r="I1903" s="3" t="s">
        <v>76</v>
      </c>
      <c r="J1903" s="3" t="s">
        <v>77</v>
      </c>
      <c r="K1903" s="3" t="s">
        <v>78</v>
      </c>
      <c r="L1903" s="3" t="s">
        <v>101</v>
      </c>
      <c r="M1903" s="3" t="s">
        <v>102</v>
      </c>
      <c r="N1903" s="3" t="s">
        <v>272</v>
      </c>
      <c r="O1903" s="3" t="s">
        <v>82</v>
      </c>
      <c r="P1903" s="3" t="str">
        <f>"2170816454                    "</f>
        <v xml:space="preserve">2170816454                    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15.46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v>0</v>
      </c>
      <c r="BA1903" s="3">
        <v>0</v>
      </c>
      <c r="BB1903" s="3">
        <v>0</v>
      </c>
      <c r="BC1903" s="3">
        <v>0</v>
      </c>
      <c r="BD1903" s="3">
        <v>0</v>
      </c>
      <c r="BE1903" s="3">
        <v>0</v>
      </c>
      <c r="BF1903" s="3">
        <v>0</v>
      </c>
      <c r="BG1903" s="3">
        <v>0</v>
      </c>
      <c r="BH1903" s="3">
        <v>1</v>
      </c>
      <c r="BI1903" s="3">
        <v>1</v>
      </c>
      <c r="BJ1903" s="3">
        <v>0.2</v>
      </c>
      <c r="BK1903" s="3">
        <v>1</v>
      </c>
      <c r="BL1903" s="3">
        <v>59</v>
      </c>
      <c r="BM1903" s="3">
        <v>8.85</v>
      </c>
      <c r="BN1903" s="3">
        <v>67.849999999999994</v>
      </c>
      <c r="BO1903" s="3">
        <v>67.849999999999994</v>
      </c>
      <c r="BQ1903" s="3" t="s">
        <v>273</v>
      </c>
      <c r="BR1903" s="3" t="s">
        <v>84</v>
      </c>
      <c r="BS1903" s="4">
        <v>44575</v>
      </c>
      <c r="BT1903" s="5">
        <v>0.38194444444444442</v>
      </c>
      <c r="BU1903" s="3" t="s">
        <v>274</v>
      </c>
      <c r="BV1903" s="3" t="s">
        <v>105</v>
      </c>
      <c r="BY1903" s="3">
        <v>1200</v>
      </c>
      <c r="BZ1903" s="3" t="s">
        <v>165</v>
      </c>
      <c r="CA1903" s="3" t="s">
        <v>275</v>
      </c>
      <c r="CC1903" s="3" t="s">
        <v>102</v>
      </c>
      <c r="CD1903" s="3">
        <v>4000</v>
      </c>
      <c r="CE1903" s="3" t="s">
        <v>93</v>
      </c>
      <c r="CF1903" s="4">
        <v>44578</v>
      </c>
      <c r="CI1903" s="3">
        <v>1</v>
      </c>
      <c r="CJ1903" s="3">
        <v>1</v>
      </c>
      <c r="CK1903" s="3">
        <v>21</v>
      </c>
      <c r="CL1903" s="3" t="s">
        <v>87</v>
      </c>
    </row>
    <row r="1904" spans="1:90" x14ac:dyDescent="0.2">
      <c r="A1904" s="3" t="s">
        <v>72</v>
      </c>
      <c r="B1904" s="3" t="s">
        <v>73</v>
      </c>
      <c r="C1904" s="3" t="s">
        <v>74</v>
      </c>
      <c r="E1904" s="3" t="str">
        <f>"FES1162844924"</f>
        <v>FES1162844924</v>
      </c>
      <c r="F1904" s="4">
        <v>44574</v>
      </c>
      <c r="G1904" s="3">
        <v>202207</v>
      </c>
      <c r="H1904" s="3" t="s">
        <v>75</v>
      </c>
      <c r="I1904" s="3" t="s">
        <v>76</v>
      </c>
      <c r="J1904" s="3" t="s">
        <v>77</v>
      </c>
      <c r="K1904" s="3" t="s">
        <v>78</v>
      </c>
      <c r="L1904" s="3" t="s">
        <v>75</v>
      </c>
      <c r="M1904" s="3" t="s">
        <v>76</v>
      </c>
      <c r="N1904" s="3" t="s">
        <v>224</v>
      </c>
      <c r="O1904" s="3" t="s">
        <v>82</v>
      </c>
      <c r="P1904" s="3" t="str">
        <f>"2170816487                    "</f>
        <v xml:space="preserve">2170816487                    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12.07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v>0</v>
      </c>
      <c r="BA1904" s="3">
        <v>0</v>
      </c>
      <c r="BB1904" s="3">
        <v>0</v>
      </c>
      <c r="BC1904" s="3">
        <v>0</v>
      </c>
      <c r="BD1904" s="3">
        <v>0</v>
      </c>
      <c r="BE1904" s="3">
        <v>0</v>
      </c>
      <c r="BF1904" s="3">
        <v>0</v>
      </c>
      <c r="BG1904" s="3">
        <v>0</v>
      </c>
      <c r="BH1904" s="3">
        <v>1</v>
      </c>
      <c r="BI1904" s="3">
        <v>2</v>
      </c>
      <c r="BJ1904" s="3">
        <v>0.9</v>
      </c>
      <c r="BK1904" s="3">
        <v>2</v>
      </c>
      <c r="BL1904" s="3">
        <v>46.08</v>
      </c>
      <c r="BM1904" s="3">
        <v>6.91</v>
      </c>
      <c r="BN1904" s="3">
        <v>52.99</v>
      </c>
      <c r="BO1904" s="3">
        <v>52.99</v>
      </c>
      <c r="BQ1904" s="3" t="s">
        <v>83</v>
      </c>
      <c r="BR1904" s="3" t="s">
        <v>84</v>
      </c>
      <c r="BS1904" s="4">
        <v>44575</v>
      </c>
      <c r="BT1904" s="5">
        <v>0.36249999999999999</v>
      </c>
      <c r="BU1904" s="3" t="s">
        <v>1027</v>
      </c>
      <c r="BV1904" s="3" t="s">
        <v>105</v>
      </c>
      <c r="BY1904" s="3">
        <v>4560</v>
      </c>
      <c r="BZ1904" s="3" t="s">
        <v>165</v>
      </c>
      <c r="CA1904" s="3" t="s">
        <v>227</v>
      </c>
      <c r="CC1904" s="3" t="s">
        <v>76</v>
      </c>
      <c r="CD1904" s="3">
        <v>1600</v>
      </c>
      <c r="CE1904" s="3" t="s">
        <v>86</v>
      </c>
      <c r="CF1904" s="4">
        <v>44575</v>
      </c>
      <c r="CI1904" s="3">
        <v>1</v>
      </c>
      <c r="CJ1904" s="3">
        <v>1</v>
      </c>
      <c r="CK1904" s="3">
        <v>22</v>
      </c>
      <c r="CL1904" s="3" t="s">
        <v>87</v>
      </c>
    </row>
    <row r="1905" spans="1:90" x14ac:dyDescent="0.2">
      <c r="A1905" s="3" t="s">
        <v>72</v>
      </c>
      <c r="B1905" s="3" t="s">
        <v>73</v>
      </c>
      <c r="C1905" s="3" t="s">
        <v>74</v>
      </c>
      <c r="E1905" s="3" t="str">
        <f>"FES1162845018"</f>
        <v>FES1162845018</v>
      </c>
      <c r="F1905" s="4">
        <v>44574</v>
      </c>
      <c r="G1905" s="3">
        <v>202207</v>
      </c>
      <c r="H1905" s="3" t="s">
        <v>75</v>
      </c>
      <c r="I1905" s="3" t="s">
        <v>76</v>
      </c>
      <c r="J1905" s="3" t="s">
        <v>77</v>
      </c>
      <c r="K1905" s="3" t="s">
        <v>78</v>
      </c>
      <c r="L1905" s="3" t="s">
        <v>101</v>
      </c>
      <c r="M1905" s="3" t="s">
        <v>102</v>
      </c>
      <c r="N1905" s="3" t="s">
        <v>170</v>
      </c>
      <c r="O1905" s="3" t="s">
        <v>82</v>
      </c>
      <c r="P1905" s="3" t="str">
        <f>"2170816583                    "</f>
        <v xml:space="preserve">2170816583                    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15.46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v>0</v>
      </c>
      <c r="BA1905" s="3">
        <v>0</v>
      </c>
      <c r="BB1905" s="3">
        <v>0</v>
      </c>
      <c r="BC1905" s="3">
        <v>0</v>
      </c>
      <c r="BD1905" s="3">
        <v>0</v>
      </c>
      <c r="BE1905" s="3">
        <v>0</v>
      </c>
      <c r="BF1905" s="3">
        <v>0</v>
      </c>
      <c r="BG1905" s="3">
        <v>0</v>
      </c>
      <c r="BH1905" s="3">
        <v>1</v>
      </c>
      <c r="BI1905" s="3">
        <v>1</v>
      </c>
      <c r="BJ1905" s="3">
        <v>0.2</v>
      </c>
      <c r="BK1905" s="3">
        <v>1</v>
      </c>
      <c r="BL1905" s="3">
        <v>59</v>
      </c>
      <c r="BM1905" s="3">
        <v>8.85</v>
      </c>
      <c r="BN1905" s="3">
        <v>67.849999999999994</v>
      </c>
      <c r="BO1905" s="3">
        <v>67.849999999999994</v>
      </c>
      <c r="BQ1905" s="3" t="s">
        <v>89</v>
      </c>
      <c r="BR1905" s="3" t="s">
        <v>84</v>
      </c>
      <c r="BS1905" s="4">
        <v>44575</v>
      </c>
      <c r="BT1905" s="5">
        <v>0.41736111111111113</v>
      </c>
      <c r="BU1905" s="3" t="s">
        <v>369</v>
      </c>
      <c r="BV1905" s="3" t="s">
        <v>105</v>
      </c>
      <c r="BY1905" s="3">
        <v>1200</v>
      </c>
      <c r="BZ1905" s="3" t="s">
        <v>165</v>
      </c>
      <c r="CA1905" s="3" t="s">
        <v>280</v>
      </c>
      <c r="CC1905" s="3" t="s">
        <v>102</v>
      </c>
      <c r="CD1905" s="3">
        <v>4001</v>
      </c>
      <c r="CE1905" s="3" t="s">
        <v>93</v>
      </c>
      <c r="CF1905" s="4">
        <v>44578</v>
      </c>
      <c r="CI1905" s="3">
        <v>1</v>
      </c>
      <c r="CJ1905" s="3">
        <v>1</v>
      </c>
      <c r="CK1905" s="3">
        <v>21</v>
      </c>
      <c r="CL1905" s="3" t="s">
        <v>87</v>
      </c>
    </row>
    <row r="1906" spans="1:90" x14ac:dyDescent="0.2">
      <c r="A1906" s="3" t="s">
        <v>72</v>
      </c>
      <c r="B1906" s="3" t="s">
        <v>73</v>
      </c>
      <c r="C1906" s="3" t="s">
        <v>74</v>
      </c>
      <c r="E1906" s="3" t="str">
        <f>"FES1162844946"</f>
        <v>FES1162844946</v>
      </c>
      <c r="F1906" s="4">
        <v>44574</v>
      </c>
      <c r="G1906" s="3">
        <v>202207</v>
      </c>
      <c r="H1906" s="3" t="s">
        <v>75</v>
      </c>
      <c r="I1906" s="3" t="s">
        <v>76</v>
      </c>
      <c r="J1906" s="3" t="s">
        <v>77</v>
      </c>
      <c r="K1906" s="3" t="s">
        <v>78</v>
      </c>
      <c r="L1906" s="3" t="s">
        <v>176</v>
      </c>
      <c r="M1906" s="3" t="s">
        <v>177</v>
      </c>
      <c r="N1906" s="3" t="s">
        <v>714</v>
      </c>
      <c r="O1906" s="3" t="s">
        <v>82</v>
      </c>
      <c r="P1906" s="3" t="str">
        <f>"2170816511                    "</f>
        <v xml:space="preserve">2170816511                    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15.46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v>0</v>
      </c>
      <c r="BA1906" s="3">
        <v>0</v>
      </c>
      <c r="BB1906" s="3">
        <v>0</v>
      </c>
      <c r="BC1906" s="3">
        <v>0</v>
      </c>
      <c r="BD1906" s="3">
        <v>0</v>
      </c>
      <c r="BE1906" s="3">
        <v>0</v>
      </c>
      <c r="BF1906" s="3">
        <v>0</v>
      </c>
      <c r="BG1906" s="3">
        <v>0</v>
      </c>
      <c r="BH1906" s="3">
        <v>1</v>
      </c>
      <c r="BI1906" s="3">
        <v>2</v>
      </c>
      <c r="BJ1906" s="3">
        <v>1.5</v>
      </c>
      <c r="BK1906" s="3">
        <v>2</v>
      </c>
      <c r="BL1906" s="3">
        <v>59</v>
      </c>
      <c r="BM1906" s="3">
        <v>8.85</v>
      </c>
      <c r="BN1906" s="3">
        <v>67.849999999999994</v>
      </c>
      <c r="BO1906" s="3">
        <v>67.849999999999994</v>
      </c>
      <c r="BQ1906" s="3" t="s">
        <v>83</v>
      </c>
      <c r="BR1906" s="3" t="s">
        <v>84</v>
      </c>
      <c r="BS1906" s="4">
        <v>44575</v>
      </c>
      <c r="BT1906" s="5">
        <v>0.37083333333333335</v>
      </c>
      <c r="BU1906" s="3" t="s">
        <v>2078</v>
      </c>
      <c r="BV1906" s="3" t="s">
        <v>105</v>
      </c>
      <c r="BY1906" s="3">
        <v>7540</v>
      </c>
      <c r="BZ1906" s="3" t="s">
        <v>165</v>
      </c>
      <c r="CA1906" s="3" t="s">
        <v>528</v>
      </c>
      <c r="CC1906" s="3" t="s">
        <v>177</v>
      </c>
      <c r="CD1906" s="3">
        <v>4026</v>
      </c>
      <c r="CE1906" s="3" t="s">
        <v>86</v>
      </c>
      <c r="CF1906" s="4">
        <v>44578</v>
      </c>
      <c r="CI1906" s="3">
        <v>1</v>
      </c>
      <c r="CJ1906" s="3">
        <v>1</v>
      </c>
      <c r="CK1906" s="3">
        <v>21</v>
      </c>
      <c r="CL1906" s="3" t="s">
        <v>87</v>
      </c>
    </row>
    <row r="1907" spans="1:90" x14ac:dyDescent="0.2">
      <c r="A1907" s="3" t="s">
        <v>72</v>
      </c>
      <c r="B1907" s="3" t="s">
        <v>73</v>
      </c>
      <c r="C1907" s="3" t="s">
        <v>74</v>
      </c>
      <c r="E1907" s="3" t="str">
        <f>"FES1162844984"</f>
        <v>FES1162844984</v>
      </c>
      <c r="F1907" s="4">
        <v>44574</v>
      </c>
      <c r="G1907" s="3">
        <v>202207</v>
      </c>
      <c r="H1907" s="3" t="s">
        <v>75</v>
      </c>
      <c r="I1907" s="3" t="s">
        <v>76</v>
      </c>
      <c r="J1907" s="3" t="s">
        <v>77</v>
      </c>
      <c r="K1907" s="3" t="s">
        <v>78</v>
      </c>
      <c r="L1907" s="3" t="s">
        <v>176</v>
      </c>
      <c r="M1907" s="3" t="s">
        <v>177</v>
      </c>
      <c r="N1907" s="3" t="s">
        <v>714</v>
      </c>
      <c r="O1907" s="3" t="s">
        <v>82</v>
      </c>
      <c r="P1907" s="3" t="str">
        <f>"2170816539                    "</f>
        <v xml:space="preserve">2170816539                    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15.46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v>0</v>
      </c>
      <c r="BA1907" s="3">
        <v>0</v>
      </c>
      <c r="BB1907" s="3">
        <v>0</v>
      </c>
      <c r="BC1907" s="3">
        <v>0</v>
      </c>
      <c r="BD1907" s="3">
        <v>0</v>
      </c>
      <c r="BE1907" s="3">
        <v>0</v>
      </c>
      <c r="BF1907" s="3">
        <v>0</v>
      </c>
      <c r="BG1907" s="3">
        <v>0</v>
      </c>
      <c r="BH1907" s="3">
        <v>1</v>
      </c>
      <c r="BI1907" s="3">
        <v>1</v>
      </c>
      <c r="BJ1907" s="3">
        <v>0.2</v>
      </c>
      <c r="BK1907" s="3">
        <v>1</v>
      </c>
      <c r="BL1907" s="3">
        <v>59</v>
      </c>
      <c r="BM1907" s="3">
        <v>8.85</v>
      </c>
      <c r="BN1907" s="3">
        <v>67.849999999999994</v>
      </c>
      <c r="BO1907" s="3">
        <v>67.849999999999994</v>
      </c>
      <c r="BQ1907" s="3" t="s">
        <v>83</v>
      </c>
      <c r="BR1907" s="3" t="s">
        <v>84</v>
      </c>
      <c r="BS1907" s="4">
        <v>44575</v>
      </c>
      <c r="BT1907" s="5">
        <v>0.37083333333333335</v>
      </c>
      <c r="BU1907" s="3" t="s">
        <v>2078</v>
      </c>
      <c r="BV1907" s="3" t="s">
        <v>105</v>
      </c>
      <c r="BY1907" s="3">
        <v>1200</v>
      </c>
      <c r="BZ1907" s="3" t="s">
        <v>165</v>
      </c>
      <c r="CA1907" s="3" t="s">
        <v>528</v>
      </c>
      <c r="CC1907" s="3" t="s">
        <v>177</v>
      </c>
      <c r="CD1907" s="3">
        <v>4026</v>
      </c>
      <c r="CE1907" s="3" t="s">
        <v>93</v>
      </c>
      <c r="CF1907" s="4">
        <v>44578</v>
      </c>
      <c r="CI1907" s="3">
        <v>1</v>
      </c>
      <c r="CJ1907" s="3">
        <v>1</v>
      </c>
      <c r="CK1907" s="3">
        <v>21</v>
      </c>
      <c r="CL1907" s="3" t="s">
        <v>87</v>
      </c>
    </row>
    <row r="1908" spans="1:90" x14ac:dyDescent="0.2">
      <c r="A1908" s="3" t="s">
        <v>72</v>
      </c>
      <c r="B1908" s="3" t="s">
        <v>73</v>
      </c>
      <c r="C1908" s="3" t="s">
        <v>74</v>
      </c>
      <c r="E1908" s="3" t="str">
        <f>"FES1162844925"</f>
        <v>FES1162844925</v>
      </c>
      <c r="F1908" s="4">
        <v>44574</v>
      </c>
      <c r="G1908" s="3">
        <v>202207</v>
      </c>
      <c r="H1908" s="3" t="s">
        <v>75</v>
      </c>
      <c r="I1908" s="3" t="s">
        <v>76</v>
      </c>
      <c r="J1908" s="3" t="s">
        <v>77</v>
      </c>
      <c r="K1908" s="3" t="s">
        <v>78</v>
      </c>
      <c r="L1908" s="3" t="s">
        <v>90</v>
      </c>
      <c r="M1908" s="3" t="s">
        <v>91</v>
      </c>
      <c r="N1908" s="3" t="s">
        <v>444</v>
      </c>
      <c r="O1908" s="3" t="s">
        <v>148</v>
      </c>
      <c r="P1908" s="3" t="str">
        <f>"2170816489                    "</f>
        <v xml:space="preserve">2170816489                    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29.89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v>0</v>
      </c>
      <c r="BA1908" s="3">
        <v>0</v>
      </c>
      <c r="BB1908" s="3">
        <v>0</v>
      </c>
      <c r="BC1908" s="3">
        <v>0</v>
      </c>
      <c r="BD1908" s="3">
        <v>0</v>
      </c>
      <c r="BE1908" s="3">
        <v>0</v>
      </c>
      <c r="BF1908" s="3">
        <v>0</v>
      </c>
      <c r="BG1908" s="3">
        <v>0</v>
      </c>
      <c r="BH1908" s="3">
        <v>1</v>
      </c>
      <c r="BI1908" s="3">
        <v>5</v>
      </c>
      <c r="BJ1908" s="3">
        <v>2.4</v>
      </c>
      <c r="BK1908" s="3">
        <v>5</v>
      </c>
      <c r="BL1908" s="3">
        <v>119.34</v>
      </c>
      <c r="BM1908" s="3">
        <v>17.899999999999999</v>
      </c>
      <c r="BN1908" s="3">
        <v>137.24</v>
      </c>
      <c r="BO1908" s="3">
        <v>137.24</v>
      </c>
      <c r="BQ1908" s="3" t="s">
        <v>145</v>
      </c>
      <c r="BR1908" s="3" t="s">
        <v>84</v>
      </c>
      <c r="BS1908" s="4">
        <v>44578</v>
      </c>
      <c r="BT1908" s="5">
        <v>0.5708333333333333</v>
      </c>
      <c r="BU1908" s="3" t="s">
        <v>1806</v>
      </c>
      <c r="BV1908" s="3" t="s">
        <v>105</v>
      </c>
      <c r="BY1908" s="3">
        <v>12236</v>
      </c>
      <c r="BZ1908" s="3" t="s">
        <v>327</v>
      </c>
      <c r="CA1908" s="3" t="s">
        <v>2079</v>
      </c>
      <c r="CC1908" s="3" t="s">
        <v>91</v>
      </c>
      <c r="CD1908" s="3">
        <v>7500</v>
      </c>
      <c r="CE1908" s="3" t="s">
        <v>86</v>
      </c>
      <c r="CF1908" s="4">
        <v>44579</v>
      </c>
      <c r="CI1908" s="3">
        <v>2</v>
      </c>
      <c r="CJ1908" s="3">
        <v>2</v>
      </c>
      <c r="CK1908" s="3">
        <v>41</v>
      </c>
      <c r="CL1908" s="3" t="s">
        <v>87</v>
      </c>
    </row>
    <row r="1909" spans="1:90" x14ac:dyDescent="0.2">
      <c r="A1909" s="3" t="s">
        <v>72</v>
      </c>
      <c r="B1909" s="3" t="s">
        <v>73</v>
      </c>
      <c r="C1909" s="3" t="s">
        <v>74</v>
      </c>
      <c r="E1909" s="3" t="str">
        <f>"FES1162844897"</f>
        <v>FES1162844897</v>
      </c>
      <c r="F1909" s="4">
        <v>44574</v>
      </c>
      <c r="G1909" s="3">
        <v>202207</v>
      </c>
      <c r="H1909" s="3" t="s">
        <v>75</v>
      </c>
      <c r="I1909" s="3" t="s">
        <v>76</v>
      </c>
      <c r="J1909" s="3" t="s">
        <v>77</v>
      </c>
      <c r="K1909" s="3" t="s">
        <v>78</v>
      </c>
      <c r="L1909" s="3" t="s">
        <v>211</v>
      </c>
      <c r="M1909" s="3" t="s">
        <v>212</v>
      </c>
      <c r="N1909" s="3" t="s">
        <v>2080</v>
      </c>
      <c r="O1909" s="3" t="s">
        <v>82</v>
      </c>
      <c r="P1909" s="3" t="str">
        <f>"2170811171                    "</f>
        <v xml:space="preserve">2170811171                    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12.07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v>0</v>
      </c>
      <c r="BA1909" s="3">
        <v>0</v>
      </c>
      <c r="BB1909" s="3">
        <v>0</v>
      </c>
      <c r="BC1909" s="3">
        <v>0</v>
      </c>
      <c r="BD1909" s="3">
        <v>0</v>
      </c>
      <c r="BE1909" s="3">
        <v>0</v>
      </c>
      <c r="BF1909" s="3">
        <v>0</v>
      </c>
      <c r="BG1909" s="3">
        <v>0</v>
      </c>
      <c r="BH1909" s="3">
        <v>1</v>
      </c>
      <c r="BI1909" s="3">
        <v>1</v>
      </c>
      <c r="BJ1909" s="3">
        <v>0.2</v>
      </c>
      <c r="BK1909" s="3">
        <v>1</v>
      </c>
      <c r="BL1909" s="3">
        <v>46.08</v>
      </c>
      <c r="BM1909" s="3">
        <v>6.91</v>
      </c>
      <c r="BN1909" s="3">
        <v>52.99</v>
      </c>
      <c r="BO1909" s="3">
        <v>52.99</v>
      </c>
      <c r="BR1909" s="3" t="s">
        <v>84</v>
      </c>
      <c r="BS1909" s="4">
        <v>44575</v>
      </c>
      <c r="BT1909" s="5">
        <v>0.39999999999999997</v>
      </c>
      <c r="BU1909" s="3" t="s">
        <v>1888</v>
      </c>
      <c r="BV1909" s="3" t="s">
        <v>105</v>
      </c>
      <c r="BY1909" s="3">
        <v>1200</v>
      </c>
      <c r="BZ1909" s="3" t="s">
        <v>165</v>
      </c>
      <c r="CA1909" s="3" t="s">
        <v>345</v>
      </c>
      <c r="CC1909" s="3" t="s">
        <v>212</v>
      </c>
      <c r="CD1909" s="3">
        <v>2194</v>
      </c>
      <c r="CE1909" s="3" t="s">
        <v>93</v>
      </c>
      <c r="CF1909" s="4">
        <v>44578</v>
      </c>
      <c r="CI1909" s="3">
        <v>1</v>
      </c>
      <c r="CJ1909" s="3">
        <v>1</v>
      </c>
      <c r="CK1909" s="3">
        <v>22</v>
      </c>
      <c r="CL1909" s="3" t="s">
        <v>87</v>
      </c>
    </row>
    <row r="1910" spans="1:90" x14ac:dyDescent="0.2">
      <c r="A1910" s="3" t="s">
        <v>72</v>
      </c>
      <c r="B1910" s="3" t="s">
        <v>73</v>
      </c>
      <c r="C1910" s="3" t="s">
        <v>74</v>
      </c>
      <c r="E1910" s="3" t="str">
        <f>"FES1162844890"</f>
        <v>FES1162844890</v>
      </c>
      <c r="F1910" s="4">
        <v>44574</v>
      </c>
      <c r="G1910" s="3">
        <v>202207</v>
      </c>
      <c r="H1910" s="3" t="s">
        <v>75</v>
      </c>
      <c r="I1910" s="3" t="s">
        <v>76</v>
      </c>
      <c r="J1910" s="3" t="s">
        <v>77</v>
      </c>
      <c r="K1910" s="3" t="s">
        <v>78</v>
      </c>
      <c r="L1910" s="3" t="s">
        <v>94</v>
      </c>
      <c r="M1910" s="3" t="s">
        <v>95</v>
      </c>
      <c r="N1910" s="3" t="s">
        <v>179</v>
      </c>
      <c r="O1910" s="3" t="s">
        <v>82</v>
      </c>
      <c r="P1910" s="3" t="str">
        <f>"2170816461                    "</f>
        <v xml:space="preserve">2170816461                    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15.46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v>0</v>
      </c>
      <c r="BA1910" s="3">
        <v>0</v>
      </c>
      <c r="BB1910" s="3">
        <v>0</v>
      </c>
      <c r="BC1910" s="3">
        <v>0</v>
      </c>
      <c r="BD1910" s="3">
        <v>0</v>
      </c>
      <c r="BE1910" s="3">
        <v>0</v>
      </c>
      <c r="BF1910" s="3">
        <v>0</v>
      </c>
      <c r="BG1910" s="3">
        <v>0</v>
      </c>
      <c r="BH1910" s="3">
        <v>1</v>
      </c>
      <c r="BI1910" s="3">
        <v>1</v>
      </c>
      <c r="BJ1910" s="3">
        <v>0.2</v>
      </c>
      <c r="BK1910" s="3">
        <v>1</v>
      </c>
      <c r="BL1910" s="3">
        <v>59</v>
      </c>
      <c r="BM1910" s="3">
        <v>8.85</v>
      </c>
      <c r="BN1910" s="3">
        <v>67.849999999999994</v>
      </c>
      <c r="BO1910" s="3">
        <v>67.849999999999994</v>
      </c>
      <c r="BQ1910" s="3" t="s">
        <v>83</v>
      </c>
      <c r="BR1910" s="3" t="s">
        <v>84</v>
      </c>
      <c r="BS1910" s="4">
        <v>44575</v>
      </c>
      <c r="BT1910" s="5">
        <v>0.46875</v>
      </c>
      <c r="BU1910" s="3" t="s">
        <v>659</v>
      </c>
      <c r="BV1910" s="3" t="s">
        <v>87</v>
      </c>
      <c r="BW1910" s="3" t="s">
        <v>453</v>
      </c>
      <c r="BX1910" s="3" t="s">
        <v>279</v>
      </c>
      <c r="BY1910" s="3">
        <v>1200</v>
      </c>
      <c r="BZ1910" s="3" t="s">
        <v>165</v>
      </c>
      <c r="CC1910" s="3" t="s">
        <v>95</v>
      </c>
      <c r="CD1910" s="3">
        <v>3201</v>
      </c>
      <c r="CE1910" s="3" t="s">
        <v>93</v>
      </c>
      <c r="CF1910" s="4">
        <v>44581</v>
      </c>
      <c r="CI1910" s="3">
        <v>1</v>
      </c>
      <c r="CJ1910" s="3">
        <v>1</v>
      </c>
      <c r="CK1910" s="3">
        <v>21</v>
      </c>
      <c r="CL1910" s="3" t="s">
        <v>87</v>
      </c>
    </row>
    <row r="1911" spans="1:90" x14ac:dyDescent="0.2">
      <c r="A1911" s="3" t="s">
        <v>72</v>
      </c>
      <c r="B1911" s="3" t="s">
        <v>73</v>
      </c>
      <c r="C1911" s="3" t="s">
        <v>74</v>
      </c>
      <c r="E1911" s="3" t="str">
        <f>"FES1162845076"</f>
        <v>FES1162845076</v>
      </c>
      <c r="F1911" s="4">
        <v>44574</v>
      </c>
      <c r="G1911" s="3">
        <v>202207</v>
      </c>
      <c r="H1911" s="3" t="s">
        <v>75</v>
      </c>
      <c r="I1911" s="3" t="s">
        <v>76</v>
      </c>
      <c r="J1911" s="3" t="s">
        <v>77</v>
      </c>
      <c r="K1911" s="3" t="s">
        <v>78</v>
      </c>
      <c r="L1911" s="3" t="s">
        <v>464</v>
      </c>
      <c r="M1911" s="3" t="s">
        <v>465</v>
      </c>
      <c r="N1911" s="3" t="s">
        <v>1938</v>
      </c>
      <c r="O1911" s="3" t="s">
        <v>82</v>
      </c>
      <c r="P1911" s="3" t="str">
        <f>"2170814686                    "</f>
        <v xml:space="preserve">2170814686                    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12.07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v>0</v>
      </c>
      <c r="BA1911" s="3">
        <v>0</v>
      </c>
      <c r="BB1911" s="3">
        <v>0</v>
      </c>
      <c r="BC1911" s="3">
        <v>0</v>
      </c>
      <c r="BD1911" s="3">
        <v>0</v>
      </c>
      <c r="BE1911" s="3">
        <v>0</v>
      </c>
      <c r="BF1911" s="3">
        <v>0</v>
      </c>
      <c r="BG1911" s="3">
        <v>0</v>
      </c>
      <c r="BH1911" s="3">
        <v>1</v>
      </c>
      <c r="BI1911" s="3">
        <v>1</v>
      </c>
      <c r="BJ1911" s="3">
        <v>0.2</v>
      </c>
      <c r="BK1911" s="3">
        <v>1</v>
      </c>
      <c r="BL1911" s="3">
        <v>46.08</v>
      </c>
      <c r="BM1911" s="3">
        <v>6.91</v>
      </c>
      <c r="BN1911" s="3">
        <v>52.99</v>
      </c>
      <c r="BO1911" s="3">
        <v>52.99</v>
      </c>
      <c r="BQ1911" s="3" t="s">
        <v>2081</v>
      </c>
      <c r="BR1911" s="3" t="s">
        <v>84</v>
      </c>
      <c r="BS1911" s="4">
        <v>44575</v>
      </c>
      <c r="BT1911" s="5">
        <v>0.38958333333333334</v>
      </c>
      <c r="BU1911" s="3" t="s">
        <v>2082</v>
      </c>
      <c r="BV1911" s="3" t="s">
        <v>105</v>
      </c>
      <c r="BY1911" s="3">
        <v>1200</v>
      </c>
      <c r="BZ1911" s="3" t="s">
        <v>165</v>
      </c>
      <c r="CA1911" s="3" t="s">
        <v>678</v>
      </c>
      <c r="CC1911" s="3" t="s">
        <v>465</v>
      </c>
      <c r="CD1911" s="3">
        <v>1500</v>
      </c>
      <c r="CE1911" s="3" t="s">
        <v>93</v>
      </c>
      <c r="CF1911" s="4">
        <v>44575</v>
      </c>
      <c r="CI1911" s="3">
        <v>1</v>
      </c>
      <c r="CJ1911" s="3">
        <v>1</v>
      </c>
      <c r="CK1911" s="3">
        <v>22</v>
      </c>
      <c r="CL1911" s="3" t="s">
        <v>87</v>
      </c>
    </row>
    <row r="1912" spans="1:90" x14ac:dyDescent="0.2">
      <c r="A1912" s="3" t="s">
        <v>72</v>
      </c>
      <c r="B1912" s="3" t="s">
        <v>73</v>
      </c>
      <c r="C1912" s="3" t="s">
        <v>74</v>
      </c>
      <c r="E1912" s="3" t="str">
        <f>"FES1162844899"</f>
        <v>FES1162844899</v>
      </c>
      <c r="F1912" s="4">
        <v>44574</v>
      </c>
      <c r="G1912" s="3">
        <v>202207</v>
      </c>
      <c r="H1912" s="3" t="s">
        <v>75</v>
      </c>
      <c r="I1912" s="3" t="s">
        <v>76</v>
      </c>
      <c r="J1912" s="3" t="s">
        <v>77</v>
      </c>
      <c r="K1912" s="3" t="s">
        <v>78</v>
      </c>
      <c r="L1912" s="3" t="s">
        <v>101</v>
      </c>
      <c r="M1912" s="3" t="s">
        <v>102</v>
      </c>
      <c r="N1912" s="3" t="s">
        <v>686</v>
      </c>
      <c r="O1912" s="3" t="s">
        <v>82</v>
      </c>
      <c r="P1912" s="3" t="str">
        <f>"2170816062                    "</f>
        <v xml:space="preserve">2170816062                    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15.46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v>0</v>
      </c>
      <c r="BA1912" s="3">
        <v>0</v>
      </c>
      <c r="BB1912" s="3">
        <v>0</v>
      </c>
      <c r="BC1912" s="3">
        <v>0</v>
      </c>
      <c r="BD1912" s="3">
        <v>0</v>
      </c>
      <c r="BE1912" s="3">
        <v>0</v>
      </c>
      <c r="BF1912" s="3">
        <v>0</v>
      </c>
      <c r="BG1912" s="3">
        <v>0</v>
      </c>
      <c r="BH1912" s="3">
        <v>1</v>
      </c>
      <c r="BI1912" s="3">
        <v>2</v>
      </c>
      <c r="BJ1912" s="3">
        <v>1.5</v>
      </c>
      <c r="BK1912" s="3">
        <v>2</v>
      </c>
      <c r="BL1912" s="3">
        <v>59</v>
      </c>
      <c r="BM1912" s="3">
        <v>8.85</v>
      </c>
      <c r="BN1912" s="3">
        <v>67.849999999999994</v>
      </c>
      <c r="BO1912" s="3">
        <v>67.849999999999994</v>
      </c>
      <c r="BQ1912" s="3" t="s">
        <v>83</v>
      </c>
      <c r="BR1912" s="3" t="s">
        <v>84</v>
      </c>
      <c r="BS1912" s="4">
        <v>44575</v>
      </c>
      <c r="BT1912" s="5">
        <v>0.58819444444444446</v>
      </c>
      <c r="BU1912" s="3" t="s">
        <v>1028</v>
      </c>
      <c r="BV1912" s="3" t="s">
        <v>87</v>
      </c>
      <c r="BW1912" s="3" t="s">
        <v>278</v>
      </c>
      <c r="BX1912" s="3" t="s">
        <v>279</v>
      </c>
      <c r="BY1912" s="3">
        <v>7540</v>
      </c>
      <c r="BZ1912" s="3" t="s">
        <v>165</v>
      </c>
      <c r="CA1912" s="3" t="s">
        <v>280</v>
      </c>
      <c r="CC1912" s="3" t="s">
        <v>102</v>
      </c>
      <c r="CD1912" s="3">
        <v>4001</v>
      </c>
      <c r="CE1912" s="3" t="s">
        <v>86</v>
      </c>
      <c r="CF1912" s="4">
        <v>44578</v>
      </c>
      <c r="CI1912" s="3">
        <v>1</v>
      </c>
      <c r="CJ1912" s="3">
        <v>1</v>
      </c>
      <c r="CK1912" s="3">
        <v>21</v>
      </c>
      <c r="CL1912" s="3" t="s">
        <v>87</v>
      </c>
    </row>
    <row r="1913" spans="1:90" x14ac:dyDescent="0.2">
      <c r="A1913" s="3" t="s">
        <v>72</v>
      </c>
      <c r="B1913" s="3" t="s">
        <v>73</v>
      </c>
      <c r="C1913" s="3" t="s">
        <v>74</v>
      </c>
      <c r="E1913" s="3" t="str">
        <f>"FES1162845070"</f>
        <v>FES1162845070</v>
      </c>
      <c r="F1913" s="4">
        <v>44574</v>
      </c>
      <c r="G1913" s="3">
        <v>202207</v>
      </c>
      <c r="H1913" s="3" t="s">
        <v>75</v>
      </c>
      <c r="I1913" s="3" t="s">
        <v>76</v>
      </c>
      <c r="J1913" s="3" t="s">
        <v>77</v>
      </c>
      <c r="K1913" s="3" t="s">
        <v>78</v>
      </c>
      <c r="L1913" s="3" t="s">
        <v>107</v>
      </c>
      <c r="M1913" s="3" t="s">
        <v>108</v>
      </c>
      <c r="N1913" s="3" t="s">
        <v>582</v>
      </c>
      <c r="O1913" s="3" t="s">
        <v>82</v>
      </c>
      <c r="P1913" s="3" t="str">
        <f>"2170816639                    "</f>
        <v xml:space="preserve">2170816639                    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29.95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v>0</v>
      </c>
      <c r="BA1913" s="3">
        <v>0</v>
      </c>
      <c r="BB1913" s="3">
        <v>0</v>
      </c>
      <c r="BC1913" s="3">
        <v>0</v>
      </c>
      <c r="BD1913" s="3">
        <v>0</v>
      </c>
      <c r="BE1913" s="3">
        <v>0</v>
      </c>
      <c r="BF1913" s="3">
        <v>0</v>
      </c>
      <c r="BG1913" s="3">
        <v>0</v>
      </c>
      <c r="BH1913" s="3">
        <v>1</v>
      </c>
      <c r="BI1913" s="3">
        <v>1</v>
      </c>
      <c r="BJ1913" s="3">
        <v>0.2</v>
      </c>
      <c r="BK1913" s="3">
        <v>1</v>
      </c>
      <c r="BL1913" s="3">
        <v>114.31</v>
      </c>
      <c r="BM1913" s="3">
        <v>17.149999999999999</v>
      </c>
      <c r="BN1913" s="3">
        <v>131.46</v>
      </c>
      <c r="BO1913" s="3">
        <v>131.46</v>
      </c>
      <c r="BQ1913" s="3" t="s">
        <v>126</v>
      </c>
      <c r="BR1913" s="3" t="s">
        <v>84</v>
      </c>
      <c r="BS1913" s="4">
        <v>44575</v>
      </c>
      <c r="BT1913" s="5">
        <v>0.59166666666666667</v>
      </c>
      <c r="BU1913" s="3" t="s">
        <v>583</v>
      </c>
      <c r="BV1913" s="3" t="s">
        <v>105</v>
      </c>
      <c r="BY1913" s="3">
        <v>1200</v>
      </c>
      <c r="BZ1913" s="3" t="s">
        <v>165</v>
      </c>
      <c r="CA1913" s="3" t="s">
        <v>394</v>
      </c>
      <c r="CC1913" s="3" t="s">
        <v>108</v>
      </c>
      <c r="CD1913" s="3">
        <v>6850</v>
      </c>
      <c r="CE1913" s="3" t="s">
        <v>93</v>
      </c>
      <c r="CF1913" s="4">
        <v>44578</v>
      </c>
      <c r="CI1913" s="3">
        <v>2</v>
      </c>
      <c r="CJ1913" s="3">
        <v>1</v>
      </c>
      <c r="CK1913" s="3">
        <v>23</v>
      </c>
      <c r="CL1913" s="3" t="s">
        <v>87</v>
      </c>
    </row>
    <row r="1914" spans="1:90" x14ac:dyDescent="0.2">
      <c r="A1914" s="3" t="s">
        <v>72</v>
      </c>
      <c r="B1914" s="3" t="s">
        <v>73</v>
      </c>
      <c r="C1914" s="3" t="s">
        <v>74</v>
      </c>
      <c r="E1914" s="3" t="str">
        <f>"FES1162844872"</f>
        <v>FES1162844872</v>
      </c>
      <c r="F1914" s="4">
        <v>44574</v>
      </c>
      <c r="G1914" s="3">
        <v>202207</v>
      </c>
      <c r="H1914" s="3" t="s">
        <v>75</v>
      </c>
      <c r="I1914" s="3" t="s">
        <v>76</v>
      </c>
      <c r="J1914" s="3" t="s">
        <v>77</v>
      </c>
      <c r="K1914" s="3" t="s">
        <v>78</v>
      </c>
      <c r="L1914" s="3" t="s">
        <v>176</v>
      </c>
      <c r="M1914" s="3" t="s">
        <v>177</v>
      </c>
      <c r="N1914" s="3" t="s">
        <v>178</v>
      </c>
      <c r="O1914" s="3" t="s">
        <v>82</v>
      </c>
      <c r="P1914" s="3" t="str">
        <f>"2170816441                    "</f>
        <v xml:space="preserve">2170816441                    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15.46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v>0</v>
      </c>
      <c r="BA1914" s="3">
        <v>0</v>
      </c>
      <c r="BB1914" s="3">
        <v>0</v>
      </c>
      <c r="BC1914" s="3">
        <v>0</v>
      </c>
      <c r="BD1914" s="3">
        <v>0</v>
      </c>
      <c r="BE1914" s="3">
        <v>0</v>
      </c>
      <c r="BF1914" s="3">
        <v>0</v>
      </c>
      <c r="BG1914" s="3">
        <v>0</v>
      </c>
      <c r="BH1914" s="3">
        <v>1</v>
      </c>
      <c r="BI1914" s="3">
        <v>1</v>
      </c>
      <c r="BJ1914" s="3">
        <v>0.2</v>
      </c>
      <c r="BK1914" s="3">
        <v>1</v>
      </c>
      <c r="BL1914" s="3">
        <v>59</v>
      </c>
      <c r="BM1914" s="3">
        <v>8.85</v>
      </c>
      <c r="BN1914" s="3">
        <v>67.849999999999994</v>
      </c>
      <c r="BO1914" s="3">
        <v>67.849999999999994</v>
      </c>
      <c r="BQ1914" s="3" t="s">
        <v>83</v>
      </c>
      <c r="BR1914" s="3" t="s">
        <v>84</v>
      </c>
      <c r="BS1914" s="4">
        <v>44575</v>
      </c>
      <c r="BT1914" s="5">
        <v>0.4375</v>
      </c>
      <c r="BU1914" s="3" t="s">
        <v>822</v>
      </c>
      <c r="BV1914" s="3" t="s">
        <v>105</v>
      </c>
      <c r="BY1914" s="3">
        <v>1200</v>
      </c>
      <c r="BZ1914" s="3" t="s">
        <v>165</v>
      </c>
      <c r="CA1914" s="3" t="s">
        <v>615</v>
      </c>
      <c r="CC1914" s="3" t="s">
        <v>177</v>
      </c>
      <c r="CD1914" s="3">
        <v>4026</v>
      </c>
      <c r="CE1914" s="3" t="s">
        <v>93</v>
      </c>
      <c r="CF1914" s="4">
        <v>44578</v>
      </c>
      <c r="CI1914" s="3">
        <v>1</v>
      </c>
      <c r="CJ1914" s="3">
        <v>1</v>
      </c>
      <c r="CK1914" s="3">
        <v>21</v>
      </c>
      <c r="CL1914" s="3" t="s">
        <v>87</v>
      </c>
    </row>
    <row r="1915" spans="1:90" x14ac:dyDescent="0.2">
      <c r="A1915" s="3" t="s">
        <v>72</v>
      </c>
      <c r="B1915" s="3" t="s">
        <v>73</v>
      </c>
      <c r="C1915" s="3" t="s">
        <v>74</v>
      </c>
      <c r="E1915" s="3" t="str">
        <f>"FES1162845063"</f>
        <v>FES1162845063</v>
      </c>
      <c r="F1915" s="4">
        <v>44574</v>
      </c>
      <c r="G1915" s="3">
        <v>202207</v>
      </c>
      <c r="H1915" s="3" t="s">
        <v>75</v>
      </c>
      <c r="I1915" s="3" t="s">
        <v>76</v>
      </c>
      <c r="J1915" s="3" t="s">
        <v>77</v>
      </c>
      <c r="K1915" s="3" t="s">
        <v>78</v>
      </c>
      <c r="L1915" s="3" t="s">
        <v>90</v>
      </c>
      <c r="M1915" s="3" t="s">
        <v>91</v>
      </c>
      <c r="N1915" s="3" t="s">
        <v>2083</v>
      </c>
      <c r="O1915" s="3" t="s">
        <v>82</v>
      </c>
      <c r="P1915" s="3" t="str">
        <f>"2170816636                    "</f>
        <v xml:space="preserve">2170816636                    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15.46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v>0</v>
      </c>
      <c r="BA1915" s="3">
        <v>0</v>
      </c>
      <c r="BB1915" s="3">
        <v>0</v>
      </c>
      <c r="BC1915" s="3">
        <v>0</v>
      </c>
      <c r="BD1915" s="3">
        <v>0</v>
      </c>
      <c r="BE1915" s="3">
        <v>0</v>
      </c>
      <c r="BF1915" s="3">
        <v>0</v>
      </c>
      <c r="BG1915" s="3">
        <v>0</v>
      </c>
      <c r="BH1915" s="3">
        <v>1</v>
      </c>
      <c r="BI1915" s="3">
        <v>1</v>
      </c>
      <c r="BJ1915" s="3">
        <v>0.9</v>
      </c>
      <c r="BK1915" s="3">
        <v>1</v>
      </c>
      <c r="BL1915" s="3">
        <v>59</v>
      </c>
      <c r="BM1915" s="3">
        <v>8.85</v>
      </c>
      <c r="BN1915" s="3">
        <v>67.849999999999994</v>
      </c>
      <c r="BO1915" s="3">
        <v>67.849999999999994</v>
      </c>
      <c r="BQ1915" s="3" t="s">
        <v>2084</v>
      </c>
      <c r="BR1915" s="3" t="s">
        <v>84</v>
      </c>
      <c r="BS1915" s="4">
        <v>44575</v>
      </c>
      <c r="BT1915" s="5">
        <v>0.3659722222222222</v>
      </c>
      <c r="BU1915" s="3" t="s">
        <v>2085</v>
      </c>
      <c r="BV1915" s="3" t="s">
        <v>105</v>
      </c>
      <c r="BY1915" s="3">
        <v>4608</v>
      </c>
      <c r="BZ1915" s="3" t="s">
        <v>165</v>
      </c>
      <c r="CA1915" s="3" t="s">
        <v>543</v>
      </c>
      <c r="CC1915" s="3" t="s">
        <v>91</v>
      </c>
      <c r="CD1915" s="3">
        <v>7530</v>
      </c>
      <c r="CE1915" s="3" t="s">
        <v>86</v>
      </c>
      <c r="CF1915" s="4">
        <v>44578</v>
      </c>
      <c r="CI1915" s="3">
        <v>1</v>
      </c>
      <c r="CJ1915" s="3">
        <v>1</v>
      </c>
      <c r="CK1915" s="3">
        <v>21</v>
      </c>
      <c r="CL1915" s="3" t="s">
        <v>87</v>
      </c>
    </row>
    <row r="1916" spans="1:90" x14ac:dyDescent="0.2">
      <c r="A1916" s="3" t="s">
        <v>72</v>
      </c>
      <c r="B1916" s="3" t="s">
        <v>73</v>
      </c>
      <c r="C1916" s="3" t="s">
        <v>74</v>
      </c>
      <c r="E1916" s="3" t="str">
        <f>"FES1162844876"</f>
        <v>FES1162844876</v>
      </c>
      <c r="F1916" s="4">
        <v>44574</v>
      </c>
      <c r="G1916" s="3">
        <v>202207</v>
      </c>
      <c r="H1916" s="3" t="s">
        <v>75</v>
      </c>
      <c r="I1916" s="3" t="s">
        <v>76</v>
      </c>
      <c r="J1916" s="3" t="s">
        <v>77</v>
      </c>
      <c r="K1916" s="3" t="s">
        <v>78</v>
      </c>
      <c r="L1916" s="3" t="s">
        <v>195</v>
      </c>
      <c r="M1916" s="3" t="s">
        <v>196</v>
      </c>
      <c r="N1916" s="3" t="s">
        <v>197</v>
      </c>
      <c r="O1916" s="3" t="s">
        <v>82</v>
      </c>
      <c r="P1916" s="3" t="str">
        <f>"2170816446                    "</f>
        <v xml:space="preserve">2170816446                    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23.18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v>0</v>
      </c>
      <c r="BA1916" s="3">
        <v>0</v>
      </c>
      <c r="BB1916" s="3">
        <v>0</v>
      </c>
      <c r="BC1916" s="3">
        <v>0</v>
      </c>
      <c r="BD1916" s="3">
        <v>0</v>
      </c>
      <c r="BE1916" s="3">
        <v>0</v>
      </c>
      <c r="BF1916" s="3">
        <v>0</v>
      </c>
      <c r="BG1916" s="3">
        <v>0</v>
      </c>
      <c r="BH1916" s="3">
        <v>1</v>
      </c>
      <c r="BI1916" s="3">
        <v>3</v>
      </c>
      <c r="BJ1916" s="3">
        <v>2</v>
      </c>
      <c r="BK1916" s="3">
        <v>3</v>
      </c>
      <c r="BL1916" s="3">
        <v>88.48</v>
      </c>
      <c r="BM1916" s="3">
        <v>13.27</v>
      </c>
      <c r="BN1916" s="3">
        <v>101.75</v>
      </c>
      <c r="BO1916" s="3">
        <v>101.75</v>
      </c>
      <c r="BQ1916" s="3" t="s">
        <v>89</v>
      </c>
      <c r="BR1916" s="3" t="s">
        <v>84</v>
      </c>
      <c r="BS1916" s="4">
        <v>44575</v>
      </c>
      <c r="BT1916" s="5">
        <v>0.36249999999999999</v>
      </c>
      <c r="BU1916" s="3" t="s">
        <v>570</v>
      </c>
      <c r="BV1916" s="3" t="s">
        <v>105</v>
      </c>
      <c r="BY1916" s="3">
        <v>9900</v>
      </c>
      <c r="BZ1916" s="3" t="s">
        <v>165</v>
      </c>
      <c r="CA1916" s="3" t="s">
        <v>571</v>
      </c>
      <c r="CC1916" s="3" t="s">
        <v>196</v>
      </c>
      <c r="CD1916" s="3">
        <v>4302</v>
      </c>
      <c r="CE1916" s="3" t="s">
        <v>86</v>
      </c>
      <c r="CF1916" s="4">
        <v>44578</v>
      </c>
      <c r="CI1916" s="3">
        <v>1</v>
      </c>
      <c r="CJ1916" s="3">
        <v>1</v>
      </c>
      <c r="CK1916" s="3">
        <v>21</v>
      </c>
      <c r="CL1916" s="3" t="s">
        <v>87</v>
      </c>
    </row>
    <row r="1917" spans="1:90" x14ac:dyDescent="0.2">
      <c r="A1917" s="3" t="s">
        <v>72</v>
      </c>
      <c r="B1917" s="3" t="s">
        <v>73</v>
      </c>
      <c r="C1917" s="3" t="s">
        <v>74</v>
      </c>
      <c r="E1917" s="3" t="str">
        <f>"FES1162845082"</f>
        <v>FES1162845082</v>
      </c>
      <c r="F1917" s="4">
        <v>44574</v>
      </c>
      <c r="G1917" s="3">
        <v>202207</v>
      </c>
      <c r="H1917" s="3" t="s">
        <v>75</v>
      </c>
      <c r="I1917" s="3" t="s">
        <v>76</v>
      </c>
      <c r="J1917" s="3" t="s">
        <v>77</v>
      </c>
      <c r="K1917" s="3" t="s">
        <v>78</v>
      </c>
      <c r="L1917" s="3" t="s">
        <v>75</v>
      </c>
      <c r="M1917" s="3" t="s">
        <v>76</v>
      </c>
      <c r="N1917" s="3" t="s">
        <v>688</v>
      </c>
      <c r="O1917" s="3" t="s">
        <v>82</v>
      </c>
      <c r="P1917" s="3" t="str">
        <f>"2170816653                    "</f>
        <v xml:space="preserve">2170816653                    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12.07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v>0</v>
      </c>
      <c r="BA1917" s="3">
        <v>0</v>
      </c>
      <c r="BB1917" s="3">
        <v>0</v>
      </c>
      <c r="BC1917" s="3">
        <v>0</v>
      </c>
      <c r="BD1917" s="3">
        <v>0</v>
      </c>
      <c r="BE1917" s="3">
        <v>0</v>
      </c>
      <c r="BF1917" s="3">
        <v>0</v>
      </c>
      <c r="BG1917" s="3">
        <v>0</v>
      </c>
      <c r="BH1917" s="3">
        <v>1</v>
      </c>
      <c r="BI1917" s="3">
        <v>1</v>
      </c>
      <c r="BJ1917" s="3">
        <v>0.2</v>
      </c>
      <c r="BK1917" s="3">
        <v>1</v>
      </c>
      <c r="BL1917" s="3">
        <v>46.08</v>
      </c>
      <c r="BM1917" s="3">
        <v>6.91</v>
      </c>
      <c r="BN1917" s="3">
        <v>52.99</v>
      </c>
      <c r="BO1917" s="3">
        <v>52.99</v>
      </c>
      <c r="BQ1917" s="3" t="s">
        <v>83</v>
      </c>
      <c r="BR1917" s="3" t="s">
        <v>84</v>
      </c>
      <c r="BS1917" s="4">
        <v>44575</v>
      </c>
      <c r="BT1917" s="5">
        <v>0.31041666666666667</v>
      </c>
      <c r="BU1917" s="3" t="s">
        <v>1016</v>
      </c>
      <c r="BV1917" s="3" t="s">
        <v>105</v>
      </c>
      <c r="BY1917" s="3">
        <v>1200</v>
      </c>
      <c r="BZ1917" s="3" t="s">
        <v>165</v>
      </c>
      <c r="CA1917" s="3" t="s">
        <v>227</v>
      </c>
      <c r="CC1917" s="3" t="s">
        <v>76</v>
      </c>
      <c r="CD1917" s="3">
        <v>1620</v>
      </c>
      <c r="CE1917" s="3" t="s">
        <v>93</v>
      </c>
      <c r="CF1917" s="4">
        <v>44575</v>
      </c>
      <c r="CI1917" s="3">
        <v>1</v>
      </c>
      <c r="CJ1917" s="3">
        <v>1</v>
      </c>
      <c r="CK1917" s="3">
        <v>22</v>
      </c>
      <c r="CL1917" s="3" t="s">
        <v>87</v>
      </c>
    </row>
    <row r="1918" spans="1:90" x14ac:dyDescent="0.2">
      <c r="A1918" s="3" t="s">
        <v>72</v>
      </c>
      <c r="B1918" s="3" t="s">
        <v>73</v>
      </c>
      <c r="C1918" s="3" t="s">
        <v>74</v>
      </c>
      <c r="E1918" s="3" t="str">
        <f>"FES1162845067"</f>
        <v>FES1162845067</v>
      </c>
      <c r="F1918" s="4">
        <v>44574</v>
      </c>
      <c r="G1918" s="3">
        <v>202207</v>
      </c>
      <c r="H1918" s="3" t="s">
        <v>75</v>
      </c>
      <c r="I1918" s="3" t="s">
        <v>76</v>
      </c>
      <c r="J1918" s="3" t="s">
        <v>77</v>
      </c>
      <c r="K1918" s="3" t="s">
        <v>78</v>
      </c>
      <c r="L1918" s="3" t="s">
        <v>206</v>
      </c>
      <c r="M1918" s="3" t="s">
        <v>207</v>
      </c>
      <c r="N1918" s="3" t="s">
        <v>1884</v>
      </c>
      <c r="O1918" s="3" t="s">
        <v>82</v>
      </c>
      <c r="P1918" s="3" t="str">
        <f>"2170816641                    "</f>
        <v xml:space="preserve">2170816641                    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95.84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v>0</v>
      </c>
      <c r="BA1918" s="3">
        <v>0</v>
      </c>
      <c r="BB1918" s="3">
        <v>0</v>
      </c>
      <c r="BC1918" s="3">
        <v>0</v>
      </c>
      <c r="BD1918" s="3">
        <v>0</v>
      </c>
      <c r="BE1918" s="3">
        <v>0</v>
      </c>
      <c r="BF1918" s="3">
        <v>0</v>
      </c>
      <c r="BG1918" s="3">
        <v>0</v>
      </c>
      <c r="BH1918" s="3">
        <v>1</v>
      </c>
      <c r="BI1918" s="3">
        <v>9</v>
      </c>
      <c r="BJ1918" s="3">
        <v>5.5</v>
      </c>
      <c r="BK1918" s="3">
        <v>9</v>
      </c>
      <c r="BL1918" s="3">
        <v>365.82</v>
      </c>
      <c r="BM1918" s="3">
        <v>54.87</v>
      </c>
      <c r="BN1918" s="3">
        <v>420.69</v>
      </c>
      <c r="BO1918" s="3">
        <v>420.69</v>
      </c>
      <c r="BQ1918" s="3" t="s">
        <v>89</v>
      </c>
      <c r="BR1918" s="3" t="s">
        <v>84</v>
      </c>
      <c r="BS1918" s="4">
        <v>44575</v>
      </c>
      <c r="BT1918" s="5">
        <v>0.50624999999999998</v>
      </c>
      <c r="BU1918" s="3" t="s">
        <v>2086</v>
      </c>
      <c r="BV1918" s="3" t="s">
        <v>105</v>
      </c>
      <c r="BY1918" s="3">
        <v>27360</v>
      </c>
      <c r="BZ1918" s="3" t="s">
        <v>165</v>
      </c>
      <c r="CA1918" s="3" t="s">
        <v>2028</v>
      </c>
      <c r="CC1918" s="3" t="s">
        <v>207</v>
      </c>
      <c r="CD1918" s="3">
        <v>1740</v>
      </c>
      <c r="CE1918" s="3" t="s">
        <v>86</v>
      </c>
      <c r="CF1918" s="4">
        <v>44576</v>
      </c>
      <c r="CI1918" s="3">
        <v>1</v>
      </c>
      <c r="CJ1918" s="3">
        <v>1</v>
      </c>
      <c r="CK1918" s="3">
        <v>24</v>
      </c>
      <c r="CL1918" s="3" t="s">
        <v>87</v>
      </c>
    </row>
    <row r="1919" spans="1:90" x14ac:dyDescent="0.2">
      <c r="A1919" s="3" t="s">
        <v>72</v>
      </c>
      <c r="B1919" s="3" t="s">
        <v>73</v>
      </c>
      <c r="C1919" s="3" t="s">
        <v>74</v>
      </c>
      <c r="E1919" s="3" t="str">
        <f>"FES1162845033"</f>
        <v>FES1162845033</v>
      </c>
      <c r="F1919" s="4">
        <v>44574</v>
      </c>
      <c r="G1919" s="3">
        <v>202207</v>
      </c>
      <c r="H1919" s="3" t="s">
        <v>75</v>
      </c>
      <c r="I1919" s="3" t="s">
        <v>76</v>
      </c>
      <c r="J1919" s="3" t="s">
        <v>77</v>
      </c>
      <c r="K1919" s="3" t="s">
        <v>78</v>
      </c>
      <c r="L1919" s="3" t="s">
        <v>1271</v>
      </c>
      <c r="M1919" s="3" t="s">
        <v>1272</v>
      </c>
      <c r="N1919" s="3" t="s">
        <v>1273</v>
      </c>
      <c r="O1919" s="3" t="s">
        <v>148</v>
      </c>
      <c r="P1919" s="3" t="str">
        <f>"2170814225                    "</f>
        <v xml:space="preserve">2170814225                    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33.01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v>0</v>
      </c>
      <c r="BA1919" s="3">
        <v>0</v>
      </c>
      <c r="BB1919" s="3">
        <v>0</v>
      </c>
      <c r="BC1919" s="3">
        <v>0</v>
      </c>
      <c r="BD1919" s="3">
        <v>0</v>
      </c>
      <c r="BE1919" s="3">
        <v>0</v>
      </c>
      <c r="BF1919" s="3">
        <v>0</v>
      </c>
      <c r="BG1919" s="3">
        <v>0</v>
      </c>
      <c r="BH1919" s="3">
        <v>1</v>
      </c>
      <c r="BI1919" s="3">
        <v>11</v>
      </c>
      <c r="BJ1919" s="3">
        <v>5.6</v>
      </c>
      <c r="BK1919" s="3">
        <v>11</v>
      </c>
      <c r="BL1919" s="3">
        <v>131.25</v>
      </c>
      <c r="BM1919" s="3">
        <v>19.690000000000001</v>
      </c>
      <c r="BN1919" s="3">
        <v>150.94</v>
      </c>
      <c r="BO1919" s="3">
        <v>150.94</v>
      </c>
      <c r="BQ1919" s="3" t="s">
        <v>83</v>
      </c>
      <c r="BR1919" s="3" t="s">
        <v>84</v>
      </c>
      <c r="BS1919" s="4">
        <v>44575</v>
      </c>
      <c r="BT1919" s="5">
        <v>0.54236111111111118</v>
      </c>
      <c r="BU1919" s="3" t="s">
        <v>2087</v>
      </c>
      <c r="BV1919" s="3" t="s">
        <v>105</v>
      </c>
      <c r="BY1919" s="3">
        <v>28033</v>
      </c>
      <c r="BZ1919" s="3" t="s">
        <v>327</v>
      </c>
      <c r="CA1919" s="3" t="s">
        <v>1611</v>
      </c>
      <c r="CC1919" s="3" t="s">
        <v>1272</v>
      </c>
      <c r="CD1919" s="3">
        <v>1438</v>
      </c>
      <c r="CE1919" s="3" t="s">
        <v>86</v>
      </c>
      <c r="CF1919" s="4">
        <v>44578</v>
      </c>
      <c r="CI1919" s="3">
        <v>1</v>
      </c>
      <c r="CJ1919" s="3">
        <v>1</v>
      </c>
      <c r="CK1919" s="3">
        <v>44</v>
      </c>
      <c r="CL1919" s="3" t="s">
        <v>87</v>
      </c>
    </row>
    <row r="1920" spans="1:90" x14ac:dyDescent="0.2">
      <c r="A1920" s="3" t="s">
        <v>72</v>
      </c>
      <c r="B1920" s="3" t="s">
        <v>73</v>
      </c>
      <c r="C1920" s="3" t="s">
        <v>74</v>
      </c>
      <c r="E1920" s="3" t="str">
        <f>"FES1162845052"</f>
        <v>FES1162845052</v>
      </c>
      <c r="F1920" s="4">
        <v>44574</v>
      </c>
      <c r="G1920" s="3">
        <v>202207</v>
      </c>
      <c r="H1920" s="3" t="s">
        <v>75</v>
      </c>
      <c r="I1920" s="3" t="s">
        <v>76</v>
      </c>
      <c r="J1920" s="3" t="s">
        <v>77</v>
      </c>
      <c r="K1920" s="3" t="s">
        <v>78</v>
      </c>
      <c r="L1920" s="3" t="s">
        <v>90</v>
      </c>
      <c r="M1920" s="3" t="s">
        <v>91</v>
      </c>
      <c r="N1920" s="3" t="s">
        <v>2088</v>
      </c>
      <c r="O1920" s="3" t="s">
        <v>148</v>
      </c>
      <c r="P1920" s="3" t="str">
        <f>"2170816621                    "</f>
        <v xml:space="preserve">2170816621                    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29.89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v>0</v>
      </c>
      <c r="BA1920" s="3">
        <v>0</v>
      </c>
      <c r="BB1920" s="3">
        <v>0</v>
      </c>
      <c r="BC1920" s="3">
        <v>0</v>
      </c>
      <c r="BD1920" s="3">
        <v>0</v>
      </c>
      <c r="BE1920" s="3">
        <v>0</v>
      </c>
      <c r="BF1920" s="3">
        <v>0</v>
      </c>
      <c r="BG1920" s="3">
        <v>0</v>
      </c>
      <c r="BH1920" s="3">
        <v>1</v>
      </c>
      <c r="BI1920" s="3">
        <v>7.5</v>
      </c>
      <c r="BJ1920" s="3">
        <v>6.1</v>
      </c>
      <c r="BK1920" s="3">
        <v>8</v>
      </c>
      <c r="BL1920" s="3">
        <v>119.34</v>
      </c>
      <c r="BM1920" s="3">
        <v>17.899999999999999</v>
      </c>
      <c r="BN1920" s="3">
        <v>137.24</v>
      </c>
      <c r="BO1920" s="3">
        <v>137.24</v>
      </c>
      <c r="BQ1920" s="3" t="s">
        <v>83</v>
      </c>
      <c r="BR1920" s="3" t="s">
        <v>84</v>
      </c>
      <c r="BS1920" s="4">
        <v>44580</v>
      </c>
      <c r="BT1920" s="5">
        <v>0.32916666666666666</v>
      </c>
      <c r="BU1920" s="3" t="s">
        <v>2089</v>
      </c>
      <c r="BV1920" s="3" t="s">
        <v>87</v>
      </c>
      <c r="BW1920" s="3" t="s">
        <v>278</v>
      </c>
      <c r="BX1920" s="3" t="s">
        <v>279</v>
      </c>
      <c r="BY1920" s="3">
        <v>30702</v>
      </c>
      <c r="BZ1920" s="3" t="s">
        <v>327</v>
      </c>
      <c r="CA1920" s="3" t="s">
        <v>571</v>
      </c>
      <c r="CC1920" s="3" t="s">
        <v>91</v>
      </c>
      <c r="CD1920" s="3">
        <v>7441</v>
      </c>
      <c r="CE1920" s="3" t="s">
        <v>86</v>
      </c>
      <c r="CF1920" s="4">
        <v>44581</v>
      </c>
      <c r="CI1920" s="3">
        <v>2</v>
      </c>
      <c r="CJ1920" s="3">
        <v>4</v>
      </c>
      <c r="CK1920" s="3">
        <v>41</v>
      </c>
      <c r="CL1920" s="3" t="s">
        <v>87</v>
      </c>
    </row>
    <row r="1921" spans="1:90" x14ac:dyDescent="0.2">
      <c r="A1921" s="3" t="s">
        <v>72</v>
      </c>
      <c r="B1921" s="3" t="s">
        <v>73</v>
      </c>
      <c r="C1921" s="3" t="s">
        <v>74</v>
      </c>
      <c r="E1921" s="3" t="str">
        <f>"FES1162845080"</f>
        <v>FES1162845080</v>
      </c>
      <c r="F1921" s="4">
        <v>44574</v>
      </c>
      <c r="G1921" s="3">
        <v>202207</v>
      </c>
      <c r="H1921" s="3" t="s">
        <v>75</v>
      </c>
      <c r="I1921" s="3" t="s">
        <v>76</v>
      </c>
      <c r="J1921" s="3" t="s">
        <v>77</v>
      </c>
      <c r="K1921" s="3" t="s">
        <v>78</v>
      </c>
      <c r="L1921" s="3" t="s">
        <v>90</v>
      </c>
      <c r="M1921" s="3" t="s">
        <v>91</v>
      </c>
      <c r="N1921" s="3" t="s">
        <v>157</v>
      </c>
      <c r="O1921" s="3" t="s">
        <v>82</v>
      </c>
      <c r="P1921" s="3" t="str">
        <f>"2170816648                    "</f>
        <v xml:space="preserve">2170816648                    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15.46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0</v>
      </c>
      <c r="AZ1921" s="3">
        <v>0</v>
      </c>
      <c r="BA1921" s="3">
        <v>0</v>
      </c>
      <c r="BB1921" s="3">
        <v>0</v>
      </c>
      <c r="BC1921" s="3">
        <v>0</v>
      </c>
      <c r="BD1921" s="3">
        <v>0</v>
      </c>
      <c r="BE1921" s="3">
        <v>0</v>
      </c>
      <c r="BF1921" s="3">
        <v>0</v>
      </c>
      <c r="BG1921" s="3">
        <v>0</v>
      </c>
      <c r="BH1921" s="3">
        <v>1</v>
      </c>
      <c r="BI1921" s="3">
        <v>1</v>
      </c>
      <c r="BJ1921" s="3">
        <v>0.2</v>
      </c>
      <c r="BK1921" s="3">
        <v>1</v>
      </c>
      <c r="BL1921" s="3">
        <v>59</v>
      </c>
      <c r="BM1921" s="3">
        <v>8.85</v>
      </c>
      <c r="BN1921" s="3">
        <v>67.849999999999994</v>
      </c>
      <c r="BO1921" s="3">
        <v>67.849999999999994</v>
      </c>
      <c r="BQ1921" s="3" t="s">
        <v>89</v>
      </c>
      <c r="BR1921" s="3" t="s">
        <v>84</v>
      </c>
      <c r="BS1921" s="4">
        <v>44575</v>
      </c>
      <c r="BT1921" s="5">
        <v>0.39374999999999999</v>
      </c>
      <c r="BU1921" s="3" t="s">
        <v>691</v>
      </c>
      <c r="BV1921" s="3" t="s">
        <v>105</v>
      </c>
      <c r="BY1921" s="3">
        <v>1200</v>
      </c>
      <c r="BZ1921" s="3" t="s">
        <v>165</v>
      </c>
      <c r="CA1921" s="3" t="s">
        <v>713</v>
      </c>
      <c r="CC1921" s="3" t="s">
        <v>91</v>
      </c>
      <c r="CD1921" s="3">
        <v>7441</v>
      </c>
      <c r="CE1921" s="3" t="s">
        <v>93</v>
      </c>
      <c r="CF1921" s="4">
        <v>44578</v>
      </c>
      <c r="CI1921" s="3">
        <v>1</v>
      </c>
      <c r="CJ1921" s="3">
        <v>1</v>
      </c>
      <c r="CK1921" s="3">
        <v>21</v>
      </c>
      <c r="CL1921" s="3" t="s">
        <v>87</v>
      </c>
    </row>
    <row r="1922" spans="1:90" x14ac:dyDescent="0.2">
      <c r="A1922" s="3" t="s">
        <v>72</v>
      </c>
      <c r="B1922" s="3" t="s">
        <v>73</v>
      </c>
      <c r="C1922" s="3" t="s">
        <v>74</v>
      </c>
      <c r="E1922" s="3" t="str">
        <f>"FES1162845943"</f>
        <v>FES1162845943</v>
      </c>
      <c r="F1922" s="4">
        <v>44580</v>
      </c>
      <c r="G1922" s="3">
        <v>202207</v>
      </c>
      <c r="H1922" s="3" t="s">
        <v>75</v>
      </c>
      <c r="I1922" s="3" t="s">
        <v>76</v>
      </c>
      <c r="J1922" s="3" t="s">
        <v>77</v>
      </c>
      <c r="K1922" s="3" t="s">
        <v>78</v>
      </c>
      <c r="L1922" s="3" t="s">
        <v>162</v>
      </c>
      <c r="M1922" s="3" t="s">
        <v>163</v>
      </c>
      <c r="N1922" s="3" t="s">
        <v>164</v>
      </c>
      <c r="O1922" s="3" t="s">
        <v>82</v>
      </c>
      <c r="P1922" s="3" t="str">
        <f>"2170817392                    "</f>
        <v xml:space="preserve">2170817392                    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12.07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v>0</v>
      </c>
      <c r="BA1922" s="3">
        <v>0</v>
      </c>
      <c r="BB1922" s="3">
        <v>0</v>
      </c>
      <c r="BC1922" s="3">
        <v>0</v>
      </c>
      <c r="BD1922" s="3">
        <v>0</v>
      </c>
      <c r="BE1922" s="3">
        <v>0</v>
      </c>
      <c r="BF1922" s="3">
        <v>0</v>
      </c>
      <c r="BG1922" s="3">
        <v>0</v>
      </c>
      <c r="BH1922" s="3">
        <v>1</v>
      </c>
      <c r="BI1922" s="3">
        <v>1</v>
      </c>
      <c r="BJ1922" s="3">
        <v>1.1000000000000001</v>
      </c>
      <c r="BK1922" s="3">
        <v>1.5</v>
      </c>
      <c r="BL1922" s="3">
        <v>46.08</v>
      </c>
      <c r="BM1922" s="3">
        <v>6.91</v>
      </c>
      <c r="BN1922" s="3">
        <v>52.99</v>
      </c>
      <c r="BO1922" s="3">
        <v>52.99</v>
      </c>
      <c r="BQ1922" s="3" t="s">
        <v>89</v>
      </c>
      <c r="BR1922" s="3" t="s">
        <v>84</v>
      </c>
      <c r="BS1922" s="4">
        <v>44581</v>
      </c>
      <c r="BT1922" s="5">
        <v>0.42638888888888887</v>
      </c>
      <c r="BU1922" s="3" t="s">
        <v>1117</v>
      </c>
      <c r="BV1922" s="3" t="s">
        <v>105</v>
      </c>
      <c r="BY1922" s="3">
        <v>5320</v>
      </c>
      <c r="CA1922" s="3" t="s">
        <v>591</v>
      </c>
      <c r="CC1922" s="3" t="s">
        <v>163</v>
      </c>
      <c r="CD1922" s="3">
        <v>1428</v>
      </c>
      <c r="CE1922" s="3" t="s">
        <v>86</v>
      </c>
      <c r="CF1922" s="4">
        <v>44582</v>
      </c>
      <c r="CI1922" s="3">
        <v>1</v>
      </c>
      <c r="CJ1922" s="3">
        <v>1</v>
      </c>
      <c r="CK1922" s="3">
        <v>22</v>
      </c>
      <c r="CL1922" s="3" t="s">
        <v>87</v>
      </c>
    </row>
    <row r="1923" spans="1:90" x14ac:dyDescent="0.2">
      <c r="A1923" s="3" t="s">
        <v>72</v>
      </c>
      <c r="B1923" s="3" t="s">
        <v>73</v>
      </c>
      <c r="C1923" s="3" t="s">
        <v>74</v>
      </c>
      <c r="E1923" s="3" t="str">
        <f>"FES1162845823"</f>
        <v>FES1162845823</v>
      </c>
      <c r="F1923" s="4">
        <v>44580</v>
      </c>
      <c r="G1923" s="3">
        <v>202207</v>
      </c>
      <c r="H1923" s="3" t="s">
        <v>75</v>
      </c>
      <c r="I1923" s="3" t="s">
        <v>76</v>
      </c>
      <c r="J1923" s="3" t="s">
        <v>77</v>
      </c>
      <c r="K1923" s="3" t="s">
        <v>78</v>
      </c>
      <c r="L1923" s="3" t="s">
        <v>75</v>
      </c>
      <c r="M1923" s="3" t="s">
        <v>76</v>
      </c>
      <c r="N1923" s="3" t="s">
        <v>2090</v>
      </c>
      <c r="O1923" s="3" t="s">
        <v>82</v>
      </c>
      <c r="P1923" s="3" t="str">
        <f>"2170817300                    "</f>
        <v xml:space="preserve">2170817300                    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12.07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v>0</v>
      </c>
      <c r="BA1923" s="3">
        <v>0</v>
      </c>
      <c r="BB1923" s="3">
        <v>0</v>
      </c>
      <c r="BC1923" s="3">
        <v>0</v>
      </c>
      <c r="BD1923" s="3">
        <v>0</v>
      </c>
      <c r="BE1923" s="3">
        <v>0</v>
      </c>
      <c r="BF1923" s="3">
        <v>0</v>
      </c>
      <c r="BG1923" s="3">
        <v>0</v>
      </c>
      <c r="BH1923" s="3">
        <v>1</v>
      </c>
      <c r="BI1923" s="3">
        <v>1</v>
      </c>
      <c r="BJ1923" s="3">
        <v>0.2</v>
      </c>
      <c r="BK1923" s="3">
        <v>1</v>
      </c>
      <c r="BL1923" s="3">
        <v>46.08</v>
      </c>
      <c r="BM1923" s="3">
        <v>6.91</v>
      </c>
      <c r="BN1923" s="3">
        <v>52.99</v>
      </c>
      <c r="BO1923" s="3">
        <v>52.99</v>
      </c>
      <c r="BQ1923" s="3" t="s">
        <v>83</v>
      </c>
      <c r="BR1923" s="3" t="s">
        <v>84</v>
      </c>
      <c r="BS1923" s="4">
        <v>44581</v>
      </c>
      <c r="BT1923" s="5">
        <v>0.33055555555555555</v>
      </c>
      <c r="BU1923" s="3" t="s">
        <v>2091</v>
      </c>
      <c r="BV1923" s="3" t="s">
        <v>105</v>
      </c>
      <c r="BY1923" s="3">
        <v>1200</v>
      </c>
      <c r="CA1923" s="3" t="s">
        <v>311</v>
      </c>
      <c r="CC1923" s="3" t="s">
        <v>76</v>
      </c>
      <c r="CD1923" s="3">
        <v>1600</v>
      </c>
      <c r="CE1923" s="3" t="s">
        <v>93</v>
      </c>
      <c r="CF1923" s="4">
        <v>44581</v>
      </c>
      <c r="CI1923" s="3">
        <v>1</v>
      </c>
      <c r="CJ1923" s="3">
        <v>1</v>
      </c>
      <c r="CK1923" s="3">
        <v>22</v>
      </c>
      <c r="CL1923" s="3" t="s">
        <v>87</v>
      </c>
    </row>
    <row r="1924" spans="1:90" x14ac:dyDescent="0.2">
      <c r="A1924" s="3" t="s">
        <v>72</v>
      </c>
      <c r="B1924" s="3" t="s">
        <v>73</v>
      </c>
      <c r="C1924" s="3" t="s">
        <v>74</v>
      </c>
      <c r="E1924" s="3" t="str">
        <f>"FES1162845933"</f>
        <v>FES1162845933</v>
      </c>
      <c r="F1924" s="4">
        <v>44580</v>
      </c>
      <c r="G1924" s="3">
        <v>202207</v>
      </c>
      <c r="H1924" s="3" t="s">
        <v>75</v>
      </c>
      <c r="I1924" s="3" t="s">
        <v>76</v>
      </c>
      <c r="J1924" s="3" t="s">
        <v>77</v>
      </c>
      <c r="K1924" s="3" t="s">
        <v>78</v>
      </c>
      <c r="L1924" s="3" t="s">
        <v>694</v>
      </c>
      <c r="M1924" s="3" t="s">
        <v>695</v>
      </c>
      <c r="N1924" s="3" t="s">
        <v>699</v>
      </c>
      <c r="O1924" s="3" t="s">
        <v>82</v>
      </c>
      <c r="P1924" s="3" t="str">
        <f>"2170817135                    "</f>
        <v xml:space="preserve">2170817135                    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29.95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v>0</v>
      </c>
      <c r="BA1924" s="3">
        <v>0</v>
      </c>
      <c r="BB1924" s="3">
        <v>0</v>
      </c>
      <c r="BC1924" s="3">
        <v>0</v>
      </c>
      <c r="BD1924" s="3">
        <v>0</v>
      </c>
      <c r="BE1924" s="3">
        <v>0</v>
      </c>
      <c r="BF1924" s="3">
        <v>0</v>
      </c>
      <c r="BG1924" s="3">
        <v>0</v>
      </c>
      <c r="BH1924" s="3">
        <v>1</v>
      </c>
      <c r="BI1924" s="3">
        <v>1</v>
      </c>
      <c r="BJ1924" s="3">
        <v>0.2</v>
      </c>
      <c r="BK1924" s="3">
        <v>1</v>
      </c>
      <c r="BL1924" s="3">
        <v>114.31</v>
      </c>
      <c r="BM1924" s="3">
        <v>17.149999999999999</v>
      </c>
      <c r="BN1924" s="3">
        <v>131.46</v>
      </c>
      <c r="BO1924" s="3">
        <v>131.46</v>
      </c>
      <c r="BQ1924" s="3" t="s">
        <v>83</v>
      </c>
      <c r="BR1924" s="3" t="s">
        <v>84</v>
      </c>
      <c r="BS1924" s="4">
        <v>44581</v>
      </c>
      <c r="BT1924" s="5">
        <v>0.54513888888888895</v>
      </c>
      <c r="BU1924" s="3" t="s">
        <v>700</v>
      </c>
      <c r="BV1924" s="3" t="s">
        <v>105</v>
      </c>
      <c r="BY1924" s="3">
        <v>1200</v>
      </c>
      <c r="CA1924" s="3" t="s">
        <v>698</v>
      </c>
      <c r="CC1924" s="3" t="s">
        <v>695</v>
      </c>
      <c r="CD1924" s="3">
        <v>4449</v>
      </c>
      <c r="CE1924" s="3" t="s">
        <v>93</v>
      </c>
      <c r="CF1924" s="4">
        <v>44582</v>
      </c>
      <c r="CI1924" s="3">
        <v>1</v>
      </c>
      <c r="CJ1924" s="3">
        <v>1</v>
      </c>
      <c r="CK1924" s="3">
        <v>23</v>
      </c>
      <c r="CL1924" s="3" t="s">
        <v>87</v>
      </c>
    </row>
    <row r="1925" spans="1:90" x14ac:dyDescent="0.2">
      <c r="A1925" s="3" t="s">
        <v>72</v>
      </c>
      <c r="B1925" s="3" t="s">
        <v>73</v>
      </c>
      <c r="C1925" s="3" t="s">
        <v>74</v>
      </c>
      <c r="E1925" s="3" t="str">
        <f>"FES1162845937"</f>
        <v>FES1162845937</v>
      </c>
      <c r="F1925" s="4">
        <v>44580</v>
      </c>
      <c r="G1925" s="3">
        <v>202207</v>
      </c>
      <c r="H1925" s="3" t="s">
        <v>75</v>
      </c>
      <c r="I1925" s="3" t="s">
        <v>76</v>
      </c>
      <c r="J1925" s="3" t="s">
        <v>77</v>
      </c>
      <c r="K1925" s="3" t="s">
        <v>78</v>
      </c>
      <c r="L1925" s="3" t="s">
        <v>184</v>
      </c>
      <c r="M1925" s="3" t="s">
        <v>185</v>
      </c>
      <c r="N1925" s="3" t="s">
        <v>503</v>
      </c>
      <c r="O1925" s="3" t="s">
        <v>82</v>
      </c>
      <c r="P1925" s="3" t="str">
        <f>"2170817385                    "</f>
        <v xml:space="preserve">2170817385                    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15.46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v>0</v>
      </c>
      <c r="BA1925" s="3">
        <v>0</v>
      </c>
      <c r="BB1925" s="3">
        <v>0</v>
      </c>
      <c r="BC1925" s="3">
        <v>0</v>
      </c>
      <c r="BD1925" s="3">
        <v>0</v>
      </c>
      <c r="BE1925" s="3">
        <v>0</v>
      </c>
      <c r="BF1925" s="3">
        <v>0</v>
      </c>
      <c r="BG1925" s="3">
        <v>0</v>
      </c>
      <c r="BH1925" s="3">
        <v>1</v>
      </c>
      <c r="BI1925" s="3">
        <v>1</v>
      </c>
      <c r="BJ1925" s="3">
        <v>1.1000000000000001</v>
      </c>
      <c r="BK1925" s="3">
        <v>1.5</v>
      </c>
      <c r="BL1925" s="3">
        <v>59</v>
      </c>
      <c r="BM1925" s="3">
        <v>8.85</v>
      </c>
      <c r="BN1925" s="3">
        <v>67.849999999999994</v>
      </c>
      <c r="BO1925" s="3">
        <v>67.849999999999994</v>
      </c>
      <c r="BQ1925" s="3" t="s">
        <v>89</v>
      </c>
      <c r="BR1925" s="3" t="s">
        <v>84</v>
      </c>
      <c r="BS1925" s="4">
        <v>44582</v>
      </c>
      <c r="BT1925" s="5">
        <v>0.54305555555555551</v>
      </c>
      <c r="BU1925" s="3" t="s">
        <v>2092</v>
      </c>
      <c r="BV1925" s="3" t="s">
        <v>87</v>
      </c>
      <c r="BW1925" s="3" t="s">
        <v>457</v>
      </c>
      <c r="BX1925" s="3" t="s">
        <v>605</v>
      </c>
      <c r="BY1925" s="3">
        <v>5320</v>
      </c>
      <c r="CA1925" s="3" t="s">
        <v>1681</v>
      </c>
      <c r="CC1925" s="3" t="s">
        <v>185</v>
      </c>
      <c r="CD1925" s="3">
        <v>5201</v>
      </c>
      <c r="CE1925" s="3" t="s">
        <v>86</v>
      </c>
      <c r="CF1925" s="4">
        <v>44582</v>
      </c>
      <c r="CI1925" s="3">
        <v>1</v>
      </c>
      <c r="CJ1925" s="3">
        <v>2</v>
      </c>
      <c r="CK1925" s="3">
        <v>21</v>
      </c>
      <c r="CL1925" s="3" t="s">
        <v>87</v>
      </c>
    </row>
    <row r="1926" spans="1:90" x14ac:dyDescent="0.2">
      <c r="A1926" s="3" t="s">
        <v>72</v>
      </c>
      <c r="B1926" s="3" t="s">
        <v>73</v>
      </c>
      <c r="C1926" s="3" t="s">
        <v>74</v>
      </c>
      <c r="E1926" s="3" t="str">
        <f>"FES1162845920"</f>
        <v>FES1162845920</v>
      </c>
      <c r="F1926" s="4">
        <v>44580</v>
      </c>
      <c r="G1926" s="3">
        <v>202207</v>
      </c>
      <c r="H1926" s="3" t="s">
        <v>75</v>
      </c>
      <c r="I1926" s="3" t="s">
        <v>76</v>
      </c>
      <c r="J1926" s="3" t="s">
        <v>77</v>
      </c>
      <c r="K1926" s="3" t="s">
        <v>78</v>
      </c>
      <c r="L1926" s="3" t="s">
        <v>244</v>
      </c>
      <c r="M1926" s="3" t="s">
        <v>245</v>
      </c>
      <c r="N1926" s="3" t="s">
        <v>400</v>
      </c>
      <c r="O1926" s="3" t="s">
        <v>82</v>
      </c>
      <c r="P1926" s="3" t="str">
        <f>"2170817364                    "</f>
        <v xml:space="preserve">2170817364                    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29.95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v>0</v>
      </c>
      <c r="BA1926" s="3">
        <v>0</v>
      </c>
      <c r="BB1926" s="3">
        <v>0</v>
      </c>
      <c r="BC1926" s="3">
        <v>0</v>
      </c>
      <c r="BD1926" s="3">
        <v>0</v>
      </c>
      <c r="BE1926" s="3">
        <v>0</v>
      </c>
      <c r="BF1926" s="3">
        <v>0</v>
      </c>
      <c r="BG1926" s="3">
        <v>0</v>
      </c>
      <c r="BH1926" s="3">
        <v>1</v>
      </c>
      <c r="BI1926" s="3">
        <v>1</v>
      </c>
      <c r="BJ1926" s="3">
        <v>1.1000000000000001</v>
      </c>
      <c r="BK1926" s="3">
        <v>1.5</v>
      </c>
      <c r="BL1926" s="3">
        <v>114.31</v>
      </c>
      <c r="BM1926" s="3">
        <v>17.149999999999999</v>
      </c>
      <c r="BN1926" s="3">
        <v>131.46</v>
      </c>
      <c r="BO1926" s="3">
        <v>131.46</v>
      </c>
      <c r="BQ1926" s="3" t="s">
        <v>83</v>
      </c>
      <c r="BR1926" s="3" t="s">
        <v>84</v>
      </c>
      <c r="BS1926" s="4">
        <v>44581</v>
      </c>
      <c r="BT1926" s="5">
        <v>0.4381944444444445</v>
      </c>
      <c r="BU1926" s="3" t="s">
        <v>1739</v>
      </c>
      <c r="BV1926" s="3" t="s">
        <v>87</v>
      </c>
      <c r="BW1926" s="3" t="s">
        <v>353</v>
      </c>
      <c r="BX1926" s="3" t="s">
        <v>618</v>
      </c>
      <c r="BY1926" s="3">
        <v>5320</v>
      </c>
      <c r="CA1926" s="3" t="s">
        <v>402</v>
      </c>
      <c r="CC1926" s="3" t="s">
        <v>245</v>
      </c>
      <c r="CD1926" s="3">
        <v>1947</v>
      </c>
      <c r="CE1926" s="3" t="s">
        <v>86</v>
      </c>
      <c r="CF1926" s="4">
        <v>44582</v>
      </c>
      <c r="CI1926" s="3">
        <v>1</v>
      </c>
      <c r="CJ1926" s="3">
        <v>1</v>
      </c>
      <c r="CK1926" s="3">
        <v>23</v>
      </c>
      <c r="CL1926" s="3" t="s">
        <v>87</v>
      </c>
    </row>
    <row r="1927" spans="1:90" x14ac:dyDescent="0.2">
      <c r="A1927" s="3" t="s">
        <v>72</v>
      </c>
      <c r="B1927" s="3" t="s">
        <v>73</v>
      </c>
      <c r="C1927" s="3" t="s">
        <v>74</v>
      </c>
      <c r="E1927" s="3" t="str">
        <f>"FES1162845914"</f>
        <v>FES1162845914</v>
      </c>
      <c r="F1927" s="4">
        <v>44580</v>
      </c>
      <c r="G1927" s="3">
        <v>202207</v>
      </c>
      <c r="H1927" s="3" t="s">
        <v>75</v>
      </c>
      <c r="I1927" s="3" t="s">
        <v>76</v>
      </c>
      <c r="J1927" s="3" t="s">
        <v>77</v>
      </c>
      <c r="K1927" s="3" t="s">
        <v>78</v>
      </c>
      <c r="L1927" s="3" t="s">
        <v>1119</v>
      </c>
      <c r="M1927" s="3" t="s">
        <v>1120</v>
      </c>
      <c r="N1927" s="3" t="s">
        <v>1809</v>
      </c>
      <c r="O1927" s="3" t="s">
        <v>82</v>
      </c>
      <c r="P1927" s="3" t="str">
        <f>"2170817357                    "</f>
        <v xml:space="preserve">2170817357                    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29.95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v>0</v>
      </c>
      <c r="BA1927" s="3">
        <v>0</v>
      </c>
      <c r="BB1927" s="3">
        <v>0</v>
      </c>
      <c r="BC1927" s="3">
        <v>0</v>
      </c>
      <c r="BD1927" s="3">
        <v>0</v>
      </c>
      <c r="BE1927" s="3">
        <v>0</v>
      </c>
      <c r="BF1927" s="3">
        <v>0</v>
      </c>
      <c r="BG1927" s="3">
        <v>0</v>
      </c>
      <c r="BH1927" s="3">
        <v>1</v>
      </c>
      <c r="BI1927" s="3">
        <v>2</v>
      </c>
      <c r="BJ1927" s="3">
        <v>1.1000000000000001</v>
      </c>
      <c r="BK1927" s="3">
        <v>2</v>
      </c>
      <c r="BL1927" s="3">
        <v>114.31</v>
      </c>
      <c r="BM1927" s="3">
        <v>17.149999999999999</v>
      </c>
      <c r="BN1927" s="3">
        <v>131.46</v>
      </c>
      <c r="BO1927" s="3">
        <v>131.46</v>
      </c>
      <c r="BR1927" s="3" t="s">
        <v>84</v>
      </c>
      <c r="BS1927" s="4">
        <v>44582</v>
      </c>
      <c r="BT1927" s="5">
        <v>0.7006944444444444</v>
      </c>
      <c r="BU1927" s="3" t="s">
        <v>2093</v>
      </c>
      <c r="BV1927" s="3" t="s">
        <v>87</v>
      </c>
      <c r="BW1927" s="3" t="s">
        <v>278</v>
      </c>
      <c r="BX1927" s="3" t="s">
        <v>279</v>
      </c>
      <c r="BY1927" s="3">
        <v>5320</v>
      </c>
      <c r="CA1927" s="3" t="s">
        <v>1844</v>
      </c>
      <c r="CC1927" s="3" t="s">
        <v>1120</v>
      </c>
      <c r="CD1927" s="3">
        <v>4380</v>
      </c>
      <c r="CE1927" s="3" t="s">
        <v>86</v>
      </c>
      <c r="CF1927" s="4">
        <v>44585</v>
      </c>
      <c r="CI1927" s="3">
        <v>1</v>
      </c>
      <c r="CJ1927" s="3">
        <v>2</v>
      </c>
      <c r="CK1927" s="3">
        <v>23</v>
      </c>
      <c r="CL1927" s="3" t="s">
        <v>87</v>
      </c>
    </row>
    <row r="1928" spans="1:90" x14ac:dyDescent="0.2">
      <c r="A1928" s="3" t="s">
        <v>72</v>
      </c>
      <c r="B1928" s="3" t="s">
        <v>73</v>
      </c>
      <c r="C1928" s="3" t="s">
        <v>74</v>
      </c>
      <c r="E1928" s="3" t="str">
        <f>"FES1162845899"</f>
        <v>FES1162845899</v>
      </c>
      <c r="F1928" s="4">
        <v>44580</v>
      </c>
      <c r="G1928" s="3">
        <v>202207</v>
      </c>
      <c r="H1928" s="3" t="s">
        <v>75</v>
      </c>
      <c r="I1928" s="3" t="s">
        <v>76</v>
      </c>
      <c r="J1928" s="3" t="s">
        <v>77</v>
      </c>
      <c r="K1928" s="3" t="s">
        <v>78</v>
      </c>
      <c r="L1928" s="3" t="s">
        <v>184</v>
      </c>
      <c r="M1928" s="3" t="s">
        <v>185</v>
      </c>
      <c r="N1928" s="3" t="s">
        <v>503</v>
      </c>
      <c r="O1928" s="3" t="s">
        <v>82</v>
      </c>
      <c r="P1928" s="3" t="str">
        <f>"2170817343                    "</f>
        <v xml:space="preserve">2170817343                    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15.46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v>0</v>
      </c>
      <c r="BA1928" s="3">
        <v>0</v>
      </c>
      <c r="BB1928" s="3">
        <v>0</v>
      </c>
      <c r="BC1928" s="3">
        <v>0</v>
      </c>
      <c r="BD1928" s="3">
        <v>0</v>
      </c>
      <c r="BE1928" s="3">
        <v>0</v>
      </c>
      <c r="BF1928" s="3">
        <v>0</v>
      </c>
      <c r="BG1928" s="3">
        <v>0</v>
      </c>
      <c r="BH1928" s="3">
        <v>1</v>
      </c>
      <c r="BI1928" s="3">
        <v>2</v>
      </c>
      <c r="BJ1928" s="3">
        <v>1.5</v>
      </c>
      <c r="BK1928" s="3">
        <v>2</v>
      </c>
      <c r="BL1928" s="3">
        <v>59</v>
      </c>
      <c r="BM1928" s="3">
        <v>8.85</v>
      </c>
      <c r="BN1928" s="3">
        <v>67.849999999999994</v>
      </c>
      <c r="BO1928" s="3">
        <v>67.849999999999994</v>
      </c>
      <c r="BQ1928" s="3" t="s">
        <v>89</v>
      </c>
      <c r="BR1928" s="3" t="s">
        <v>84</v>
      </c>
      <c r="BS1928" s="4">
        <v>44582</v>
      </c>
      <c r="BT1928" s="5">
        <v>0.54305555555555551</v>
      </c>
      <c r="BU1928" s="3" t="s">
        <v>2092</v>
      </c>
      <c r="BV1928" s="3" t="s">
        <v>87</v>
      </c>
      <c r="BW1928" s="3" t="s">
        <v>353</v>
      </c>
      <c r="BX1928" s="3" t="s">
        <v>605</v>
      </c>
      <c r="BY1928" s="3">
        <v>7540</v>
      </c>
      <c r="CA1928" s="3" t="s">
        <v>1681</v>
      </c>
      <c r="CC1928" s="3" t="s">
        <v>185</v>
      </c>
      <c r="CD1928" s="3">
        <v>5201</v>
      </c>
      <c r="CE1928" s="3" t="s">
        <v>86</v>
      </c>
      <c r="CF1928" s="4">
        <v>44582</v>
      </c>
      <c r="CI1928" s="3">
        <v>1</v>
      </c>
      <c r="CJ1928" s="3">
        <v>2</v>
      </c>
      <c r="CK1928" s="3">
        <v>21</v>
      </c>
      <c r="CL1928" s="3" t="s">
        <v>87</v>
      </c>
    </row>
    <row r="1929" spans="1:90" x14ac:dyDescent="0.2">
      <c r="A1929" s="3" t="s">
        <v>72</v>
      </c>
      <c r="B1929" s="3" t="s">
        <v>73</v>
      </c>
      <c r="C1929" s="3" t="s">
        <v>74</v>
      </c>
      <c r="E1929" s="3" t="str">
        <f>"FES1162845918"</f>
        <v>FES1162845918</v>
      </c>
      <c r="F1929" s="4">
        <v>44580</v>
      </c>
      <c r="G1929" s="3">
        <v>202207</v>
      </c>
      <c r="H1929" s="3" t="s">
        <v>75</v>
      </c>
      <c r="I1929" s="3" t="s">
        <v>76</v>
      </c>
      <c r="J1929" s="3" t="s">
        <v>77</v>
      </c>
      <c r="K1929" s="3" t="s">
        <v>78</v>
      </c>
      <c r="L1929" s="3" t="s">
        <v>244</v>
      </c>
      <c r="M1929" s="3" t="s">
        <v>245</v>
      </c>
      <c r="N1929" s="3" t="s">
        <v>400</v>
      </c>
      <c r="O1929" s="3" t="s">
        <v>82</v>
      </c>
      <c r="P1929" s="3" t="str">
        <f>"2170817362                    "</f>
        <v xml:space="preserve">2170817362                    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29.95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v>0</v>
      </c>
      <c r="BA1929" s="3">
        <v>0</v>
      </c>
      <c r="BB1929" s="3">
        <v>0</v>
      </c>
      <c r="BC1929" s="3">
        <v>0</v>
      </c>
      <c r="BD1929" s="3">
        <v>0</v>
      </c>
      <c r="BE1929" s="3">
        <v>0</v>
      </c>
      <c r="BF1929" s="3">
        <v>0</v>
      </c>
      <c r="BG1929" s="3">
        <v>0</v>
      </c>
      <c r="BH1929" s="3">
        <v>1</v>
      </c>
      <c r="BI1929" s="3">
        <v>1</v>
      </c>
      <c r="BJ1929" s="3">
        <v>1.1000000000000001</v>
      </c>
      <c r="BK1929" s="3">
        <v>1.5</v>
      </c>
      <c r="BL1929" s="3">
        <v>114.31</v>
      </c>
      <c r="BM1929" s="3">
        <v>17.149999999999999</v>
      </c>
      <c r="BN1929" s="3">
        <v>131.46</v>
      </c>
      <c r="BO1929" s="3">
        <v>131.46</v>
      </c>
      <c r="BQ1929" s="3" t="s">
        <v>83</v>
      </c>
      <c r="BR1929" s="3" t="s">
        <v>84</v>
      </c>
      <c r="BS1929" s="4">
        <v>44581</v>
      </c>
      <c r="BT1929" s="5">
        <v>0.4375</v>
      </c>
      <c r="BU1929" s="3" t="s">
        <v>401</v>
      </c>
      <c r="BV1929" s="3" t="s">
        <v>105</v>
      </c>
      <c r="BY1929" s="3">
        <v>5320</v>
      </c>
      <c r="CA1929" s="3" t="s">
        <v>402</v>
      </c>
      <c r="CC1929" s="3" t="s">
        <v>245</v>
      </c>
      <c r="CD1929" s="3">
        <v>1947</v>
      </c>
      <c r="CE1929" s="3" t="s">
        <v>86</v>
      </c>
      <c r="CF1929" s="4">
        <v>44582</v>
      </c>
      <c r="CI1929" s="3">
        <v>1</v>
      </c>
      <c r="CJ1929" s="3">
        <v>1</v>
      </c>
      <c r="CK1929" s="3">
        <v>23</v>
      </c>
      <c r="CL1929" s="3" t="s">
        <v>87</v>
      </c>
    </row>
    <row r="1930" spans="1:90" x14ac:dyDescent="0.2">
      <c r="A1930" s="3" t="s">
        <v>72</v>
      </c>
      <c r="B1930" s="3" t="s">
        <v>73</v>
      </c>
      <c r="C1930" s="3" t="s">
        <v>74</v>
      </c>
      <c r="E1930" s="3" t="str">
        <f>"FES1162845906"</f>
        <v>FES1162845906</v>
      </c>
      <c r="F1930" s="4">
        <v>44580</v>
      </c>
      <c r="G1930" s="3">
        <v>202207</v>
      </c>
      <c r="H1930" s="3" t="s">
        <v>75</v>
      </c>
      <c r="I1930" s="3" t="s">
        <v>76</v>
      </c>
      <c r="J1930" s="3" t="s">
        <v>77</v>
      </c>
      <c r="K1930" s="3" t="s">
        <v>78</v>
      </c>
      <c r="L1930" s="3" t="s">
        <v>90</v>
      </c>
      <c r="M1930" s="3" t="s">
        <v>91</v>
      </c>
      <c r="N1930" s="3" t="s">
        <v>92</v>
      </c>
      <c r="O1930" s="3" t="s">
        <v>82</v>
      </c>
      <c r="P1930" s="3" t="str">
        <f>"2170817347                    "</f>
        <v xml:space="preserve">2170817347                    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15.46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v>0</v>
      </c>
      <c r="BA1930" s="3">
        <v>0</v>
      </c>
      <c r="BB1930" s="3">
        <v>0</v>
      </c>
      <c r="BC1930" s="3">
        <v>0</v>
      </c>
      <c r="BD1930" s="3">
        <v>0</v>
      </c>
      <c r="BE1930" s="3">
        <v>0</v>
      </c>
      <c r="BF1930" s="3">
        <v>0</v>
      </c>
      <c r="BG1930" s="3">
        <v>0</v>
      </c>
      <c r="BH1930" s="3">
        <v>1</v>
      </c>
      <c r="BI1930" s="3">
        <v>1</v>
      </c>
      <c r="BJ1930" s="3">
        <v>1</v>
      </c>
      <c r="BK1930" s="3">
        <v>1</v>
      </c>
      <c r="BL1930" s="3">
        <v>59</v>
      </c>
      <c r="BM1930" s="3">
        <v>8.85</v>
      </c>
      <c r="BN1930" s="3">
        <v>67.849999999999994</v>
      </c>
      <c r="BO1930" s="3">
        <v>67.849999999999994</v>
      </c>
      <c r="BQ1930" s="3" t="s">
        <v>83</v>
      </c>
      <c r="BR1930" s="3" t="s">
        <v>84</v>
      </c>
      <c r="BS1930" s="4">
        <v>44581</v>
      </c>
      <c r="BT1930" s="5">
        <v>0.39583333333333331</v>
      </c>
      <c r="BU1930" s="3" t="s">
        <v>1319</v>
      </c>
      <c r="BV1930" s="3" t="s">
        <v>105</v>
      </c>
      <c r="BY1930" s="3">
        <v>5130</v>
      </c>
      <c r="CA1930" s="3" t="s">
        <v>1633</v>
      </c>
      <c r="CC1930" s="3" t="s">
        <v>91</v>
      </c>
      <c r="CD1930" s="3">
        <v>7530</v>
      </c>
      <c r="CE1930" s="3" t="s">
        <v>86</v>
      </c>
      <c r="CF1930" s="4">
        <v>44582</v>
      </c>
      <c r="CI1930" s="3">
        <v>1</v>
      </c>
      <c r="CJ1930" s="3">
        <v>1</v>
      </c>
      <c r="CK1930" s="3">
        <v>21</v>
      </c>
      <c r="CL1930" s="3" t="s">
        <v>87</v>
      </c>
    </row>
    <row r="1931" spans="1:90" x14ac:dyDescent="0.2">
      <c r="A1931" s="3" t="s">
        <v>72</v>
      </c>
      <c r="B1931" s="3" t="s">
        <v>73</v>
      </c>
      <c r="C1931" s="3" t="s">
        <v>74</v>
      </c>
      <c r="E1931" s="3" t="str">
        <f>"FES1162845863"</f>
        <v>FES1162845863</v>
      </c>
      <c r="F1931" s="4">
        <v>44580</v>
      </c>
      <c r="G1931" s="3">
        <v>202207</v>
      </c>
      <c r="H1931" s="3" t="s">
        <v>75</v>
      </c>
      <c r="I1931" s="3" t="s">
        <v>76</v>
      </c>
      <c r="J1931" s="3" t="s">
        <v>77</v>
      </c>
      <c r="K1931" s="3" t="s">
        <v>78</v>
      </c>
      <c r="L1931" s="3" t="s">
        <v>184</v>
      </c>
      <c r="M1931" s="3" t="s">
        <v>185</v>
      </c>
      <c r="N1931" s="3" t="s">
        <v>503</v>
      </c>
      <c r="O1931" s="3" t="s">
        <v>82</v>
      </c>
      <c r="P1931" s="3" t="str">
        <f>"2170817321                    "</f>
        <v xml:space="preserve">2170817321                    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34.770000000000003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v>0</v>
      </c>
      <c r="BA1931" s="3">
        <v>0</v>
      </c>
      <c r="BB1931" s="3">
        <v>0</v>
      </c>
      <c r="BC1931" s="3">
        <v>0</v>
      </c>
      <c r="BD1931" s="3">
        <v>0</v>
      </c>
      <c r="BE1931" s="3">
        <v>0</v>
      </c>
      <c r="BF1931" s="3">
        <v>0</v>
      </c>
      <c r="BG1931" s="3">
        <v>0</v>
      </c>
      <c r="BH1931" s="3">
        <v>1</v>
      </c>
      <c r="BI1931" s="3">
        <v>2</v>
      </c>
      <c r="BJ1931" s="3">
        <v>4.0999999999999996</v>
      </c>
      <c r="BK1931" s="3">
        <v>4.5</v>
      </c>
      <c r="BL1931" s="3">
        <v>132.71</v>
      </c>
      <c r="BM1931" s="3">
        <v>19.91</v>
      </c>
      <c r="BN1931" s="3">
        <v>152.62</v>
      </c>
      <c r="BO1931" s="3">
        <v>152.62</v>
      </c>
      <c r="BQ1931" s="3" t="s">
        <v>89</v>
      </c>
      <c r="BR1931" s="3" t="s">
        <v>84</v>
      </c>
      <c r="BS1931" s="4">
        <v>44582</v>
      </c>
      <c r="BT1931" s="5">
        <v>0.58402777777777781</v>
      </c>
      <c r="BU1931" s="3" t="s">
        <v>2094</v>
      </c>
      <c r="BV1931" s="3" t="s">
        <v>87</v>
      </c>
      <c r="BW1931" s="3" t="s">
        <v>457</v>
      </c>
      <c r="BX1931" s="3" t="s">
        <v>605</v>
      </c>
      <c r="BY1931" s="3">
        <v>20358</v>
      </c>
      <c r="CA1931" s="3" t="s">
        <v>1681</v>
      </c>
      <c r="CC1931" s="3" t="s">
        <v>185</v>
      </c>
      <c r="CD1931" s="3">
        <v>5201</v>
      </c>
      <c r="CE1931" s="3" t="s">
        <v>86</v>
      </c>
      <c r="CF1931" s="4">
        <v>44582</v>
      </c>
      <c r="CI1931" s="3">
        <v>1</v>
      </c>
      <c r="CJ1931" s="3">
        <v>2</v>
      </c>
      <c r="CK1931" s="3">
        <v>21</v>
      </c>
      <c r="CL1931" s="3" t="s">
        <v>87</v>
      </c>
    </row>
    <row r="1932" spans="1:90" x14ac:dyDescent="0.2">
      <c r="A1932" s="3" t="s">
        <v>72</v>
      </c>
      <c r="B1932" s="3" t="s">
        <v>73</v>
      </c>
      <c r="C1932" s="3" t="s">
        <v>74</v>
      </c>
      <c r="E1932" s="3" t="str">
        <f>"FES1162845905"</f>
        <v>FES1162845905</v>
      </c>
      <c r="F1932" s="4">
        <v>44580</v>
      </c>
      <c r="G1932" s="3">
        <v>202207</v>
      </c>
      <c r="H1932" s="3" t="s">
        <v>75</v>
      </c>
      <c r="I1932" s="3" t="s">
        <v>76</v>
      </c>
      <c r="J1932" s="3" t="s">
        <v>77</v>
      </c>
      <c r="K1932" s="3" t="s">
        <v>78</v>
      </c>
      <c r="L1932" s="3" t="s">
        <v>90</v>
      </c>
      <c r="M1932" s="3" t="s">
        <v>91</v>
      </c>
      <c r="N1932" s="3" t="s">
        <v>2095</v>
      </c>
      <c r="O1932" s="3" t="s">
        <v>82</v>
      </c>
      <c r="P1932" s="3" t="str">
        <f>"2170817346                    "</f>
        <v xml:space="preserve">2170817346                    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23.18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v>0</v>
      </c>
      <c r="BA1932" s="3">
        <v>0</v>
      </c>
      <c r="BB1932" s="3">
        <v>0</v>
      </c>
      <c r="BC1932" s="3">
        <v>0</v>
      </c>
      <c r="BD1932" s="3">
        <v>0</v>
      </c>
      <c r="BE1932" s="3">
        <v>0</v>
      </c>
      <c r="BF1932" s="3">
        <v>0</v>
      </c>
      <c r="BG1932" s="3">
        <v>0</v>
      </c>
      <c r="BH1932" s="3">
        <v>1</v>
      </c>
      <c r="BI1932" s="3">
        <v>1</v>
      </c>
      <c r="BJ1932" s="3">
        <v>2.8</v>
      </c>
      <c r="BK1932" s="3">
        <v>3</v>
      </c>
      <c r="BL1932" s="3">
        <v>88.48</v>
      </c>
      <c r="BM1932" s="3">
        <v>13.27</v>
      </c>
      <c r="BN1932" s="3">
        <v>101.75</v>
      </c>
      <c r="BO1932" s="3">
        <v>101.75</v>
      </c>
      <c r="BQ1932" s="3" t="s">
        <v>83</v>
      </c>
      <c r="BR1932" s="3" t="s">
        <v>84</v>
      </c>
      <c r="BS1932" s="4">
        <v>44581</v>
      </c>
      <c r="BT1932" s="5">
        <v>0.375</v>
      </c>
      <c r="BU1932" s="3" t="s">
        <v>2096</v>
      </c>
      <c r="BV1932" s="3" t="s">
        <v>105</v>
      </c>
      <c r="BY1932" s="3">
        <v>13872</v>
      </c>
      <c r="CA1932" s="3" t="s">
        <v>389</v>
      </c>
      <c r="CC1932" s="3" t="s">
        <v>91</v>
      </c>
      <c r="CD1932" s="3">
        <v>8000</v>
      </c>
      <c r="CE1932" s="3" t="s">
        <v>86</v>
      </c>
      <c r="CF1932" s="4">
        <v>44582</v>
      </c>
      <c r="CI1932" s="3">
        <v>1</v>
      </c>
      <c r="CJ1932" s="3">
        <v>1</v>
      </c>
      <c r="CK1932" s="3">
        <v>21</v>
      </c>
      <c r="CL1932" s="3" t="s">
        <v>87</v>
      </c>
    </row>
    <row r="1933" spans="1:90" x14ac:dyDescent="0.2">
      <c r="A1933" s="3" t="s">
        <v>72</v>
      </c>
      <c r="B1933" s="3" t="s">
        <v>73</v>
      </c>
      <c r="C1933" s="3" t="s">
        <v>74</v>
      </c>
      <c r="E1933" s="3" t="str">
        <f>"FES1162845911"</f>
        <v>FES1162845911</v>
      </c>
      <c r="F1933" s="4">
        <v>44580</v>
      </c>
      <c r="G1933" s="3">
        <v>202207</v>
      </c>
      <c r="H1933" s="3" t="s">
        <v>75</v>
      </c>
      <c r="I1933" s="3" t="s">
        <v>76</v>
      </c>
      <c r="J1933" s="3" t="s">
        <v>77</v>
      </c>
      <c r="K1933" s="3" t="s">
        <v>78</v>
      </c>
      <c r="L1933" s="3" t="s">
        <v>94</v>
      </c>
      <c r="M1933" s="3" t="s">
        <v>95</v>
      </c>
      <c r="N1933" s="3" t="s">
        <v>1052</v>
      </c>
      <c r="O1933" s="3" t="s">
        <v>148</v>
      </c>
      <c r="P1933" s="3" t="str">
        <f>"2170817353                    "</f>
        <v xml:space="preserve">2170817353                    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39.75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v>0</v>
      </c>
      <c r="BA1933" s="3">
        <v>0</v>
      </c>
      <c r="BB1933" s="3">
        <v>0</v>
      </c>
      <c r="BC1933" s="3">
        <v>0</v>
      </c>
      <c r="BD1933" s="3">
        <v>0</v>
      </c>
      <c r="BE1933" s="3">
        <v>0</v>
      </c>
      <c r="BF1933" s="3">
        <v>0</v>
      </c>
      <c r="BG1933" s="3">
        <v>0</v>
      </c>
      <c r="BH1933" s="3">
        <v>2</v>
      </c>
      <c r="BI1933" s="3">
        <v>20</v>
      </c>
      <c r="BJ1933" s="3">
        <v>22.3</v>
      </c>
      <c r="BK1933" s="3">
        <v>23</v>
      </c>
      <c r="BL1933" s="3">
        <v>156.96</v>
      </c>
      <c r="BM1933" s="3">
        <v>23.54</v>
      </c>
      <c r="BN1933" s="3">
        <v>180.5</v>
      </c>
      <c r="BO1933" s="3">
        <v>180.5</v>
      </c>
      <c r="BQ1933" s="3" t="s">
        <v>83</v>
      </c>
      <c r="BR1933" s="3" t="s">
        <v>84</v>
      </c>
      <c r="BS1933" s="4">
        <v>44585</v>
      </c>
      <c r="BT1933" s="5">
        <v>0.42708333333333331</v>
      </c>
      <c r="BU1933" s="3" t="s">
        <v>1053</v>
      </c>
      <c r="BV1933" s="3" t="s">
        <v>87</v>
      </c>
      <c r="BW1933" s="3" t="s">
        <v>453</v>
      </c>
      <c r="BX1933" s="3" t="s">
        <v>279</v>
      </c>
      <c r="BY1933" s="3">
        <v>111622</v>
      </c>
      <c r="CC1933" s="3" t="s">
        <v>95</v>
      </c>
      <c r="CD1933" s="3">
        <v>3201</v>
      </c>
      <c r="CE1933" s="3" t="s">
        <v>221</v>
      </c>
      <c r="CF1933" s="4">
        <v>44589</v>
      </c>
      <c r="CI1933" s="3">
        <v>1</v>
      </c>
      <c r="CJ1933" s="3">
        <v>3</v>
      </c>
      <c r="CK1933" s="3">
        <v>41</v>
      </c>
      <c r="CL1933" s="3" t="s">
        <v>87</v>
      </c>
    </row>
    <row r="1934" spans="1:90" x14ac:dyDescent="0.2">
      <c r="A1934" s="3" t="s">
        <v>72</v>
      </c>
      <c r="B1934" s="3" t="s">
        <v>73</v>
      </c>
      <c r="C1934" s="3" t="s">
        <v>74</v>
      </c>
      <c r="E1934" s="3" t="str">
        <f>"FES1162845894"</f>
        <v>FES1162845894</v>
      </c>
      <c r="F1934" s="4">
        <v>44580</v>
      </c>
      <c r="G1934" s="3">
        <v>202207</v>
      </c>
      <c r="H1934" s="3" t="s">
        <v>75</v>
      </c>
      <c r="I1934" s="3" t="s">
        <v>76</v>
      </c>
      <c r="J1934" s="3" t="s">
        <v>77</v>
      </c>
      <c r="K1934" s="3" t="s">
        <v>78</v>
      </c>
      <c r="L1934" s="3" t="s">
        <v>142</v>
      </c>
      <c r="M1934" s="3" t="s">
        <v>143</v>
      </c>
      <c r="N1934" s="3" t="s">
        <v>2097</v>
      </c>
      <c r="O1934" s="3" t="s">
        <v>82</v>
      </c>
      <c r="P1934" s="3" t="str">
        <f>"2170817334                    "</f>
        <v xml:space="preserve">2170817334                    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12.07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v>0</v>
      </c>
      <c r="BA1934" s="3">
        <v>0</v>
      </c>
      <c r="BB1934" s="3">
        <v>0</v>
      </c>
      <c r="BC1934" s="3">
        <v>0</v>
      </c>
      <c r="BD1934" s="3">
        <v>0</v>
      </c>
      <c r="BE1934" s="3">
        <v>0</v>
      </c>
      <c r="BF1934" s="3">
        <v>0</v>
      </c>
      <c r="BG1934" s="3">
        <v>0</v>
      </c>
      <c r="BH1934" s="3">
        <v>1</v>
      </c>
      <c r="BI1934" s="3">
        <v>1</v>
      </c>
      <c r="BJ1934" s="3">
        <v>0.2</v>
      </c>
      <c r="BK1934" s="3">
        <v>1</v>
      </c>
      <c r="BL1934" s="3">
        <v>46.08</v>
      </c>
      <c r="BM1934" s="3">
        <v>6.91</v>
      </c>
      <c r="BN1934" s="3">
        <v>52.99</v>
      </c>
      <c r="BO1934" s="3">
        <v>52.99</v>
      </c>
      <c r="BR1934" s="3" t="s">
        <v>84</v>
      </c>
      <c r="BS1934" s="4">
        <v>44581</v>
      </c>
      <c r="BT1934" s="5">
        <v>0.35625000000000001</v>
      </c>
      <c r="BU1934" s="3" t="s">
        <v>2098</v>
      </c>
      <c r="BV1934" s="3" t="s">
        <v>105</v>
      </c>
      <c r="BY1934" s="3">
        <v>1200</v>
      </c>
      <c r="CA1934" s="3" t="s">
        <v>1624</v>
      </c>
      <c r="CC1934" s="3" t="s">
        <v>143</v>
      </c>
      <c r="CD1934" s="3">
        <v>1451</v>
      </c>
      <c r="CE1934" s="3" t="s">
        <v>93</v>
      </c>
      <c r="CF1934" s="4">
        <v>44582</v>
      </c>
      <c r="CI1934" s="3">
        <v>1</v>
      </c>
      <c r="CJ1934" s="3">
        <v>1</v>
      </c>
      <c r="CK1934" s="3">
        <v>22</v>
      </c>
      <c r="CL1934" s="3" t="s">
        <v>87</v>
      </c>
    </row>
    <row r="1935" spans="1:90" x14ac:dyDescent="0.2">
      <c r="A1935" s="3" t="s">
        <v>72</v>
      </c>
      <c r="B1935" s="3" t="s">
        <v>73</v>
      </c>
      <c r="C1935" s="3" t="s">
        <v>74</v>
      </c>
      <c r="E1935" s="3" t="str">
        <f>"FES1162845848"</f>
        <v>FES1162845848</v>
      </c>
      <c r="F1935" s="4">
        <v>44580</v>
      </c>
      <c r="G1935" s="3">
        <v>202207</v>
      </c>
      <c r="H1935" s="3" t="s">
        <v>75</v>
      </c>
      <c r="I1935" s="3" t="s">
        <v>76</v>
      </c>
      <c r="J1935" s="3" t="s">
        <v>77</v>
      </c>
      <c r="K1935" s="3" t="s">
        <v>78</v>
      </c>
      <c r="L1935" s="3" t="s">
        <v>211</v>
      </c>
      <c r="M1935" s="3" t="s">
        <v>212</v>
      </c>
      <c r="N1935" s="3" t="s">
        <v>642</v>
      </c>
      <c r="O1935" s="3" t="s">
        <v>82</v>
      </c>
      <c r="P1935" s="3" t="str">
        <f>"2170816739                    "</f>
        <v xml:space="preserve">2170816739                    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46.84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v>0</v>
      </c>
      <c r="BA1935" s="3">
        <v>0</v>
      </c>
      <c r="BB1935" s="3">
        <v>0</v>
      </c>
      <c r="BC1935" s="3">
        <v>0</v>
      </c>
      <c r="BD1935" s="3">
        <v>0</v>
      </c>
      <c r="BE1935" s="3">
        <v>0</v>
      </c>
      <c r="BF1935" s="3">
        <v>0</v>
      </c>
      <c r="BG1935" s="3">
        <v>0</v>
      </c>
      <c r="BH1935" s="3">
        <v>2</v>
      </c>
      <c r="BI1935" s="3">
        <v>20</v>
      </c>
      <c r="BJ1935" s="3">
        <v>5</v>
      </c>
      <c r="BK1935" s="3">
        <v>20</v>
      </c>
      <c r="BL1935" s="3">
        <v>178.77</v>
      </c>
      <c r="BM1935" s="3">
        <v>26.82</v>
      </c>
      <c r="BN1935" s="3">
        <v>205.59</v>
      </c>
      <c r="BO1935" s="3">
        <v>205.59</v>
      </c>
      <c r="BQ1935" s="3" t="s">
        <v>89</v>
      </c>
      <c r="BR1935" s="3" t="s">
        <v>84</v>
      </c>
      <c r="BS1935" s="4">
        <v>44581</v>
      </c>
      <c r="BT1935" s="5">
        <v>0.375</v>
      </c>
      <c r="BU1935" s="3" t="s">
        <v>2099</v>
      </c>
      <c r="BV1935" s="3" t="s">
        <v>105</v>
      </c>
      <c r="BY1935" s="3">
        <v>25050</v>
      </c>
      <c r="CA1935" s="3" t="s">
        <v>345</v>
      </c>
      <c r="CC1935" s="3" t="s">
        <v>212</v>
      </c>
      <c r="CD1935" s="3">
        <v>2163</v>
      </c>
      <c r="CE1935" s="3" t="s">
        <v>221</v>
      </c>
      <c r="CF1935" s="4">
        <v>44582</v>
      </c>
      <c r="CI1935" s="3">
        <v>1</v>
      </c>
      <c r="CJ1935" s="3">
        <v>1</v>
      </c>
      <c r="CK1935" s="3">
        <v>22</v>
      </c>
      <c r="CL1935" s="3" t="s">
        <v>87</v>
      </c>
    </row>
    <row r="1936" spans="1:90" x14ac:dyDescent="0.2">
      <c r="A1936" s="3" t="s">
        <v>72</v>
      </c>
      <c r="B1936" s="3" t="s">
        <v>73</v>
      </c>
      <c r="C1936" s="3" t="s">
        <v>74</v>
      </c>
      <c r="E1936" s="3" t="str">
        <f>"FES1162845865"</f>
        <v>FES1162845865</v>
      </c>
      <c r="F1936" s="4">
        <v>44580</v>
      </c>
      <c r="G1936" s="3">
        <v>202207</v>
      </c>
      <c r="H1936" s="3" t="s">
        <v>75</v>
      </c>
      <c r="I1936" s="3" t="s">
        <v>76</v>
      </c>
      <c r="J1936" s="3" t="s">
        <v>77</v>
      </c>
      <c r="K1936" s="3" t="s">
        <v>78</v>
      </c>
      <c r="L1936" s="3" t="s">
        <v>158</v>
      </c>
      <c r="M1936" s="3" t="s">
        <v>159</v>
      </c>
      <c r="N1936" s="3" t="s">
        <v>1457</v>
      </c>
      <c r="O1936" s="3" t="s">
        <v>82</v>
      </c>
      <c r="P1936" s="3" t="str">
        <f>"2170817012                    "</f>
        <v xml:space="preserve">2170817012                    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12.07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v>0</v>
      </c>
      <c r="BA1936" s="3">
        <v>0</v>
      </c>
      <c r="BB1936" s="3">
        <v>0</v>
      </c>
      <c r="BC1936" s="3">
        <v>0</v>
      </c>
      <c r="BD1936" s="3">
        <v>0</v>
      </c>
      <c r="BE1936" s="3">
        <v>0</v>
      </c>
      <c r="BF1936" s="3">
        <v>0</v>
      </c>
      <c r="BG1936" s="3">
        <v>0</v>
      </c>
      <c r="BH1936" s="3">
        <v>1</v>
      </c>
      <c r="BI1936" s="3">
        <v>1</v>
      </c>
      <c r="BJ1936" s="3">
        <v>0.5</v>
      </c>
      <c r="BK1936" s="3">
        <v>1</v>
      </c>
      <c r="BL1936" s="3">
        <v>46.08</v>
      </c>
      <c r="BM1936" s="3">
        <v>6.91</v>
      </c>
      <c r="BN1936" s="3">
        <v>52.99</v>
      </c>
      <c r="BO1936" s="3">
        <v>52.99</v>
      </c>
      <c r="BQ1936" s="3" t="s">
        <v>89</v>
      </c>
      <c r="BR1936" s="3" t="s">
        <v>84</v>
      </c>
      <c r="BS1936" s="4">
        <v>44581</v>
      </c>
      <c r="BT1936" s="5">
        <v>0.32430555555555557</v>
      </c>
      <c r="BU1936" s="3" t="s">
        <v>1891</v>
      </c>
      <c r="BV1936" s="3" t="s">
        <v>105</v>
      </c>
      <c r="BY1936" s="3">
        <v>2430</v>
      </c>
      <c r="CA1936" s="3" t="s">
        <v>763</v>
      </c>
      <c r="CC1936" s="3" t="s">
        <v>159</v>
      </c>
      <c r="CD1936" s="3">
        <v>1459</v>
      </c>
      <c r="CE1936" s="3" t="s">
        <v>86</v>
      </c>
      <c r="CF1936" s="4">
        <v>44581</v>
      </c>
      <c r="CI1936" s="3">
        <v>1</v>
      </c>
      <c r="CJ1936" s="3">
        <v>1</v>
      </c>
      <c r="CK1936" s="3">
        <v>22</v>
      </c>
      <c r="CL1936" s="3" t="s">
        <v>87</v>
      </c>
    </row>
    <row r="1937" spans="1:90" x14ac:dyDescent="0.2">
      <c r="A1937" s="3" t="s">
        <v>72</v>
      </c>
      <c r="B1937" s="3" t="s">
        <v>73</v>
      </c>
      <c r="C1937" s="3" t="s">
        <v>74</v>
      </c>
      <c r="E1937" s="3" t="str">
        <f>"FES1162846461"</f>
        <v>FES1162846461</v>
      </c>
      <c r="F1937" s="4">
        <v>44585</v>
      </c>
      <c r="G1937" s="3">
        <v>202207</v>
      </c>
      <c r="H1937" s="3" t="s">
        <v>75</v>
      </c>
      <c r="I1937" s="3" t="s">
        <v>76</v>
      </c>
      <c r="J1937" s="3" t="s">
        <v>77</v>
      </c>
      <c r="K1937" s="3" t="s">
        <v>78</v>
      </c>
      <c r="L1937" s="3" t="s">
        <v>94</v>
      </c>
      <c r="M1937" s="3" t="s">
        <v>95</v>
      </c>
      <c r="N1937" s="3" t="s">
        <v>1052</v>
      </c>
      <c r="O1937" s="3" t="s">
        <v>82</v>
      </c>
      <c r="P1937" s="3" t="str">
        <f>"2170815564                    "</f>
        <v xml:space="preserve">2170815564                    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77.260000000000005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v>0</v>
      </c>
      <c r="BA1937" s="3">
        <v>0</v>
      </c>
      <c r="BB1937" s="3">
        <v>0</v>
      </c>
      <c r="BC1937" s="3">
        <v>0</v>
      </c>
      <c r="BD1937" s="3">
        <v>0</v>
      </c>
      <c r="BE1937" s="3">
        <v>0</v>
      </c>
      <c r="BF1937" s="3">
        <v>0</v>
      </c>
      <c r="BG1937" s="3">
        <v>0</v>
      </c>
      <c r="BH1937" s="3">
        <v>1</v>
      </c>
      <c r="BI1937" s="3">
        <v>10</v>
      </c>
      <c r="BJ1937" s="3">
        <v>3.5</v>
      </c>
      <c r="BK1937" s="3">
        <v>10</v>
      </c>
      <c r="BL1937" s="3">
        <v>294.88</v>
      </c>
      <c r="BM1937" s="3">
        <v>44.23</v>
      </c>
      <c r="BN1937" s="3">
        <v>339.11</v>
      </c>
      <c r="BO1937" s="3">
        <v>339.11</v>
      </c>
      <c r="BQ1937" s="3" t="s">
        <v>83</v>
      </c>
      <c r="BR1937" s="3" t="s">
        <v>84</v>
      </c>
      <c r="BS1937" s="3" t="s">
        <v>85</v>
      </c>
      <c r="BY1937" s="3">
        <v>17600</v>
      </c>
      <c r="BZ1937" s="3" t="s">
        <v>165</v>
      </c>
      <c r="CC1937" s="3" t="s">
        <v>95</v>
      </c>
      <c r="CD1937" s="3">
        <v>3201</v>
      </c>
      <c r="CE1937" s="3" t="s">
        <v>86</v>
      </c>
      <c r="CF1937" s="4">
        <v>44589</v>
      </c>
      <c r="CI1937" s="3">
        <v>1</v>
      </c>
      <c r="CJ1937" s="3" t="s">
        <v>85</v>
      </c>
      <c r="CK1937" s="3">
        <v>21</v>
      </c>
      <c r="CL1937" s="3" t="s">
        <v>87</v>
      </c>
    </row>
    <row r="1938" spans="1:90" x14ac:dyDescent="0.2">
      <c r="A1938" s="3" t="s">
        <v>72</v>
      </c>
      <c r="B1938" s="3" t="s">
        <v>73</v>
      </c>
      <c r="C1938" s="3" t="s">
        <v>74</v>
      </c>
      <c r="E1938" s="3" t="str">
        <f>"FES1162846368"</f>
        <v>FES1162846368</v>
      </c>
      <c r="F1938" s="4">
        <v>44585</v>
      </c>
      <c r="G1938" s="3">
        <v>202207</v>
      </c>
      <c r="H1938" s="3" t="s">
        <v>75</v>
      </c>
      <c r="I1938" s="3" t="s">
        <v>76</v>
      </c>
      <c r="J1938" s="3" t="s">
        <v>77</v>
      </c>
      <c r="K1938" s="3" t="s">
        <v>78</v>
      </c>
      <c r="L1938" s="3" t="s">
        <v>101</v>
      </c>
      <c r="M1938" s="3" t="s">
        <v>102</v>
      </c>
      <c r="N1938" s="3" t="s">
        <v>2100</v>
      </c>
      <c r="O1938" s="3" t="s">
        <v>82</v>
      </c>
      <c r="P1938" s="3" t="str">
        <f>"2170817853                    "</f>
        <v xml:space="preserve">2170817853                    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34.770000000000003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v>0</v>
      </c>
      <c r="BA1938" s="3">
        <v>0</v>
      </c>
      <c r="BB1938" s="3">
        <v>0</v>
      </c>
      <c r="BC1938" s="3">
        <v>0</v>
      </c>
      <c r="BD1938" s="3">
        <v>0</v>
      </c>
      <c r="BE1938" s="3">
        <v>0</v>
      </c>
      <c r="BF1938" s="3">
        <v>0</v>
      </c>
      <c r="BG1938" s="3">
        <v>0</v>
      </c>
      <c r="BH1938" s="3">
        <v>1</v>
      </c>
      <c r="BI1938" s="3">
        <v>4</v>
      </c>
      <c r="BJ1938" s="3">
        <v>4.0999999999999996</v>
      </c>
      <c r="BK1938" s="3">
        <v>4.5</v>
      </c>
      <c r="BL1938" s="3">
        <v>132.71</v>
      </c>
      <c r="BM1938" s="3">
        <v>19.91</v>
      </c>
      <c r="BN1938" s="3">
        <v>152.62</v>
      </c>
      <c r="BO1938" s="3">
        <v>152.62</v>
      </c>
      <c r="BR1938" s="3" t="s">
        <v>84</v>
      </c>
      <c r="BS1938" s="4">
        <v>44586</v>
      </c>
      <c r="BT1938" s="5">
        <v>0.4375</v>
      </c>
      <c r="BU1938" s="3" t="s">
        <v>386</v>
      </c>
      <c r="BV1938" s="3" t="s">
        <v>105</v>
      </c>
      <c r="BY1938" s="3">
        <v>20358</v>
      </c>
      <c r="BZ1938" s="3" t="s">
        <v>165</v>
      </c>
      <c r="CC1938" s="3" t="s">
        <v>102</v>
      </c>
      <c r="CD1938" s="3">
        <v>4000</v>
      </c>
      <c r="CE1938" s="3" t="s">
        <v>86</v>
      </c>
      <c r="CF1938" s="4">
        <v>44587</v>
      </c>
      <c r="CI1938" s="3">
        <v>1</v>
      </c>
      <c r="CJ1938" s="3">
        <v>1</v>
      </c>
      <c r="CK1938" s="3">
        <v>21</v>
      </c>
      <c r="CL1938" s="3" t="s">
        <v>87</v>
      </c>
    </row>
    <row r="1939" spans="1:90" x14ac:dyDescent="0.2">
      <c r="A1939" s="3" t="s">
        <v>72</v>
      </c>
      <c r="B1939" s="3" t="s">
        <v>73</v>
      </c>
      <c r="C1939" s="3" t="s">
        <v>74</v>
      </c>
      <c r="E1939" s="3" t="str">
        <f>"FES1162846329"</f>
        <v>FES1162846329</v>
      </c>
      <c r="F1939" s="4">
        <v>44585</v>
      </c>
      <c r="G1939" s="3">
        <v>202207</v>
      </c>
      <c r="H1939" s="3" t="s">
        <v>75</v>
      </c>
      <c r="I1939" s="3" t="s">
        <v>76</v>
      </c>
      <c r="J1939" s="3" t="s">
        <v>77</v>
      </c>
      <c r="K1939" s="3" t="s">
        <v>78</v>
      </c>
      <c r="L1939" s="3" t="s">
        <v>94</v>
      </c>
      <c r="M1939" s="3" t="s">
        <v>95</v>
      </c>
      <c r="N1939" s="3" t="s">
        <v>1828</v>
      </c>
      <c r="O1939" s="3" t="s">
        <v>148</v>
      </c>
      <c r="P1939" s="3" t="str">
        <f>"2170817056                    "</f>
        <v xml:space="preserve">2170817056                    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29.89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15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v>0</v>
      </c>
      <c r="BA1939" s="3">
        <v>0</v>
      </c>
      <c r="BB1939" s="3">
        <v>0</v>
      </c>
      <c r="BC1939" s="3">
        <v>0</v>
      </c>
      <c r="BD1939" s="3">
        <v>0</v>
      </c>
      <c r="BE1939" s="3">
        <v>0</v>
      </c>
      <c r="BF1939" s="3">
        <v>0</v>
      </c>
      <c r="BG1939" s="3">
        <v>0</v>
      </c>
      <c r="BH1939" s="3">
        <v>2</v>
      </c>
      <c r="BI1939" s="3">
        <v>5</v>
      </c>
      <c r="BJ1939" s="3">
        <v>3.9</v>
      </c>
      <c r="BK1939" s="3">
        <v>5</v>
      </c>
      <c r="BL1939" s="3">
        <v>134.34</v>
      </c>
      <c r="BM1939" s="3">
        <v>20.149999999999999</v>
      </c>
      <c r="BN1939" s="3">
        <v>154.49</v>
      </c>
      <c r="BO1939" s="3">
        <v>154.49</v>
      </c>
      <c r="BR1939" s="3" t="s">
        <v>84</v>
      </c>
      <c r="BS1939" s="4">
        <v>44587</v>
      </c>
      <c r="BT1939" s="5">
        <v>0.91666666666666663</v>
      </c>
      <c r="BU1939" s="3" t="s">
        <v>2101</v>
      </c>
      <c r="BV1939" s="3" t="s">
        <v>87</v>
      </c>
      <c r="BW1939" s="3" t="s">
        <v>453</v>
      </c>
      <c r="BX1939" s="3" t="s">
        <v>279</v>
      </c>
      <c r="BY1939" s="3">
        <v>19635</v>
      </c>
      <c r="BZ1939" s="3" t="s">
        <v>426</v>
      </c>
      <c r="CA1939" s="3" t="s">
        <v>328</v>
      </c>
      <c r="CC1939" s="3" t="s">
        <v>95</v>
      </c>
      <c r="CD1939" s="3">
        <v>3699</v>
      </c>
      <c r="CE1939" s="3" t="s">
        <v>221</v>
      </c>
      <c r="CF1939" s="4">
        <v>44589</v>
      </c>
      <c r="CI1939" s="3">
        <v>1</v>
      </c>
      <c r="CJ1939" s="3">
        <v>2</v>
      </c>
      <c r="CK1939" s="3">
        <v>41</v>
      </c>
      <c r="CL1939" s="3" t="s">
        <v>87</v>
      </c>
    </row>
    <row r="1940" spans="1:90" x14ac:dyDescent="0.2">
      <c r="A1940" s="3" t="s">
        <v>72</v>
      </c>
      <c r="B1940" s="3" t="s">
        <v>73</v>
      </c>
      <c r="C1940" s="3" t="s">
        <v>74</v>
      </c>
      <c r="E1940" s="3" t="str">
        <f>"FES1162846358"</f>
        <v>FES1162846358</v>
      </c>
      <c r="F1940" s="4">
        <v>44585</v>
      </c>
      <c r="G1940" s="3">
        <v>202207</v>
      </c>
      <c r="H1940" s="3" t="s">
        <v>75</v>
      </c>
      <c r="I1940" s="3" t="s">
        <v>76</v>
      </c>
      <c r="J1940" s="3" t="s">
        <v>77</v>
      </c>
      <c r="K1940" s="3" t="s">
        <v>78</v>
      </c>
      <c r="L1940" s="3" t="s">
        <v>75</v>
      </c>
      <c r="M1940" s="3" t="s">
        <v>76</v>
      </c>
      <c r="N1940" s="3" t="s">
        <v>1393</v>
      </c>
      <c r="O1940" s="3" t="s">
        <v>82</v>
      </c>
      <c r="P1940" s="3" t="str">
        <f>"2170817805                    "</f>
        <v xml:space="preserve">2170817805                    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12.07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v>0</v>
      </c>
      <c r="BA1940" s="3">
        <v>0</v>
      </c>
      <c r="BB1940" s="3">
        <v>0</v>
      </c>
      <c r="BC1940" s="3">
        <v>0</v>
      </c>
      <c r="BD1940" s="3">
        <v>0</v>
      </c>
      <c r="BE1940" s="3">
        <v>0</v>
      </c>
      <c r="BF1940" s="3">
        <v>0</v>
      </c>
      <c r="BG1940" s="3">
        <v>0</v>
      </c>
      <c r="BH1940" s="3">
        <v>1</v>
      </c>
      <c r="BI1940" s="3">
        <v>3</v>
      </c>
      <c r="BJ1940" s="3">
        <v>3</v>
      </c>
      <c r="BK1940" s="3">
        <v>3</v>
      </c>
      <c r="BL1940" s="3">
        <v>46.08</v>
      </c>
      <c r="BM1940" s="3">
        <v>6.91</v>
      </c>
      <c r="BN1940" s="3">
        <v>52.99</v>
      </c>
      <c r="BO1940" s="3">
        <v>52.99</v>
      </c>
      <c r="BQ1940" s="3" t="s">
        <v>83</v>
      </c>
      <c r="BR1940" s="3" t="s">
        <v>84</v>
      </c>
      <c r="BS1940" s="4">
        <v>44586</v>
      </c>
      <c r="BT1940" s="5">
        <v>0.36458333333333331</v>
      </c>
      <c r="BU1940" s="3" t="s">
        <v>1394</v>
      </c>
      <c r="BV1940" s="3" t="s">
        <v>105</v>
      </c>
      <c r="BY1940" s="3">
        <v>15246</v>
      </c>
      <c r="BZ1940" s="3" t="s">
        <v>165</v>
      </c>
      <c r="CA1940" s="3" t="s">
        <v>607</v>
      </c>
      <c r="CC1940" s="3" t="s">
        <v>76</v>
      </c>
      <c r="CD1940" s="3">
        <v>1665</v>
      </c>
      <c r="CE1940" s="3" t="s">
        <v>86</v>
      </c>
      <c r="CF1940" s="4">
        <v>44587</v>
      </c>
      <c r="CI1940" s="3">
        <v>1</v>
      </c>
      <c r="CJ1940" s="3">
        <v>1</v>
      </c>
      <c r="CK1940" s="3">
        <v>22</v>
      </c>
      <c r="CL1940" s="3" t="s">
        <v>87</v>
      </c>
    </row>
    <row r="1941" spans="1:90" x14ac:dyDescent="0.2">
      <c r="A1941" s="3" t="s">
        <v>72</v>
      </c>
      <c r="B1941" s="3" t="s">
        <v>73</v>
      </c>
      <c r="C1941" s="3" t="s">
        <v>74</v>
      </c>
      <c r="E1941" s="3" t="str">
        <f>"FES1162846576"</f>
        <v>FES1162846576</v>
      </c>
      <c r="F1941" s="4">
        <v>44585</v>
      </c>
      <c r="G1941" s="3">
        <v>202207</v>
      </c>
      <c r="H1941" s="3" t="s">
        <v>75</v>
      </c>
      <c r="I1941" s="3" t="s">
        <v>76</v>
      </c>
      <c r="J1941" s="3" t="s">
        <v>77</v>
      </c>
      <c r="K1941" s="3" t="s">
        <v>78</v>
      </c>
      <c r="L1941" s="3" t="s">
        <v>1241</v>
      </c>
      <c r="M1941" s="3" t="s">
        <v>1242</v>
      </c>
      <c r="N1941" s="3" t="s">
        <v>2102</v>
      </c>
      <c r="O1941" s="3" t="s">
        <v>82</v>
      </c>
      <c r="P1941" s="3" t="str">
        <f>"2170817940                    "</f>
        <v xml:space="preserve">2170817940                    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29.95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15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v>0</v>
      </c>
      <c r="BA1941" s="3">
        <v>0</v>
      </c>
      <c r="BB1941" s="3">
        <v>0</v>
      </c>
      <c r="BC1941" s="3">
        <v>0</v>
      </c>
      <c r="BD1941" s="3">
        <v>0</v>
      </c>
      <c r="BE1941" s="3">
        <v>0</v>
      </c>
      <c r="BF1941" s="3">
        <v>0</v>
      </c>
      <c r="BG1941" s="3">
        <v>0</v>
      </c>
      <c r="BH1941" s="3">
        <v>1</v>
      </c>
      <c r="BI1941" s="3">
        <v>1</v>
      </c>
      <c r="BJ1941" s="3">
        <v>0.2</v>
      </c>
      <c r="BK1941" s="3">
        <v>1</v>
      </c>
      <c r="BL1941" s="3">
        <v>129.31</v>
      </c>
      <c r="BM1941" s="3">
        <v>19.399999999999999</v>
      </c>
      <c r="BN1941" s="3">
        <v>148.71</v>
      </c>
      <c r="BO1941" s="3">
        <v>148.71</v>
      </c>
      <c r="BR1941" s="3" t="s">
        <v>84</v>
      </c>
      <c r="BS1941" s="4">
        <v>44586</v>
      </c>
      <c r="BT1941" s="5">
        <v>0.45</v>
      </c>
      <c r="BU1941" s="3" t="s">
        <v>1344</v>
      </c>
      <c r="BV1941" s="3" t="s">
        <v>105</v>
      </c>
      <c r="BY1941" s="3">
        <v>1200</v>
      </c>
      <c r="BZ1941" s="3" t="s">
        <v>446</v>
      </c>
      <c r="CA1941" s="3" t="s">
        <v>2103</v>
      </c>
      <c r="CC1941" s="3" t="s">
        <v>1242</v>
      </c>
      <c r="CD1941" s="3">
        <v>314</v>
      </c>
      <c r="CE1941" s="3" t="s">
        <v>93</v>
      </c>
      <c r="CF1941" s="4">
        <v>44586</v>
      </c>
      <c r="CI1941" s="3">
        <v>1</v>
      </c>
      <c r="CJ1941" s="3">
        <v>1</v>
      </c>
      <c r="CK1941" s="3">
        <v>23</v>
      </c>
      <c r="CL1941" s="3" t="s">
        <v>87</v>
      </c>
    </row>
    <row r="1942" spans="1:90" x14ac:dyDescent="0.2">
      <c r="A1942" s="3" t="s">
        <v>72</v>
      </c>
      <c r="B1942" s="3" t="s">
        <v>73</v>
      </c>
      <c r="C1942" s="3" t="s">
        <v>74</v>
      </c>
      <c r="E1942" s="3" t="str">
        <f>"FES1162846487"</f>
        <v>FES1162846487</v>
      </c>
      <c r="F1942" s="4">
        <v>44585</v>
      </c>
      <c r="G1942" s="3">
        <v>202207</v>
      </c>
      <c r="H1942" s="3" t="s">
        <v>75</v>
      </c>
      <c r="I1942" s="3" t="s">
        <v>76</v>
      </c>
      <c r="J1942" s="3" t="s">
        <v>77</v>
      </c>
      <c r="K1942" s="3" t="s">
        <v>78</v>
      </c>
      <c r="L1942" s="3" t="s">
        <v>171</v>
      </c>
      <c r="M1942" s="3" t="s">
        <v>172</v>
      </c>
      <c r="N1942" s="3" t="s">
        <v>1694</v>
      </c>
      <c r="O1942" s="3" t="s">
        <v>82</v>
      </c>
      <c r="P1942" s="3" t="str">
        <f>"2170815806                    "</f>
        <v xml:space="preserve">2170815806                    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15.46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v>0</v>
      </c>
      <c r="BA1942" s="3">
        <v>0</v>
      </c>
      <c r="BB1942" s="3">
        <v>0</v>
      </c>
      <c r="BC1942" s="3">
        <v>0</v>
      </c>
      <c r="BD1942" s="3">
        <v>0</v>
      </c>
      <c r="BE1942" s="3">
        <v>0</v>
      </c>
      <c r="BF1942" s="3">
        <v>0</v>
      </c>
      <c r="BG1942" s="3">
        <v>0</v>
      </c>
      <c r="BH1942" s="3">
        <v>1</v>
      </c>
      <c r="BI1942" s="3">
        <v>1</v>
      </c>
      <c r="BJ1942" s="3">
        <v>0.2</v>
      </c>
      <c r="BK1942" s="3">
        <v>1</v>
      </c>
      <c r="BL1942" s="3">
        <v>59</v>
      </c>
      <c r="BM1942" s="3">
        <v>8.85</v>
      </c>
      <c r="BN1942" s="3">
        <v>67.849999999999994</v>
      </c>
      <c r="BO1942" s="3">
        <v>67.849999999999994</v>
      </c>
      <c r="BQ1942" s="3" t="s">
        <v>83</v>
      </c>
      <c r="BR1942" s="3" t="s">
        <v>84</v>
      </c>
      <c r="BS1942" s="4">
        <v>44586</v>
      </c>
      <c r="BT1942" s="5">
        <v>0.3923611111111111</v>
      </c>
      <c r="BU1942" s="3" t="s">
        <v>2104</v>
      </c>
      <c r="BV1942" s="3" t="s">
        <v>105</v>
      </c>
      <c r="BY1942" s="3">
        <v>1200</v>
      </c>
      <c r="BZ1942" s="3" t="s">
        <v>165</v>
      </c>
      <c r="CA1942" s="3" t="s">
        <v>2105</v>
      </c>
      <c r="CC1942" s="3" t="s">
        <v>172</v>
      </c>
      <c r="CD1942" s="3">
        <v>6001</v>
      </c>
      <c r="CE1942" s="3" t="s">
        <v>93</v>
      </c>
      <c r="CF1942" s="4">
        <v>44586</v>
      </c>
      <c r="CI1942" s="3">
        <v>1</v>
      </c>
      <c r="CJ1942" s="3">
        <v>1</v>
      </c>
      <c r="CK1942" s="3">
        <v>21</v>
      </c>
      <c r="CL1942" s="3" t="s">
        <v>87</v>
      </c>
    </row>
    <row r="1943" spans="1:90" x14ac:dyDescent="0.2">
      <c r="A1943" s="3" t="s">
        <v>72</v>
      </c>
      <c r="B1943" s="3" t="s">
        <v>73</v>
      </c>
      <c r="C1943" s="3" t="s">
        <v>74</v>
      </c>
      <c r="E1943" s="3" t="str">
        <f>"FES1162846373"</f>
        <v>FES1162846373</v>
      </c>
      <c r="F1943" s="4">
        <v>44585</v>
      </c>
      <c r="G1943" s="3">
        <v>202207</v>
      </c>
      <c r="H1943" s="3" t="s">
        <v>75</v>
      </c>
      <c r="I1943" s="3" t="s">
        <v>76</v>
      </c>
      <c r="J1943" s="3" t="s">
        <v>77</v>
      </c>
      <c r="K1943" s="3" t="s">
        <v>78</v>
      </c>
      <c r="L1943" s="3" t="s">
        <v>75</v>
      </c>
      <c r="M1943" s="3" t="s">
        <v>76</v>
      </c>
      <c r="N1943" s="3" t="s">
        <v>147</v>
      </c>
      <c r="O1943" s="3" t="s">
        <v>82</v>
      </c>
      <c r="P1943" s="3" t="str">
        <f>"2170817863                    "</f>
        <v xml:space="preserve">2170817863                    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12.07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0</v>
      </c>
      <c r="AZ1943" s="3">
        <v>0</v>
      </c>
      <c r="BA1943" s="3">
        <v>0</v>
      </c>
      <c r="BB1943" s="3">
        <v>0</v>
      </c>
      <c r="BC1943" s="3">
        <v>0</v>
      </c>
      <c r="BD1943" s="3">
        <v>0</v>
      </c>
      <c r="BE1943" s="3">
        <v>0</v>
      </c>
      <c r="BF1943" s="3">
        <v>0</v>
      </c>
      <c r="BG1943" s="3">
        <v>0</v>
      </c>
      <c r="BH1943" s="3">
        <v>1</v>
      </c>
      <c r="BI1943" s="3">
        <v>1</v>
      </c>
      <c r="BJ1943" s="3">
        <v>0.2</v>
      </c>
      <c r="BK1943" s="3">
        <v>1</v>
      </c>
      <c r="BL1943" s="3">
        <v>46.08</v>
      </c>
      <c r="BM1943" s="3">
        <v>6.91</v>
      </c>
      <c r="BN1943" s="3">
        <v>52.99</v>
      </c>
      <c r="BO1943" s="3">
        <v>52.99</v>
      </c>
      <c r="BQ1943" s="3" t="s">
        <v>89</v>
      </c>
      <c r="BR1943" s="3" t="s">
        <v>84</v>
      </c>
      <c r="BS1943" s="4">
        <v>44586</v>
      </c>
      <c r="BT1943" s="5">
        <v>0.42430555555555555</v>
      </c>
      <c r="BU1943" s="3" t="s">
        <v>2106</v>
      </c>
      <c r="BV1943" s="3" t="s">
        <v>105</v>
      </c>
      <c r="BY1943" s="3">
        <v>1200</v>
      </c>
      <c r="BZ1943" s="3" t="s">
        <v>165</v>
      </c>
      <c r="CA1943" s="3" t="s">
        <v>1311</v>
      </c>
      <c r="CC1943" s="3" t="s">
        <v>76</v>
      </c>
      <c r="CD1943" s="3">
        <v>1645</v>
      </c>
      <c r="CE1943" s="3" t="s">
        <v>93</v>
      </c>
      <c r="CF1943" s="4">
        <v>44586</v>
      </c>
      <c r="CI1943" s="3">
        <v>1</v>
      </c>
      <c r="CJ1943" s="3">
        <v>1</v>
      </c>
      <c r="CK1943" s="3">
        <v>22</v>
      </c>
      <c r="CL1943" s="3" t="s">
        <v>87</v>
      </c>
    </row>
    <row r="1944" spans="1:90" x14ac:dyDescent="0.2">
      <c r="A1944" s="3" t="s">
        <v>72</v>
      </c>
      <c r="B1944" s="3" t="s">
        <v>73</v>
      </c>
      <c r="C1944" s="3" t="s">
        <v>74</v>
      </c>
      <c r="E1944" s="3" t="str">
        <f>"FES1162846423"</f>
        <v>FES1162846423</v>
      </c>
      <c r="F1944" s="4">
        <v>44585</v>
      </c>
      <c r="G1944" s="3">
        <v>202207</v>
      </c>
      <c r="H1944" s="3" t="s">
        <v>75</v>
      </c>
      <c r="I1944" s="3" t="s">
        <v>76</v>
      </c>
      <c r="J1944" s="3" t="s">
        <v>77</v>
      </c>
      <c r="K1944" s="3" t="s">
        <v>78</v>
      </c>
      <c r="L1944" s="3" t="s">
        <v>206</v>
      </c>
      <c r="M1944" s="3" t="s">
        <v>207</v>
      </c>
      <c r="N1944" s="3" t="s">
        <v>2022</v>
      </c>
      <c r="O1944" s="3" t="s">
        <v>82</v>
      </c>
      <c r="P1944" s="3" t="str">
        <f>"2170808408                    "</f>
        <v xml:space="preserve">2170808408                    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21.74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0</v>
      </c>
      <c r="AZ1944" s="3">
        <v>0</v>
      </c>
      <c r="BA1944" s="3">
        <v>0</v>
      </c>
      <c r="BB1944" s="3">
        <v>0</v>
      </c>
      <c r="BC1944" s="3">
        <v>0</v>
      </c>
      <c r="BD1944" s="3">
        <v>0</v>
      </c>
      <c r="BE1944" s="3">
        <v>0</v>
      </c>
      <c r="BF1944" s="3">
        <v>0</v>
      </c>
      <c r="BG1944" s="3">
        <v>0</v>
      </c>
      <c r="BH1944" s="3">
        <v>1</v>
      </c>
      <c r="BI1944" s="3">
        <v>1</v>
      </c>
      <c r="BJ1944" s="3">
        <v>0.2</v>
      </c>
      <c r="BK1944" s="3">
        <v>1</v>
      </c>
      <c r="BL1944" s="3">
        <v>82.98</v>
      </c>
      <c r="BM1944" s="3">
        <v>12.45</v>
      </c>
      <c r="BN1944" s="3">
        <v>95.43</v>
      </c>
      <c r="BO1944" s="3">
        <v>95.43</v>
      </c>
      <c r="BQ1944" s="3" t="s">
        <v>83</v>
      </c>
      <c r="BR1944" s="3" t="s">
        <v>84</v>
      </c>
      <c r="BS1944" s="4">
        <v>44586</v>
      </c>
      <c r="BT1944" s="5">
        <v>0.38611111111111113</v>
      </c>
      <c r="BU1944" s="3" t="s">
        <v>2023</v>
      </c>
      <c r="BV1944" s="3" t="s">
        <v>105</v>
      </c>
      <c r="BY1944" s="3">
        <v>1200</v>
      </c>
      <c r="BZ1944" s="3" t="s">
        <v>165</v>
      </c>
      <c r="CA1944" s="3" t="s">
        <v>345</v>
      </c>
      <c r="CC1944" s="3" t="s">
        <v>207</v>
      </c>
      <c r="CD1944" s="3">
        <v>1748</v>
      </c>
      <c r="CE1944" s="3" t="s">
        <v>93</v>
      </c>
      <c r="CF1944" s="4">
        <v>44586</v>
      </c>
      <c r="CI1944" s="3">
        <v>1</v>
      </c>
      <c r="CJ1944" s="3">
        <v>1</v>
      </c>
      <c r="CK1944" s="3">
        <v>24</v>
      </c>
      <c r="CL1944" s="3" t="s">
        <v>87</v>
      </c>
    </row>
    <row r="1945" spans="1:90" x14ac:dyDescent="0.2">
      <c r="A1945" s="3" t="s">
        <v>72</v>
      </c>
      <c r="B1945" s="3" t="s">
        <v>73</v>
      </c>
      <c r="C1945" s="3" t="s">
        <v>74</v>
      </c>
      <c r="E1945" s="3" t="str">
        <f>"FES1162846541"</f>
        <v>FES1162846541</v>
      </c>
      <c r="F1945" s="4">
        <v>44585</v>
      </c>
      <c r="G1945" s="3">
        <v>202207</v>
      </c>
      <c r="H1945" s="3" t="s">
        <v>75</v>
      </c>
      <c r="I1945" s="3" t="s">
        <v>76</v>
      </c>
      <c r="J1945" s="3" t="s">
        <v>77</v>
      </c>
      <c r="K1945" s="3" t="s">
        <v>78</v>
      </c>
      <c r="L1945" s="3" t="s">
        <v>79</v>
      </c>
      <c r="M1945" s="3" t="s">
        <v>80</v>
      </c>
      <c r="N1945" s="3" t="s">
        <v>248</v>
      </c>
      <c r="O1945" s="3" t="s">
        <v>148</v>
      </c>
      <c r="P1945" s="3" t="str">
        <f>"2170814183                    "</f>
        <v xml:space="preserve">2170814183                    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29.89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v>0</v>
      </c>
      <c r="BA1945" s="3">
        <v>0</v>
      </c>
      <c r="BB1945" s="3">
        <v>0</v>
      </c>
      <c r="BC1945" s="3">
        <v>0</v>
      </c>
      <c r="BD1945" s="3">
        <v>0</v>
      </c>
      <c r="BE1945" s="3">
        <v>0</v>
      </c>
      <c r="BF1945" s="3">
        <v>0</v>
      </c>
      <c r="BG1945" s="3">
        <v>0</v>
      </c>
      <c r="BH1945" s="3">
        <v>1</v>
      </c>
      <c r="BI1945" s="3">
        <v>4</v>
      </c>
      <c r="BJ1945" s="3">
        <v>7.4</v>
      </c>
      <c r="BK1945" s="3">
        <v>8</v>
      </c>
      <c r="BL1945" s="3">
        <v>119.34</v>
      </c>
      <c r="BM1945" s="3">
        <v>17.899999999999999</v>
      </c>
      <c r="BN1945" s="3">
        <v>137.24</v>
      </c>
      <c r="BO1945" s="3">
        <v>137.24</v>
      </c>
      <c r="BQ1945" s="3" t="s">
        <v>83</v>
      </c>
      <c r="BR1945" s="3" t="s">
        <v>84</v>
      </c>
      <c r="BS1945" s="4">
        <v>44586</v>
      </c>
      <c r="BT1945" s="5">
        <v>0.37083333333333335</v>
      </c>
      <c r="BU1945" s="3" t="s">
        <v>361</v>
      </c>
      <c r="BV1945" s="3" t="s">
        <v>105</v>
      </c>
      <c r="BY1945" s="3">
        <v>36800</v>
      </c>
      <c r="BZ1945" s="3" t="s">
        <v>327</v>
      </c>
      <c r="CA1945" s="3" t="s">
        <v>362</v>
      </c>
      <c r="CC1945" s="3" t="s">
        <v>80</v>
      </c>
      <c r="CD1945" s="3">
        <v>1</v>
      </c>
      <c r="CE1945" s="3" t="s">
        <v>86</v>
      </c>
      <c r="CF1945" s="4">
        <v>44586</v>
      </c>
      <c r="CI1945" s="3">
        <v>1</v>
      </c>
      <c r="CJ1945" s="3">
        <v>1</v>
      </c>
      <c r="CK1945" s="3">
        <v>41</v>
      </c>
      <c r="CL1945" s="3" t="s">
        <v>87</v>
      </c>
    </row>
    <row r="1946" spans="1:90" x14ac:dyDescent="0.2">
      <c r="A1946" s="3" t="s">
        <v>72</v>
      </c>
      <c r="B1946" s="3" t="s">
        <v>73</v>
      </c>
      <c r="C1946" s="3" t="s">
        <v>74</v>
      </c>
      <c r="E1946" s="3" t="str">
        <f>"FES1162846314"</f>
        <v>FES1162846314</v>
      </c>
      <c r="F1946" s="4">
        <v>44585</v>
      </c>
      <c r="G1946" s="3">
        <v>202207</v>
      </c>
      <c r="H1946" s="3" t="s">
        <v>75</v>
      </c>
      <c r="I1946" s="3" t="s">
        <v>76</v>
      </c>
      <c r="J1946" s="3" t="s">
        <v>77</v>
      </c>
      <c r="K1946" s="3" t="s">
        <v>78</v>
      </c>
      <c r="L1946" s="3" t="s">
        <v>97</v>
      </c>
      <c r="M1946" s="3" t="s">
        <v>98</v>
      </c>
      <c r="N1946" s="3" t="s">
        <v>1962</v>
      </c>
      <c r="O1946" s="3" t="s">
        <v>82</v>
      </c>
      <c r="P1946" s="3" t="str">
        <f>"2170814466                    "</f>
        <v xml:space="preserve">2170814466                    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12.07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v>0</v>
      </c>
      <c r="BA1946" s="3">
        <v>0</v>
      </c>
      <c r="BB1946" s="3">
        <v>0</v>
      </c>
      <c r="BC1946" s="3">
        <v>0</v>
      </c>
      <c r="BD1946" s="3">
        <v>0</v>
      </c>
      <c r="BE1946" s="3">
        <v>0</v>
      </c>
      <c r="BF1946" s="3">
        <v>0</v>
      </c>
      <c r="BG1946" s="3">
        <v>0</v>
      </c>
      <c r="BH1946" s="3">
        <v>1</v>
      </c>
      <c r="BI1946" s="3">
        <v>1</v>
      </c>
      <c r="BJ1946" s="3">
        <v>0.2</v>
      </c>
      <c r="BK1946" s="3">
        <v>1</v>
      </c>
      <c r="BL1946" s="3">
        <v>46.08</v>
      </c>
      <c r="BM1946" s="3">
        <v>6.91</v>
      </c>
      <c r="BN1946" s="3">
        <v>52.99</v>
      </c>
      <c r="BO1946" s="3">
        <v>52.99</v>
      </c>
      <c r="BQ1946" s="3" t="s">
        <v>83</v>
      </c>
      <c r="BR1946" s="3" t="s">
        <v>84</v>
      </c>
      <c r="BS1946" s="4">
        <v>44586</v>
      </c>
      <c r="BT1946" s="5">
        <v>0.37847222222222227</v>
      </c>
      <c r="BU1946" s="3" t="s">
        <v>386</v>
      </c>
      <c r="BV1946" s="3" t="s">
        <v>105</v>
      </c>
      <c r="BY1946" s="3">
        <v>1200</v>
      </c>
      <c r="BZ1946" s="3" t="s">
        <v>165</v>
      </c>
      <c r="CA1946" s="3" t="s">
        <v>1151</v>
      </c>
      <c r="CC1946" s="3" t="s">
        <v>98</v>
      </c>
      <c r="CD1946" s="3">
        <v>2094</v>
      </c>
      <c r="CE1946" s="3" t="s">
        <v>93</v>
      </c>
      <c r="CF1946" s="4">
        <v>44586</v>
      </c>
      <c r="CI1946" s="3">
        <v>1</v>
      </c>
      <c r="CJ1946" s="3">
        <v>1</v>
      </c>
      <c r="CK1946" s="3">
        <v>22</v>
      </c>
      <c r="CL1946" s="3" t="s">
        <v>87</v>
      </c>
    </row>
    <row r="1947" spans="1:90" x14ac:dyDescent="0.2">
      <c r="A1947" s="3" t="s">
        <v>72</v>
      </c>
      <c r="B1947" s="3" t="s">
        <v>73</v>
      </c>
      <c r="C1947" s="3" t="s">
        <v>74</v>
      </c>
      <c r="E1947" s="3" t="str">
        <f>"FES1162846503"</f>
        <v>FES1162846503</v>
      </c>
      <c r="F1947" s="4">
        <v>44585</v>
      </c>
      <c r="G1947" s="3">
        <v>202207</v>
      </c>
      <c r="H1947" s="3" t="s">
        <v>75</v>
      </c>
      <c r="I1947" s="3" t="s">
        <v>76</v>
      </c>
      <c r="J1947" s="3" t="s">
        <v>77</v>
      </c>
      <c r="K1947" s="3" t="s">
        <v>78</v>
      </c>
      <c r="L1947" s="3" t="s">
        <v>241</v>
      </c>
      <c r="M1947" s="3" t="s">
        <v>242</v>
      </c>
      <c r="N1947" s="3" t="s">
        <v>243</v>
      </c>
      <c r="O1947" s="3" t="s">
        <v>82</v>
      </c>
      <c r="P1947" s="3" t="str">
        <f>"2170815937                    "</f>
        <v xml:space="preserve">2170815937                    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15.46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v>0</v>
      </c>
      <c r="BA1947" s="3">
        <v>0</v>
      </c>
      <c r="BB1947" s="3">
        <v>0</v>
      </c>
      <c r="BC1947" s="3">
        <v>0</v>
      </c>
      <c r="BD1947" s="3">
        <v>0</v>
      </c>
      <c r="BE1947" s="3">
        <v>0</v>
      </c>
      <c r="BF1947" s="3">
        <v>0</v>
      </c>
      <c r="BG1947" s="3">
        <v>0</v>
      </c>
      <c r="BH1947" s="3">
        <v>1</v>
      </c>
      <c r="BI1947" s="3">
        <v>1</v>
      </c>
      <c r="BJ1947" s="3">
        <v>0.2</v>
      </c>
      <c r="BK1947" s="3">
        <v>1</v>
      </c>
      <c r="BL1947" s="3">
        <v>59</v>
      </c>
      <c r="BM1947" s="3">
        <v>8.85</v>
      </c>
      <c r="BN1947" s="3">
        <v>67.849999999999994</v>
      </c>
      <c r="BO1947" s="3">
        <v>67.849999999999994</v>
      </c>
      <c r="BQ1947" s="3" t="s">
        <v>83</v>
      </c>
      <c r="BR1947" s="3" t="s">
        <v>84</v>
      </c>
      <c r="BS1947" s="4">
        <v>44586</v>
      </c>
      <c r="BT1947" s="5">
        <v>0.37986111111111115</v>
      </c>
      <c r="BU1947" s="3" t="s">
        <v>388</v>
      </c>
      <c r="BV1947" s="3" t="s">
        <v>105</v>
      </c>
      <c r="BY1947" s="3">
        <v>1200</v>
      </c>
      <c r="BZ1947" s="3" t="s">
        <v>165</v>
      </c>
      <c r="CA1947" s="3" t="s">
        <v>389</v>
      </c>
      <c r="CC1947" s="3" t="s">
        <v>242</v>
      </c>
      <c r="CD1947" s="3">
        <v>7600</v>
      </c>
      <c r="CE1947" s="3" t="s">
        <v>93</v>
      </c>
      <c r="CF1947" s="4">
        <v>44587</v>
      </c>
      <c r="CI1947" s="3">
        <v>1</v>
      </c>
      <c r="CJ1947" s="3">
        <v>1</v>
      </c>
      <c r="CK1947" s="3">
        <v>21</v>
      </c>
      <c r="CL1947" s="3" t="s">
        <v>87</v>
      </c>
    </row>
    <row r="1948" spans="1:90" x14ac:dyDescent="0.2">
      <c r="A1948" s="3" t="s">
        <v>72</v>
      </c>
      <c r="B1948" s="3" t="s">
        <v>73</v>
      </c>
      <c r="C1948" s="3" t="s">
        <v>74</v>
      </c>
      <c r="E1948" s="3" t="str">
        <f>"FES1162846352"</f>
        <v>FES1162846352</v>
      </c>
      <c r="F1948" s="4">
        <v>44585</v>
      </c>
      <c r="G1948" s="3">
        <v>202207</v>
      </c>
      <c r="H1948" s="3" t="s">
        <v>75</v>
      </c>
      <c r="I1948" s="3" t="s">
        <v>76</v>
      </c>
      <c r="J1948" s="3" t="s">
        <v>77</v>
      </c>
      <c r="K1948" s="3" t="s">
        <v>78</v>
      </c>
      <c r="L1948" s="3" t="s">
        <v>90</v>
      </c>
      <c r="M1948" s="3" t="s">
        <v>91</v>
      </c>
      <c r="N1948" s="3" t="s">
        <v>621</v>
      </c>
      <c r="O1948" s="3" t="s">
        <v>82</v>
      </c>
      <c r="P1948" s="3" t="str">
        <f>"2170817762                    "</f>
        <v xml:space="preserve">2170817762                    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15.46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v>0</v>
      </c>
      <c r="BA1948" s="3">
        <v>0</v>
      </c>
      <c r="BB1948" s="3">
        <v>0</v>
      </c>
      <c r="BC1948" s="3">
        <v>0</v>
      </c>
      <c r="BD1948" s="3">
        <v>0</v>
      </c>
      <c r="BE1948" s="3">
        <v>0</v>
      </c>
      <c r="BF1948" s="3">
        <v>0</v>
      </c>
      <c r="BG1948" s="3">
        <v>0</v>
      </c>
      <c r="BH1948" s="3">
        <v>1</v>
      </c>
      <c r="BI1948" s="3">
        <v>1</v>
      </c>
      <c r="BJ1948" s="3">
        <v>0.2</v>
      </c>
      <c r="BK1948" s="3">
        <v>1</v>
      </c>
      <c r="BL1948" s="3">
        <v>59</v>
      </c>
      <c r="BM1948" s="3">
        <v>8.85</v>
      </c>
      <c r="BN1948" s="3">
        <v>67.849999999999994</v>
      </c>
      <c r="BO1948" s="3">
        <v>67.849999999999994</v>
      </c>
      <c r="BQ1948" s="3" t="s">
        <v>126</v>
      </c>
      <c r="BR1948" s="3" t="s">
        <v>84</v>
      </c>
      <c r="BS1948" s="4">
        <v>44586</v>
      </c>
      <c r="BT1948" s="5">
        <v>0.3444444444444445</v>
      </c>
      <c r="BU1948" s="3" t="s">
        <v>2107</v>
      </c>
      <c r="BV1948" s="3" t="s">
        <v>105</v>
      </c>
      <c r="BY1948" s="3">
        <v>1200</v>
      </c>
      <c r="BZ1948" s="3" t="s">
        <v>165</v>
      </c>
      <c r="CA1948" s="3" t="s">
        <v>1976</v>
      </c>
      <c r="CC1948" s="3" t="s">
        <v>91</v>
      </c>
      <c r="CD1948" s="3">
        <v>7800</v>
      </c>
      <c r="CE1948" s="3" t="s">
        <v>93</v>
      </c>
      <c r="CF1948" s="4">
        <v>44587</v>
      </c>
      <c r="CI1948" s="3">
        <v>1</v>
      </c>
      <c r="CJ1948" s="3">
        <v>1</v>
      </c>
      <c r="CK1948" s="3">
        <v>21</v>
      </c>
      <c r="CL1948" s="3" t="s">
        <v>87</v>
      </c>
    </row>
    <row r="1949" spans="1:90" x14ac:dyDescent="0.2">
      <c r="A1949" s="3" t="s">
        <v>72</v>
      </c>
      <c r="B1949" s="3" t="s">
        <v>73</v>
      </c>
      <c r="C1949" s="3" t="s">
        <v>74</v>
      </c>
      <c r="E1949" s="3" t="str">
        <f>"FES1162846454"</f>
        <v>FES1162846454</v>
      </c>
      <c r="F1949" s="4">
        <v>44585</v>
      </c>
      <c r="G1949" s="3">
        <v>202207</v>
      </c>
      <c r="H1949" s="3" t="s">
        <v>75</v>
      </c>
      <c r="I1949" s="3" t="s">
        <v>76</v>
      </c>
      <c r="J1949" s="3" t="s">
        <v>77</v>
      </c>
      <c r="K1949" s="3" t="s">
        <v>78</v>
      </c>
      <c r="L1949" s="3" t="s">
        <v>90</v>
      </c>
      <c r="M1949" s="3" t="s">
        <v>91</v>
      </c>
      <c r="N1949" s="3" t="s">
        <v>132</v>
      </c>
      <c r="O1949" s="3" t="s">
        <v>82</v>
      </c>
      <c r="P1949" s="3" t="str">
        <f>"2170815520                    "</f>
        <v xml:space="preserve">2170815520                    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34.770000000000003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v>0</v>
      </c>
      <c r="BA1949" s="3">
        <v>0</v>
      </c>
      <c r="BB1949" s="3">
        <v>0</v>
      </c>
      <c r="BC1949" s="3">
        <v>0</v>
      </c>
      <c r="BD1949" s="3">
        <v>0</v>
      </c>
      <c r="BE1949" s="3">
        <v>0</v>
      </c>
      <c r="BF1949" s="3">
        <v>0</v>
      </c>
      <c r="BG1949" s="3">
        <v>0</v>
      </c>
      <c r="BH1949" s="3">
        <v>1</v>
      </c>
      <c r="BI1949" s="3">
        <v>2</v>
      </c>
      <c r="BJ1949" s="3">
        <v>4.0999999999999996</v>
      </c>
      <c r="BK1949" s="3">
        <v>4.5</v>
      </c>
      <c r="BL1949" s="3">
        <v>132.71</v>
      </c>
      <c r="BM1949" s="3">
        <v>19.91</v>
      </c>
      <c r="BN1949" s="3">
        <v>152.62</v>
      </c>
      <c r="BO1949" s="3">
        <v>152.62</v>
      </c>
      <c r="BQ1949" s="3" t="s">
        <v>83</v>
      </c>
      <c r="BR1949" s="3" t="s">
        <v>84</v>
      </c>
      <c r="BS1949" s="4">
        <v>44586</v>
      </c>
      <c r="BT1949" s="5">
        <v>0.43888888888888888</v>
      </c>
      <c r="BU1949" s="3" t="s">
        <v>2108</v>
      </c>
      <c r="BV1949" s="3" t="s">
        <v>87</v>
      </c>
      <c r="BW1949" s="3" t="s">
        <v>457</v>
      </c>
      <c r="BX1949" s="3" t="s">
        <v>602</v>
      </c>
      <c r="BY1949" s="3">
        <v>20358</v>
      </c>
      <c r="BZ1949" s="3" t="s">
        <v>165</v>
      </c>
      <c r="CA1949" s="3" t="s">
        <v>641</v>
      </c>
      <c r="CC1949" s="3" t="s">
        <v>91</v>
      </c>
      <c r="CD1949" s="3">
        <v>7530</v>
      </c>
      <c r="CE1949" s="3" t="s">
        <v>86</v>
      </c>
      <c r="CF1949" s="4">
        <v>44587</v>
      </c>
      <c r="CI1949" s="3">
        <v>1</v>
      </c>
      <c r="CJ1949" s="3">
        <v>1</v>
      </c>
      <c r="CK1949" s="3">
        <v>21</v>
      </c>
      <c r="CL1949" s="3" t="s">
        <v>87</v>
      </c>
    </row>
    <row r="1950" spans="1:90" x14ac:dyDescent="0.2">
      <c r="A1950" s="3" t="s">
        <v>72</v>
      </c>
      <c r="B1950" s="3" t="s">
        <v>73</v>
      </c>
      <c r="C1950" s="3" t="s">
        <v>74</v>
      </c>
      <c r="E1950" s="3" t="str">
        <f>"FES1162846502"</f>
        <v>FES1162846502</v>
      </c>
      <c r="F1950" s="4">
        <v>44585</v>
      </c>
      <c r="G1950" s="3">
        <v>202207</v>
      </c>
      <c r="H1950" s="3" t="s">
        <v>75</v>
      </c>
      <c r="I1950" s="3" t="s">
        <v>76</v>
      </c>
      <c r="J1950" s="3" t="s">
        <v>77</v>
      </c>
      <c r="K1950" s="3" t="s">
        <v>78</v>
      </c>
      <c r="L1950" s="3" t="s">
        <v>989</v>
      </c>
      <c r="M1950" s="3" t="s">
        <v>990</v>
      </c>
      <c r="N1950" s="3" t="s">
        <v>337</v>
      </c>
      <c r="O1950" s="3" t="s">
        <v>82</v>
      </c>
      <c r="P1950" s="3" t="str">
        <f>"2170815933                    "</f>
        <v xml:space="preserve">2170815933                    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0</v>
      </c>
      <c r="AJ1950" s="3">
        <v>0</v>
      </c>
      <c r="AK1950" s="3">
        <v>15.46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v>0</v>
      </c>
      <c r="BA1950" s="3">
        <v>0</v>
      </c>
      <c r="BB1950" s="3">
        <v>0</v>
      </c>
      <c r="BC1950" s="3">
        <v>0</v>
      </c>
      <c r="BD1950" s="3">
        <v>0</v>
      </c>
      <c r="BE1950" s="3">
        <v>0</v>
      </c>
      <c r="BF1950" s="3">
        <v>0</v>
      </c>
      <c r="BG1950" s="3">
        <v>0</v>
      </c>
      <c r="BH1950" s="3">
        <v>1</v>
      </c>
      <c r="BI1950" s="3">
        <v>1</v>
      </c>
      <c r="BJ1950" s="3">
        <v>0.2</v>
      </c>
      <c r="BK1950" s="3">
        <v>1</v>
      </c>
      <c r="BL1950" s="3">
        <v>59</v>
      </c>
      <c r="BM1950" s="3">
        <v>8.85</v>
      </c>
      <c r="BN1950" s="3">
        <v>67.849999999999994</v>
      </c>
      <c r="BO1950" s="3">
        <v>67.849999999999994</v>
      </c>
      <c r="BR1950" s="3" t="s">
        <v>84</v>
      </c>
      <c r="BS1950" s="4">
        <v>44586</v>
      </c>
      <c r="BT1950" s="5">
        <v>0.39097222222222222</v>
      </c>
      <c r="BU1950" s="3" t="s">
        <v>2055</v>
      </c>
      <c r="BV1950" s="3" t="s">
        <v>105</v>
      </c>
      <c r="BY1950" s="3">
        <v>1200</v>
      </c>
      <c r="BZ1950" s="3" t="s">
        <v>165</v>
      </c>
      <c r="CA1950" s="3" t="s">
        <v>992</v>
      </c>
      <c r="CC1950" s="3" t="s">
        <v>990</v>
      </c>
      <c r="CD1950" s="3">
        <v>700</v>
      </c>
      <c r="CE1950" s="3" t="s">
        <v>93</v>
      </c>
      <c r="CF1950" s="4">
        <v>44586</v>
      </c>
      <c r="CI1950" s="3">
        <v>1</v>
      </c>
      <c r="CJ1950" s="3">
        <v>1</v>
      </c>
      <c r="CK1950" s="3">
        <v>21</v>
      </c>
      <c r="CL1950" s="3" t="s">
        <v>87</v>
      </c>
    </row>
    <row r="1951" spans="1:90" x14ac:dyDescent="0.2">
      <c r="A1951" s="3" t="s">
        <v>72</v>
      </c>
      <c r="B1951" s="3" t="s">
        <v>73</v>
      </c>
      <c r="C1951" s="3" t="s">
        <v>74</v>
      </c>
      <c r="E1951" s="3" t="str">
        <f>"FES1162846383"</f>
        <v>FES1162846383</v>
      </c>
      <c r="F1951" s="4">
        <v>44585</v>
      </c>
      <c r="G1951" s="3">
        <v>202207</v>
      </c>
      <c r="H1951" s="3" t="s">
        <v>75</v>
      </c>
      <c r="I1951" s="3" t="s">
        <v>76</v>
      </c>
      <c r="J1951" s="3" t="s">
        <v>77</v>
      </c>
      <c r="K1951" s="3" t="s">
        <v>78</v>
      </c>
      <c r="L1951" s="3" t="s">
        <v>110</v>
      </c>
      <c r="M1951" s="3" t="s">
        <v>110</v>
      </c>
      <c r="N1951" s="3" t="s">
        <v>961</v>
      </c>
      <c r="O1951" s="3" t="s">
        <v>82</v>
      </c>
      <c r="P1951" s="3" t="str">
        <f>"2170817882                    "</f>
        <v xml:space="preserve">2170817882                    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0</v>
      </c>
      <c r="AJ1951" s="3">
        <v>0</v>
      </c>
      <c r="AK1951" s="3">
        <v>29.95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v>0</v>
      </c>
      <c r="BA1951" s="3">
        <v>0</v>
      </c>
      <c r="BB1951" s="3">
        <v>0</v>
      </c>
      <c r="BC1951" s="3">
        <v>0</v>
      </c>
      <c r="BD1951" s="3">
        <v>0</v>
      </c>
      <c r="BE1951" s="3">
        <v>0</v>
      </c>
      <c r="BF1951" s="3">
        <v>0</v>
      </c>
      <c r="BG1951" s="3">
        <v>0</v>
      </c>
      <c r="BH1951" s="3">
        <v>1</v>
      </c>
      <c r="BI1951" s="3">
        <v>1</v>
      </c>
      <c r="BJ1951" s="3">
        <v>0.2</v>
      </c>
      <c r="BK1951" s="3">
        <v>1</v>
      </c>
      <c r="BL1951" s="3">
        <v>114.31</v>
      </c>
      <c r="BM1951" s="3">
        <v>17.149999999999999</v>
      </c>
      <c r="BN1951" s="3">
        <v>131.46</v>
      </c>
      <c r="BO1951" s="3">
        <v>131.46</v>
      </c>
      <c r="BQ1951" s="3" t="s">
        <v>83</v>
      </c>
      <c r="BR1951" s="3" t="s">
        <v>84</v>
      </c>
      <c r="BS1951" s="4">
        <v>44586</v>
      </c>
      <c r="BT1951" s="5">
        <v>0.57152777777777775</v>
      </c>
      <c r="BU1951" s="3" t="s">
        <v>1535</v>
      </c>
      <c r="BV1951" s="3" t="s">
        <v>87</v>
      </c>
      <c r="BW1951" s="3" t="s">
        <v>457</v>
      </c>
      <c r="BX1951" s="3" t="s">
        <v>602</v>
      </c>
      <c r="BY1951" s="3">
        <v>1200</v>
      </c>
      <c r="BZ1951" s="3" t="s">
        <v>165</v>
      </c>
      <c r="CA1951" s="3" t="s">
        <v>563</v>
      </c>
      <c r="CC1951" s="3" t="s">
        <v>110</v>
      </c>
      <c r="CD1951" s="3">
        <v>7646</v>
      </c>
      <c r="CE1951" s="3" t="s">
        <v>93</v>
      </c>
      <c r="CF1951" s="4">
        <v>44587</v>
      </c>
      <c r="CI1951" s="3">
        <v>1</v>
      </c>
      <c r="CJ1951" s="3">
        <v>1</v>
      </c>
      <c r="CK1951" s="3">
        <v>23</v>
      </c>
      <c r="CL1951" s="3" t="s">
        <v>87</v>
      </c>
    </row>
    <row r="1952" spans="1:90" x14ac:dyDescent="0.2">
      <c r="A1952" s="3" t="s">
        <v>72</v>
      </c>
      <c r="B1952" s="3" t="s">
        <v>73</v>
      </c>
      <c r="C1952" s="3" t="s">
        <v>74</v>
      </c>
      <c r="E1952" s="3" t="str">
        <f>"FES1162846501"</f>
        <v>FES1162846501</v>
      </c>
      <c r="F1952" s="4">
        <v>44585</v>
      </c>
      <c r="G1952" s="3">
        <v>202207</v>
      </c>
      <c r="H1952" s="3" t="s">
        <v>75</v>
      </c>
      <c r="I1952" s="3" t="s">
        <v>76</v>
      </c>
      <c r="J1952" s="3" t="s">
        <v>77</v>
      </c>
      <c r="K1952" s="3" t="s">
        <v>78</v>
      </c>
      <c r="L1952" s="3" t="s">
        <v>335</v>
      </c>
      <c r="M1952" s="3" t="s">
        <v>336</v>
      </c>
      <c r="N1952" s="3" t="s">
        <v>1406</v>
      </c>
      <c r="O1952" s="3" t="s">
        <v>82</v>
      </c>
      <c r="P1952" s="3" t="str">
        <f>"2170815923                    "</f>
        <v xml:space="preserve">2170815923                    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92.7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v>0</v>
      </c>
      <c r="BA1952" s="3">
        <v>0</v>
      </c>
      <c r="BB1952" s="3">
        <v>0</v>
      </c>
      <c r="BC1952" s="3">
        <v>0</v>
      </c>
      <c r="BD1952" s="3">
        <v>0</v>
      </c>
      <c r="BE1952" s="3">
        <v>0</v>
      </c>
      <c r="BF1952" s="3">
        <v>0</v>
      </c>
      <c r="BG1952" s="3">
        <v>0</v>
      </c>
      <c r="BH1952" s="3">
        <v>1</v>
      </c>
      <c r="BI1952" s="3">
        <v>12</v>
      </c>
      <c r="BJ1952" s="3">
        <v>2</v>
      </c>
      <c r="BK1952" s="3">
        <v>12</v>
      </c>
      <c r="BL1952" s="3">
        <v>353.84</v>
      </c>
      <c r="BM1952" s="3">
        <v>53.08</v>
      </c>
      <c r="BN1952" s="3">
        <v>406.92</v>
      </c>
      <c r="BO1952" s="3">
        <v>406.92</v>
      </c>
      <c r="BQ1952" s="3" t="s">
        <v>83</v>
      </c>
      <c r="BR1952" s="3" t="s">
        <v>84</v>
      </c>
      <c r="BS1952" s="4">
        <v>44586</v>
      </c>
      <c r="BT1952" s="5">
        <v>0.37361111111111112</v>
      </c>
      <c r="BU1952" s="3" t="s">
        <v>2109</v>
      </c>
      <c r="BV1952" s="3" t="s">
        <v>105</v>
      </c>
      <c r="BY1952" s="3">
        <v>9918</v>
      </c>
      <c r="BZ1952" s="3" t="s">
        <v>165</v>
      </c>
      <c r="CA1952" s="3" t="s">
        <v>339</v>
      </c>
      <c r="CC1952" s="3" t="s">
        <v>336</v>
      </c>
      <c r="CD1952" s="3">
        <v>4113</v>
      </c>
      <c r="CE1952" s="3" t="s">
        <v>86</v>
      </c>
      <c r="CF1952" s="4">
        <v>44587</v>
      </c>
      <c r="CI1952" s="3">
        <v>1</v>
      </c>
      <c r="CJ1952" s="3">
        <v>1</v>
      </c>
      <c r="CK1952" s="3">
        <v>21</v>
      </c>
      <c r="CL1952" s="3" t="s">
        <v>87</v>
      </c>
    </row>
    <row r="1953" spans="1:90" x14ac:dyDescent="0.2">
      <c r="A1953" s="3" t="s">
        <v>72</v>
      </c>
      <c r="B1953" s="3" t="s">
        <v>73</v>
      </c>
      <c r="C1953" s="3" t="s">
        <v>74</v>
      </c>
      <c r="E1953" s="3" t="str">
        <f>"FES1162846419"</f>
        <v>FES1162846419</v>
      </c>
      <c r="F1953" s="4">
        <v>44585</v>
      </c>
      <c r="G1953" s="3">
        <v>202207</v>
      </c>
      <c r="H1953" s="3" t="s">
        <v>75</v>
      </c>
      <c r="I1953" s="3" t="s">
        <v>76</v>
      </c>
      <c r="J1953" s="3" t="s">
        <v>77</v>
      </c>
      <c r="K1953" s="3" t="s">
        <v>78</v>
      </c>
      <c r="L1953" s="3" t="s">
        <v>171</v>
      </c>
      <c r="M1953" s="3" t="s">
        <v>172</v>
      </c>
      <c r="N1953" s="3" t="s">
        <v>235</v>
      </c>
      <c r="O1953" s="3" t="s">
        <v>82</v>
      </c>
      <c r="P1953" s="3" t="str">
        <f>"2170799104                    "</f>
        <v xml:space="preserve">2170799104                    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73.39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v>0</v>
      </c>
      <c r="BA1953" s="3">
        <v>0</v>
      </c>
      <c r="BB1953" s="3">
        <v>0</v>
      </c>
      <c r="BC1953" s="3">
        <v>0</v>
      </c>
      <c r="BD1953" s="3">
        <v>0</v>
      </c>
      <c r="BE1953" s="3">
        <v>0</v>
      </c>
      <c r="BF1953" s="3">
        <v>0</v>
      </c>
      <c r="BG1953" s="3">
        <v>0</v>
      </c>
      <c r="BH1953" s="3">
        <v>1</v>
      </c>
      <c r="BI1953" s="3">
        <v>5</v>
      </c>
      <c r="BJ1953" s="3">
        <v>9.1</v>
      </c>
      <c r="BK1953" s="3">
        <v>9.5</v>
      </c>
      <c r="BL1953" s="3">
        <v>280.13</v>
      </c>
      <c r="BM1953" s="3">
        <v>42.02</v>
      </c>
      <c r="BN1953" s="3">
        <v>322.14999999999998</v>
      </c>
      <c r="BO1953" s="3">
        <v>322.14999999999998</v>
      </c>
      <c r="BQ1953" s="3" t="s">
        <v>89</v>
      </c>
      <c r="BR1953" s="3" t="s">
        <v>84</v>
      </c>
      <c r="BS1953" s="4">
        <v>44586</v>
      </c>
      <c r="BT1953" s="5">
        <v>0.40138888888888885</v>
      </c>
      <c r="BU1953" s="3" t="s">
        <v>1488</v>
      </c>
      <c r="BV1953" s="3" t="s">
        <v>105</v>
      </c>
      <c r="BY1953" s="3">
        <v>45632</v>
      </c>
      <c r="BZ1953" s="3" t="s">
        <v>165</v>
      </c>
      <c r="CA1953" s="3" t="s">
        <v>1580</v>
      </c>
      <c r="CC1953" s="3" t="s">
        <v>172</v>
      </c>
      <c r="CD1953" s="3">
        <v>6001</v>
      </c>
      <c r="CE1953" s="3" t="s">
        <v>86</v>
      </c>
      <c r="CF1953" s="4">
        <v>44586</v>
      </c>
      <c r="CI1953" s="3">
        <v>1</v>
      </c>
      <c r="CJ1953" s="3">
        <v>1</v>
      </c>
      <c r="CK1953" s="3">
        <v>21</v>
      </c>
      <c r="CL1953" s="3" t="s">
        <v>87</v>
      </c>
    </row>
    <row r="1954" spans="1:90" x14ac:dyDescent="0.2">
      <c r="A1954" s="3" t="s">
        <v>72</v>
      </c>
      <c r="B1954" s="3" t="s">
        <v>73</v>
      </c>
      <c r="C1954" s="3" t="s">
        <v>74</v>
      </c>
      <c r="E1954" s="3" t="str">
        <f>"FES1162846440"</f>
        <v>FES1162846440</v>
      </c>
      <c r="F1954" s="4">
        <v>44585</v>
      </c>
      <c r="G1954" s="3">
        <v>202207</v>
      </c>
      <c r="H1954" s="3" t="s">
        <v>75</v>
      </c>
      <c r="I1954" s="3" t="s">
        <v>76</v>
      </c>
      <c r="J1954" s="3" t="s">
        <v>77</v>
      </c>
      <c r="K1954" s="3" t="s">
        <v>78</v>
      </c>
      <c r="L1954" s="3" t="s">
        <v>187</v>
      </c>
      <c r="M1954" s="3" t="s">
        <v>188</v>
      </c>
      <c r="N1954" s="3" t="s">
        <v>189</v>
      </c>
      <c r="O1954" s="3" t="s">
        <v>82</v>
      </c>
      <c r="P1954" s="3" t="str">
        <f>"2170815193                    "</f>
        <v xml:space="preserve">2170815193                    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29.95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v>0</v>
      </c>
      <c r="BA1954" s="3">
        <v>0</v>
      </c>
      <c r="BB1954" s="3">
        <v>0</v>
      </c>
      <c r="BC1954" s="3">
        <v>0</v>
      </c>
      <c r="BD1954" s="3">
        <v>0</v>
      </c>
      <c r="BE1954" s="3">
        <v>0</v>
      </c>
      <c r="BF1954" s="3">
        <v>0</v>
      </c>
      <c r="BG1954" s="3">
        <v>0</v>
      </c>
      <c r="BH1954" s="3">
        <v>1</v>
      </c>
      <c r="BI1954" s="3">
        <v>1</v>
      </c>
      <c r="BJ1954" s="3">
        <v>0.2</v>
      </c>
      <c r="BK1954" s="3">
        <v>1</v>
      </c>
      <c r="BL1954" s="3">
        <v>114.31</v>
      </c>
      <c r="BM1954" s="3">
        <v>17.149999999999999</v>
      </c>
      <c r="BN1954" s="3">
        <v>131.46</v>
      </c>
      <c r="BO1954" s="3">
        <v>131.46</v>
      </c>
      <c r="BQ1954" s="3" t="s">
        <v>83</v>
      </c>
      <c r="BR1954" s="3" t="s">
        <v>84</v>
      </c>
      <c r="BS1954" s="4">
        <v>44586</v>
      </c>
      <c r="BT1954" s="5">
        <v>0.57708333333333328</v>
      </c>
      <c r="BU1954" s="3" t="s">
        <v>955</v>
      </c>
      <c r="BV1954" s="3" t="s">
        <v>87</v>
      </c>
      <c r="BW1954" s="3" t="s">
        <v>457</v>
      </c>
      <c r="BX1954" s="3" t="s">
        <v>602</v>
      </c>
      <c r="BY1954" s="3">
        <v>1200</v>
      </c>
      <c r="BZ1954" s="3" t="s">
        <v>165</v>
      </c>
      <c r="CA1954" s="3" t="s">
        <v>268</v>
      </c>
      <c r="CC1954" s="3" t="s">
        <v>188</v>
      </c>
      <c r="CD1954" s="3">
        <v>7300</v>
      </c>
      <c r="CE1954" s="3" t="s">
        <v>93</v>
      </c>
      <c r="CF1954" s="4">
        <v>44587</v>
      </c>
      <c r="CI1954" s="3">
        <v>1</v>
      </c>
      <c r="CJ1954" s="3">
        <v>1</v>
      </c>
      <c r="CK1954" s="3">
        <v>23</v>
      </c>
      <c r="CL1954" s="3" t="s">
        <v>87</v>
      </c>
    </row>
    <row r="1955" spans="1:90" x14ac:dyDescent="0.2">
      <c r="A1955" s="3" t="s">
        <v>72</v>
      </c>
      <c r="B1955" s="3" t="s">
        <v>73</v>
      </c>
      <c r="C1955" s="3" t="s">
        <v>74</v>
      </c>
      <c r="E1955" s="3" t="str">
        <f>"FES1162846414"</f>
        <v>FES1162846414</v>
      </c>
      <c r="F1955" s="4">
        <v>44585</v>
      </c>
      <c r="G1955" s="3">
        <v>202207</v>
      </c>
      <c r="H1955" s="3" t="s">
        <v>75</v>
      </c>
      <c r="I1955" s="3" t="s">
        <v>76</v>
      </c>
      <c r="J1955" s="3" t="s">
        <v>77</v>
      </c>
      <c r="K1955" s="3" t="s">
        <v>78</v>
      </c>
      <c r="L1955" s="3" t="s">
        <v>241</v>
      </c>
      <c r="M1955" s="3" t="s">
        <v>242</v>
      </c>
      <c r="N1955" s="3" t="s">
        <v>243</v>
      </c>
      <c r="O1955" s="3" t="s">
        <v>82</v>
      </c>
      <c r="P1955" s="3" t="str">
        <f>"2170793695                    "</f>
        <v xml:space="preserve">2170793695                    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15.46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v>0</v>
      </c>
      <c r="BA1955" s="3">
        <v>0</v>
      </c>
      <c r="BB1955" s="3">
        <v>0</v>
      </c>
      <c r="BC1955" s="3">
        <v>0</v>
      </c>
      <c r="BD1955" s="3">
        <v>0</v>
      </c>
      <c r="BE1955" s="3">
        <v>0</v>
      </c>
      <c r="BF1955" s="3">
        <v>0</v>
      </c>
      <c r="BG1955" s="3">
        <v>0</v>
      </c>
      <c r="BH1955" s="3">
        <v>1</v>
      </c>
      <c r="BI1955" s="3">
        <v>1</v>
      </c>
      <c r="BJ1955" s="3">
        <v>0.2</v>
      </c>
      <c r="BK1955" s="3">
        <v>1</v>
      </c>
      <c r="BL1955" s="3">
        <v>59</v>
      </c>
      <c r="BM1955" s="3">
        <v>8.85</v>
      </c>
      <c r="BN1955" s="3">
        <v>67.849999999999994</v>
      </c>
      <c r="BO1955" s="3">
        <v>67.849999999999994</v>
      </c>
      <c r="BQ1955" s="3" t="s">
        <v>83</v>
      </c>
      <c r="BR1955" s="3" t="s">
        <v>84</v>
      </c>
      <c r="BS1955" s="4">
        <v>44586</v>
      </c>
      <c r="BT1955" s="5">
        <v>0.37986111111111115</v>
      </c>
      <c r="BU1955" s="3" t="s">
        <v>388</v>
      </c>
      <c r="BV1955" s="3" t="s">
        <v>105</v>
      </c>
      <c r="BY1955" s="3">
        <v>1200</v>
      </c>
      <c r="BZ1955" s="3" t="s">
        <v>165</v>
      </c>
      <c r="CA1955" s="3" t="s">
        <v>389</v>
      </c>
      <c r="CC1955" s="3" t="s">
        <v>242</v>
      </c>
      <c r="CD1955" s="3">
        <v>7600</v>
      </c>
      <c r="CE1955" s="3" t="s">
        <v>93</v>
      </c>
      <c r="CF1955" s="4">
        <v>44587</v>
      </c>
      <c r="CI1955" s="3">
        <v>1</v>
      </c>
      <c r="CJ1955" s="3">
        <v>1</v>
      </c>
      <c r="CK1955" s="3">
        <v>21</v>
      </c>
      <c r="CL1955" s="3" t="s">
        <v>87</v>
      </c>
    </row>
    <row r="1956" spans="1:90" x14ac:dyDescent="0.2">
      <c r="A1956" s="3" t="s">
        <v>72</v>
      </c>
      <c r="B1956" s="3" t="s">
        <v>73</v>
      </c>
      <c r="C1956" s="3" t="s">
        <v>74</v>
      </c>
      <c r="E1956" s="3" t="str">
        <f>"FES1162846439"</f>
        <v>FES1162846439</v>
      </c>
      <c r="F1956" s="4">
        <v>44585</v>
      </c>
      <c r="G1956" s="3">
        <v>202207</v>
      </c>
      <c r="H1956" s="3" t="s">
        <v>75</v>
      </c>
      <c r="I1956" s="3" t="s">
        <v>76</v>
      </c>
      <c r="J1956" s="3" t="s">
        <v>77</v>
      </c>
      <c r="K1956" s="3" t="s">
        <v>78</v>
      </c>
      <c r="L1956" s="3" t="s">
        <v>90</v>
      </c>
      <c r="M1956" s="3" t="s">
        <v>91</v>
      </c>
      <c r="N1956" s="3" t="s">
        <v>640</v>
      </c>
      <c r="O1956" s="3" t="s">
        <v>82</v>
      </c>
      <c r="P1956" s="3" t="str">
        <f>"2170815044                    "</f>
        <v xml:space="preserve">2170815044                    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15.46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v>0</v>
      </c>
      <c r="BA1956" s="3">
        <v>0</v>
      </c>
      <c r="BB1956" s="3">
        <v>0</v>
      </c>
      <c r="BC1956" s="3">
        <v>0</v>
      </c>
      <c r="BD1956" s="3">
        <v>0</v>
      </c>
      <c r="BE1956" s="3">
        <v>0</v>
      </c>
      <c r="BF1956" s="3">
        <v>0</v>
      </c>
      <c r="BG1956" s="3">
        <v>0</v>
      </c>
      <c r="BH1956" s="3">
        <v>1</v>
      </c>
      <c r="BI1956" s="3">
        <v>1</v>
      </c>
      <c r="BJ1956" s="3">
        <v>0.2</v>
      </c>
      <c r="BK1956" s="3">
        <v>1</v>
      </c>
      <c r="BL1956" s="3">
        <v>59</v>
      </c>
      <c r="BM1956" s="3">
        <v>8.85</v>
      </c>
      <c r="BN1956" s="3">
        <v>67.849999999999994</v>
      </c>
      <c r="BO1956" s="3">
        <v>67.849999999999994</v>
      </c>
      <c r="BQ1956" s="3" t="s">
        <v>83</v>
      </c>
      <c r="BR1956" s="3" t="s">
        <v>84</v>
      </c>
      <c r="BS1956" s="4">
        <v>44586</v>
      </c>
      <c r="BT1956" s="5">
        <v>0.50694444444444442</v>
      </c>
      <c r="BU1956" s="3" t="s">
        <v>323</v>
      </c>
      <c r="BV1956" s="3" t="s">
        <v>87</v>
      </c>
      <c r="BW1956" s="3" t="s">
        <v>457</v>
      </c>
      <c r="BX1956" s="3" t="s">
        <v>602</v>
      </c>
      <c r="BY1956" s="3">
        <v>1200</v>
      </c>
      <c r="BZ1956" s="3" t="s">
        <v>165</v>
      </c>
      <c r="CA1956" s="3" t="s">
        <v>641</v>
      </c>
      <c r="CC1956" s="3" t="s">
        <v>91</v>
      </c>
      <c r="CD1956" s="3">
        <v>7580</v>
      </c>
      <c r="CE1956" s="3" t="s">
        <v>93</v>
      </c>
      <c r="CF1956" s="4">
        <v>44587</v>
      </c>
      <c r="CI1956" s="3">
        <v>1</v>
      </c>
      <c r="CJ1956" s="3">
        <v>1</v>
      </c>
      <c r="CK1956" s="3">
        <v>21</v>
      </c>
      <c r="CL1956" s="3" t="s">
        <v>87</v>
      </c>
    </row>
    <row r="1957" spans="1:90" x14ac:dyDescent="0.2">
      <c r="A1957" s="3" t="s">
        <v>72</v>
      </c>
      <c r="B1957" s="3" t="s">
        <v>73</v>
      </c>
      <c r="C1957" s="3" t="s">
        <v>74</v>
      </c>
      <c r="E1957" s="3" t="str">
        <f>"FES1162846486"</f>
        <v>FES1162846486</v>
      </c>
      <c r="F1957" s="4">
        <v>44585</v>
      </c>
      <c r="G1957" s="3">
        <v>202207</v>
      </c>
      <c r="H1957" s="3" t="s">
        <v>75</v>
      </c>
      <c r="I1957" s="3" t="s">
        <v>76</v>
      </c>
      <c r="J1957" s="3" t="s">
        <v>77</v>
      </c>
      <c r="K1957" s="3" t="s">
        <v>78</v>
      </c>
      <c r="L1957" s="3" t="s">
        <v>79</v>
      </c>
      <c r="M1957" s="3" t="s">
        <v>80</v>
      </c>
      <c r="N1957" s="3" t="s">
        <v>81</v>
      </c>
      <c r="O1957" s="3" t="s">
        <v>82</v>
      </c>
      <c r="P1957" s="3" t="str">
        <f>"2170815783                    "</f>
        <v xml:space="preserve">2170815783                    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15.46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v>0</v>
      </c>
      <c r="BA1957" s="3">
        <v>0</v>
      </c>
      <c r="BB1957" s="3">
        <v>0</v>
      </c>
      <c r="BC1957" s="3">
        <v>0</v>
      </c>
      <c r="BD1957" s="3">
        <v>0</v>
      </c>
      <c r="BE1957" s="3">
        <v>0</v>
      </c>
      <c r="BF1957" s="3">
        <v>0</v>
      </c>
      <c r="BG1957" s="3">
        <v>0</v>
      </c>
      <c r="BH1957" s="3">
        <v>1</v>
      </c>
      <c r="BI1957" s="3">
        <v>1</v>
      </c>
      <c r="BJ1957" s="3">
        <v>1.5</v>
      </c>
      <c r="BK1957" s="3">
        <v>1.5</v>
      </c>
      <c r="BL1957" s="3">
        <v>59</v>
      </c>
      <c r="BM1957" s="3">
        <v>8.85</v>
      </c>
      <c r="BN1957" s="3">
        <v>67.849999999999994</v>
      </c>
      <c r="BO1957" s="3">
        <v>67.849999999999994</v>
      </c>
      <c r="BQ1957" s="3" t="s">
        <v>83</v>
      </c>
      <c r="BR1957" s="3" t="s">
        <v>84</v>
      </c>
      <c r="BS1957" s="4">
        <v>44586</v>
      </c>
      <c r="BT1957" s="5">
        <v>0.3923611111111111</v>
      </c>
      <c r="BU1957" s="3" t="s">
        <v>2110</v>
      </c>
      <c r="BV1957" s="3" t="s">
        <v>105</v>
      </c>
      <c r="BY1957" s="3">
        <v>7540</v>
      </c>
      <c r="BZ1957" s="3" t="s">
        <v>165</v>
      </c>
      <c r="CA1957" s="3" t="s">
        <v>366</v>
      </c>
      <c r="CC1957" s="3" t="s">
        <v>80</v>
      </c>
      <c r="CD1957" s="3">
        <v>200</v>
      </c>
      <c r="CE1957" s="3" t="s">
        <v>86</v>
      </c>
      <c r="CF1957" s="4">
        <v>44587</v>
      </c>
      <c r="CI1957" s="3">
        <v>1</v>
      </c>
      <c r="CJ1957" s="3">
        <v>1</v>
      </c>
      <c r="CK1957" s="3">
        <v>21</v>
      </c>
      <c r="CL1957" s="3" t="s">
        <v>87</v>
      </c>
    </row>
    <row r="1958" spans="1:90" x14ac:dyDescent="0.2">
      <c r="A1958" s="3" t="s">
        <v>72</v>
      </c>
      <c r="B1958" s="3" t="s">
        <v>73</v>
      </c>
      <c r="C1958" s="3" t="s">
        <v>74</v>
      </c>
      <c r="E1958" s="3" t="str">
        <f>"FES1162846514"</f>
        <v>FES1162846514</v>
      </c>
      <c r="F1958" s="4">
        <v>44585</v>
      </c>
      <c r="G1958" s="3">
        <v>202207</v>
      </c>
      <c r="H1958" s="3" t="s">
        <v>75</v>
      </c>
      <c r="I1958" s="3" t="s">
        <v>76</v>
      </c>
      <c r="J1958" s="3" t="s">
        <v>77</v>
      </c>
      <c r="K1958" s="3" t="s">
        <v>78</v>
      </c>
      <c r="L1958" s="3" t="s">
        <v>97</v>
      </c>
      <c r="M1958" s="3" t="s">
        <v>98</v>
      </c>
      <c r="N1958" s="3" t="s">
        <v>413</v>
      </c>
      <c r="O1958" s="3" t="s">
        <v>82</v>
      </c>
      <c r="P1958" s="3" t="str">
        <f>"2170816369                    "</f>
        <v xml:space="preserve">2170816369                    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12.07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v>0</v>
      </c>
      <c r="BA1958" s="3">
        <v>0</v>
      </c>
      <c r="BB1958" s="3">
        <v>0</v>
      </c>
      <c r="BC1958" s="3">
        <v>0</v>
      </c>
      <c r="BD1958" s="3">
        <v>0</v>
      </c>
      <c r="BE1958" s="3">
        <v>0</v>
      </c>
      <c r="BF1958" s="3">
        <v>0</v>
      </c>
      <c r="BG1958" s="3">
        <v>0</v>
      </c>
      <c r="BH1958" s="3">
        <v>1</v>
      </c>
      <c r="BI1958" s="3">
        <v>2</v>
      </c>
      <c r="BJ1958" s="3">
        <v>3.1</v>
      </c>
      <c r="BK1958" s="3">
        <v>3.5</v>
      </c>
      <c r="BL1958" s="3">
        <v>46.08</v>
      </c>
      <c r="BM1958" s="3">
        <v>6.91</v>
      </c>
      <c r="BN1958" s="3">
        <v>52.99</v>
      </c>
      <c r="BO1958" s="3">
        <v>52.99</v>
      </c>
      <c r="BQ1958" s="3" t="s">
        <v>83</v>
      </c>
      <c r="BR1958" s="3" t="s">
        <v>84</v>
      </c>
      <c r="BS1958" s="4">
        <v>44586</v>
      </c>
      <c r="BT1958" s="5">
        <v>0.38958333333333334</v>
      </c>
      <c r="BU1958" s="3" t="s">
        <v>2111</v>
      </c>
      <c r="BV1958" s="3" t="s">
        <v>105</v>
      </c>
      <c r="BY1958" s="3">
        <v>15360</v>
      </c>
      <c r="BZ1958" s="3" t="s">
        <v>165</v>
      </c>
      <c r="CA1958" s="3" t="s">
        <v>1151</v>
      </c>
      <c r="CC1958" s="3" t="s">
        <v>98</v>
      </c>
      <c r="CD1958" s="3">
        <v>2094</v>
      </c>
      <c r="CE1958" s="3" t="s">
        <v>86</v>
      </c>
      <c r="CF1958" s="4">
        <v>44586</v>
      </c>
      <c r="CI1958" s="3">
        <v>1</v>
      </c>
      <c r="CJ1958" s="3">
        <v>1</v>
      </c>
      <c r="CK1958" s="3">
        <v>22</v>
      </c>
      <c r="CL1958" s="3" t="s">
        <v>87</v>
      </c>
    </row>
    <row r="1959" spans="1:90" x14ac:dyDescent="0.2">
      <c r="A1959" s="3" t="s">
        <v>72</v>
      </c>
      <c r="B1959" s="3" t="s">
        <v>73</v>
      </c>
      <c r="C1959" s="3" t="s">
        <v>74</v>
      </c>
      <c r="E1959" s="3" t="str">
        <f>"FES1162846353"</f>
        <v>FES1162846353</v>
      </c>
      <c r="F1959" s="4">
        <v>44585</v>
      </c>
      <c r="G1959" s="3">
        <v>202207</v>
      </c>
      <c r="H1959" s="3" t="s">
        <v>75</v>
      </c>
      <c r="I1959" s="3" t="s">
        <v>76</v>
      </c>
      <c r="J1959" s="3" t="s">
        <v>77</v>
      </c>
      <c r="K1959" s="3" t="s">
        <v>78</v>
      </c>
      <c r="L1959" s="3" t="s">
        <v>79</v>
      </c>
      <c r="M1959" s="3" t="s">
        <v>80</v>
      </c>
      <c r="N1959" s="3" t="s">
        <v>136</v>
      </c>
      <c r="O1959" s="3" t="s">
        <v>82</v>
      </c>
      <c r="P1959" s="3" t="str">
        <f>"2170817764                    "</f>
        <v xml:space="preserve">2170817764                    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34.770000000000003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v>0</v>
      </c>
      <c r="BA1959" s="3">
        <v>0</v>
      </c>
      <c r="BB1959" s="3">
        <v>0</v>
      </c>
      <c r="BC1959" s="3">
        <v>0</v>
      </c>
      <c r="BD1959" s="3">
        <v>0</v>
      </c>
      <c r="BE1959" s="3">
        <v>0</v>
      </c>
      <c r="BF1959" s="3">
        <v>0</v>
      </c>
      <c r="BG1959" s="3">
        <v>0</v>
      </c>
      <c r="BH1959" s="3">
        <v>1</v>
      </c>
      <c r="BI1959" s="3">
        <v>4</v>
      </c>
      <c r="BJ1959" s="3">
        <v>4.4000000000000004</v>
      </c>
      <c r="BK1959" s="3">
        <v>4.5</v>
      </c>
      <c r="BL1959" s="3">
        <v>132.71</v>
      </c>
      <c r="BM1959" s="3">
        <v>19.91</v>
      </c>
      <c r="BN1959" s="3">
        <v>152.62</v>
      </c>
      <c r="BO1959" s="3">
        <v>152.62</v>
      </c>
      <c r="BQ1959" s="3" t="s">
        <v>89</v>
      </c>
      <c r="BR1959" s="3" t="s">
        <v>84</v>
      </c>
      <c r="BS1959" s="4">
        <v>44586</v>
      </c>
      <c r="BT1959" s="5">
        <v>0.42430555555555555</v>
      </c>
      <c r="BU1959" s="3" t="s">
        <v>2112</v>
      </c>
      <c r="BV1959" s="3" t="s">
        <v>105</v>
      </c>
      <c r="BY1959" s="3">
        <v>21904</v>
      </c>
      <c r="BZ1959" s="3" t="s">
        <v>165</v>
      </c>
      <c r="CA1959" s="3" t="s">
        <v>2113</v>
      </c>
      <c r="CC1959" s="3" t="s">
        <v>80</v>
      </c>
      <c r="CD1959" s="3">
        <v>82</v>
      </c>
      <c r="CE1959" s="3" t="s">
        <v>86</v>
      </c>
      <c r="CF1959" s="4">
        <v>44586</v>
      </c>
      <c r="CI1959" s="3">
        <v>1</v>
      </c>
      <c r="CJ1959" s="3">
        <v>1</v>
      </c>
      <c r="CK1959" s="3">
        <v>21</v>
      </c>
      <c r="CL1959" s="3" t="s">
        <v>87</v>
      </c>
    </row>
    <row r="1960" spans="1:90" x14ac:dyDescent="0.2">
      <c r="A1960" s="3" t="s">
        <v>72</v>
      </c>
      <c r="B1960" s="3" t="s">
        <v>73</v>
      </c>
      <c r="C1960" s="3" t="s">
        <v>74</v>
      </c>
      <c r="E1960" s="3" t="str">
        <f>"FES1162846537"</f>
        <v>FES1162846537</v>
      </c>
      <c r="F1960" s="4">
        <v>44585</v>
      </c>
      <c r="G1960" s="3">
        <v>202207</v>
      </c>
      <c r="H1960" s="3" t="s">
        <v>75</v>
      </c>
      <c r="I1960" s="3" t="s">
        <v>76</v>
      </c>
      <c r="J1960" s="3" t="s">
        <v>77</v>
      </c>
      <c r="K1960" s="3" t="s">
        <v>78</v>
      </c>
      <c r="L1960" s="3" t="s">
        <v>97</v>
      </c>
      <c r="M1960" s="3" t="s">
        <v>98</v>
      </c>
      <c r="N1960" s="3" t="s">
        <v>2114</v>
      </c>
      <c r="O1960" s="3" t="s">
        <v>82</v>
      </c>
      <c r="P1960" s="3" t="str">
        <f>"2170817944                    "</f>
        <v xml:space="preserve">2170817944                    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12.07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v>0</v>
      </c>
      <c r="BA1960" s="3">
        <v>0</v>
      </c>
      <c r="BB1960" s="3">
        <v>0</v>
      </c>
      <c r="BC1960" s="3">
        <v>0</v>
      </c>
      <c r="BD1960" s="3">
        <v>0</v>
      </c>
      <c r="BE1960" s="3">
        <v>0</v>
      </c>
      <c r="BF1960" s="3">
        <v>0</v>
      </c>
      <c r="BG1960" s="3">
        <v>0</v>
      </c>
      <c r="BH1960" s="3">
        <v>1</v>
      </c>
      <c r="BI1960" s="3">
        <v>1</v>
      </c>
      <c r="BJ1960" s="3">
        <v>1</v>
      </c>
      <c r="BK1960" s="3">
        <v>1</v>
      </c>
      <c r="BL1960" s="3">
        <v>46.08</v>
      </c>
      <c r="BM1960" s="3">
        <v>6.91</v>
      </c>
      <c r="BN1960" s="3">
        <v>52.99</v>
      </c>
      <c r="BO1960" s="3">
        <v>52.99</v>
      </c>
      <c r="BR1960" s="3" t="s">
        <v>84</v>
      </c>
      <c r="BS1960" s="4">
        <v>44586</v>
      </c>
      <c r="BT1960" s="5">
        <v>0.59305555555555556</v>
      </c>
      <c r="BU1960" s="3" t="s">
        <v>1760</v>
      </c>
      <c r="BV1960" s="3" t="s">
        <v>87</v>
      </c>
      <c r="BY1960" s="3">
        <v>4896</v>
      </c>
      <c r="BZ1960" s="3" t="s">
        <v>165</v>
      </c>
      <c r="CA1960" s="3" t="s">
        <v>1151</v>
      </c>
      <c r="CC1960" s="3" t="s">
        <v>98</v>
      </c>
      <c r="CD1960" s="3">
        <v>2094</v>
      </c>
      <c r="CE1960" s="3" t="s">
        <v>86</v>
      </c>
      <c r="CF1960" s="4">
        <v>44586</v>
      </c>
      <c r="CI1960" s="3">
        <v>1</v>
      </c>
      <c r="CJ1960" s="3">
        <v>1</v>
      </c>
      <c r="CK1960" s="3">
        <v>22</v>
      </c>
      <c r="CL1960" s="3" t="s">
        <v>87</v>
      </c>
    </row>
    <row r="1961" spans="1:90" x14ac:dyDescent="0.2">
      <c r="A1961" s="3" t="s">
        <v>72</v>
      </c>
      <c r="B1961" s="3" t="s">
        <v>73</v>
      </c>
      <c r="C1961" s="3" t="s">
        <v>74</v>
      </c>
      <c r="E1961" s="3" t="str">
        <f>"FES1162846433"</f>
        <v>FES1162846433</v>
      </c>
      <c r="F1961" s="4">
        <v>44585</v>
      </c>
      <c r="G1961" s="3">
        <v>202207</v>
      </c>
      <c r="H1961" s="3" t="s">
        <v>75</v>
      </c>
      <c r="I1961" s="3" t="s">
        <v>76</v>
      </c>
      <c r="J1961" s="3" t="s">
        <v>77</v>
      </c>
      <c r="K1961" s="3" t="s">
        <v>78</v>
      </c>
      <c r="L1961" s="3" t="s">
        <v>171</v>
      </c>
      <c r="M1961" s="3" t="s">
        <v>172</v>
      </c>
      <c r="N1961" s="3" t="s">
        <v>235</v>
      </c>
      <c r="O1961" s="3" t="s">
        <v>82</v>
      </c>
      <c r="P1961" s="3" t="str">
        <f>"2170813520                    "</f>
        <v xml:space="preserve">2170813520                    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15.46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v>0</v>
      </c>
      <c r="BA1961" s="3">
        <v>0</v>
      </c>
      <c r="BB1961" s="3">
        <v>0</v>
      </c>
      <c r="BC1961" s="3">
        <v>0</v>
      </c>
      <c r="BD1961" s="3">
        <v>0</v>
      </c>
      <c r="BE1961" s="3">
        <v>0</v>
      </c>
      <c r="BF1961" s="3">
        <v>0</v>
      </c>
      <c r="BG1961" s="3">
        <v>0</v>
      </c>
      <c r="BH1961" s="3">
        <v>1</v>
      </c>
      <c r="BI1961" s="3">
        <v>1</v>
      </c>
      <c r="BJ1961" s="3">
        <v>0.2</v>
      </c>
      <c r="BK1961" s="3">
        <v>1</v>
      </c>
      <c r="BL1961" s="3">
        <v>59</v>
      </c>
      <c r="BM1961" s="3">
        <v>8.85</v>
      </c>
      <c r="BN1961" s="3">
        <v>67.849999999999994</v>
      </c>
      <c r="BO1961" s="3">
        <v>67.849999999999994</v>
      </c>
      <c r="BQ1961" s="3" t="s">
        <v>83</v>
      </c>
      <c r="BR1961" s="3" t="s">
        <v>84</v>
      </c>
      <c r="BS1961" s="4">
        <v>44586</v>
      </c>
      <c r="BT1961" s="5">
        <v>0.40069444444444446</v>
      </c>
      <c r="BU1961" s="3" t="s">
        <v>1488</v>
      </c>
      <c r="BV1961" s="3" t="s">
        <v>105</v>
      </c>
      <c r="BY1961" s="3">
        <v>1200</v>
      </c>
      <c r="BZ1961" s="3" t="s">
        <v>165</v>
      </c>
      <c r="CA1961" s="3" t="s">
        <v>1580</v>
      </c>
      <c r="CC1961" s="3" t="s">
        <v>172</v>
      </c>
      <c r="CD1961" s="3">
        <v>6001</v>
      </c>
      <c r="CE1961" s="3" t="s">
        <v>93</v>
      </c>
      <c r="CF1961" s="4">
        <v>44586</v>
      </c>
      <c r="CI1961" s="3">
        <v>1</v>
      </c>
      <c r="CJ1961" s="3">
        <v>1</v>
      </c>
      <c r="CK1961" s="3">
        <v>21</v>
      </c>
      <c r="CL1961" s="3" t="s">
        <v>87</v>
      </c>
    </row>
    <row r="1962" spans="1:90" x14ac:dyDescent="0.2">
      <c r="A1962" s="3" t="s">
        <v>72</v>
      </c>
      <c r="B1962" s="3" t="s">
        <v>73</v>
      </c>
      <c r="C1962" s="3" t="s">
        <v>74</v>
      </c>
      <c r="E1962" s="3" t="str">
        <f>"FES1162846521"</f>
        <v>FES1162846521</v>
      </c>
      <c r="F1962" s="4">
        <v>44585</v>
      </c>
      <c r="G1962" s="3">
        <v>202207</v>
      </c>
      <c r="H1962" s="3" t="s">
        <v>75</v>
      </c>
      <c r="I1962" s="3" t="s">
        <v>76</v>
      </c>
      <c r="J1962" s="3" t="s">
        <v>77</v>
      </c>
      <c r="K1962" s="3" t="s">
        <v>78</v>
      </c>
      <c r="L1962" s="3" t="s">
        <v>158</v>
      </c>
      <c r="M1962" s="3" t="s">
        <v>159</v>
      </c>
      <c r="N1962" s="3" t="s">
        <v>1457</v>
      </c>
      <c r="O1962" s="3" t="s">
        <v>82</v>
      </c>
      <c r="P1962" s="3" t="str">
        <f>"2170817008                    "</f>
        <v xml:space="preserve">2170817008                    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12.07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v>0</v>
      </c>
      <c r="BA1962" s="3">
        <v>0</v>
      </c>
      <c r="BB1962" s="3">
        <v>0</v>
      </c>
      <c r="BC1962" s="3">
        <v>0</v>
      </c>
      <c r="BD1962" s="3">
        <v>0</v>
      </c>
      <c r="BE1962" s="3">
        <v>0</v>
      </c>
      <c r="BF1962" s="3">
        <v>0</v>
      </c>
      <c r="BG1962" s="3">
        <v>0</v>
      </c>
      <c r="BH1962" s="3">
        <v>1</v>
      </c>
      <c r="BI1962" s="3">
        <v>1</v>
      </c>
      <c r="BJ1962" s="3">
        <v>0.2</v>
      </c>
      <c r="BK1962" s="3">
        <v>1</v>
      </c>
      <c r="BL1962" s="3">
        <v>46.08</v>
      </c>
      <c r="BM1962" s="3">
        <v>6.91</v>
      </c>
      <c r="BN1962" s="3">
        <v>52.99</v>
      </c>
      <c r="BO1962" s="3">
        <v>52.99</v>
      </c>
      <c r="BQ1962" s="3" t="s">
        <v>89</v>
      </c>
      <c r="BR1962" s="3" t="s">
        <v>84</v>
      </c>
      <c r="BS1962" s="4">
        <v>44586</v>
      </c>
      <c r="BT1962" s="5">
        <v>0.30763888888888891</v>
      </c>
      <c r="BU1962" s="3" t="s">
        <v>1891</v>
      </c>
      <c r="BV1962" s="3" t="s">
        <v>105</v>
      </c>
      <c r="BY1962" s="3">
        <v>1200</v>
      </c>
      <c r="BZ1962" s="3" t="s">
        <v>165</v>
      </c>
      <c r="CA1962" s="3" t="s">
        <v>763</v>
      </c>
      <c r="CC1962" s="3" t="s">
        <v>159</v>
      </c>
      <c r="CD1962" s="3">
        <v>1459</v>
      </c>
      <c r="CE1962" s="3" t="s">
        <v>93</v>
      </c>
      <c r="CF1962" s="4">
        <v>44586</v>
      </c>
      <c r="CI1962" s="3">
        <v>1</v>
      </c>
      <c r="CJ1962" s="3">
        <v>1</v>
      </c>
      <c r="CK1962" s="3">
        <v>22</v>
      </c>
      <c r="CL1962" s="3" t="s">
        <v>87</v>
      </c>
    </row>
    <row r="1963" spans="1:90" x14ac:dyDescent="0.2">
      <c r="A1963" s="3" t="s">
        <v>72</v>
      </c>
      <c r="B1963" s="3" t="s">
        <v>73</v>
      </c>
      <c r="C1963" s="3" t="s">
        <v>74</v>
      </c>
      <c r="E1963" s="3" t="str">
        <f>"FES1162846488"</f>
        <v>FES1162846488</v>
      </c>
      <c r="F1963" s="4">
        <v>44585</v>
      </c>
      <c r="G1963" s="3">
        <v>202207</v>
      </c>
      <c r="H1963" s="3" t="s">
        <v>75</v>
      </c>
      <c r="I1963" s="3" t="s">
        <v>76</v>
      </c>
      <c r="J1963" s="3" t="s">
        <v>77</v>
      </c>
      <c r="K1963" s="3" t="s">
        <v>78</v>
      </c>
      <c r="L1963" s="3" t="s">
        <v>90</v>
      </c>
      <c r="M1963" s="3" t="s">
        <v>91</v>
      </c>
      <c r="N1963" s="3" t="s">
        <v>577</v>
      </c>
      <c r="O1963" s="3" t="s">
        <v>82</v>
      </c>
      <c r="P1963" s="3" t="str">
        <f>"2170815814                    "</f>
        <v xml:space="preserve">2170815814                    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15.46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0</v>
      </c>
      <c r="AZ1963" s="3">
        <v>0</v>
      </c>
      <c r="BA1963" s="3">
        <v>0</v>
      </c>
      <c r="BB1963" s="3">
        <v>0</v>
      </c>
      <c r="BC1963" s="3">
        <v>0</v>
      </c>
      <c r="BD1963" s="3">
        <v>0</v>
      </c>
      <c r="BE1963" s="3">
        <v>0</v>
      </c>
      <c r="BF1963" s="3">
        <v>0</v>
      </c>
      <c r="BG1963" s="3">
        <v>0</v>
      </c>
      <c r="BH1963" s="3">
        <v>1</v>
      </c>
      <c r="BI1963" s="3">
        <v>1</v>
      </c>
      <c r="BJ1963" s="3">
        <v>0.2</v>
      </c>
      <c r="BK1963" s="3">
        <v>1</v>
      </c>
      <c r="BL1963" s="3">
        <v>59</v>
      </c>
      <c r="BM1963" s="3">
        <v>8.85</v>
      </c>
      <c r="BN1963" s="3">
        <v>67.849999999999994</v>
      </c>
      <c r="BO1963" s="3">
        <v>67.849999999999994</v>
      </c>
      <c r="BQ1963" s="3" t="s">
        <v>126</v>
      </c>
      <c r="BR1963" s="3" t="s">
        <v>84</v>
      </c>
      <c r="BS1963" s="4">
        <v>44586</v>
      </c>
      <c r="BT1963" s="5">
        <v>0.36388888888888887</v>
      </c>
      <c r="BU1963" s="3" t="s">
        <v>1208</v>
      </c>
      <c r="BV1963" s="3" t="s">
        <v>105</v>
      </c>
      <c r="BY1963" s="3">
        <v>1200</v>
      </c>
      <c r="BZ1963" s="3" t="s">
        <v>165</v>
      </c>
      <c r="CA1963" s="3" t="s">
        <v>271</v>
      </c>
      <c r="CC1963" s="3" t="s">
        <v>91</v>
      </c>
      <c r="CD1963" s="3">
        <v>7441</v>
      </c>
      <c r="CE1963" s="3" t="s">
        <v>93</v>
      </c>
      <c r="CF1963" s="4">
        <v>44587</v>
      </c>
      <c r="CI1963" s="3">
        <v>1</v>
      </c>
      <c r="CJ1963" s="3">
        <v>1</v>
      </c>
      <c r="CK1963" s="3">
        <v>21</v>
      </c>
      <c r="CL1963" s="3" t="s">
        <v>87</v>
      </c>
    </row>
    <row r="1964" spans="1:90" x14ac:dyDescent="0.2">
      <c r="A1964" s="3" t="s">
        <v>72</v>
      </c>
      <c r="B1964" s="3" t="s">
        <v>73</v>
      </c>
      <c r="C1964" s="3" t="s">
        <v>74</v>
      </c>
      <c r="E1964" s="3" t="str">
        <f>"FES1162846562"</f>
        <v>FES1162846562</v>
      </c>
      <c r="F1964" s="4">
        <v>44585</v>
      </c>
      <c r="G1964" s="3">
        <v>202207</v>
      </c>
      <c r="H1964" s="3" t="s">
        <v>75</v>
      </c>
      <c r="I1964" s="3" t="s">
        <v>76</v>
      </c>
      <c r="J1964" s="3" t="s">
        <v>77</v>
      </c>
      <c r="K1964" s="3" t="s">
        <v>78</v>
      </c>
      <c r="L1964" s="3" t="s">
        <v>90</v>
      </c>
      <c r="M1964" s="3" t="s">
        <v>91</v>
      </c>
      <c r="N1964" s="3" t="s">
        <v>157</v>
      </c>
      <c r="O1964" s="3" t="s">
        <v>82</v>
      </c>
      <c r="P1964" s="3" t="str">
        <f>"2170817965                    "</f>
        <v xml:space="preserve">2170817965                    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15.46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v>0</v>
      </c>
      <c r="BA1964" s="3">
        <v>0</v>
      </c>
      <c r="BB1964" s="3">
        <v>0</v>
      </c>
      <c r="BC1964" s="3">
        <v>0</v>
      </c>
      <c r="BD1964" s="3">
        <v>0</v>
      </c>
      <c r="BE1964" s="3">
        <v>0</v>
      </c>
      <c r="BF1964" s="3">
        <v>0</v>
      </c>
      <c r="BG1964" s="3">
        <v>0</v>
      </c>
      <c r="BH1964" s="3">
        <v>1</v>
      </c>
      <c r="BI1964" s="3">
        <v>1</v>
      </c>
      <c r="BJ1964" s="3">
        <v>0.2</v>
      </c>
      <c r="BK1964" s="3">
        <v>1</v>
      </c>
      <c r="BL1964" s="3">
        <v>59</v>
      </c>
      <c r="BM1964" s="3">
        <v>8.85</v>
      </c>
      <c r="BN1964" s="3">
        <v>67.849999999999994</v>
      </c>
      <c r="BO1964" s="3">
        <v>67.849999999999994</v>
      </c>
      <c r="BQ1964" s="3" t="s">
        <v>89</v>
      </c>
      <c r="BR1964" s="3" t="s">
        <v>84</v>
      </c>
      <c r="BS1964" s="4">
        <v>44586</v>
      </c>
      <c r="BT1964" s="5">
        <v>0.39166666666666666</v>
      </c>
      <c r="BU1964" s="3" t="s">
        <v>1999</v>
      </c>
      <c r="BV1964" s="3" t="s">
        <v>105</v>
      </c>
      <c r="BY1964" s="3">
        <v>1200</v>
      </c>
      <c r="BZ1964" s="3" t="s">
        <v>165</v>
      </c>
      <c r="CA1964" s="3" t="s">
        <v>692</v>
      </c>
      <c r="CC1964" s="3" t="s">
        <v>91</v>
      </c>
      <c r="CD1964" s="3">
        <v>7441</v>
      </c>
      <c r="CE1964" s="3" t="s">
        <v>93</v>
      </c>
      <c r="CF1964" s="4">
        <v>44587</v>
      </c>
      <c r="CI1964" s="3">
        <v>1</v>
      </c>
      <c r="CJ1964" s="3">
        <v>1</v>
      </c>
      <c r="CK1964" s="3">
        <v>21</v>
      </c>
      <c r="CL1964" s="3" t="s">
        <v>87</v>
      </c>
    </row>
    <row r="1965" spans="1:90" x14ac:dyDescent="0.2">
      <c r="A1965" s="3" t="s">
        <v>72</v>
      </c>
      <c r="B1965" s="3" t="s">
        <v>73</v>
      </c>
      <c r="C1965" s="3" t="s">
        <v>74</v>
      </c>
      <c r="E1965" s="3" t="str">
        <f>"FES1162846268"</f>
        <v>FES1162846268</v>
      </c>
      <c r="F1965" s="4">
        <v>44585</v>
      </c>
      <c r="G1965" s="3">
        <v>202207</v>
      </c>
      <c r="H1965" s="3" t="s">
        <v>75</v>
      </c>
      <c r="I1965" s="3" t="s">
        <v>76</v>
      </c>
      <c r="J1965" s="3" t="s">
        <v>77</v>
      </c>
      <c r="K1965" s="3" t="s">
        <v>78</v>
      </c>
      <c r="L1965" s="3" t="s">
        <v>171</v>
      </c>
      <c r="M1965" s="3" t="s">
        <v>172</v>
      </c>
      <c r="N1965" s="3" t="s">
        <v>973</v>
      </c>
      <c r="O1965" s="3" t="s">
        <v>82</v>
      </c>
      <c r="P1965" s="3" t="str">
        <f>"2170817785                    "</f>
        <v xml:space="preserve">2170817785                    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15.46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v>0</v>
      </c>
      <c r="BA1965" s="3">
        <v>0</v>
      </c>
      <c r="BB1965" s="3">
        <v>0</v>
      </c>
      <c r="BC1965" s="3">
        <v>0</v>
      </c>
      <c r="BD1965" s="3">
        <v>0</v>
      </c>
      <c r="BE1965" s="3">
        <v>0</v>
      </c>
      <c r="BF1965" s="3">
        <v>0</v>
      </c>
      <c r="BG1965" s="3">
        <v>0</v>
      </c>
      <c r="BH1965" s="3">
        <v>1</v>
      </c>
      <c r="BI1965" s="3">
        <v>1</v>
      </c>
      <c r="BJ1965" s="3">
        <v>0.2</v>
      </c>
      <c r="BK1965" s="3">
        <v>1</v>
      </c>
      <c r="BL1965" s="3">
        <v>59</v>
      </c>
      <c r="BM1965" s="3">
        <v>8.85</v>
      </c>
      <c r="BN1965" s="3">
        <v>67.849999999999994</v>
      </c>
      <c r="BO1965" s="3">
        <v>67.849999999999994</v>
      </c>
      <c r="BQ1965" s="3" t="s">
        <v>974</v>
      </c>
      <c r="BR1965" s="3" t="s">
        <v>84</v>
      </c>
      <c r="BS1965" s="4">
        <v>44586</v>
      </c>
      <c r="BT1965" s="5">
        <v>0.39374999999999999</v>
      </c>
      <c r="BU1965" s="3" t="s">
        <v>2115</v>
      </c>
      <c r="BV1965" s="3" t="s">
        <v>105</v>
      </c>
      <c r="BY1965" s="3">
        <v>1200</v>
      </c>
      <c r="BZ1965" s="3" t="s">
        <v>165</v>
      </c>
      <c r="CA1965" s="3" t="s">
        <v>408</v>
      </c>
      <c r="CC1965" s="3" t="s">
        <v>172</v>
      </c>
      <c r="CD1965" s="3">
        <v>6045</v>
      </c>
      <c r="CE1965" s="3" t="s">
        <v>93</v>
      </c>
      <c r="CF1965" s="4">
        <v>44586</v>
      </c>
      <c r="CI1965" s="3">
        <v>1</v>
      </c>
      <c r="CJ1965" s="3">
        <v>1</v>
      </c>
      <c r="CK1965" s="3">
        <v>21</v>
      </c>
      <c r="CL1965" s="3" t="s">
        <v>87</v>
      </c>
    </row>
    <row r="1966" spans="1:90" x14ac:dyDescent="0.2">
      <c r="A1966" s="3" t="s">
        <v>72</v>
      </c>
      <c r="B1966" s="3" t="s">
        <v>73</v>
      </c>
      <c r="C1966" s="3" t="s">
        <v>74</v>
      </c>
      <c r="E1966" s="3" t="str">
        <f>"FES1162846269"</f>
        <v>FES1162846269</v>
      </c>
      <c r="F1966" s="4">
        <v>44585</v>
      </c>
      <c r="G1966" s="3">
        <v>202207</v>
      </c>
      <c r="H1966" s="3" t="s">
        <v>75</v>
      </c>
      <c r="I1966" s="3" t="s">
        <v>76</v>
      </c>
      <c r="J1966" s="3" t="s">
        <v>77</v>
      </c>
      <c r="K1966" s="3" t="s">
        <v>78</v>
      </c>
      <c r="L1966" s="3" t="s">
        <v>90</v>
      </c>
      <c r="M1966" s="3" t="s">
        <v>91</v>
      </c>
      <c r="N1966" s="3" t="s">
        <v>2116</v>
      </c>
      <c r="O1966" s="3" t="s">
        <v>82</v>
      </c>
      <c r="P1966" s="3" t="str">
        <f>"2170817788                    "</f>
        <v xml:space="preserve">2170817788                    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15.46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v>0</v>
      </c>
      <c r="BA1966" s="3">
        <v>0</v>
      </c>
      <c r="BB1966" s="3">
        <v>0</v>
      </c>
      <c r="BC1966" s="3">
        <v>0</v>
      </c>
      <c r="BD1966" s="3">
        <v>0</v>
      </c>
      <c r="BE1966" s="3">
        <v>0</v>
      </c>
      <c r="BF1966" s="3">
        <v>0</v>
      </c>
      <c r="BG1966" s="3">
        <v>0</v>
      </c>
      <c r="BH1966" s="3">
        <v>1</v>
      </c>
      <c r="BI1966" s="3">
        <v>1</v>
      </c>
      <c r="BJ1966" s="3">
        <v>0.2</v>
      </c>
      <c r="BK1966" s="3">
        <v>1</v>
      </c>
      <c r="BL1966" s="3">
        <v>59</v>
      </c>
      <c r="BM1966" s="3">
        <v>8.85</v>
      </c>
      <c r="BN1966" s="3">
        <v>67.849999999999994</v>
      </c>
      <c r="BO1966" s="3">
        <v>67.849999999999994</v>
      </c>
      <c r="BQ1966" s="3" t="s">
        <v>2117</v>
      </c>
      <c r="BR1966" s="3" t="s">
        <v>84</v>
      </c>
      <c r="BS1966" s="4">
        <v>44586</v>
      </c>
      <c r="BT1966" s="5">
        <v>0.37013888888888885</v>
      </c>
      <c r="BU1966" s="3" t="s">
        <v>2118</v>
      </c>
      <c r="BV1966" s="3" t="s">
        <v>105</v>
      </c>
      <c r="BY1966" s="3">
        <v>1200</v>
      </c>
      <c r="BZ1966" s="3" t="s">
        <v>165</v>
      </c>
      <c r="CA1966" s="3" t="s">
        <v>692</v>
      </c>
      <c r="CC1966" s="3" t="s">
        <v>91</v>
      </c>
      <c r="CD1966" s="3">
        <v>7405</v>
      </c>
      <c r="CE1966" s="3" t="s">
        <v>93</v>
      </c>
      <c r="CF1966" s="4">
        <v>44587</v>
      </c>
      <c r="CI1966" s="3">
        <v>1</v>
      </c>
      <c r="CJ1966" s="3">
        <v>1</v>
      </c>
      <c r="CK1966" s="3">
        <v>21</v>
      </c>
      <c r="CL1966" s="3" t="s">
        <v>87</v>
      </c>
    </row>
    <row r="1967" spans="1:90" x14ac:dyDescent="0.2">
      <c r="A1967" s="3" t="s">
        <v>72</v>
      </c>
      <c r="B1967" s="3" t="s">
        <v>73</v>
      </c>
      <c r="C1967" s="3" t="s">
        <v>74</v>
      </c>
      <c r="E1967" s="3" t="str">
        <f>"FES1162846544"</f>
        <v>FES1162846544</v>
      </c>
      <c r="F1967" s="4">
        <v>44585</v>
      </c>
      <c r="G1967" s="3">
        <v>202207</v>
      </c>
      <c r="H1967" s="3" t="s">
        <v>75</v>
      </c>
      <c r="I1967" s="3" t="s">
        <v>76</v>
      </c>
      <c r="J1967" s="3" t="s">
        <v>77</v>
      </c>
      <c r="K1967" s="3" t="s">
        <v>78</v>
      </c>
      <c r="L1967" s="3" t="s">
        <v>799</v>
      </c>
      <c r="M1967" s="3" t="s">
        <v>800</v>
      </c>
      <c r="N1967" s="3" t="s">
        <v>801</v>
      </c>
      <c r="O1967" s="3" t="s">
        <v>148</v>
      </c>
      <c r="P1967" s="3" t="str">
        <f>"2170815690                    "</f>
        <v xml:space="preserve">2170815690                    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33.01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v>0</v>
      </c>
      <c r="BA1967" s="3">
        <v>0</v>
      </c>
      <c r="BB1967" s="3">
        <v>0</v>
      </c>
      <c r="BC1967" s="3">
        <v>0</v>
      </c>
      <c r="BD1967" s="3">
        <v>0</v>
      </c>
      <c r="BE1967" s="3">
        <v>0</v>
      </c>
      <c r="BF1967" s="3">
        <v>0</v>
      </c>
      <c r="BG1967" s="3">
        <v>0</v>
      </c>
      <c r="BH1967" s="3">
        <v>1</v>
      </c>
      <c r="BI1967" s="3">
        <v>15</v>
      </c>
      <c r="BJ1967" s="3">
        <v>7.4</v>
      </c>
      <c r="BK1967" s="3">
        <v>15</v>
      </c>
      <c r="BL1967" s="3">
        <v>131.25</v>
      </c>
      <c r="BM1967" s="3">
        <v>19.690000000000001</v>
      </c>
      <c r="BN1967" s="3">
        <v>150.94</v>
      </c>
      <c r="BO1967" s="3">
        <v>150.94</v>
      </c>
      <c r="BQ1967" s="3" t="s">
        <v>89</v>
      </c>
      <c r="BR1967" s="3" t="s">
        <v>84</v>
      </c>
      <c r="BS1967" s="4">
        <v>44586</v>
      </c>
      <c r="BT1967" s="5">
        <v>0.40763888888888888</v>
      </c>
      <c r="BU1967" s="3" t="s">
        <v>2119</v>
      </c>
      <c r="BV1967" s="3" t="s">
        <v>105</v>
      </c>
      <c r="BY1967" s="3">
        <v>37200</v>
      </c>
      <c r="BZ1967" s="3" t="s">
        <v>327</v>
      </c>
      <c r="CA1967" s="3" t="s">
        <v>803</v>
      </c>
      <c r="CC1967" s="3" t="s">
        <v>800</v>
      </c>
      <c r="CD1967" s="3">
        <v>2210</v>
      </c>
      <c r="CE1967" s="3" t="s">
        <v>86</v>
      </c>
      <c r="CF1967" s="4">
        <v>44587</v>
      </c>
      <c r="CI1967" s="3">
        <v>1</v>
      </c>
      <c r="CJ1967" s="3">
        <v>1</v>
      </c>
      <c r="CK1967" s="3">
        <v>44</v>
      </c>
      <c r="CL1967" s="3" t="s">
        <v>87</v>
      </c>
    </row>
    <row r="1968" spans="1:90" x14ac:dyDescent="0.2">
      <c r="A1968" s="3" t="s">
        <v>72</v>
      </c>
      <c r="B1968" s="3" t="s">
        <v>73</v>
      </c>
      <c r="C1968" s="3" t="s">
        <v>74</v>
      </c>
      <c r="E1968" s="3" t="str">
        <f>"FES1162846371"</f>
        <v>FES1162846371</v>
      </c>
      <c r="F1968" s="4">
        <v>44585</v>
      </c>
      <c r="G1968" s="3">
        <v>202207</v>
      </c>
      <c r="H1968" s="3" t="s">
        <v>75</v>
      </c>
      <c r="I1968" s="3" t="s">
        <v>76</v>
      </c>
      <c r="J1968" s="3" t="s">
        <v>77</v>
      </c>
      <c r="K1968" s="3" t="s">
        <v>78</v>
      </c>
      <c r="L1968" s="3" t="s">
        <v>190</v>
      </c>
      <c r="M1968" s="3" t="s">
        <v>191</v>
      </c>
      <c r="N1968" s="3" t="s">
        <v>2120</v>
      </c>
      <c r="O1968" s="3" t="s">
        <v>82</v>
      </c>
      <c r="P1968" s="3" t="str">
        <f>"2170817859                    "</f>
        <v xml:space="preserve">2170817859                    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131.38999999999999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v>0</v>
      </c>
      <c r="BA1968" s="3">
        <v>0</v>
      </c>
      <c r="BB1968" s="3">
        <v>0</v>
      </c>
      <c r="BC1968" s="3">
        <v>0</v>
      </c>
      <c r="BD1968" s="3">
        <v>0</v>
      </c>
      <c r="BE1968" s="3">
        <v>0</v>
      </c>
      <c r="BF1968" s="3">
        <v>0</v>
      </c>
      <c r="BG1968" s="3">
        <v>0</v>
      </c>
      <c r="BH1968" s="3">
        <v>1</v>
      </c>
      <c r="BI1968" s="3">
        <v>3</v>
      </c>
      <c r="BJ1968" s="3">
        <v>9.1</v>
      </c>
      <c r="BK1968" s="3">
        <v>9.5</v>
      </c>
      <c r="BL1968" s="3">
        <v>501.5</v>
      </c>
      <c r="BM1968" s="3">
        <v>75.23</v>
      </c>
      <c r="BN1968" s="3">
        <v>576.73</v>
      </c>
      <c r="BO1968" s="3">
        <v>576.73</v>
      </c>
      <c r="BQ1968" s="3" t="s">
        <v>83</v>
      </c>
      <c r="BR1968" s="3" t="s">
        <v>84</v>
      </c>
      <c r="BS1968" s="4">
        <v>44586</v>
      </c>
      <c r="BT1968" s="5">
        <v>0.43472222222222223</v>
      </c>
      <c r="BU1968" s="3" t="s">
        <v>375</v>
      </c>
      <c r="BV1968" s="3" t="s">
        <v>105</v>
      </c>
      <c r="BY1968" s="3">
        <v>45632</v>
      </c>
      <c r="BZ1968" s="3" t="s">
        <v>165</v>
      </c>
      <c r="CA1968" s="3" t="s">
        <v>2121</v>
      </c>
      <c r="CC1968" s="3" t="s">
        <v>191</v>
      </c>
      <c r="CD1968" s="3">
        <v>1034</v>
      </c>
      <c r="CE1968" s="3" t="s">
        <v>86</v>
      </c>
      <c r="CF1968" s="4">
        <v>44586</v>
      </c>
      <c r="CI1968" s="3">
        <v>1</v>
      </c>
      <c r="CJ1968" s="3">
        <v>1</v>
      </c>
      <c r="CK1968" s="3">
        <v>23</v>
      </c>
      <c r="CL1968" s="3" t="s">
        <v>87</v>
      </c>
    </row>
    <row r="1969" spans="1:90" x14ac:dyDescent="0.2">
      <c r="A1969" s="3" t="s">
        <v>72</v>
      </c>
      <c r="B1969" s="3" t="s">
        <v>73</v>
      </c>
      <c r="C1969" s="3" t="s">
        <v>74</v>
      </c>
      <c r="E1969" s="3" t="str">
        <f>"R009942045024"</f>
        <v>R009942045024</v>
      </c>
      <c r="F1969" s="4">
        <v>44586</v>
      </c>
      <c r="G1969" s="3">
        <v>202207</v>
      </c>
      <c r="H1969" s="3" t="s">
        <v>75</v>
      </c>
      <c r="I1969" s="3" t="s">
        <v>76</v>
      </c>
      <c r="J1969" s="3" t="s">
        <v>147</v>
      </c>
      <c r="K1969" s="3" t="s">
        <v>78</v>
      </c>
      <c r="L1969" s="3" t="s">
        <v>75</v>
      </c>
      <c r="M1969" s="3" t="s">
        <v>76</v>
      </c>
      <c r="N1969" s="3" t="s">
        <v>77</v>
      </c>
      <c r="O1969" s="3" t="s">
        <v>82</v>
      </c>
      <c r="P1969" s="3" t="str">
        <f>"1162841882 client             "</f>
        <v xml:space="preserve">1162841882 client             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12.07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v>0</v>
      </c>
      <c r="BA1969" s="3">
        <v>0</v>
      </c>
      <c r="BB1969" s="3">
        <v>0</v>
      </c>
      <c r="BC1969" s="3">
        <v>0</v>
      </c>
      <c r="BD1969" s="3">
        <v>0</v>
      </c>
      <c r="BE1969" s="3">
        <v>0</v>
      </c>
      <c r="BF1969" s="3">
        <v>0</v>
      </c>
      <c r="BG1969" s="3">
        <v>0</v>
      </c>
      <c r="BH1969" s="3">
        <v>1</v>
      </c>
      <c r="BI1969" s="3">
        <v>1</v>
      </c>
      <c r="BJ1969" s="3">
        <v>0.2</v>
      </c>
      <c r="BK1969" s="3">
        <v>1</v>
      </c>
      <c r="BL1969" s="3">
        <v>46.08</v>
      </c>
      <c r="BM1969" s="3">
        <v>6.91</v>
      </c>
      <c r="BN1969" s="3">
        <v>52.99</v>
      </c>
      <c r="BO1969" s="3">
        <v>52.99</v>
      </c>
      <c r="BQ1969" s="3" t="s">
        <v>84</v>
      </c>
      <c r="BR1969" s="3" t="s">
        <v>89</v>
      </c>
      <c r="BS1969" s="4">
        <v>44587</v>
      </c>
      <c r="BT1969" s="5">
        <v>0.35347222222222219</v>
      </c>
      <c r="BU1969" s="3" t="s">
        <v>1517</v>
      </c>
      <c r="BV1969" s="3" t="s">
        <v>105</v>
      </c>
      <c r="BY1969" s="3">
        <v>1200</v>
      </c>
      <c r="CA1969" s="3" t="s">
        <v>378</v>
      </c>
      <c r="CC1969" s="3" t="s">
        <v>76</v>
      </c>
      <c r="CD1969" s="3">
        <v>1601</v>
      </c>
      <c r="CE1969" s="3" t="s">
        <v>93</v>
      </c>
      <c r="CF1969" s="4">
        <v>44587</v>
      </c>
      <c r="CI1969" s="3">
        <v>1</v>
      </c>
      <c r="CJ1969" s="3">
        <v>1</v>
      </c>
      <c r="CK1969" s="3">
        <v>22</v>
      </c>
      <c r="CL1969" s="3" t="s">
        <v>87</v>
      </c>
    </row>
    <row r="1970" spans="1:90" x14ac:dyDescent="0.2">
      <c r="A1970" s="3" t="s">
        <v>72</v>
      </c>
      <c r="B1970" s="3" t="s">
        <v>73</v>
      </c>
      <c r="C1970" s="3" t="s">
        <v>74</v>
      </c>
      <c r="E1970" s="3" t="str">
        <f>"FES1162846714"</f>
        <v>FES1162846714</v>
      </c>
      <c r="F1970" s="4">
        <v>44586</v>
      </c>
      <c r="G1970" s="3">
        <v>202207</v>
      </c>
      <c r="H1970" s="3" t="s">
        <v>75</v>
      </c>
      <c r="I1970" s="3" t="s">
        <v>76</v>
      </c>
      <c r="J1970" s="3" t="s">
        <v>77</v>
      </c>
      <c r="K1970" s="3" t="s">
        <v>78</v>
      </c>
      <c r="L1970" s="3" t="s">
        <v>101</v>
      </c>
      <c r="M1970" s="3" t="s">
        <v>102</v>
      </c>
      <c r="N1970" s="3" t="s">
        <v>170</v>
      </c>
      <c r="O1970" s="3" t="s">
        <v>82</v>
      </c>
      <c r="P1970" s="3" t="str">
        <f>"2170805104                    "</f>
        <v xml:space="preserve">2170805104                    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34.770000000000003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v>0</v>
      </c>
      <c r="BA1970" s="3">
        <v>0</v>
      </c>
      <c r="BB1970" s="3">
        <v>0</v>
      </c>
      <c r="BC1970" s="3">
        <v>0</v>
      </c>
      <c r="BD1970" s="3">
        <v>0</v>
      </c>
      <c r="BE1970" s="3">
        <v>0</v>
      </c>
      <c r="BF1970" s="3">
        <v>0</v>
      </c>
      <c r="BG1970" s="3">
        <v>0</v>
      </c>
      <c r="BH1970" s="3">
        <v>1</v>
      </c>
      <c r="BI1970" s="3">
        <v>2</v>
      </c>
      <c r="BJ1970" s="3">
        <v>4.0999999999999996</v>
      </c>
      <c r="BK1970" s="3">
        <v>4.5</v>
      </c>
      <c r="BL1970" s="3">
        <v>132.71</v>
      </c>
      <c r="BM1970" s="3">
        <v>19.91</v>
      </c>
      <c r="BN1970" s="3">
        <v>152.62</v>
      </c>
      <c r="BO1970" s="3">
        <v>152.62</v>
      </c>
      <c r="BQ1970" s="3" t="s">
        <v>89</v>
      </c>
      <c r="BR1970" s="3" t="s">
        <v>84</v>
      </c>
      <c r="BS1970" s="4">
        <v>44587</v>
      </c>
      <c r="BT1970" s="5">
        <v>0.58680555555555558</v>
      </c>
      <c r="BU1970" s="3" t="s">
        <v>369</v>
      </c>
      <c r="BV1970" s="3" t="s">
        <v>87</v>
      </c>
      <c r="BW1970" s="3" t="s">
        <v>353</v>
      </c>
      <c r="BX1970" s="3" t="s">
        <v>1878</v>
      </c>
      <c r="BY1970" s="3">
        <v>20358</v>
      </c>
      <c r="BZ1970" s="3" t="s">
        <v>165</v>
      </c>
      <c r="CA1970" s="3" t="s">
        <v>280</v>
      </c>
      <c r="CC1970" s="3" t="s">
        <v>102</v>
      </c>
      <c r="CD1970" s="3">
        <v>4001</v>
      </c>
      <c r="CE1970" s="3" t="s">
        <v>86</v>
      </c>
      <c r="CF1970" s="4">
        <v>44588</v>
      </c>
      <c r="CI1970" s="3">
        <v>1</v>
      </c>
      <c r="CJ1970" s="3">
        <v>1</v>
      </c>
      <c r="CK1970" s="3">
        <v>21</v>
      </c>
      <c r="CL1970" s="3" t="s">
        <v>87</v>
      </c>
    </row>
    <row r="1971" spans="1:90" x14ac:dyDescent="0.2">
      <c r="A1971" s="3" t="s">
        <v>72</v>
      </c>
      <c r="B1971" s="3" t="s">
        <v>73</v>
      </c>
      <c r="C1971" s="3" t="s">
        <v>74</v>
      </c>
      <c r="E1971" s="3" t="str">
        <f>"FES1162846618"</f>
        <v>FES1162846618</v>
      </c>
      <c r="F1971" s="4">
        <v>44586</v>
      </c>
      <c r="G1971" s="3">
        <v>202207</v>
      </c>
      <c r="H1971" s="3" t="s">
        <v>75</v>
      </c>
      <c r="I1971" s="3" t="s">
        <v>76</v>
      </c>
      <c r="J1971" s="3" t="s">
        <v>77</v>
      </c>
      <c r="K1971" s="3" t="s">
        <v>78</v>
      </c>
      <c r="L1971" s="3" t="s">
        <v>79</v>
      </c>
      <c r="M1971" s="3" t="s">
        <v>80</v>
      </c>
      <c r="N1971" s="3" t="s">
        <v>1719</v>
      </c>
      <c r="O1971" s="3" t="s">
        <v>82</v>
      </c>
      <c r="P1971" s="3" t="str">
        <f>"2170812215                    "</f>
        <v xml:space="preserve">2170812215                    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34.770000000000003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0</v>
      </c>
      <c r="AZ1971" s="3">
        <v>0</v>
      </c>
      <c r="BA1971" s="3">
        <v>0</v>
      </c>
      <c r="BB1971" s="3">
        <v>0</v>
      </c>
      <c r="BC1971" s="3">
        <v>0</v>
      </c>
      <c r="BD1971" s="3">
        <v>0</v>
      </c>
      <c r="BE1971" s="3">
        <v>0</v>
      </c>
      <c r="BF1971" s="3">
        <v>0</v>
      </c>
      <c r="BG1971" s="3">
        <v>0</v>
      </c>
      <c r="BH1971" s="3">
        <v>1</v>
      </c>
      <c r="BI1971" s="3">
        <v>4</v>
      </c>
      <c r="BJ1971" s="3">
        <v>4.0999999999999996</v>
      </c>
      <c r="BK1971" s="3">
        <v>4.5</v>
      </c>
      <c r="BL1971" s="3">
        <v>132.71</v>
      </c>
      <c r="BM1971" s="3">
        <v>19.91</v>
      </c>
      <c r="BN1971" s="3">
        <v>152.62</v>
      </c>
      <c r="BO1971" s="3">
        <v>152.62</v>
      </c>
      <c r="BQ1971" s="3" t="s">
        <v>89</v>
      </c>
      <c r="BR1971" s="3" t="s">
        <v>84</v>
      </c>
      <c r="BS1971" s="4">
        <v>44587</v>
      </c>
      <c r="BT1971" s="5">
        <v>0.38194444444444442</v>
      </c>
      <c r="BU1971" s="3" t="s">
        <v>2122</v>
      </c>
      <c r="BV1971" s="3" t="s">
        <v>105</v>
      </c>
      <c r="BY1971" s="3">
        <v>20358</v>
      </c>
      <c r="BZ1971" s="3" t="s">
        <v>165</v>
      </c>
      <c r="CA1971" s="3" t="s">
        <v>366</v>
      </c>
      <c r="CC1971" s="3" t="s">
        <v>80</v>
      </c>
      <c r="CD1971" s="3">
        <v>200</v>
      </c>
      <c r="CE1971" s="3" t="s">
        <v>86</v>
      </c>
      <c r="CF1971" s="4">
        <v>44588</v>
      </c>
      <c r="CI1971" s="3">
        <v>1</v>
      </c>
      <c r="CJ1971" s="3">
        <v>1</v>
      </c>
      <c r="CK1971" s="3">
        <v>21</v>
      </c>
      <c r="CL1971" s="3" t="s">
        <v>87</v>
      </c>
    </row>
    <row r="1972" spans="1:90" x14ac:dyDescent="0.2">
      <c r="A1972" s="3" t="s">
        <v>72</v>
      </c>
      <c r="B1972" s="3" t="s">
        <v>73</v>
      </c>
      <c r="C1972" s="3" t="s">
        <v>74</v>
      </c>
      <c r="E1972" s="3" t="str">
        <f>"FES1162846628"</f>
        <v>FES1162846628</v>
      </c>
      <c r="F1972" s="4">
        <v>44586</v>
      </c>
      <c r="G1972" s="3">
        <v>202207</v>
      </c>
      <c r="H1972" s="3" t="s">
        <v>75</v>
      </c>
      <c r="I1972" s="3" t="s">
        <v>76</v>
      </c>
      <c r="J1972" s="3" t="s">
        <v>77</v>
      </c>
      <c r="K1972" s="3" t="s">
        <v>78</v>
      </c>
      <c r="L1972" s="3" t="s">
        <v>123</v>
      </c>
      <c r="M1972" s="3" t="s">
        <v>124</v>
      </c>
      <c r="N1972" s="3" t="s">
        <v>193</v>
      </c>
      <c r="O1972" s="3" t="s">
        <v>82</v>
      </c>
      <c r="P1972" s="3" t="str">
        <f>"2170816790                    "</f>
        <v xml:space="preserve">2170816790                    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12.07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v>0</v>
      </c>
      <c r="BA1972" s="3">
        <v>0</v>
      </c>
      <c r="BB1972" s="3">
        <v>0</v>
      </c>
      <c r="BC1972" s="3">
        <v>0</v>
      </c>
      <c r="BD1972" s="3">
        <v>0</v>
      </c>
      <c r="BE1972" s="3">
        <v>0</v>
      </c>
      <c r="BF1972" s="3">
        <v>0</v>
      </c>
      <c r="BG1972" s="3">
        <v>0</v>
      </c>
      <c r="BH1972" s="3">
        <v>1</v>
      </c>
      <c r="BI1972" s="3">
        <v>8</v>
      </c>
      <c r="BJ1972" s="3">
        <v>1.8</v>
      </c>
      <c r="BK1972" s="3">
        <v>8</v>
      </c>
      <c r="BL1972" s="3">
        <v>46.08</v>
      </c>
      <c r="BM1972" s="3">
        <v>6.91</v>
      </c>
      <c r="BN1972" s="3">
        <v>52.99</v>
      </c>
      <c r="BO1972" s="3">
        <v>52.99</v>
      </c>
      <c r="BQ1972" s="3" t="s">
        <v>83</v>
      </c>
      <c r="BR1972" s="3" t="s">
        <v>84</v>
      </c>
      <c r="BS1972" s="4">
        <v>44587</v>
      </c>
      <c r="BT1972" s="5">
        <v>0.35347222222222219</v>
      </c>
      <c r="BU1972" s="3" t="s">
        <v>1864</v>
      </c>
      <c r="BV1972" s="3" t="s">
        <v>105</v>
      </c>
      <c r="BY1972" s="3">
        <v>9044</v>
      </c>
      <c r="BZ1972" s="3" t="s">
        <v>165</v>
      </c>
      <c r="CA1972" s="3" t="s">
        <v>320</v>
      </c>
      <c r="CC1972" s="3" t="s">
        <v>124</v>
      </c>
      <c r="CD1972" s="3">
        <v>1709</v>
      </c>
      <c r="CE1972" s="3" t="s">
        <v>86</v>
      </c>
      <c r="CF1972" s="4">
        <v>44587</v>
      </c>
      <c r="CI1972" s="3">
        <v>1</v>
      </c>
      <c r="CJ1972" s="3">
        <v>1</v>
      </c>
      <c r="CK1972" s="3">
        <v>22</v>
      </c>
      <c r="CL1972" s="3" t="s">
        <v>87</v>
      </c>
    </row>
    <row r="1973" spans="1:90" x14ac:dyDescent="0.2">
      <c r="A1973" s="3" t="s">
        <v>72</v>
      </c>
      <c r="B1973" s="3" t="s">
        <v>73</v>
      </c>
      <c r="C1973" s="3" t="s">
        <v>74</v>
      </c>
      <c r="E1973" s="3" t="str">
        <f>"FES1162846700"</f>
        <v>FES1162846700</v>
      </c>
      <c r="F1973" s="4">
        <v>44586</v>
      </c>
      <c r="G1973" s="3">
        <v>202207</v>
      </c>
      <c r="H1973" s="3" t="s">
        <v>75</v>
      </c>
      <c r="I1973" s="3" t="s">
        <v>76</v>
      </c>
      <c r="J1973" s="3" t="s">
        <v>77</v>
      </c>
      <c r="K1973" s="3" t="s">
        <v>78</v>
      </c>
      <c r="L1973" s="3" t="s">
        <v>79</v>
      </c>
      <c r="M1973" s="3" t="s">
        <v>80</v>
      </c>
      <c r="N1973" s="3" t="s">
        <v>1290</v>
      </c>
      <c r="O1973" s="3" t="s">
        <v>82</v>
      </c>
      <c r="P1973" s="3" t="str">
        <f>"2170818076                    "</f>
        <v xml:space="preserve">2170818076                    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50.22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v>0</v>
      </c>
      <c r="BA1973" s="3">
        <v>0</v>
      </c>
      <c r="BB1973" s="3">
        <v>0</v>
      </c>
      <c r="BC1973" s="3">
        <v>0</v>
      </c>
      <c r="BD1973" s="3">
        <v>0</v>
      </c>
      <c r="BE1973" s="3">
        <v>0</v>
      </c>
      <c r="BF1973" s="3">
        <v>0</v>
      </c>
      <c r="BG1973" s="3">
        <v>0</v>
      </c>
      <c r="BH1973" s="3">
        <v>1</v>
      </c>
      <c r="BI1973" s="3">
        <v>4</v>
      </c>
      <c r="BJ1973" s="3">
        <v>6.4</v>
      </c>
      <c r="BK1973" s="3">
        <v>6.5</v>
      </c>
      <c r="BL1973" s="3">
        <v>191.68</v>
      </c>
      <c r="BM1973" s="3">
        <v>28.75</v>
      </c>
      <c r="BN1973" s="3">
        <v>220.43</v>
      </c>
      <c r="BO1973" s="3">
        <v>220.43</v>
      </c>
      <c r="BQ1973" s="3" t="s">
        <v>89</v>
      </c>
      <c r="BR1973" s="3" t="s">
        <v>84</v>
      </c>
      <c r="BS1973" s="4">
        <v>44587</v>
      </c>
      <c r="BT1973" s="5">
        <v>0.43055555555555558</v>
      </c>
      <c r="BU1973" s="3" t="s">
        <v>1537</v>
      </c>
      <c r="BV1973" s="3" t="s">
        <v>105</v>
      </c>
      <c r="BY1973" s="3">
        <v>31850</v>
      </c>
      <c r="BZ1973" s="3" t="s">
        <v>165</v>
      </c>
      <c r="CA1973" s="3" t="s">
        <v>366</v>
      </c>
      <c r="CC1973" s="3" t="s">
        <v>80</v>
      </c>
      <c r="CD1973" s="3">
        <v>200</v>
      </c>
      <c r="CE1973" s="3" t="s">
        <v>86</v>
      </c>
      <c r="CF1973" s="4">
        <v>44588</v>
      </c>
      <c r="CI1973" s="3">
        <v>1</v>
      </c>
      <c r="CJ1973" s="3">
        <v>1</v>
      </c>
      <c r="CK1973" s="3">
        <v>21</v>
      </c>
      <c r="CL1973" s="3" t="s">
        <v>87</v>
      </c>
    </row>
    <row r="1974" spans="1:90" x14ac:dyDescent="0.2">
      <c r="A1974" s="3" t="s">
        <v>72</v>
      </c>
      <c r="B1974" s="3" t="s">
        <v>73</v>
      </c>
      <c r="C1974" s="3" t="s">
        <v>74</v>
      </c>
      <c r="E1974" s="3" t="str">
        <f>"FES1162846737"</f>
        <v>FES1162846737</v>
      </c>
      <c r="F1974" s="4">
        <v>44586</v>
      </c>
      <c r="G1974" s="3">
        <v>202207</v>
      </c>
      <c r="H1974" s="3" t="s">
        <v>75</v>
      </c>
      <c r="I1974" s="3" t="s">
        <v>76</v>
      </c>
      <c r="J1974" s="3" t="s">
        <v>77</v>
      </c>
      <c r="K1974" s="3" t="s">
        <v>78</v>
      </c>
      <c r="L1974" s="3" t="s">
        <v>90</v>
      </c>
      <c r="M1974" s="3" t="s">
        <v>91</v>
      </c>
      <c r="N1974" s="3" t="s">
        <v>584</v>
      </c>
      <c r="O1974" s="3" t="s">
        <v>82</v>
      </c>
      <c r="P1974" s="3" t="str">
        <f>"2170815655                    "</f>
        <v xml:space="preserve">2170815655                    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15.46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v>0</v>
      </c>
      <c r="BA1974" s="3">
        <v>0</v>
      </c>
      <c r="BB1974" s="3">
        <v>0</v>
      </c>
      <c r="BC1974" s="3">
        <v>0</v>
      </c>
      <c r="BD1974" s="3">
        <v>0</v>
      </c>
      <c r="BE1974" s="3">
        <v>0</v>
      </c>
      <c r="BF1974" s="3">
        <v>0</v>
      </c>
      <c r="BG1974" s="3">
        <v>0</v>
      </c>
      <c r="BH1974" s="3">
        <v>1</v>
      </c>
      <c r="BI1974" s="3">
        <v>1</v>
      </c>
      <c r="BJ1974" s="3">
        <v>0.2</v>
      </c>
      <c r="BK1974" s="3">
        <v>1</v>
      </c>
      <c r="BL1974" s="3">
        <v>59</v>
      </c>
      <c r="BM1974" s="3">
        <v>8.85</v>
      </c>
      <c r="BN1974" s="3">
        <v>67.849999999999994</v>
      </c>
      <c r="BO1974" s="3">
        <v>67.849999999999994</v>
      </c>
      <c r="BQ1974" s="3" t="s">
        <v>83</v>
      </c>
      <c r="BR1974" s="3" t="s">
        <v>84</v>
      </c>
      <c r="BS1974" s="4">
        <v>44587</v>
      </c>
      <c r="BT1974" s="5">
        <v>0.32847222222222222</v>
      </c>
      <c r="BU1974" s="3" t="s">
        <v>959</v>
      </c>
      <c r="BV1974" s="3" t="s">
        <v>105</v>
      </c>
      <c r="BY1974" s="3">
        <v>1200</v>
      </c>
      <c r="BZ1974" s="3" t="s">
        <v>165</v>
      </c>
      <c r="CA1974" s="3" t="s">
        <v>543</v>
      </c>
      <c r="CC1974" s="3" t="s">
        <v>91</v>
      </c>
      <c r="CD1974" s="3">
        <v>7530</v>
      </c>
      <c r="CE1974" s="3" t="s">
        <v>93</v>
      </c>
      <c r="CF1974" s="4">
        <v>44588</v>
      </c>
      <c r="CI1974" s="3">
        <v>1</v>
      </c>
      <c r="CJ1974" s="3">
        <v>1</v>
      </c>
      <c r="CK1974" s="3">
        <v>21</v>
      </c>
      <c r="CL1974" s="3" t="s">
        <v>87</v>
      </c>
    </row>
    <row r="1975" spans="1:90" x14ac:dyDescent="0.2">
      <c r="A1975" s="3" t="s">
        <v>72</v>
      </c>
      <c r="B1975" s="3" t="s">
        <v>73</v>
      </c>
      <c r="C1975" s="3" t="s">
        <v>74</v>
      </c>
      <c r="E1975" s="3" t="str">
        <f>"FES1162846744"</f>
        <v>FES1162846744</v>
      </c>
      <c r="F1975" s="4">
        <v>44586</v>
      </c>
      <c r="G1975" s="3">
        <v>202207</v>
      </c>
      <c r="H1975" s="3" t="s">
        <v>75</v>
      </c>
      <c r="I1975" s="3" t="s">
        <v>76</v>
      </c>
      <c r="J1975" s="3" t="s">
        <v>77</v>
      </c>
      <c r="K1975" s="3" t="s">
        <v>78</v>
      </c>
      <c r="L1975" s="3" t="s">
        <v>167</v>
      </c>
      <c r="M1975" s="3" t="s">
        <v>168</v>
      </c>
      <c r="N1975" s="3" t="s">
        <v>247</v>
      </c>
      <c r="O1975" s="3" t="s">
        <v>82</v>
      </c>
      <c r="P1975" s="3" t="str">
        <f>"2170815956                    "</f>
        <v xml:space="preserve">2170815956                    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15.46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v>0</v>
      </c>
      <c r="BA1975" s="3">
        <v>0</v>
      </c>
      <c r="BB1975" s="3">
        <v>0</v>
      </c>
      <c r="BC1975" s="3">
        <v>0</v>
      </c>
      <c r="BD1975" s="3">
        <v>0</v>
      </c>
      <c r="BE1975" s="3">
        <v>0</v>
      </c>
      <c r="BF1975" s="3">
        <v>0</v>
      </c>
      <c r="BG1975" s="3">
        <v>0</v>
      </c>
      <c r="BH1975" s="3">
        <v>1</v>
      </c>
      <c r="BI1975" s="3">
        <v>1</v>
      </c>
      <c r="BJ1975" s="3">
        <v>0.2</v>
      </c>
      <c r="BK1975" s="3">
        <v>1</v>
      </c>
      <c r="BL1975" s="3">
        <v>59</v>
      </c>
      <c r="BM1975" s="3">
        <v>8.85</v>
      </c>
      <c r="BN1975" s="3">
        <v>67.849999999999994</v>
      </c>
      <c r="BO1975" s="3">
        <v>67.849999999999994</v>
      </c>
      <c r="BQ1975" s="3" t="s">
        <v>89</v>
      </c>
      <c r="BR1975" s="3" t="s">
        <v>84</v>
      </c>
      <c r="BS1975" s="4">
        <v>44587</v>
      </c>
      <c r="BT1975" s="5">
        <v>0.3444444444444445</v>
      </c>
      <c r="BU1975" s="3" t="s">
        <v>2123</v>
      </c>
      <c r="BV1975" s="3" t="s">
        <v>105</v>
      </c>
      <c r="BY1975" s="3">
        <v>1200</v>
      </c>
      <c r="BZ1975" s="3" t="s">
        <v>165</v>
      </c>
      <c r="CA1975" s="3" t="s">
        <v>553</v>
      </c>
      <c r="CC1975" s="3" t="s">
        <v>168</v>
      </c>
      <c r="CD1975" s="3">
        <v>6229</v>
      </c>
      <c r="CE1975" s="3" t="s">
        <v>93</v>
      </c>
      <c r="CF1975" s="4">
        <v>44587</v>
      </c>
      <c r="CI1975" s="3">
        <v>1</v>
      </c>
      <c r="CJ1975" s="3">
        <v>1</v>
      </c>
      <c r="CK1975" s="3">
        <v>21</v>
      </c>
      <c r="CL1975" s="3" t="s">
        <v>87</v>
      </c>
    </row>
    <row r="1976" spans="1:90" x14ac:dyDescent="0.2">
      <c r="A1976" s="3" t="s">
        <v>72</v>
      </c>
      <c r="B1976" s="3" t="s">
        <v>73</v>
      </c>
      <c r="C1976" s="3" t="s">
        <v>74</v>
      </c>
      <c r="E1976" s="3" t="str">
        <f>"FES1162846788"</f>
        <v>FES1162846788</v>
      </c>
      <c r="F1976" s="4">
        <v>44586</v>
      </c>
      <c r="G1976" s="3">
        <v>202207</v>
      </c>
      <c r="H1976" s="3" t="s">
        <v>75</v>
      </c>
      <c r="I1976" s="3" t="s">
        <v>76</v>
      </c>
      <c r="J1976" s="3" t="s">
        <v>77</v>
      </c>
      <c r="K1976" s="3" t="s">
        <v>78</v>
      </c>
      <c r="L1976" s="3" t="s">
        <v>184</v>
      </c>
      <c r="M1976" s="3" t="s">
        <v>185</v>
      </c>
      <c r="N1976" s="3" t="s">
        <v>979</v>
      </c>
      <c r="O1976" s="3" t="s">
        <v>82</v>
      </c>
      <c r="P1976" s="3" t="str">
        <f>"2170816998                    "</f>
        <v xml:space="preserve">2170816998                    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15.46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v>0</v>
      </c>
      <c r="BA1976" s="3">
        <v>0</v>
      </c>
      <c r="BB1976" s="3">
        <v>0</v>
      </c>
      <c r="BC1976" s="3">
        <v>0</v>
      </c>
      <c r="BD1976" s="3">
        <v>0</v>
      </c>
      <c r="BE1976" s="3">
        <v>0</v>
      </c>
      <c r="BF1976" s="3">
        <v>0</v>
      </c>
      <c r="BG1976" s="3">
        <v>0</v>
      </c>
      <c r="BH1976" s="3">
        <v>1</v>
      </c>
      <c r="BI1976" s="3">
        <v>1</v>
      </c>
      <c r="BJ1976" s="3">
        <v>0.2</v>
      </c>
      <c r="BK1976" s="3">
        <v>1</v>
      </c>
      <c r="BL1976" s="3">
        <v>59</v>
      </c>
      <c r="BM1976" s="3">
        <v>8.85</v>
      </c>
      <c r="BN1976" s="3">
        <v>67.849999999999994</v>
      </c>
      <c r="BO1976" s="3">
        <v>67.849999999999994</v>
      </c>
      <c r="BQ1976" s="3" t="s">
        <v>83</v>
      </c>
      <c r="BR1976" s="3" t="s">
        <v>84</v>
      </c>
      <c r="BS1976" s="4">
        <v>44588</v>
      </c>
      <c r="BT1976" s="5">
        <v>0.49861111111111112</v>
      </c>
      <c r="BU1976" s="3" t="s">
        <v>2124</v>
      </c>
      <c r="BV1976" s="3" t="s">
        <v>87</v>
      </c>
      <c r="BW1976" s="3" t="s">
        <v>353</v>
      </c>
      <c r="BX1976" s="3" t="s">
        <v>605</v>
      </c>
      <c r="BY1976" s="3">
        <v>1200</v>
      </c>
      <c r="BZ1976" s="3" t="s">
        <v>165</v>
      </c>
      <c r="CA1976" s="3" t="s">
        <v>2125</v>
      </c>
      <c r="CC1976" s="3" t="s">
        <v>185</v>
      </c>
      <c r="CD1976" s="3">
        <v>5201</v>
      </c>
      <c r="CE1976" s="3" t="s">
        <v>93</v>
      </c>
      <c r="CF1976" s="4">
        <v>44588</v>
      </c>
      <c r="CI1976" s="3">
        <v>1</v>
      </c>
      <c r="CJ1976" s="3">
        <v>2</v>
      </c>
      <c r="CK1976" s="3">
        <v>21</v>
      </c>
      <c r="CL1976" s="3" t="s">
        <v>87</v>
      </c>
    </row>
    <row r="1977" spans="1:90" x14ac:dyDescent="0.2">
      <c r="A1977" s="3" t="s">
        <v>72</v>
      </c>
      <c r="B1977" s="3" t="s">
        <v>73</v>
      </c>
      <c r="C1977" s="3" t="s">
        <v>74</v>
      </c>
      <c r="E1977" s="3" t="str">
        <f>"FES1162846561"</f>
        <v>FES1162846561</v>
      </c>
      <c r="F1977" s="4">
        <v>44586</v>
      </c>
      <c r="G1977" s="3">
        <v>202207</v>
      </c>
      <c r="H1977" s="3" t="s">
        <v>75</v>
      </c>
      <c r="I1977" s="3" t="s">
        <v>76</v>
      </c>
      <c r="J1977" s="3" t="s">
        <v>77</v>
      </c>
      <c r="K1977" s="3" t="s">
        <v>78</v>
      </c>
      <c r="L1977" s="3" t="s">
        <v>75</v>
      </c>
      <c r="M1977" s="3" t="s">
        <v>76</v>
      </c>
      <c r="N1977" s="3" t="s">
        <v>147</v>
      </c>
      <c r="O1977" s="3" t="s">
        <v>82</v>
      </c>
      <c r="P1977" s="3" t="str">
        <f>"2170815828                    "</f>
        <v xml:space="preserve">2170815828                    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12.07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v>0</v>
      </c>
      <c r="BA1977" s="3">
        <v>0</v>
      </c>
      <c r="BB1977" s="3">
        <v>0</v>
      </c>
      <c r="BC1977" s="3">
        <v>0</v>
      </c>
      <c r="BD1977" s="3">
        <v>0</v>
      </c>
      <c r="BE1977" s="3">
        <v>0</v>
      </c>
      <c r="BF1977" s="3">
        <v>0</v>
      </c>
      <c r="BG1977" s="3">
        <v>0</v>
      </c>
      <c r="BH1977" s="3">
        <v>1</v>
      </c>
      <c r="BI1977" s="3">
        <v>1</v>
      </c>
      <c r="BJ1977" s="3">
        <v>0.2</v>
      </c>
      <c r="BK1977" s="3">
        <v>1</v>
      </c>
      <c r="BL1977" s="3">
        <v>46.08</v>
      </c>
      <c r="BM1977" s="3">
        <v>6.91</v>
      </c>
      <c r="BN1977" s="3">
        <v>52.99</v>
      </c>
      <c r="BO1977" s="3">
        <v>52.99</v>
      </c>
      <c r="BQ1977" s="3" t="s">
        <v>89</v>
      </c>
      <c r="BR1977" s="3" t="s">
        <v>84</v>
      </c>
      <c r="BS1977" s="4">
        <v>44587</v>
      </c>
      <c r="BT1977" s="5">
        <v>0.40069444444444446</v>
      </c>
      <c r="BU1977" s="3" t="s">
        <v>656</v>
      </c>
      <c r="BV1977" s="3" t="s">
        <v>105</v>
      </c>
      <c r="BY1977" s="3">
        <v>1200</v>
      </c>
      <c r="BZ1977" s="3" t="s">
        <v>165</v>
      </c>
      <c r="CA1977" s="3" t="s">
        <v>477</v>
      </c>
      <c r="CC1977" s="3" t="s">
        <v>76</v>
      </c>
      <c r="CD1977" s="3">
        <v>1645</v>
      </c>
      <c r="CE1977" s="3" t="s">
        <v>86</v>
      </c>
      <c r="CF1977" s="4">
        <v>44588</v>
      </c>
      <c r="CI1977" s="3">
        <v>1</v>
      </c>
      <c r="CJ1977" s="3">
        <v>1</v>
      </c>
      <c r="CK1977" s="3">
        <v>22</v>
      </c>
      <c r="CL1977" s="3" t="s">
        <v>87</v>
      </c>
    </row>
    <row r="1978" spans="1:90" x14ac:dyDescent="0.2">
      <c r="A1978" s="3" t="s">
        <v>72</v>
      </c>
      <c r="B1978" s="3" t="s">
        <v>73</v>
      </c>
      <c r="C1978" s="3" t="s">
        <v>74</v>
      </c>
      <c r="E1978" s="3" t="str">
        <f>"FES1162846760"</f>
        <v>FES1162846760</v>
      </c>
      <c r="F1978" s="4">
        <v>44586</v>
      </c>
      <c r="G1978" s="3">
        <v>202207</v>
      </c>
      <c r="H1978" s="3" t="s">
        <v>75</v>
      </c>
      <c r="I1978" s="3" t="s">
        <v>76</v>
      </c>
      <c r="J1978" s="3" t="s">
        <v>77</v>
      </c>
      <c r="K1978" s="3" t="s">
        <v>78</v>
      </c>
      <c r="L1978" s="3" t="s">
        <v>258</v>
      </c>
      <c r="M1978" s="3" t="s">
        <v>259</v>
      </c>
      <c r="N1978" s="3" t="s">
        <v>260</v>
      </c>
      <c r="O1978" s="3" t="s">
        <v>82</v>
      </c>
      <c r="P1978" s="3" t="str">
        <f>"2170816149                    "</f>
        <v xml:space="preserve">2170816149                    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21.74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v>0</v>
      </c>
      <c r="BA1978" s="3">
        <v>0</v>
      </c>
      <c r="BB1978" s="3">
        <v>0</v>
      </c>
      <c r="BC1978" s="3">
        <v>0</v>
      </c>
      <c r="BD1978" s="3">
        <v>0</v>
      </c>
      <c r="BE1978" s="3">
        <v>0</v>
      </c>
      <c r="BF1978" s="3">
        <v>0</v>
      </c>
      <c r="BG1978" s="3">
        <v>0</v>
      </c>
      <c r="BH1978" s="3">
        <v>1</v>
      </c>
      <c r="BI1978" s="3">
        <v>1</v>
      </c>
      <c r="BJ1978" s="3">
        <v>0.2</v>
      </c>
      <c r="BK1978" s="3">
        <v>1</v>
      </c>
      <c r="BL1978" s="3">
        <v>82.98</v>
      </c>
      <c r="BM1978" s="3">
        <v>12.45</v>
      </c>
      <c r="BN1978" s="3">
        <v>95.43</v>
      </c>
      <c r="BO1978" s="3">
        <v>95.43</v>
      </c>
      <c r="BQ1978" s="3" t="s">
        <v>83</v>
      </c>
      <c r="BR1978" s="3" t="s">
        <v>84</v>
      </c>
      <c r="BS1978" s="4">
        <v>44587</v>
      </c>
      <c r="BT1978" s="5">
        <v>0.56736111111111109</v>
      </c>
      <c r="BU1978" s="3" t="s">
        <v>2126</v>
      </c>
      <c r="BV1978" s="3" t="s">
        <v>87</v>
      </c>
      <c r="BW1978" s="3" t="s">
        <v>353</v>
      </c>
      <c r="BX1978" s="3" t="s">
        <v>618</v>
      </c>
      <c r="BY1978" s="3">
        <v>1200</v>
      </c>
      <c r="BZ1978" s="3" t="s">
        <v>165</v>
      </c>
      <c r="CA1978" s="3" t="s">
        <v>724</v>
      </c>
      <c r="CC1978" s="3" t="s">
        <v>259</v>
      </c>
      <c r="CD1978" s="3">
        <v>2302</v>
      </c>
      <c r="CE1978" s="3" t="s">
        <v>93</v>
      </c>
      <c r="CF1978" s="4">
        <v>44588</v>
      </c>
      <c r="CI1978" s="3">
        <v>1</v>
      </c>
      <c r="CJ1978" s="3">
        <v>1</v>
      </c>
      <c r="CK1978" s="3">
        <v>24</v>
      </c>
      <c r="CL1978" s="3" t="s">
        <v>87</v>
      </c>
    </row>
    <row r="1979" spans="1:90" x14ac:dyDescent="0.2">
      <c r="A1979" s="3" t="s">
        <v>72</v>
      </c>
      <c r="B1979" s="3" t="s">
        <v>73</v>
      </c>
      <c r="C1979" s="3" t="s">
        <v>74</v>
      </c>
      <c r="E1979" s="3" t="str">
        <f>"FES1162846683"</f>
        <v>FES1162846683</v>
      </c>
      <c r="F1979" s="4">
        <v>44586</v>
      </c>
      <c r="G1979" s="3">
        <v>202207</v>
      </c>
      <c r="H1979" s="3" t="s">
        <v>75</v>
      </c>
      <c r="I1979" s="3" t="s">
        <v>76</v>
      </c>
      <c r="J1979" s="3" t="s">
        <v>77</v>
      </c>
      <c r="K1979" s="3" t="s">
        <v>78</v>
      </c>
      <c r="L1979" s="3" t="s">
        <v>171</v>
      </c>
      <c r="M1979" s="3" t="s">
        <v>172</v>
      </c>
      <c r="N1979" s="3" t="s">
        <v>725</v>
      </c>
      <c r="O1979" s="3" t="s">
        <v>82</v>
      </c>
      <c r="P1979" s="3" t="str">
        <f>"2170816229                    "</f>
        <v xml:space="preserve">2170816229                    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15.46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v>0</v>
      </c>
      <c r="BA1979" s="3">
        <v>0</v>
      </c>
      <c r="BB1979" s="3">
        <v>0</v>
      </c>
      <c r="BC1979" s="3">
        <v>0</v>
      </c>
      <c r="BD1979" s="3">
        <v>0</v>
      </c>
      <c r="BE1979" s="3">
        <v>0</v>
      </c>
      <c r="BF1979" s="3">
        <v>0</v>
      </c>
      <c r="BG1979" s="3">
        <v>0</v>
      </c>
      <c r="BH1979" s="3">
        <v>1</v>
      </c>
      <c r="BI1979" s="3">
        <v>1</v>
      </c>
      <c r="BJ1979" s="3">
        <v>0.2</v>
      </c>
      <c r="BK1979" s="3">
        <v>1</v>
      </c>
      <c r="BL1979" s="3">
        <v>59</v>
      </c>
      <c r="BM1979" s="3">
        <v>8.85</v>
      </c>
      <c r="BN1979" s="3">
        <v>67.849999999999994</v>
      </c>
      <c r="BO1979" s="3">
        <v>67.849999999999994</v>
      </c>
      <c r="BQ1979" s="3" t="s">
        <v>83</v>
      </c>
      <c r="BR1979" s="3" t="s">
        <v>84</v>
      </c>
      <c r="BS1979" s="4">
        <v>44587</v>
      </c>
      <c r="BT1979" s="5">
        <v>0.34652777777777777</v>
      </c>
      <c r="BU1979" s="3" t="s">
        <v>2061</v>
      </c>
      <c r="BV1979" s="3" t="s">
        <v>105</v>
      </c>
      <c r="BY1979" s="3">
        <v>1200</v>
      </c>
      <c r="BZ1979" s="3" t="s">
        <v>165</v>
      </c>
      <c r="CA1979" s="3" t="s">
        <v>408</v>
      </c>
      <c r="CC1979" s="3" t="s">
        <v>172</v>
      </c>
      <c r="CD1979" s="3">
        <v>6001</v>
      </c>
      <c r="CE1979" s="3" t="s">
        <v>93</v>
      </c>
      <c r="CF1979" s="4">
        <v>44587</v>
      </c>
      <c r="CI1979" s="3">
        <v>1</v>
      </c>
      <c r="CJ1979" s="3">
        <v>1</v>
      </c>
      <c r="CK1979" s="3">
        <v>21</v>
      </c>
      <c r="CL1979" s="3" t="s">
        <v>87</v>
      </c>
    </row>
    <row r="1980" spans="1:90" x14ac:dyDescent="0.2">
      <c r="A1980" s="3" t="s">
        <v>72</v>
      </c>
      <c r="B1980" s="3" t="s">
        <v>73</v>
      </c>
      <c r="C1980" s="3" t="s">
        <v>74</v>
      </c>
      <c r="E1980" s="3" t="str">
        <f>"FES1162846636"</f>
        <v>FES1162846636</v>
      </c>
      <c r="F1980" s="4">
        <v>44586</v>
      </c>
      <c r="G1980" s="3">
        <v>202207</v>
      </c>
      <c r="H1980" s="3" t="s">
        <v>75</v>
      </c>
      <c r="I1980" s="3" t="s">
        <v>76</v>
      </c>
      <c r="J1980" s="3" t="s">
        <v>77</v>
      </c>
      <c r="K1980" s="3" t="s">
        <v>78</v>
      </c>
      <c r="L1980" s="3" t="s">
        <v>158</v>
      </c>
      <c r="M1980" s="3" t="s">
        <v>159</v>
      </c>
      <c r="N1980" s="3" t="s">
        <v>2127</v>
      </c>
      <c r="O1980" s="3" t="s">
        <v>82</v>
      </c>
      <c r="P1980" s="3" t="str">
        <f>"2170817667                    "</f>
        <v xml:space="preserve">2170817667                    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12.07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v>0</v>
      </c>
      <c r="BA1980" s="3">
        <v>0</v>
      </c>
      <c r="BB1980" s="3">
        <v>0</v>
      </c>
      <c r="BC1980" s="3">
        <v>0</v>
      </c>
      <c r="BD1980" s="3">
        <v>0</v>
      </c>
      <c r="BE1980" s="3">
        <v>0</v>
      </c>
      <c r="BF1980" s="3">
        <v>0</v>
      </c>
      <c r="BG1980" s="3">
        <v>0</v>
      </c>
      <c r="BH1980" s="3">
        <v>1</v>
      </c>
      <c r="BI1980" s="3">
        <v>1</v>
      </c>
      <c r="BJ1980" s="3">
        <v>0.2</v>
      </c>
      <c r="BK1980" s="3">
        <v>1</v>
      </c>
      <c r="BL1980" s="3">
        <v>46.08</v>
      </c>
      <c r="BM1980" s="3">
        <v>6.91</v>
      </c>
      <c r="BN1980" s="3">
        <v>52.99</v>
      </c>
      <c r="BO1980" s="3">
        <v>52.99</v>
      </c>
      <c r="BQ1980" s="3" t="s">
        <v>89</v>
      </c>
      <c r="BR1980" s="3" t="s">
        <v>84</v>
      </c>
      <c r="BS1980" s="4">
        <v>44587</v>
      </c>
      <c r="BT1980" s="5">
        <v>0.33680555555555558</v>
      </c>
      <c r="BU1980" s="3" t="s">
        <v>2128</v>
      </c>
      <c r="BV1980" s="3" t="s">
        <v>105</v>
      </c>
      <c r="BY1980" s="3">
        <v>1200</v>
      </c>
      <c r="BZ1980" s="3" t="s">
        <v>165</v>
      </c>
      <c r="CA1980" s="3" t="s">
        <v>763</v>
      </c>
      <c r="CC1980" s="3" t="s">
        <v>159</v>
      </c>
      <c r="CD1980" s="3">
        <v>1459</v>
      </c>
      <c r="CE1980" s="3" t="s">
        <v>93</v>
      </c>
      <c r="CF1980" s="4">
        <v>44587</v>
      </c>
      <c r="CI1980" s="3">
        <v>1</v>
      </c>
      <c r="CJ1980" s="3">
        <v>1</v>
      </c>
      <c r="CK1980" s="3">
        <v>22</v>
      </c>
      <c r="CL1980" s="3" t="s">
        <v>87</v>
      </c>
    </row>
    <row r="1981" spans="1:90" x14ac:dyDescent="0.2">
      <c r="A1981" s="3" t="s">
        <v>72</v>
      </c>
      <c r="B1981" s="3" t="s">
        <v>73</v>
      </c>
      <c r="C1981" s="3" t="s">
        <v>74</v>
      </c>
      <c r="E1981" s="3" t="str">
        <f>"FES1162846747"</f>
        <v>FES1162846747</v>
      </c>
      <c r="F1981" s="4">
        <v>44586</v>
      </c>
      <c r="G1981" s="3">
        <v>202207</v>
      </c>
      <c r="H1981" s="3" t="s">
        <v>75</v>
      </c>
      <c r="I1981" s="3" t="s">
        <v>76</v>
      </c>
      <c r="J1981" s="3" t="s">
        <v>77</v>
      </c>
      <c r="K1981" s="3" t="s">
        <v>78</v>
      </c>
      <c r="L1981" s="3" t="s">
        <v>107</v>
      </c>
      <c r="M1981" s="3" t="s">
        <v>108</v>
      </c>
      <c r="N1981" s="3" t="s">
        <v>392</v>
      </c>
      <c r="O1981" s="3" t="s">
        <v>82</v>
      </c>
      <c r="P1981" s="3" t="str">
        <f>"2170816026                    "</f>
        <v xml:space="preserve">2170816026                    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29.95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v>0</v>
      </c>
      <c r="BA1981" s="3">
        <v>0</v>
      </c>
      <c r="BB1981" s="3">
        <v>0</v>
      </c>
      <c r="BC1981" s="3">
        <v>0</v>
      </c>
      <c r="BD1981" s="3">
        <v>0</v>
      </c>
      <c r="BE1981" s="3">
        <v>0</v>
      </c>
      <c r="BF1981" s="3">
        <v>0</v>
      </c>
      <c r="BG1981" s="3">
        <v>0</v>
      </c>
      <c r="BH1981" s="3">
        <v>1</v>
      </c>
      <c r="BI1981" s="3">
        <v>1</v>
      </c>
      <c r="BJ1981" s="3">
        <v>0.2</v>
      </c>
      <c r="BK1981" s="3">
        <v>1</v>
      </c>
      <c r="BL1981" s="3">
        <v>114.31</v>
      </c>
      <c r="BM1981" s="3">
        <v>17.149999999999999</v>
      </c>
      <c r="BN1981" s="3">
        <v>131.46</v>
      </c>
      <c r="BO1981" s="3">
        <v>131.46</v>
      </c>
      <c r="BQ1981" s="3" t="s">
        <v>83</v>
      </c>
      <c r="BR1981" s="3" t="s">
        <v>84</v>
      </c>
      <c r="BS1981" s="4">
        <v>44587</v>
      </c>
      <c r="BT1981" s="5">
        <v>0.50416666666666665</v>
      </c>
      <c r="BU1981" s="3" t="s">
        <v>2129</v>
      </c>
      <c r="BV1981" s="3" t="s">
        <v>105</v>
      </c>
      <c r="BY1981" s="3">
        <v>1200</v>
      </c>
      <c r="BZ1981" s="3" t="s">
        <v>165</v>
      </c>
      <c r="CA1981" s="3" t="s">
        <v>394</v>
      </c>
      <c r="CC1981" s="3" t="s">
        <v>108</v>
      </c>
      <c r="CD1981" s="3">
        <v>6849</v>
      </c>
      <c r="CE1981" s="3" t="s">
        <v>93</v>
      </c>
      <c r="CF1981" s="4">
        <v>44588</v>
      </c>
      <c r="CI1981" s="3">
        <v>2</v>
      </c>
      <c r="CJ1981" s="3">
        <v>1</v>
      </c>
      <c r="CK1981" s="3">
        <v>23</v>
      </c>
      <c r="CL1981" s="3" t="s">
        <v>87</v>
      </c>
    </row>
    <row r="1982" spans="1:90" x14ac:dyDescent="0.2">
      <c r="A1982" s="3" t="s">
        <v>72</v>
      </c>
      <c r="B1982" s="3" t="s">
        <v>73</v>
      </c>
      <c r="C1982" s="3" t="s">
        <v>74</v>
      </c>
      <c r="E1982" s="3" t="str">
        <f>"FES1162846455"</f>
        <v>FES1162846455</v>
      </c>
      <c r="F1982" s="4">
        <v>44586</v>
      </c>
      <c r="G1982" s="3">
        <v>202207</v>
      </c>
      <c r="H1982" s="3" t="s">
        <v>75</v>
      </c>
      <c r="I1982" s="3" t="s">
        <v>76</v>
      </c>
      <c r="J1982" s="3" t="s">
        <v>77</v>
      </c>
      <c r="K1982" s="3" t="s">
        <v>78</v>
      </c>
      <c r="L1982" s="3" t="s">
        <v>184</v>
      </c>
      <c r="M1982" s="3" t="s">
        <v>185</v>
      </c>
      <c r="N1982" s="3" t="s">
        <v>503</v>
      </c>
      <c r="O1982" s="3" t="s">
        <v>82</v>
      </c>
      <c r="P1982" s="3" t="str">
        <f>"2170815534                    "</f>
        <v xml:space="preserve">2170815534                    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15.46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v>0</v>
      </c>
      <c r="BA1982" s="3">
        <v>0</v>
      </c>
      <c r="BB1982" s="3">
        <v>0</v>
      </c>
      <c r="BC1982" s="3">
        <v>0</v>
      </c>
      <c r="BD1982" s="3">
        <v>0</v>
      </c>
      <c r="BE1982" s="3">
        <v>0</v>
      </c>
      <c r="BF1982" s="3">
        <v>0</v>
      </c>
      <c r="BG1982" s="3">
        <v>0</v>
      </c>
      <c r="BH1982" s="3">
        <v>1</v>
      </c>
      <c r="BI1982" s="3">
        <v>1</v>
      </c>
      <c r="BJ1982" s="3">
        <v>0.2</v>
      </c>
      <c r="BK1982" s="3">
        <v>1</v>
      </c>
      <c r="BL1982" s="3">
        <v>59</v>
      </c>
      <c r="BM1982" s="3">
        <v>8.85</v>
      </c>
      <c r="BN1982" s="3">
        <v>67.849999999999994</v>
      </c>
      <c r="BO1982" s="3">
        <v>67.849999999999994</v>
      </c>
      <c r="BQ1982" s="3" t="s">
        <v>89</v>
      </c>
      <c r="BR1982" s="3" t="s">
        <v>84</v>
      </c>
      <c r="BS1982" s="4">
        <v>44588</v>
      </c>
      <c r="BT1982" s="5">
        <v>0.56041666666666667</v>
      </c>
      <c r="BU1982" s="3" t="s">
        <v>2130</v>
      </c>
      <c r="BV1982" s="3" t="s">
        <v>87</v>
      </c>
      <c r="BW1982" s="3" t="s">
        <v>353</v>
      </c>
      <c r="BX1982" s="3" t="s">
        <v>605</v>
      </c>
      <c r="BY1982" s="3">
        <v>1200</v>
      </c>
      <c r="BZ1982" s="3" t="s">
        <v>165</v>
      </c>
      <c r="CA1982" s="3" t="s">
        <v>1681</v>
      </c>
      <c r="CC1982" s="3" t="s">
        <v>185</v>
      </c>
      <c r="CD1982" s="3">
        <v>5201</v>
      </c>
      <c r="CE1982" s="3" t="s">
        <v>93</v>
      </c>
      <c r="CF1982" s="4">
        <v>44588</v>
      </c>
      <c r="CI1982" s="3">
        <v>1</v>
      </c>
      <c r="CJ1982" s="3">
        <v>2</v>
      </c>
      <c r="CK1982" s="3">
        <v>21</v>
      </c>
      <c r="CL1982" s="3" t="s">
        <v>87</v>
      </c>
    </row>
    <row r="1983" spans="1:90" x14ac:dyDescent="0.2">
      <c r="A1983" s="3" t="s">
        <v>72</v>
      </c>
      <c r="B1983" s="3" t="s">
        <v>73</v>
      </c>
      <c r="C1983" s="3" t="s">
        <v>74</v>
      </c>
      <c r="E1983" s="3" t="str">
        <f>"FES1162846786"</f>
        <v>FES1162846786</v>
      </c>
      <c r="F1983" s="4">
        <v>44586</v>
      </c>
      <c r="G1983" s="3">
        <v>202207</v>
      </c>
      <c r="H1983" s="3" t="s">
        <v>75</v>
      </c>
      <c r="I1983" s="3" t="s">
        <v>76</v>
      </c>
      <c r="J1983" s="3" t="s">
        <v>77</v>
      </c>
      <c r="K1983" s="3" t="s">
        <v>78</v>
      </c>
      <c r="L1983" s="3" t="s">
        <v>115</v>
      </c>
      <c r="M1983" s="3" t="s">
        <v>116</v>
      </c>
      <c r="N1983" s="3" t="s">
        <v>164</v>
      </c>
      <c r="O1983" s="3" t="s">
        <v>82</v>
      </c>
      <c r="P1983" s="3" t="str">
        <f>"2170816861                    "</f>
        <v xml:space="preserve">2170816861                    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12.07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v>0</v>
      </c>
      <c r="BA1983" s="3">
        <v>0</v>
      </c>
      <c r="BB1983" s="3">
        <v>0</v>
      </c>
      <c r="BC1983" s="3">
        <v>0</v>
      </c>
      <c r="BD1983" s="3">
        <v>0</v>
      </c>
      <c r="BE1983" s="3">
        <v>0</v>
      </c>
      <c r="BF1983" s="3">
        <v>0</v>
      </c>
      <c r="BG1983" s="3">
        <v>0</v>
      </c>
      <c r="BH1983" s="3">
        <v>1</v>
      </c>
      <c r="BI1983" s="3">
        <v>1</v>
      </c>
      <c r="BJ1983" s="3">
        <v>0.2</v>
      </c>
      <c r="BK1983" s="3">
        <v>1</v>
      </c>
      <c r="BL1983" s="3">
        <v>46.08</v>
      </c>
      <c r="BM1983" s="3">
        <v>6.91</v>
      </c>
      <c r="BN1983" s="3">
        <v>52.99</v>
      </c>
      <c r="BO1983" s="3">
        <v>52.99</v>
      </c>
      <c r="BQ1983" s="3" t="s">
        <v>89</v>
      </c>
      <c r="BR1983" s="3" t="s">
        <v>84</v>
      </c>
      <c r="BS1983" s="4">
        <v>44587</v>
      </c>
      <c r="BT1983" s="5">
        <v>0.4145833333333333</v>
      </c>
      <c r="BU1983" s="3" t="s">
        <v>2131</v>
      </c>
      <c r="BV1983" s="3" t="s">
        <v>105</v>
      </c>
      <c r="BY1983" s="3">
        <v>1200</v>
      </c>
      <c r="BZ1983" s="3" t="s">
        <v>165</v>
      </c>
      <c r="CA1983" s="3" t="s">
        <v>119</v>
      </c>
      <c r="CC1983" s="3" t="s">
        <v>116</v>
      </c>
      <c r="CD1983" s="3">
        <v>1559</v>
      </c>
      <c r="CE1983" s="3" t="s">
        <v>86</v>
      </c>
      <c r="CF1983" s="4">
        <v>44587</v>
      </c>
      <c r="CI1983" s="3">
        <v>1</v>
      </c>
      <c r="CJ1983" s="3">
        <v>1</v>
      </c>
      <c r="CK1983" s="3">
        <v>22</v>
      </c>
      <c r="CL1983" s="3" t="s">
        <v>87</v>
      </c>
    </row>
    <row r="1984" spans="1:90" x14ac:dyDescent="0.2">
      <c r="A1984" s="3" t="s">
        <v>72</v>
      </c>
      <c r="B1984" s="3" t="s">
        <v>73</v>
      </c>
      <c r="C1984" s="3" t="s">
        <v>74</v>
      </c>
      <c r="E1984" s="3" t="str">
        <f>"FES1162846668"</f>
        <v>FES1162846668</v>
      </c>
      <c r="F1984" s="4">
        <v>44586</v>
      </c>
      <c r="G1984" s="3">
        <v>202207</v>
      </c>
      <c r="H1984" s="3" t="s">
        <v>75</v>
      </c>
      <c r="I1984" s="3" t="s">
        <v>76</v>
      </c>
      <c r="J1984" s="3" t="s">
        <v>77</v>
      </c>
      <c r="K1984" s="3" t="s">
        <v>78</v>
      </c>
      <c r="L1984" s="3" t="s">
        <v>110</v>
      </c>
      <c r="M1984" s="3" t="s">
        <v>110</v>
      </c>
      <c r="N1984" s="3" t="s">
        <v>954</v>
      </c>
      <c r="O1984" s="3" t="s">
        <v>82</v>
      </c>
      <c r="P1984" s="3" t="str">
        <f>"2170818061                    "</f>
        <v xml:space="preserve">2170818061                    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29.95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v>0</v>
      </c>
      <c r="BA1984" s="3">
        <v>0</v>
      </c>
      <c r="BB1984" s="3">
        <v>0</v>
      </c>
      <c r="BC1984" s="3">
        <v>0</v>
      </c>
      <c r="BD1984" s="3">
        <v>0</v>
      </c>
      <c r="BE1984" s="3">
        <v>0</v>
      </c>
      <c r="BF1984" s="3">
        <v>0</v>
      </c>
      <c r="BG1984" s="3">
        <v>0</v>
      </c>
      <c r="BH1984" s="3">
        <v>1</v>
      </c>
      <c r="BI1984" s="3">
        <v>1</v>
      </c>
      <c r="BJ1984" s="3">
        <v>0.2</v>
      </c>
      <c r="BK1984" s="3">
        <v>1</v>
      </c>
      <c r="BL1984" s="3">
        <v>114.31</v>
      </c>
      <c r="BM1984" s="3">
        <v>17.149999999999999</v>
      </c>
      <c r="BN1984" s="3">
        <v>131.46</v>
      </c>
      <c r="BO1984" s="3">
        <v>131.46</v>
      </c>
      <c r="BQ1984" s="3" t="s">
        <v>83</v>
      </c>
      <c r="BR1984" s="3" t="s">
        <v>84</v>
      </c>
      <c r="BS1984" s="4">
        <v>44587</v>
      </c>
      <c r="BT1984" s="5">
        <v>0.56111111111111112</v>
      </c>
      <c r="BU1984" s="3" t="s">
        <v>955</v>
      </c>
      <c r="BV1984" s="3" t="s">
        <v>87</v>
      </c>
      <c r="BW1984" s="3" t="s">
        <v>457</v>
      </c>
      <c r="BX1984" s="3" t="s">
        <v>354</v>
      </c>
      <c r="BY1984" s="3">
        <v>1200</v>
      </c>
      <c r="BZ1984" s="3" t="s">
        <v>165</v>
      </c>
      <c r="CA1984" s="3" t="s">
        <v>563</v>
      </c>
      <c r="CC1984" s="3" t="s">
        <v>110</v>
      </c>
      <c r="CD1984" s="3">
        <v>7646</v>
      </c>
      <c r="CE1984" s="3" t="s">
        <v>93</v>
      </c>
      <c r="CF1984" s="4">
        <v>44588</v>
      </c>
      <c r="CI1984" s="3">
        <v>1</v>
      </c>
      <c r="CJ1984" s="3">
        <v>1</v>
      </c>
      <c r="CK1984" s="3">
        <v>23</v>
      </c>
      <c r="CL1984" s="3" t="s">
        <v>87</v>
      </c>
    </row>
    <row r="1985" spans="1:90" x14ac:dyDescent="0.2">
      <c r="A1985" s="3" t="s">
        <v>72</v>
      </c>
      <c r="B1985" s="3" t="s">
        <v>73</v>
      </c>
      <c r="C1985" s="3" t="s">
        <v>74</v>
      </c>
      <c r="E1985" s="3" t="str">
        <f>"FES1162846756"</f>
        <v>FES1162846756</v>
      </c>
      <c r="F1985" s="4">
        <v>44586</v>
      </c>
      <c r="G1985" s="3">
        <v>202207</v>
      </c>
      <c r="H1985" s="3" t="s">
        <v>75</v>
      </c>
      <c r="I1985" s="3" t="s">
        <v>76</v>
      </c>
      <c r="J1985" s="3" t="s">
        <v>77</v>
      </c>
      <c r="K1985" s="3" t="s">
        <v>78</v>
      </c>
      <c r="L1985" s="3" t="s">
        <v>90</v>
      </c>
      <c r="M1985" s="3" t="s">
        <v>91</v>
      </c>
      <c r="N1985" s="3" t="s">
        <v>584</v>
      </c>
      <c r="O1985" s="3" t="s">
        <v>82</v>
      </c>
      <c r="P1985" s="3" t="str">
        <f>"2170816114                    "</f>
        <v xml:space="preserve">2170816114                    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15.46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0</v>
      </c>
      <c r="AZ1985" s="3">
        <v>0</v>
      </c>
      <c r="BA1985" s="3">
        <v>0</v>
      </c>
      <c r="BB1985" s="3">
        <v>0</v>
      </c>
      <c r="BC1985" s="3">
        <v>0</v>
      </c>
      <c r="BD1985" s="3">
        <v>0</v>
      </c>
      <c r="BE1985" s="3">
        <v>0</v>
      </c>
      <c r="BF1985" s="3">
        <v>0</v>
      </c>
      <c r="BG1985" s="3">
        <v>0</v>
      </c>
      <c r="BH1985" s="3">
        <v>1</v>
      </c>
      <c r="BI1985" s="3">
        <v>1</v>
      </c>
      <c r="BJ1985" s="3">
        <v>0.2</v>
      </c>
      <c r="BK1985" s="3">
        <v>1</v>
      </c>
      <c r="BL1985" s="3">
        <v>59</v>
      </c>
      <c r="BM1985" s="3">
        <v>8.85</v>
      </c>
      <c r="BN1985" s="3">
        <v>67.849999999999994</v>
      </c>
      <c r="BO1985" s="3">
        <v>67.849999999999994</v>
      </c>
      <c r="BQ1985" s="3" t="s">
        <v>83</v>
      </c>
      <c r="BR1985" s="3" t="s">
        <v>84</v>
      </c>
      <c r="BS1985" s="4">
        <v>44587</v>
      </c>
      <c r="BT1985" s="5">
        <v>0.32847222222222222</v>
      </c>
      <c r="BU1985" s="3" t="s">
        <v>959</v>
      </c>
      <c r="BV1985" s="3" t="s">
        <v>105</v>
      </c>
      <c r="BY1985" s="3">
        <v>1200</v>
      </c>
      <c r="BZ1985" s="3" t="s">
        <v>165</v>
      </c>
      <c r="CA1985" s="3" t="s">
        <v>543</v>
      </c>
      <c r="CC1985" s="3" t="s">
        <v>91</v>
      </c>
      <c r="CD1985" s="3">
        <v>7530</v>
      </c>
      <c r="CE1985" s="3" t="s">
        <v>93</v>
      </c>
      <c r="CF1985" s="4">
        <v>44588</v>
      </c>
      <c r="CI1985" s="3">
        <v>1</v>
      </c>
      <c r="CJ1985" s="3">
        <v>1</v>
      </c>
      <c r="CK1985" s="3">
        <v>21</v>
      </c>
      <c r="CL1985" s="3" t="s">
        <v>87</v>
      </c>
    </row>
    <row r="1986" spans="1:90" x14ac:dyDescent="0.2">
      <c r="A1986" s="3" t="s">
        <v>72</v>
      </c>
      <c r="B1986" s="3" t="s">
        <v>73</v>
      </c>
      <c r="C1986" s="3" t="s">
        <v>74</v>
      </c>
      <c r="E1986" s="3" t="str">
        <f>"FES1162846570"</f>
        <v>FES1162846570</v>
      </c>
      <c r="F1986" s="4">
        <v>44586</v>
      </c>
      <c r="G1986" s="3">
        <v>202207</v>
      </c>
      <c r="H1986" s="3" t="s">
        <v>75</v>
      </c>
      <c r="I1986" s="3" t="s">
        <v>76</v>
      </c>
      <c r="J1986" s="3" t="s">
        <v>77</v>
      </c>
      <c r="K1986" s="3" t="s">
        <v>78</v>
      </c>
      <c r="L1986" s="3" t="s">
        <v>241</v>
      </c>
      <c r="M1986" s="3" t="s">
        <v>242</v>
      </c>
      <c r="N1986" s="3" t="s">
        <v>243</v>
      </c>
      <c r="O1986" s="3" t="s">
        <v>82</v>
      </c>
      <c r="P1986" s="3" t="str">
        <f>"2170817866                    "</f>
        <v xml:space="preserve">2170817866                    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15.46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0</v>
      </c>
      <c r="AZ1986" s="3">
        <v>0</v>
      </c>
      <c r="BA1986" s="3">
        <v>0</v>
      </c>
      <c r="BB1986" s="3">
        <v>0</v>
      </c>
      <c r="BC1986" s="3">
        <v>0</v>
      </c>
      <c r="BD1986" s="3">
        <v>0</v>
      </c>
      <c r="BE1986" s="3">
        <v>0</v>
      </c>
      <c r="BF1986" s="3">
        <v>0</v>
      </c>
      <c r="BG1986" s="3">
        <v>0</v>
      </c>
      <c r="BH1986" s="3">
        <v>1</v>
      </c>
      <c r="BI1986" s="3">
        <v>1</v>
      </c>
      <c r="BJ1986" s="3">
        <v>0.2</v>
      </c>
      <c r="BK1986" s="3">
        <v>1</v>
      </c>
      <c r="BL1986" s="3">
        <v>59</v>
      </c>
      <c r="BM1986" s="3">
        <v>8.85</v>
      </c>
      <c r="BN1986" s="3">
        <v>67.849999999999994</v>
      </c>
      <c r="BO1986" s="3">
        <v>67.849999999999994</v>
      </c>
      <c r="BQ1986" s="3" t="s">
        <v>83</v>
      </c>
      <c r="BR1986" s="3" t="s">
        <v>84</v>
      </c>
      <c r="BS1986" s="4">
        <v>44587</v>
      </c>
      <c r="BT1986" s="5">
        <v>0.39583333333333331</v>
      </c>
      <c r="BU1986" s="3" t="s">
        <v>2132</v>
      </c>
      <c r="BV1986" s="3" t="s">
        <v>105</v>
      </c>
      <c r="BY1986" s="3">
        <v>1200</v>
      </c>
      <c r="BZ1986" s="3" t="s">
        <v>165</v>
      </c>
      <c r="CA1986" s="3" t="s">
        <v>389</v>
      </c>
      <c r="CC1986" s="3" t="s">
        <v>242</v>
      </c>
      <c r="CD1986" s="3">
        <v>7600</v>
      </c>
      <c r="CE1986" s="3" t="s">
        <v>93</v>
      </c>
      <c r="CF1986" s="4">
        <v>44588</v>
      </c>
      <c r="CI1986" s="3">
        <v>1</v>
      </c>
      <c r="CJ1986" s="3">
        <v>1</v>
      </c>
      <c r="CK1986" s="3">
        <v>21</v>
      </c>
      <c r="CL1986" s="3" t="s">
        <v>87</v>
      </c>
    </row>
    <row r="1987" spans="1:90" x14ac:dyDescent="0.2">
      <c r="A1987" s="3" t="s">
        <v>72</v>
      </c>
      <c r="B1987" s="3" t="s">
        <v>73</v>
      </c>
      <c r="C1987" s="3" t="s">
        <v>74</v>
      </c>
      <c r="E1987" s="3" t="str">
        <f>"FES1162846682"</f>
        <v>FES1162846682</v>
      </c>
      <c r="F1987" s="4">
        <v>44586</v>
      </c>
      <c r="G1987" s="3">
        <v>202207</v>
      </c>
      <c r="H1987" s="3" t="s">
        <v>75</v>
      </c>
      <c r="I1987" s="3" t="s">
        <v>76</v>
      </c>
      <c r="J1987" s="3" t="s">
        <v>77</v>
      </c>
      <c r="K1987" s="3" t="s">
        <v>78</v>
      </c>
      <c r="L1987" s="3" t="s">
        <v>101</v>
      </c>
      <c r="M1987" s="3" t="s">
        <v>102</v>
      </c>
      <c r="N1987" s="3" t="s">
        <v>414</v>
      </c>
      <c r="O1987" s="3" t="s">
        <v>82</v>
      </c>
      <c r="P1987" s="3" t="str">
        <f>"2170816216                    "</f>
        <v xml:space="preserve">2170816216                    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15.46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0</v>
      </c>
      <c r="AZ1987" s="3">
        <v>0</v>
      </c>
      <c r="BA1987" s="3">
        <v>0</v>
      </c>
      <c r="BB1987" s="3">
        <v>0</v>
      </c>
      <c r="BC1987" s="3">
        <v>0</v>
      </c>
      <c r="BD1987" s="3">
        <v>0</v>
      </c>
      <c r="BE1987" s="3">
        <v>0</v>
      </c>
      <c r="BF1987" s="3">
        <v>0</v>
      </c>
      <c r="BG1987" s="3">
        <v>0</v>
      </c>
      <c r="BH1987" s="3">
        <v>1</v>
      </c>
      <c r="BI1987" s="3">
        <v>1</v>
      </c>
      <c r="BJ1987" s="3">
        <v>0.2</v>
      </c>
      <c r="BK1987" s="3">
        <v>1</v>
      </c>
      <c r="BL1987" s="3">
        <v>59</v>
      </c>
      <c r="BM1987" s="3">
        <v>8.85</v>
      </c>
      <c r="BN1987" s="3">
        <v>67.849999999999994</v>
      </c>
      <c r="BO1987" s="3">
        <v>67.849999999999994</v>
      </c>
      <c r="BQ1987" s="3" t="s">
        <v>83</v>
      </c>
      <c r="BR1987" s="3" t="s">
        <v>84</v>
      </c>
      <c r="BS1987" s="4">
        <v>44587</v>
      </c>
      <c r="BT1987" s="5">
        <v>0.5395833333333333</v>
      </c>
      <c r="BU1987" s="3" t="s">
        <v>2133</v>
      </c>
      <c r="BV1987" s="3" t="s">
        <v>87</v>
      </c>
      <c r="BW1987" s="3" t="s">
        <v>353</v>
      </c>
      <c r="BX1987" s="3" t="s">
        <v>1878</v>
      </c>
      <c r="BY1987" s="3">
        <v>1200</v>
      </c>
      <c r="BZ1987" s="3" t="s">
        <v>165</v>
      </c>
      <c r="CA1987" s="3" t="s">
        <v>280</v>
      </c>
      <c r="CC1987" s="3" t="s">
        <v>102</v>
      </c>
      <c r="CD1987" s="3">
        <v>4001</v>
      </c>
      <c r="CE1987" s="3" t="s">
        <v>93</v>
      </c>
      <c r="CF1987" s="4">
        <v>44588</v>
      </c>
      <c r="CI1987" s="3">
        <v>1</v>
      </c>
      <c r="CJ1987" s="3">
        <v>1</v>
      </c>
      <c r="CK1987" s="3">
        <v>21</v>
      </c>
      <c r="CL1987" s="3" t="s">
        <v>87</v>
      </c>
    </row>
    <row r="1988" spans="1:90" x14ac:dyDescent="0.2">
      <c r="A1988" s="3" t="s">
        <v>72</v>
      </c>
      <c r="B1988" s="3" t="s">
        <v>73</v>
      </c>
      <c r="C1988" s="3" t="s">
        <v>74</v>
      </c>
      <c r="E1988" s="3" t="str">
        <f>"FES1162846612"</f>
        <v>FES1162846612</v>
      </c>
      <c r="F1988" s="4">
        <v>44586</v>
      </c>
      <c r="G1988" s="3">
        <v>202207</v>
      </c>
      <c r="H1988" s="3" t="s">
        <v>75</v>
      </c>
      <c r="I1988" s="3" t="s">
        <v>76</v>
      </c>
      <c r="J1988" s="3" t="s">
        <v>77</v>
      </c>
      <c r="K1988" s="3" t="s">
        <v>78</v>
      </c>
      <c r="L1988" s="3" t="s">
        <v>90</v>
      </c>
      <c r="M1988" s="3" t="s">
        <v>91</v>
      </c>
      <c r="N1988" s="3" t="s">
        <v>112</v>
      </c>
      <c r="O1988" s="3" t="s">
        <v>82</v>
      </c>
      <c r="P1988" s="3" t="str">
        <f>"2170818014                    "</f>
        <v xml:space="preserve">2170818014                    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15.46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0</v>
      </c>
      <c r="AZ1988" s="3">
        <v>0</v>
      </c>
      <c r="BA1988" s="3">
        <v>0</v>
      </c>
      <c r="BB1988" s="3">
        <v>0</v>
      </c>
      <c r="BC1988" s="3">
        <v>0</v>
      </c>
      <c r="BD1988" s="3">
        <v>0</v>
      </c>
      <c r="BE1988" s="3">
        <v>0</v>
      </c>
      <c r="BF1988" s="3">
        <v>0</v>
      </c>
      <c r="BG1988" s="3">
        <v>0</v>
      </c>
      <c r="BH1988" s="3">
        <v>1</v>
      </c>
      <c r="BI1988" s="3">
        <v>1</v>
      </c>
      <c r="BJ1988" s="3">
        <v>0.2</v>
      </c>
      <c r="BK1988" s="3">
        <v>1</v>
      </c>
      <c r="BL1988" s="3">
        <v>59</v>
      </c>
      <c r="BM1988" s="3">
        <v>8.85</v>
      </c>
      <c r="BN1988" s="3">
        <v>67.849999999999994</v>
      </c>
      <c r="BO1988" s="3">
        <v>67.849999999999994</v>
      </c>
      <c r="BQ1988" s="3" t="s">
        <v>113</v>
      </c>
      <c r="BR1988" s="3" t="s">
        <v>84</v>
      </c>
      <c r="BS1988" s="4">
        <v>44587</v>
      </c>
      <c r="BT1988" s="5">
        <v>0.34791666666666665</v>
      </c>
      <c r="BU1988" s="3" t="s">
        <v>2134</v>
      </c>
      <c r="BV1988" s="3" t="s">
        <v>105</v>
      </c>
      <c r="BY1988" s="3">
        <v>1200</v>
      </c>
      <c r="BZ1988" s="3" t="s">
        <v>165</v>
      </c>
      <c r="CA1988" s="3" t="s">
        <v>1112</v>
      </c>
      <c r="CC1988" s="3" t="s">
        <v>91</v>
      </c>
      <c r="CD1988" s="3">
        <v>7405</v>
      </c>
      <c r="CE1988" s="3" t="s">
        <v>93</v>
      </c>
      <c r="CF1988" s="4">
        <v>44588</v>
      </c>
      <c r="CI1988" s="3">
        <v>1</v>
      </c>
      <c r="CJ1988" s="3">
        <v>1</v>
      </c>
      <c r="CK1988" s="3">
        <v>21</v>
      </c>
      <c r="CL1988" s="3" t="s">
        <v>87</v>
      </c>
    </row>
    <row r="1989" spans="1:90" x14ac:dyDescent="0.2">
      <c r="A1989" s="3" t="s">
        <v>72</v>
      </c>
      <c r="B1989" s="3" t="s">
        <v>73</v>
      </c>
      <c r="C1989" s="3" t="s">
        <v>74</v>
      </c>
      <c r="E1989" s="3" t="str">
        <f>"FES1162846795"</f>
        <v>FES1162846795</v>
      </c>
      <c r="F1989" s="4">
        <v>44586</v>
      </c>
      <c r="G1989" s="3">
        <v>202207</v>
      </c>
      <c r="H1989" s="3" t="s">
        <v>75</v>
      </c>
      <c r="I1989" s="3" t="s">
        <v>76</v>
      </c>
      <c r="J1989" s="3" t="s">
        <v>77</v>
      </c>
      <c r="K1989" s="3" t="s">
        <v>78</v>
      </c>
      <c r="L1989" s="3" t="s">
        <v>427</v>
      </c>
      <c r="M1989" s="3" t="s">
        <v>428</v>
      </c>
      <c r="N1989" s="3" t="s">
        <v>447</v>
      </c>
      <c r="O1989" s="3" t="s">
        <v>82</v>
      </c>
      <c r="P1989" s="3" t="str">
        <f>"2170818054                    "</f>
        <v xml:space="preserve">2170818054                    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29.95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v>0</v>
      </c>
      <c r="BA1989" s="3">
        <v>0</v>
      </c>
      <c r="BB1989" s="3">
        <v>0</v>
      </c>
      <c r="BC1989" s="3">
        <v>0</v>
      </c>
      <c r="BD1989" s="3">
        <v>0</v>
      </c>
      <c r="BE1989" s="3">
        <v>0</v>
      </c>
      <c r="BF1989" s="3">
        <v>0</v>
      </c>
      <c r="BG1989" s="3">
        <v>0</v>
      </c>
      <c r="BH1989" s="3">
        <v>1</v>
      </c>
      <c r="BI1989" s="3">
        <v>1</v>
      </c>
      <c r="BJ1989" s="3">
        <v>0.2</v>
      </c>
      <c r="BK1989" s="3">
        <v>1</v>
      </c>
      <c r="BL1989" s="3">
        <v>114.31</v>
      </c>
      <c r="BM1989" s="3">
        <v>17.149999999999999</v>
      </c>
      <c r="BN1989" s="3">
        <v>131.46</v>
      </c>
      <c r="BO1989" s="3">
        <v>131.46</v>
      </c>
      <c r="BQ1989" s="3" t="s">
        <v>89</v>
      </c>
      <c r="BR1989" s="3" t="s">
        <v>84</v>
      </c>
      <c r="BS1989" s="4">
        <v>44587</v>
      </c>
      <c r="BT1989" s="5">
        <v>0.63958333333333328</v>
      </c>
      <c r="BU1989" s="3" t="s">
        <v>2135</v>
      </c>
      <c r="BV1989" s="3" t="s">
        <v>87</v>
      </c>
      <c r="BW1989" s="3" t="s">
        <v>457</v>
      </c>
      <c r="BX1989" s="3" t="s">
        <v>602</v>
      </c>
      <c r="BY1989" s="3">
        <v>1200</v>
      </c>
      <c r="BZ1989" s="3" t="s">
        <v>165</v>
      </c>
      <c r="CA1989" s="3" t="s">
        <v>2136</v>
      </c>
      <c r="CC1989" s="3" t="s">
        <v>428</v>
      </c>
      <c r="CD1989" s="3">
        <v>7130</v>
      </c>
      <c r="CE1989" s="3" t="s">
        <v>93</v>
      </c>
      <c r="CF1989" s="4">
        <v>44588</v>
      </c>
      <c r="CI1989" s="3">
        <v>1</v>
      </c>
      <c r="CJ1989" s="3">
        <v>1</v>
      </c>
      <c r="CK1989" s="3">
        <v>23</v>
      </c>
      <c r="CL1989" s="3" t="s">
        <v>87</v>
      </c>
    </row>
    <row r="1990" spans="1:90" x14ac:dyDescent="0.2">
      <c r="A1990" s="3" t="s">
        <v>72</v>
      </c>
      <c r="B1990" s="3" t="s">
        <v>73</v>
      </c>
      <c r="C1990" s="3" t="s">
        <v>74</v>
      </c>
      <c r="E1990" s="3" t="str">
        <f>"FES1162846670"</f>
        <v>FES1162846670</v>
      </c>
      <c r="F1990" s="4">
        <v>44586</v>
      </c>
      <c r="G1990" s="3">
        <v>202207</v>
      </c>
      <c r="H1990" s="3" t="s">
        <v>75</v>
      </c>
      <c r="I1990" s="3" t="s">
        <v>76</v>
      </c>
      <c r="J1990" s="3" t="s">
        <v>77</v>
      </c>
      <c r="K1990" s="3" t="s">
        <v>78</v>
      </c>
      <c r="L1990" s="3" t="s">
        <v>187</v>
      </c>
      <c r="M1990" s="3" t="s">
        <v>188</v>
      </c>
      <c r="N1990" s="3" t="s">
        <v>189</v>
      </c>
      <c r="O1990" s="3" t="s">
        <v>82</v>
      </c>
      <c r="P1990" s="3" t="str">
        <f>"2170818063                    "</f>
        <v xml:space="preserve">2170818063                    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29.95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0</v>
      </c>
      <c r="AZ1990" s="3">
        <v>0</v>
      </c>
      <c r="BA1990" s="3">
        <v>0</v>
      </c>
      <c r="BB1990" s="3">
        <v>0</v>
      </c>
      <c r="BC1990" s="3">
        <v>0</v>
      </c>
      <c r="BD1990" s="3">
        <v>0</v>
      </c>
      <c r="BE1990" s="3">
        <v>0</v>
      </c>
      <c r="BF1990" s="3">
        <v>0</v>
      </c>
      <c r="BG1990" s="3">
        <v>0</v>
      </c>
      <c r="BH1990" s="3">
        <v>1</v>
      </c>
      <c r="BI1990" s="3">
        <v>1</v>
      </c>
      <c r="BJ1990" s="3">
        <v>0.2</v>
      </c>
      <c r="BK1990" s="3">
        <v>1</v>
      </c>
      <c r="BL1990" s="3">
        <v>114.31</v>
      </c>
      <c r="BM1990" s="3">
        <v>17.149999999999999</v>
      </c>
      <c r="BN1990" s="3">
        <v>131.46</v>
      </c>
      <c r="BO1990" s="3">
        <v>131.46</v>
      </c>
      <c r="BQ1990" s="3" t="s">
        <v>83</v>
      </c>
      <c r="BR1990" s="3" t="s">
        <v>84</v>
      </c>
      <c r="BS1990" s="4">
        <v>44587</v>
      </c>
      <c r="BT1990" s="5">
        <v>0.55208333333333337</v>
      </c>
      <c r="BU1990" s="3" t="s">
        <v>267</v>
      </c>
      <c r="BV1990" s="3" t="s">
        <v>87</v>
      </c>
      <c r="BW1990" s="3" t="s">
        <v>457</v>
      </c>
      <c r="BX1990" s="3" t="s">
        <v>602</v>
      </c>
      <c r="BY1990" s="3">
        <v>1200</v>
      </c>
      <c r="BZ1990" s="3" t="s">
        <v>165</v>
      </c>
      <c r="CA1990" s="3" t="s">
        <v>268</v>
      </c>
      <c r="CC1990" s="3" t="s">
        <v>188</v>
      </c>
      <c r="CD1990" s="3">
        <v>7300</v>
      </c>
      <c r="CE1990" s="3" t="s">
        <v>93</v>
      </c>
      <c r="CF1990" s="4">
        <v>44588</v>
      </c>
      <c r="CI1990" s="3">
        <v>1</v>
      </c>
      <c r="CJ1990" s="3">
        <v>1</v>
      </c>
      <c r="CK1990" s="3">
        <v>23</v>
      </c>
      <c r="CL1990" s="3" t="s">
        <v>87</v>
      </c>
    </row>
    <row r="1991" spans="1:90" x14ac:dyDescent="0.2">
      <c r="A1991" s="3" t="s">
        <v>72</v>
      </c>
      <c r="B1991" s="3" t="s">
        <v>73</v>
      </c>
      <c r="C1991" s="3" t="s">
        <v>74</v>
      </c>
      <c r="E1991" s="3" t="str">
        <f>"FES1162846736"</f>
        <v>FES1162846736</v>
      </c>
      <c r="F1991" s="4">
        <v>44586</v>
      </c>
      <c r="G1991" s="3">
        <v>202207</v>
      </c>
      <c r="H1991" s="3" t="s">
        <v>75</v>
      </c>
      <c r="I1991" s="3" t="s">
        <v>76</v>
      </c>
      <c r="J1991" s="3" t="s">
        <v>77</v>
      </c>
      <c r="K1991" s="3" t="s">
        <v>78</v>
      </c>
      <c r="L1991" s="3" t="s">
        <v>138</v>
      </c>
      <c r="M1991" s="3" t="s">
        <v>139</v>
      </c>
      <c r="N1991" s="3" t="s">
        <v>140</v>
      </c>
      <c r="O1991" s="3" t="s">
        <v>82</v>
      </c>
      <c r="P1991" s="3" t="str">
        <f>"2170815640                    "</f>
        <v xml:space="preserve">2170815640                    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15.46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v>0</v>
      </c>
      <c r="BA1991" s="3">
        <v>0</v>
      </c>
      <c r="BB1991" s="3">
        <v>0</v>
      </c>
      <c r="BC1991" s="3">
        <v>0</v>
      </c>
      <c r="BD1991" s="3">
        <v>0</v>
      </c>
      <c r="BE1991" s="3">
        <v>0</v>
      </c>
      <c r="BF1991" s="3">
        <v>0</v>
      </c>
      <c r="BG1991" s="3">
        <v>0</v>
      </c>
      <c r="BH1991" s="3">
        <v>1</v>
      </c>
      <c r="BI1991" s="3">
        <v>1</v>
      </c>
      <c r="BJ1991" s="3">
        <v>0.2</v>
      </c>
      <c r="BK1991" s="3">
        <v>1</v>
      </c>
      <c r="BL1991" s="3">
        <v>59</v>
      </c>
      <c r="BM1991" s="3">
        <v>8.85</v>
      </c>
      <c r="BN1991" s="3">
        <v>67.849999999999994</v>
      </c>
      <c r="BO1991" s="3">
        <v>67.849999999999994</v>
      </c>
      <c r="BQ1991" s="3" t="s">
        <v>126</v>
      </c>
      <c r="BR1991" s="3" t="s">
        <v>84</v>
      </c>
      <c r="BS1991" s="4">
        <v>44587</v>
      </c>
      <c r="BT1991" s="5">
        <v>0.33680555555555558</v>
      </c>
      <c r="BU1991" s="3" t="s">
        <v>819</v>
      </c>
      <c r="BV1991" s="3" t="s">
        <v>105</v>
      </c>
      <c r="BY1991" s="3">
        <v>1200</v>
      </c>
      <c r="BZ1991" s="3" t="s">
        <v>165</v>
      </c>
      <c r="CA1991" s="3" t="s">
        <v>334</v>
      </c>
      <c r="CC1991" s="3" t="s">
        <v>139</v>
      </c>
      <c r="CD1991" s="3">
        <v>3610</v>
      </c>
      <c r="CE1991" s="3" t="s">
        <v>93</v>
      </c>
      <c r="CF1991" s="4">
        <v>44588</v>
      </c>
      <c r="CI1991" s="3">
        <v>1</v>
      </c>
      <c r="CJ1991" s="3">
        <v>1</v>
      </c>
      <c r="CK1991" s="3">
        <v>21</v>
      </c>
      <c r="CL1991" s="3" t="s">
        <v>87</v>
      </c>
    </row>
    <row r="1992" spans="1:90" x14ac:dyDescent="0.2">
      <c r="A1992" s="3" t="s">
        <v>72</v>
      </c>
      <c r="B1992" s="3" t="s">
        <v>73</v>
      </c>
      <c r="C1992" s="3" t="s">
        <v>74</v>
      </c>
      <c r="E1992" s="3" t="str">
        <f>"FES1162846784"</f>
        <v>FES1162846784</v>
      </c>
      <c r="F1992" s="4">
        <v>44586</v>
      </c>
      <c r="G1992" s="3">
        <v>202207</v>
      </c>
      <c r="H1992" s="3" t="s">
        <v>75</v>
      </c>
      <c r="I1992" s="3" t="s">
        <v>76</v>
      </c>
      <c r="J1992" s="3" t="s">
        <v>77</v>
      </c>
      <c r="K1992" s="3" t="s">
        <v>78</v>
      </c>
      <c r="L1992" s="3" t="s">
        <v>184</v>
      </c>
      <c r="M1992" s="3" t="s">
        <v>185</v>
      </c>
      <c r="N1992" s="3" t="s">
        <v>234</v>
      </c>
      <c r="O1992" s="3" t="s">
        <v>82</v>
      </c>
      <c r="P1992" s="3" t="str">
        <f>"2170816560                    "</f>
        <v xml:space="preserve">2170816560                    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15.46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v>0</v>
      </c>
      <c r="BA1992" s="3">
        <v>0</v>
      </c>
      <c r="BB1992" s="3">
        <v>0</v>
      </c>
      <c r="BC1992" s="3">
        <v>0</v>
      </c>
      <c r="BD1992" s="3">
        <v>0</v>
      </c>
      <c r="BE1992" s="3">
        <v>0</v>
      </c>
      <c r="BF1992" s="3">
        <v>0</v>
      </c>
      <c r="BG1992" s="3">
        <v>0</v>
      </c>
      <c r="BH1992" s="3">
        <v>1</v>
      </c>
      <c r="BI1992" s="3">
        <v>1</v>
      </c>
      <c r="BJ1992" s="3">
        <v>0.2</v>
      </c>
      <c r="BK1992" s="3">
        <v>1</v>
      </c>
      <c r="BL1992" s="3">
        <v>59</v>
      </c>
      <c r="BM1992" s="3">
        <v>8.85</v>
      </c>
      <c r="BN1992" s="3">
        <v>67.849999999999994</v>
      </c>
      <c r="BO1992" s="3">
        <v>67.849999999999994</v>
      </c>
      <c r="BQ1992" s="3" t="s">
        <v>89</v>
      </c>
      <c r="BR1992" s="3" t="s">
        <v>84</v>
      </c>
      <c r="BS1992" s="4">
        <v>44588</v>
      </c>
      <c r="BT1992" s="5">
        <v>0.43472222222222223</v>
      </c>
      <c r="BU1992" s="3" t="s">
        <v>2137</v>
      </c>
      <c r="BV1992" s="3" t="s">
        <v>87</v>
      </c>
      <c r="BW1992" s="3" t="s">
        <v>617</v>
      </c>
      <c r="BX1992" s="3" t="s">
        <v>605</v>
      </c>
      <c r="BY1992" s="3">
        <v>1200</v>
      </c>
      <c r="BZ1992" s="3" t="s">
        <v>165</v>
      </c>
      <c r="CA1992" s="3" t="s">
        <v>649</v>
      </c>
      <c r="CC1992" s="3" t="s">
        <v>185</v>
      </c>
      <c r="CD1992" s="3">
        <v>5201</v>
      </c>
      <c r="CE1992" s="3" t="s">
        <v>93</v>
      </c>
      <c r="CF1992" s="4">
        <v>44588</v>
      </c>
      <c r="CI1992" s="3">
        <v>1</v>
      </c>
      <c r="CJ1992" s="3">
        <v>2</v>
      </c>
      <c r="CK1992" s="3">
        <v>21</v>
      </c>
      <c r="CL1992" s="3" t="s">
        <v>87</v>
      </c>
    </row>
    <row r="1993" spans="1:90" x14ac:dyDescent="0.2">
      <c r="A1993" s="3" t="s">
        <v>72</v>
      </c>
      <c r="B1993" s="3" t="s">
        <v>73</v>
      </c>
      <c r="C1993" s="3" t="s">
        <v>74</v>
      </c>
      <c r="E1993" s="3" t="str">
        <f>"FES1162846754"</f>
        <v>FES1162846754</v>
      </c>
      <c r="F1993" s="4">
        <v>44586</v>
      </c>
      <c r="G1993" s="3">
        <v>202207</v>
      </c>
      <c r="H1993" s="3" t="s">
        <v>75</v>
      </c>
      <c r="I1993" s="3" t="s">
        <v>76</v>
      </c>
      <c r="J1993" s="3" t="s">
        <v>77</v>
      </c>
      <c r="K1993" s="3" t="s">
        <v>78</v>
      </c>
      <c r="L1993" s="3" t="s">
        <v>90</v>
      </c>
      <c r="M1993" s="3" t="s">
        <v>91</v>
      </c>
      <c r="N1993" s="3" t="s">
        <v>597</v>
      </c>
      <c r="O1993" s="3" t="s">
        <v>82</v>
      </c>
      <c r="P1993" s="3" t="str">
        <f>"2170816108                    "</f>
        <v xml:space="preserve">2170816108                    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15.46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v>0</v>
      </c>
      <c r="BA1993" s="3">
        <v>0</v>
      </c>
      <c r="BB1993" s="3">
        <v>0</v>
      </c>
      <c r="BC1993" s="3">
        <v>0</v>
      </c>
      <c r="BD1993" s="3">
        <v>0</v>
      </c>
      <c r="BE1993" s="3">
        <v>0</v>
      </c>
      <c r="BF1993" s="3">
        <v>0</v>
      </c>
      <c r="BG1993" s="3">
        <v>0</v>
      </c>
      <c r="BH1993" s="3">
        <v>1</v>
      </c>
      <c r="BI1993" s="3">
        <v>1</v>
      </c>
      <c r="BJ1993" s="3">
        <v>0.2</v>
      </c>
      <c r="BK1993" s="3">
        <v>1</v>
      </c>
      <c r="BL1993" s="3">
        <v>59</v>
      </c>
      <c r="BM1993" s="3">
        <v>8.85</v>
      </c>
      <c r="BN1993" s="3">
        <v>67.849999999999994</v>
      </c>
      <c r="BO1993" s="3">
        <v>67.849999999999994</v>
      </c>
      <c r="BQ1993" s="3" t="s">
        <v>83</v>
      </c>
      <c r="BR1993" s="3" t="s">
        <v>84</v>
      </c>
      <c r="BS1993" s="4">
        <v>44587</v>
      </c>
      <c r="BT1993" s="5">
        <v>0.37152777777777773</v>
      </c>
      <c r="BU1993" s="3" t="s">
        <v>2138</v>
      </c>
      <c r="BV1993" s="3" t="s">
        <v>105</v>
      </c>
      <c r="BY1993" s="3">
        <v>1200</v>
      </c>
      <c r="BZ1993" s="3" t="s">
        <v>165</v>
      </c>
      <c r="CA1993" s="3" t="s">
        <v>603</v>
      </c>
      <c r="CC1993" s="3" t="s">
        <v>91</v>
      </c>
      <c r="CD1993" s="3">
        <v>8001</v>
      </c>
      <c r="CE1993" s="3" t="s">
        <v>93</v>
      </c>
      <c r="CF1993" s="4">
        <v>44588</v>
      </c>
      <c r="CI1993" s="3">
        <v>1</v>
      </c>
      <c r="CJ1993" s="3">
        <v>1</v>
      </c>
      <c r="CK1993" s="3">
        <v>21</v>
      </c>
      <c r="CL1993" s="3" t="s">
        <v>87</v>
      </c>
    </row>
    <row r="1994" spans="1:90" x14ac:dyDescent="0.2">
      <c r="A1994" s="3" t="s">
        <v>72</v>
      </c>
      <c r="B1994" s="3" t="s">
        <v>73</v>
      </c>
      <c r="C1994" s="3" t="s">
        <v>74</v>
      </c>
      <c r="E1994" s="3" t="str">
        <f>"FES1162846599"</f>
        <v>FES1162846599</v>
      </c>
      <c r="F1994" s="4">
        <v>44586</v>
      </c>
      <c r="G1994" s="3">
        <v>202207</v>
      </c>
      <c r="H1994" s="3" t="s">
        <v>75</v>
      </c>
      <c r="I1994" s="3" t="s">
        <v>76</v>
      </c>
      <c r="J1994" s="3" t="s">
        <v>77</v>
      </c>
      <c r="K1994" s="3" t="s">
        <v>78</v>
      </c>
      <c r="L1994" s="3" t="s">
        <v>90</v>
      </c>
      <c r="M1994" s="3" t="s">
        <v>91</v>
      </c>
      <c r="N1994" s="3" t="s">
        <v>2139</v>
      </c>
      <c r="O1994" s="3" t="s">
        <v>82</v>
      </c>
      <c r="P1994" s="3" t="str">
        <f>"2170818000                    "</f>
        <v xml:space="preserve">2170818000                    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46.36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v>0</v>
      </c>
      <c r="BA1994" s="3">
        <v>0</v>
      </c>
      <c r="BB1994" s="3">
        <v>0</v>
      </c>
      <c r="BC1994" s="3">
        <v>0</v>
      </c>
      <c r="BD1994" s="3">
        <v>0</v>
      </c>
      <c r="BE1994" s="3">
        <v>0</v>
      </c>
      <c r="BF1994" s="3">
        <v>0</v>
      </c>
      <c r="BG1994" s="3">
        <v>0</v>
      </c>
      <c r="BH1994" s="3">
        <v>1</v>
      </c>
      <c r="BI1994" s="3">
        <v>6</v>
      </c>
      <c r="BJ1994" s="3">
        <v>4.0999999999999996</v>
      </c>
      <c r="BK1994" s="3">
        <v>6</v>
      </c>
      <c r="BL1994" s="3">
        <v>176.94</v>
      </c>
      <c r="BM1994" s="3">
        <v>26.54</v>
      </c>
      <c r="BN1994" s="3">
        <v>203.48</v>
      </c>
      <c r="BO1994" s="3">
        <v>203.48</v>
      </c>
      <c r="BR1994" s="3" t="s">
        <v>84</v>
      </c>
      <c r="BS1994" s="4">
        <v>44587</v>
      </c>
      <c r="BT1994" s="5">
        <v>0.32361111111111113</v>
      </c>
      <c r="BU1994" s="3" t="s">
        <v>2140</v>
      </c>
      <c r="BV1994" s="3" t="s">
        <v>105</v>
      </c>
      <c r="BY1994" s="3">
        <v>20358</v>
      </c>
      <c r="BZ1994" s="3" t="s">
        <v>165</v>
      </c>
      <c r="CA1994" s="3" t="s">
        <v>2141</v>
      </c>
      <c r="CC1994" s="3" t="s">
        <v>91</v>
      </c>
      <c r="CD1994" s="3">
        <v>7493</v>
      </c>
      <c r="CE1994" s="3" t="s">
        <v>86</v>
      </c>
      <c r="CF1994" s="4">
        <v>44588</v>
      </c>
      <c r="CI1994" s="3">
        <v>1</v>
      </c>
      <c r="CJ1994" s="3">
        <v>1</v>
      </c>
      <c r="CK1994" s="3">
        <v>21</v>
      </c>
      <c r="CL1994" s="3" t="s">
        <v>87</v>
      </c>
    </row>
    <row r="1995" spans="1:90" x14ac:dyDescent="0.2">
      <c r="A1995" s="3" t="s">
        <v>72</v>
      </c>
      <c r="B1995" s="3" t="s">
        <v>73</v>
      </c>
      <c r="C1995" s="3" t="s">
        <v>74</v>
      </c>
      <c r="E1995" s="3" t="str">
        <f>"FES1162846730"</f>
        <v>FES1162846730</v>
      </c>
      <c r="F1995" s="4">
        <v>44586</v>
      </c>
      <c r="G1995" s="3">
        <v>202207</v>
      </c>
      <c r="H1995" s="3" t="s">
        <v>75</v>
      </c>
      <c r="I1995" s="3" t="s">
        <v>76</v>
      </c>
      <c r="J1995" s="3" t="s">
        <v>77</v>
      </c>
      <c r="K1995" s="3" t="s">
        <v>78</v>
      </c>
      <c r="L1995" s="3" t="s">
        <v>110</v>
      </c>
      <c r="M1995" s="3" t="s">
        <v>110</v>
      </c>
      <c r="N1995" s="3" t="s">
        <v>146</v>
      </c>
      <c r="O1995" s="3" t="s">
        <v>82</v>
      </c>
      <c r="P1995" s="3" t="str">
        <f>"2170814871                    "</f>
        <v xml:space="preserve">2170814871                    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29.95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v>0</v>
      </c>
      <c r="BA1995" s="3">
        <v>0</v>
      </c>
      <c r="BB1995" s="3">
        <v>0</v>
      </c>
      <c r="BC1995" s="3">
        <v>0</v>
      </c>
      <c r="BD1995" s="3">
        <v>0</v>
      </c>
      <c r="BE1995" s="3">
        <v>0</v>
      </c>
      <c r="BF1995" s="3">
        <v>0</v>
      </c>
      <c r="BG1995" s="3">
        <v>0</v>
      </c>
      <c r="BH1995" s="3">
        <v>1</v>
      </c>
      <c r="BI1995" s="3">
        <v>1</v>
      </c>
      <c r="BJ1995" s="3">
        <v>0.2</v>
      </c>
      <c r="BK1995" s="3">
        <v>1</v>
      </c>
      <c r="BL1995" s="3">
        <v>114.31</v>
      </c>
      <c r="BM1995" s="3">
        <v>17.149999999999999</v>
      </c>
      <c r="BN1995" s="3">
        <v>131.46</v>
      </c>
      <c r="BO1995" s="3">
        <v>131.46</v>
      </c>
      <c r="BQ1995" s="3" t="s">
        <v>89</v>
      </c>
      <c r="BR1995" s="3" t="s">
        <v>84</v>
      </c>
      <c r="BS1995" s="4">
        <v>44587</v>
      </c>
      <c r="BT1995" s="5">
        <v>0.53888888888888886</v>
      </c>
      <c r="BU1995" s="3" t="s">
        <v>1177</v>
      </c>
      <c r="BV1995" s="3" t="s">
        <v>105</v>
      </c>
      <c r="BY1995" s="3">
        <v>1200</v>
      </c>
      <c r="BZ1995" s="3" t="s">
        <v>165</v>
      </c>
      <c r="CA1995" s="3" t="s">
        <v>563</v>
      </c>
      <c r="CC1995" s="3" t="s">
        <v>110</v>
      </c>
      <c r="CD1995" s="3">
        <v>7646</v>
      </c>
      <c r="CE1995" s="3" t="s">
        <v>93</v>
      </c>
      <c r="CF1995" s="4">
        <v>44588</v>
      </c>
      <c r="CI1995" s="3">
        <v>1</v>
      </c>
      <c r="CJ1995" s="3">
        <v>1</v>
      </c>
      <c r="CK1995" s="3">
        <v>23</v>
      </c>
      <c r="CL1995" s="3" t="s">
        <v>87</v>
      </c>
    </row>
    <row r="1996" spans="1:90" x14ac:dyDescent="0.2">
      <c r="A1996" s="3" t="s">
        <v>72</v>
      </c>
      <c r="B1996" s="3" t="s">
        <v>73</v>
      </c>
      <c r="C1996" s="3" t="s">
        <v>74</v>
      </c>
      <c r="E1996" s="3" t="str">
        <f>"FES1162846581"</f>
        <v>FES1162846581</v>
      </c>
      <c r="F1996" s="4">
        <v>44586</v>
      </c>
      <c r="G1996" s="3">
        <v>202207</v>
      </c>
      <c r="H1996" s="3" t="s">
        <v>75</v>
      </c>
      <c r="I1996" s="3" t="s">
        <v>76</v>
      </c>
      <c r="J1996" s="3" t="s">
        <v>77</v>
      </c>
      <c r="K1996" s="3" t="s">
        <v>78</v>
      </c>
      <c r="L1996" s="3" t="s">
        <v>101</v>
      </c>
      <c r="M1996" s="3" t="s">
        <v>102</v>
      </c>
      <c r="N1996" s="3" t="s">
        <v>272</v>
      </c>
      <c r="O1996" s="3" t="s">
        <v>82</v>
      </c>
      <c r="P1996" s="3" t="str">
        <f>"2170817981                    "</f>
        <v xml:space="preserve">2170817981                    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15.46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v>0</v>
      </c>
      <c r="BA1996" s="3">
        <v>0</v>
      </c>
      <c r="BB1996" s="3">
        <v>0</v>
      </c>
      <c r="BC1996" s="3">
        <v>0</v>
      </c>
      <c r="BD1996" s="3">
        <v>0</v>
      </c>
      <c r="BE1996" s="3">
        <v>0</v>
      </c>
      <c r="BF1996" s="3">
        <v>0</v>
      </c>
      <c r="BG1996" s="3">
        <v>0</v>
      </c>
      <c r="BH1996" s="3">
        <v>1</v>
      </c>
      <c r="BI1996" s="3">
        <v>1</v>
      </c>
      <c r="BJ1996" s="3">
        <v>0.2</v>
      </c>
      <c r="BK1996" s="3">
        <v>1</v>
      </c>
      <c r="BL1996" s="3">
        <v>59</v>
      </c>
      <c r="BM1996" s="3">
        <v>8.85</v>
      </c>
      <c r="BN1996" s="3">
        <v>67.849999999999994</v>
      </c>
      <c r="BO1996" s="3">
        <v>67.849999999999994</v>
      </c>
      <c r="BQ1996" s="3" t="s">
        <v>273</v>
      </c>
      <c r="BR1996" s="3" t="s">
        <v>84</v>
      </c>
      <c r="BS1996" s="4">
        <v>44587</v>
      </c>
      <c r="BT1996" s="5">
        <v>0.38194444444444442</v>
      </c>
      <c r="BU1996" s="3" t="s">
        <v>274</v>
      </c>
      <c r="BV1996" s="3" t="s">
        <v>105</v>
      </c>
      <c r="BY1996" s="3">
        <v>1200</v>
      </c>
      <c r="BZ1996" s="3" t="s">
        <v>165</v>
      </c>
      <c r="CA1996" s="3" t="s">
        <v>275</v>
      </c>
      <c r="CC1996" s="3" t="s">
        <v>102</v>
      </c>
      <c r="CD1996" s="3">
        <v>4000</v>
      </c>
      <c r="CE1996" s="3" t="s">
        <v>93</v>
      </c>
      <c r="CF1996" s="4">
        <v>44587</v>
      </c>
      <c r="CI1996" s="3">
        <v>1</v>
      </c>
      <c r="CJ1996" s="3">
        <v>1</v>
      </c>
      <c r="CK1996" s="3">
        <v>21</v>
      </c>
      <c r="CL1996" s="3" t="s">
        <v>87</v>
      </c>
    </row>
    <row r="1997" spans="1:90" x14ac:dyDescent="0.2">
      <c r="A1997" s="3" t="s">
        <v>72</v>
      </c>
      <c r="B1997" s="3" t="s">
        <v>73</v>
      </c>
      <c r="C1997" s="3" t="s">
        <v>74</v>
      </c>
      <c r="E1997" s="3" t="str">
        <f>"FES1162846509"</f>
        <v>FES1162846509</v>
      </c>
      <c r="F1997" s="4">
        <v>44586</v>
      </c>
      <c r="G1997" s="3">
        <v>202207</v>
      </c>
      <c r="H1997" s="3" t="s">
        <v>75</v>
      </c>
      <c r="I1997" s="3" t="s">
        <v>76</v>
      </c>
      <c r="J1997" s="3" t="s">
        <v>77</v>
      </c>
      <c r="K1997" s="3" t="s">
        <v>78</v>
      </c>
      <c r="L1997" s="3" t="s">
        <v>158</v>
      </c>
      <c r="M1997" s="3" t="s">
        <v>159</v>
      </c>
      <c r="N1997" s="3" t="s">
        <v>2142</v>
      </c>
      <c r="O1997" s="3" t="s">
        <v>148</v>
      </c>
      <c r="P1997" s="3" t="str">
        <f>"2170815970                    "</f>
        <v xml:space="preserve">2170815970                    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25.76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0</v>
      </c>
      <c r="AZ1997" s="3">
        <v>0</v>
      </c>
      <c r="BA1997" s="3">
        <v>0</v>
      </c>
      <c r="BB1997" s="3">
        <v>0</v>
      </c>
      <c r="BC1997" s="3">
        <v>0</v>
      </c>
      <c r="BD1997" s="3">
        <v>0</v>
      </c>
      <c r="BE1997" s="3">
        <v>0</v>
      </c>
      <c r="BF1997" s="3">
        <v>0</v>
      </c>
      <c r="BG1997" s="3">
        <v>0</v>
      </c>
      <c r="BH1997" s="3">
        <v>1</v>
      </c>
      <c r="BI1997" s="3">
        <v>19</v>
      </c>
      <c r="BJ1997" s="3">
        <v>18.3</v>
      </c>
      <c r="BK1997" s="3">
        <v>19</v>
      </c>
      <c r="BL1997" s="3">
        <v>103.58</v>
      </c>
      <c r="BM1997" s="3">
        <v>15.54</v>
      </c>
      <c r="BN1997" s="3">
        <v>119.12</v>
      </c>
      <c r="BO1997" s="3">
        <v>119.12</v>
      </c>
      <c r="BR1997" s="3" t="s">
        <v>84</v>
      </c>
      <c r="BS1997" s="4">
        <v>44587</v>
      </c>
      <c r="BT1997" s="5">
        <v>0.54722222222222217</v>
      </c>
      <c r="BU1997" s="3" t="s">
        <v>881</v>
      </c>
      <c r="BV1997" s="3" t="s">
        <v>105</v>
      </c>
      <c r="BY1997" s="3">
        <v>91264</v>
      </c>
      <c r="BZ1997" s="3" t="s">
        <v>327</v>
      </c>
      <c r="CA1997" s="3" t="s">
        <v>678</v>
      </c>
      <c r="CC1997" s="3" t="s">
        <v>159</v>
      </c>
      <c r="CD1997" s="3">
        <v>1459</v>
      </c>
      <c r="CE1997" s="3" t="s">
        <v>86</v>
      </c>
      <c r="CF1997" s="4">
        <v>44588</v>
      </c>
      <c r="CI1997" s="3">
        <v>1</v>
      </c>
      <c r="CJ1997" s="3">
        <v>1</v>
      </c>
      <c r="CK1997" s="3">
        <v>42</v>
      </c>
      <c r="CL1997" s="3" t="s">
        <v>87</v>
      </c>
    </row>
    <row r="1998" spans="1:90" x14ac:dyDescent="0.2">
      <c r="A1998" s="3" t="s">
        <v>72</v>
      </c>
      <c r="B1998" s="3" t="s">
        <v>73</v>
      </c>
      <c r="C1998" s="3" t="s">
        <v>74</v>
      </c>
      <c r="E1998" s="3" t="str">
        <f>"FES1162846633"</f>
        <v>FES1162846633</v>
      </c>
      <c r="F1998" s="4">
        <v>44586</v>
      </c>
      <c r="G1998" s="3">
        <v>202207</v>
      </c>
      <c r="H1998" s="3" t="s">
        <v>75</v>
      </c>
      <c r="I1998" s="3" t="s">
        <v>76</v>
      </c>
      <c r="J1998" s="3" t="s">
        <v>77</v>
      </c>
      <c r="K1998" s="3" t="s">
        <v>78</v>
      </c>
      <c r="L1998" s="3" t="s">
        <v>75</v>
      </c>
      <c r="M1998" s="3" t="s">
        <v>76</v>
      </c>
      <c r="N1998" s="3" t="s">
        <v>2143</v>
      </c>
      <c r="O1998" s="3" t="s">
        <v>82</v>
      </c>
      <c r="P1998" s="3" t="str">
        <f>"2170817338                    "</f>
        <v xml:space="preserve">2170817338                    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12.07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v>0</v>
      </c>
      <c r="BA1998" s="3">
        <v>0</v>
      </c>
      <c r="BB1998" s="3">
        <v>0</v>
      </c>
      <c r="BC1998" s="3">
        <v>0</v>
      </c>
      <c r="BD1998" s="3">
        <v>0</v>
      </c>
      <c r="BE1998" s="3">
        <v>0</v>
      </c>
      <c r="BF1998" s="3">
        <v>0</v>
      </c>
      <c r="BG1998" s="3">
        <v>0</v>
      </c>
      <c r="BH1998" s="3">
        <v>1</v>
      </c>
      <c r="BI1998" s="3">
        <v>1</v>
      </c>
      <c r="BJ1998" s="3">
        <v>0.2</v>
      </c>
      <c r="BK1998" s="3">
        <v>1</v>
      </c>
      <c r="BL1998" s="3">
        <v>46.08</v>
      </c>
      <c r="BM1998" s="3">
        <v>6.91</v>
      </c>
      <c r="BN1998" s="3">
        <v>52.99</v>
      </c>
      <c r="BO1998" s="3">
        <v>52.99</v>
      </c>
      <c r="BQ1998" s="3" t="s">
        <v>89</v>
      </c>
      <c r="BR1998" s="3" t="s">
        <v>84</v>
      </c>
      <c r="BS1998" s="4">
        <v>44587</v>
      </c>
      <c r="BT1998" s="5">
        <v>0.39444444444444443</v>
      </c>
      <c r="BU1998" s="3" t="s">
        <v>2024</v>
      </c>
      <c r="BV1998" s="3" t="s">
        <v>105</v>
      </c>
      <c r="BY1998" s="3">
        <v>1200</v>
      </c>
      <c r="BZ1998" s="3" t="s">
        <v>165</v>
      </c>
      <c r="CA1998" s="3" t="s">
        <v>378</v>
      </c>
      <c r="CC1998" s="3" t="s">
        <v>76</v>
      </c>
      <c r="CD1998" s="3">
        <v>1601</v>
      </c>
      <c r="CE1998" s="3" t="s">
        <v>86</v>
      </c>
      <c r="CF1998" s="4">
        <v>44587</v>
      </c>
      <c r="CI1998" s="3">
        <v>1</v>
      </c>
      <c r="CJ1998" s="3">
        <v>1</v>
      </c>
      <c r="CK1998" s="3">
        <v>22</v>
      </c>
      <c r="CL1998" s="3" t="s">
        <v>87</v>
      </c>
    </row>
    <row r="1999" spans="1:90" x14ac:dyDescent="0.2">
      <c r="A1999" s="3" t="s">
        <v>72</v>
      </c>
      <c r="B1999" s="3" t="s">
        <v>73</v>
      </c>
      <c r="C1999" s="3" t="s">
        <v>74</v>
      </c>
      <c r="E1999" s="3" t="str">
        <f>"FES1162846667"</f>
        <v>FES1162846667</v>
      </c>
      <c r="F1999" s="4">
        <v>44586</v>
      </c>
      <c r="G1999" s="3">
        <v>202207</v>
      </c>
      <c r="H1999" s="3" t="s">
        <v>75</v>
      </c>
      <c r="I1999" s="3" t="s">
        <v>76</v>
      </c>
      <c r="J1999" s="3" t="s">
        <v>77</v>
      </c>
      <c r="K1999" s="3" t="s">
        <v>78</v>
      </c>
      <c r="L1999" s="3" t="s">
        <v>187</v>
      </c>
      <c r="M1999" s="3" t="s">
        <v>188</v>
      </c>
      <c r="N1999" s="3" t="s">
        <v>189</v>
      </c>
      <c r="O1999" s="3" t="s">
        <v>82</v>
      </c>
      <c r="P1999" s="3" t="str">
        <f>"2170818060                    "</f>
        <v xml:space="preserve">2170818060                    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50.24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v>0</v>
      </c>
      <c r="BA1999" s="3">
        <v>0</v>
      </c>
      <c r="BB1999" s="3">
        <v>0</v>
      </c>
      <c r="BC1999" s="3">
        <v>0</v>
      </c>
      <c r="BD1999" s="3">
        <v>0</v>
      </c>
      <c r="BE1999" s="3">
        <v>0</v>
      </c>
      <c r="BF1999" s="3">
        <v>0</v>
      </c>
      <c r="BG1999" s="3">
        <v>0</v>
      </c>
      <c r="BH1999" s="3">
        <v>1</v>
      </c>
      <c r="BI1999" s="3">
        <v>2</v>
      </c>
      <c r="BJ1999" s="3">
        <v>3.4</v>
      </c>
      <c r="BK1999" s="3">
        <v>3.5</v>
      </c>
      <c r="BL1999" s="3">
        <v>191.75</v>
      </c>
      <c r="BM1999" s="3">
        <v>28.76</v>
      </c>
      <c r="BN1999" s="3">
        <v>220.51</v>
      </c>
      <c r="BO1999" s="3">
        <v>220.51</v>
      </c>
      <c r="BQ1999" s="3" t="s">
        <v>83</v>
      </c>
      <c r="BR1999" s="3" t="s">
        <v>84</v>
      </c>
      <c r="BS1999" s="4">
        <v>44587</v>
      </c>
      <c r="BT1999" s="5">
        <v>0.55208333333333337</v>
      </c>
      <c r="BU1999" s="3" t="s">
        <v>267</v>
      </c>
      <c r="BV1999" s="3" t="s">
        <v>87</v>
      </c>
      <c r="BW1999" s="3" t="s">
        <v>457</v>
      </c>
      <c r="BX1999" s="3" t="s">
        <v>602</v>
      </c>
      <c r="BY1999" s="3">
        <v>17248</v>
      </c>
      <c r="BZ1999" s="3" t="s">
        <v>165</v>
      </c>
      <c r="CA1999" s="3" t="s">
        <v>268</v>
      </c>
      <c r="CC1999" s="3" t="s">
        <v>188</v>
      </c>
      <c r="CD1999" s="3">
        <v>7300</v>
      </c>
      <c r="CE1999" s="3" t="s">
        <v>86</v>
      </c>
      <c r="CF1999" s="4">
        <v>44588</v>
      </c>
      <c r="CI1999" s="3">
        <v>1</v>
      </c>
      <c r="CJ1999" s="3">
        <v>1</v>
      </c>
      <c r="CK1999" s="3">
        <v>23</v>
      </c>
      <c r="CL1999" s="3" t="s">
        <v>87</v>
      </c>
    </row>
    <row r="2000" spans="1:90" x14ac:dyDescent="0.2">
      <c r="A2000" s="3" t="s">
        <v>72</v>
      </c>
      <c r="B2000" s="3" t="s">
        <v>73</v>
      </c>
      <c r="C2000" s="3" t="s">
        <v>74</v>
      </c>
      <c r="E2000" s="3" t="str">
        <f>"FES1162846853"</f>
        <v>FES1162846853</v>
      </c>
      <c r="F2000" s="4">
        <v>44586</v>
      </c>
      <c r="G2000" s="3">
        <v>202207</v>
      </c>
      <c r="H2000" s="3" t="s">
        <v>75</v>
      </c>
      <c r="I2000" s="3" t="s">
        <v>76</v>
      </c>
      <c r="J2000" s="3" t="s">
        <v>77</v>
      </c>
      <c r="K2000" s="3" t="s">
        <v>78</v>
      </c>
      <c r="L2000" s="3" t="s">
        <v>120</v>
      </c>
      <c r="M2000" s="3" t="s">
        <v>121</v>
      </c>
      <c r="N2000" s="3" t="s">
        <v>122</v>
      </c>
      <c r="O2000" s="3" t="s">
        <v>82</v>
      </c>
      <c r="P2000" s="3" t="str">
        <f>"2170818031                    "</f>
        <v xml:space="preserve">2170818031                    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15.46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v>0</v>
      </c>
      <c r="BA2000" s="3">
        <v>0</v>
      </c>
      <c r="BB2000" s="3">
        <v>0</v>
      </c>
      <c r="BC2000" s="3">
        <v>0</v>
      </c>
      <c r="BD2000" s="3">
        <v>0</v>
      </c>
      <c r="BE2000" s="3">
        <v>0</v>
      </c>
      <c r="BF2000" s="3">
        <v>0</v>
      </c>
      <c r="BG2000" s="3">
        <v>0</v>
      </c>
      <c r="BH2000" s="3">
        <v>1</v>
      </c>
      <c r="BI2000" s="3">
        <v>1</v>
      </c>
      <c r="BJ2000" s="3">
        <v>0.2</v>
      </c>
      <c r="BK2000" s="3">
        <v>1</v>
      </c>
      <c r="BL2000" s="3">
        <v>59</v>
      </c>
      <c r="BM2000" s="3">
        <v>8.85</v>
      </c>
      <c r="BN2000" s="3">
        <v>67.849999999999994</v>
      </c>
      <c r="BO2000" s="3">
        <v>67.849999999999994</v>
      </c>
      <c r="BQ2000" s="3" t="s">
        <v>89</v>
      </c>
      <c r="BR2000" s="3" t="s">
        <v>84</v>
      </c>
      <c r="BS2000" s="4">
        <v>44587</v>
      </c>
      <c r="BT2000" s="5">
        <v>0.3354166666666667</v>
      </c>
      <c r="BU2000" s="3" t="s">
        <v>2144</v>
      </c>
      <c r="BV2000" s="3" t="s">
        <v>105</v>
      </c>
      <c r="BY2000" s="3">
        <v>1200</v>
      </c>
      <c r="BZ2000" s="3" t="s">
        <v>165</v>
      </c>
      <c r="CA2000" s="3" t="s">
        <v>553</v>
      </c>
      <c r="CC2000" s="3" t="s">
        <v>121</v>
      </c>
      <c r="CD2000" s="3">
        <v>6230</v>
      </c>
      <c r="CE2000" s="3" t="s">
        <v>93</v>
      </c>
      <c r="CF2000" s="4">
        <v>44587</v>
      </c>
      <c r="CI2000" s="3">
        <v>1</v>
      </c>
      <c r="CJ2000" s="3">
        <v>1</v>
      </c>
      <c r="CK2000" s="3">
        <v>21</v>
      </c>
      <c r="CL2000" s="3" t="s">
        <v>87</v>
      </c>
    </row>
    <row r="2001" spans="1:90" x14ac:dyDescent="0.2">
      <c r="A2001" s="3" t="s">
        <v>72</v>
      </c>
      <c r="B2001" s="3" t="s">
        <v>73</v>
      </c>
      <c r="C2001" s="3" t="s">
        <v>74</v>
      </c>
      <c r="E2001" s="3" t="str">
        <f>"FES1162847047"</f>
        <v>FES1162847047</v>
      </c>
      <c r="F2001" s="4">
        <v>44587</v>
      </c>
      <c r="G2001" s="3">
        <v>202207</v>
      </c>
      <c r="H2001" s="3" t="s">
        <v>75</v>
      </c>
      <c r="I2001" s="3" t="s">
        <v>76</v>
      </c>
      <c r="J2001" s="3" t="s">
        <v>77</v>
      </c>
      <c r="K2001" s="3" t="s">
        <v>78</v>
      </c>
      <c r="L2001" s="3" t="s">
        <v>90</v>
      </c>
      <c r="M2001" s="3" t="s">
        <v>91</v>
      </c>
      <c r="N2001" s="3" t="s">
        <v>2145</v>
      </c>
      <c r="O2001" s="3" t="s">
        <v>82</v>
      </c>
      <c r="P2001" s="3" t="str">
        <f>"2170818331                    "</f>
        <v xml:space="preserve">2170818331                    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15.46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v>0</v>
      </c>
      <c r="BA2001" s="3">
        <v>0</v>
      </c>
      <c r="BB2001" s="3">
        <v>0</v>
      </c>
      <c r="BC2001" s="3">
        <v>0</v>
      </c>
      <c r="BD2001" s="3">
        <v>0</v>
      </c>
      <c r="BE2001" s="3">
        <v>0</v>
      </c>
      <c r="BF2001" s="3">
        <v>0</v>
      </c>
      <c r="BG2001" s="3">
        <v>0</v>
      </c>
      <c r="BH2001" s="3">
        <v>1</v>
      </c>
      <c r="BI2001" s="3">
        <v>1</v>
      </c>
      <c r="BJ2001" s="3">
        <v>0.2</v>
      </c>
      <c r="BK2001" s="3">
        <v>1</v>
      </c>
      <c r="BL2001" s="3">
        <v>59</v>
      </c>
      <c r="BM2001" s="3">
        <v>8.85</v>
      </c>
      <c r="BN2001" s="3">
        <v>67.849999999999994</v>
      </c>
      <c r="BO2001" s="3">
        <v>67.849999999999994</v>
      </c>
      <c r="BQ2001" s="3" t="s">
        <v>89</v>
      </c>
      <c r="BR2001" s="3" t="s">
        <v>84</v>
      </c>
      <c r="BS2001" s="4">
        <v>44588</v>
      </c>
      <c r="BT2001" s="5">
        <v>0.57777777777777783</v>
      </c>
      <c r="BU2001" s="3" t="s">
        <v>2146</v>
      </c>
      <c r="BV2001" s="3" t="s">
        <v>87</v>
      </c>
      <c r="BW2001" s="3" t="s">
        <v>353</v>
      </c>
      <c r="BX2001" s="3" t="s">
        <v>602</v>
      </c>
      <c r="BY2001" s="3">
        <v>1200</v>
      </c>
      <c r="BZ2001" s="3" t="s">
        <v>165</v>
      </c>
      <c r="CA2001" s="3" t="s">
        <v>623</v>
      </c>
      <c r="CC2001" s="3" t="s">
        <v>91</v>
      </c>
      <c r="CD2001" s="3">
        <v>7945</v>
      </c>
      <c r="CE2001" s="3" t="s">
        <v>1513</v>
      </c>
      <c r="CF2001" s="4">
        <v>44589</v>
      </c>
      <c r="CI2001" s="3">
        <v>1</v>
      </c>
      <c r="CJ2001" s="3">
        <v>1</v>
      </c>
      <c r="CK2001" s="3">
        <v>21</v>
      </c>
      <c r="CL2001" s="3" t="s">
        <v>87</v>
      </c>
    </row>
    <row r="2002" spans="1:90" x14ac:dyDescent="0.2">
      <c r="A2002" s="3" t="s">
        <v>72</v>
      </c>
      <c r="B2002" s="3" t="s">
        <v>73</v>
      </c>
      <c r="C2002" s="3" t="s">
        <v>74</v>
      </c>
      <c r="E2002" s="3" t="str">
        <f>"FES1162847165"</f>
        <v>FES1162847165</v>
      </c>
      <c r="F2002" s="4">
        <v>44587</v>
      </c>
      <c r="G2002" s="3">
        <v>202207</v>
      </c>
      <c r="H2002" s="3" t="s">
        <v>75</v>
      </c>
      <c r="I2002" s="3" t="s">
        <v>76</v>
      </c>
      <c r="J2002" s="3" t="s">
        <v>77</v>
      </c>
      <c r="K2002" s="3" t="s">
        <v>78</v>
      </c>
      <c r="L2002" s="3" t="s">
        <v>138</v>
      </c>
      <c r="M2002" s="3" t="s">
        <v>139</v>
      </c>
      <c r="N2002" s="3" t="s">
        <v>1861</v>
      </c>
      <c r="O2002" s="3" t="s">
        <v>82</v>
      </c>
      <c r="P2002" s="3" t="str">
        <f>"2170818485                    "</f>
        <v xml:space="preserve">2170818485                    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185.4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v>0</v>
      </c>
      <c r="BA2002" s="3">
        <v>0</v>
      </c>
      <c r="BB2002" s="3">
        <v>0</v>
      </c>
      <c r="BC2002" s="3">
        <v>0</v>
      </c>
      <c r="BD2002" s="3">
        <v>0</v>
      </c>
      <c r="BE2002" s="3">
        <v>0</v>
      </c>
      <c r="BF2002" s="3">
        <v>0</v>
      </c>
      <c r="BG2002" s="3">
        <v>0</v>
      </c>
      <c r="BH2002" s="3">
        <v>1</v>
      </c>
      <c r="BI2002" s="3">
        <v>24</v>
      </c>
      <c r="BJ2002" s="3">
        <v>9.1</v>
      </c>
      <c r="BK2002" s="3">
        <v>24</v>
      </c>
      <c r="BL2002" s="3">
        <v>707.66</v>
      </c>
      <c r="BM2002" s="3">
        <v>106.15</v>
      </c>
      <c r="BN2002" s="3">
        <v>813.81</v>
      </c>
      <c r="BO2002" s="3">
        <v>813.81</v>
      </c>
      <c r="BQ2002" s="3" t="s">
        <v>83</v>
      </c>
      <c r="BR2002" s="3" t="s">
        <v>84</v>
      </c>
      <c r="BS2002" s="4">
        <v>44588</v>
      </c>
      <c r="BT2002" s="5">
        <v>0.39999999999999997</v>
      </c>
      <c r="BU2002" s="3" t="s">
        <v>2073</v>
      </c>
      <c r="BV2002" s="3" t="s">
        <v>105</v>
      </c>
      <c r="BY2002" s="3">
        <v>45632</v>
      </c>
      <c r="BZ2002" s="3" t="s">
        <v>165</v>
      </c>
      <c r="CA2002" s="3" t="s">
        <v>240</v>
      </c>
      <c r="CC2002" s="3" t="s">
        <v>139</v>
      </c>
      <c r="CD2002" s="3">
        <v>3610</v>
      </c>
      <c r="CE2002" s="3" t="s">
        <v>86</v>
      </c>
      <c r="CF2002" s="4">
        <v>44589</v>
      </c>
      <c r="CI2002" s="3">
        <v>1</v>
      </c>
      <c r="CJ2002" s="3">
        <v>1</v>
      </c>
      <c r="CK2002" s="3">
        <v>21</v>
      </c>
      <c r="CL2002" s="3" t="s">
        <v>87</v>
      </c>
    </row>
    <row r="2003" spans="1:90" x14ac:dyDescent="0.2">
      <c r="A2003" s="3" t="s">
        <v>72</v>
      </c>
      <c r="B2003" s="3" t="s">
        <v>73</v>
      </c>
      <c r="C2003" s="3" t="s">
        <v>74</v>
      </c>
      <c r="E2003" s="3" t="str">
        <f>"FES1162847035"</f>
        <v>FES1162847035</v>
      </c>
      <c r="F2003" s="4">
        <v>44587</v>
      </c>
      <c r="G2003" s="3">
        <v>202207</v>
      </c>
      <c r="H2003" s="3" t="s">
        <v>75</v>
      </c>
      <c r="I2003" s="3" t="s">
        <v>76</v>
      </c>
      <c r="J2003" s="3" t="s">
        <v>77</v>
      </c>
      <c r="K2003" s="3" t="s">
        <v>78</v>
      </c>
      <c r="L2003" s="3" t="s">
        <v>101</v>
      </c>
      <c r="M2003" s="3" t="s">
        <v>102</v>
      </c>
      <c r="N2003" s="3" t="s">
        <v>272</v>
      </c>
      <c r="O2003" s="3" t="s">
        <v>82</v>
      </c>
      <c r="P2003" s="3" t="str">
        <f>"2170818320                    "</f>
        <v xml:space="preserve">2170818320                    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15.46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v>0</v>
      </c>
      <c r="BA2003" s="3">
        <v>0</v>
      </c>
      <c r="BB2003" s="3">
        <v>0</v>
      </c>
      <c r="BC2003" s="3">
        <v>0</v>
      </c>
      <c r="BD2003" s="3">
        <v>0</v>
      </c>
      <c r="BE2003" s="3">
        <v>0</v>
      </c>
      <c r="BF2003" s="3">
        <v>0</v>
      </c>
      <c r="BG2003" s="3">
        <v>0</v>
      </c>
      <c r="BH2003" s="3">
        <v>1</v>
      </c>
      <c r="BI2003" s="3">
        <v>1</v>
      </c>
      <c r="BJ2003" s="3">
        <v>0.2</v>
      </c>
      <c r="BK2003" s="3">
        <v>1</v>
      </c>
      <c r="BL2003" s="3">
        <v>59</v>
      </c>
      <c r="BM2003" s="3">
        <v>8.85</v>
      </c>
      <c r="BN2003" s="3">
        <v>67.849999999999994</v>
      </c>
      <c r="BO2003" s="3">
        <v>67.849999999999994</v>
      </c>
      <c r="BQ2003" s="3" t="s">
        <v>273</v>
      </c>
      <c r="BR2003" s="3" t="s">
        <v>84</v>
      </c>
      <c r="BS2003" s="4">
        <v>44588</v>
      </c>
      <c r="BT2003" s="5">
        <v>0.36736111111111108</v>
      </c>
      <c r="BU2003" s="3" t="s">
        <v>2147</v>
      </c>
      <c r="BV2003" s="3" t="s">
        <v>105</v>
      </c>
      <c r="BY2003" s="3">
        <v>1200</v>
      </c>
      <c r="BZ2003" s="3" t="s">
        <v>165</v>
      </c>
      <c r="CA2003" s="3" t="s">
        <v>2148</v>
      </c>
      <c r="CC2003" s="3" t="s">
        <v>102</v>
      </c>
      <c r="CD2003" s="3">
        <v>4000</v>
      </c>
      <c r="CE2003" s="3" t="s">
        <v>1513</v>
      </c>
      <c r="CF2003" s="4">
        <v>44589</v>
      </c>
      <c r="CI2003" s="3">
        <v>1</v>
      </c>
      <c r="CJ2003" s="3">
        <v>1</v>
      </c>
      <c r="CK2003" s="3">
        <v>21</v>
      </c>
      <c r="CL2003" s="3" t="s">
        <v>87</v>
      </c>
    </row>
    <row r="2004" spans="1:90" x14ac:dyDescent="0.2">
      <c r="A2004" s="3" t="s">
        <v>72</v>
      </c>
      <c r="B2004" s="3" t="s">
        <v>73</v>
      </c>
      <c r="C2004" s="3" t="s">
        <v>74</v>
      </c>
      <c r="E2004" s="3" t="str">
        <f>"FES1162846826"</f>
        <v>FES1162846826</v>
      </c>
      <c r="F2004" s="4">
        <v>44587</v>
      </c>
      <c r="G2004" s="3">
        <v>202207</v>
      </c>
      <c r="H2004" s="3" t="s">
        <v>75</v>
      </c>
      <c r="I2004" s="3" t="s">
        <v>76</v>
      </c>
      <c r="J2004" s="3" t="s">
        <v>77</v>
      </c>
      <c r="K2004" s="3" t="s">
        <v>78</v>
      </c>
      <c r="L2004" s="3" t="s">
        <v>90</v>
      </c>
      <c r="M2004" s="3" t="s">
        <v>91</v>
      </c>
      <c r="N2004" s="3" t="s">
        <v>2149</v>
      </c>
      <c r="O2004" s="3" t="s">
        <v>82</v>
      </c>
      <c r="P2004" s="3" t="str">
        <f>"2170818105                    "</f>
        <v xml:space="preserve">2170818105                    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23.18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v>0</v>
      </c>
      <c r="BA2004" s="3">
        <v>0</v>
      </c>
      <c r="BB2004" s="3">
        <v>0</v>
      </c>
      <c r="BC2004" s="3">
        <v>0</v>
      </c>
      <c r="BD2004" s="3">
        <v>0</v>
      </c>
      <c r="BE2004" s="3">
        <v>0</v>
      </c>
      <c r="BF2004" s="3">
        <v>0</v>
      </c>
      <c r="BG2004" s="3">
        <v>0</v>
      </c>
      <c r="BH2004" s="3">
        <v>1</v>
      </c>
      <c r="BI2004" s="3">
        <v>1</v>
      </c>
      <c r="BJ2004" s="3">
        <v>3</v>
      </c>
      <c r="BK2004" s="3">
        <v>3</v>
      </c>
      <c r="BL2004" s="3">
        <v>88.48</v>
      </c>
      <c r="BM2004" s="3">
        <v>13.27</v>
      </c>
      <c r="BN2004" s="3">
        <v>101.75</v>
      </c>
      <c r="BO2004" s="3">
        <v>101.75</v>
      </c>
      <c r="BR2004" s="3" t="s">
        <v>84</v>
      </c>
      <c r="BS2004" s="4">
        <v>44588</v>
      </c>
      <c r="BT2004" s="5">
        <v>0.3527777777777778</v>
      </c>
      <c r="BU2004" s="3" t="s">
        <v>2150</v>
      </c>
      <c r="BV2004" s="3" t="s">
        <v>105</v>
      </c>
      <c r="BY2004" s="3">
        <v>15246</v>
      </c>
      <c r="BZ2004" s="3" t="s">
        <v>165</v>
      </c>
      <c r="CA2004" s="3" t="s">
        <v>623</v>
      </c>
      <c r="CC2004" s="3" t="s">
        <v>91</v>
      </c>
      <c r="CD2004" s="3">
        <v>7800</v>
      </c>
      <c r="CE2004" s="3" t="s">
        <v>221</v>
      </c>
      <c r="CF2004" s="4">
        <v>44589</v>
      </c>
      <c r="CI2004" s="3">
        <v>1</v>
      </c>
      <c r="CJ2004" s="3">
        <v>1</v>
      </c>
      <c r="CK2004" s="3">
        <v>21</v>
      </c>
      <c r="CL2004" s="3" t="s">
        <v>87</v>
      </c>
    </row>
    <row r="2005" spans="1:90" x14ac:dyDescent="0.2">
      <c r="A2005" s="3" t="s">
        <v>72</v>
      </c>
      <c r="B2005" s="3" t="s">
        <v>73</v>
      </c>
      <c r="C2005" s="3" t="s">
        <v>74</v>
      </c>
      <c r="E2005" s="3" t="str">
        <f>"FES1162847075"</f>
        <v>FES1162847075</v>
      </c>
      <c r="F2005" s="4">
        <v>44587</v>
      </c>
      <c r="G2005" s="3">
        <v>202207</v>
      </c>
      <c r="H2005" s="3" t="s">
        <v>75</v>
      </c>
      <c r="I2005" s="3" t="s">
        <v>76</v>
      </c>
      <c r="J2005" s="3" t="s">
        <v>77</v>
      </c>
      <c r="K2005" s="3" t="s">
        <v>78</v>
      </c>
      <c r="L2005" s="3" t="s">
        <v>79</v>
      </c>
      <c r="M2005" s="3" t="s">
        <v>80</v>
      </c>
      <c r="N2005" s="3" t="s">
        <v>136</v>
      </c>
      <c r="O2005" s="3" t="s">
        <v>148</v>
      </c>
      <c r="P2005" s="3" t="str">
        <f>"2170818369                    "</f>
        <v xml:space="preserve">2170818369                    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34.82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v>0</v>
      </c>
      <c r="BA2005" s="3">
        <v>0</v>
      </c>
      <c r="BB2005" s="3">
        <v>0</v>
      </c>
      <c r="BC2005" s="3">
        <v>0</v>
      </c>
      <c r="BD2005" s="3">
        <v>0</v>
      </c>
      <c r="BE2005" s="3">
        <v>0</v>
      </c>
      <c r="BF2005" s="3">
        <v>0</v>
      </c>
      <c r="BG2005" s="3">
        <v>0</v>
      </c>
      <c r="BH2005" s="3">
        <v>1</v>
      </c>
      <c r="BI2005" s="3">
        <v>7</v>
      </c>
      <c r="BJ2005" s="3">
        <v>18.3</v>
      </c>
      <c r="BK2005" s="3">
        <v>19</v>
      </c>
      <c r="BL2005" s="3">
        <v>138.15</v>
      </c>
      <c r="BM2005" s="3">
        <v>20.72</v>
      </c>
      <c r="BN2005" s="3">
        <v>158.87</v>
      </c>
      <c r="BO2005" s="3">
        <v>158.87</v>
      </c>
      <c r="BQ2005" s="3" t="s">
        <v>89</v>
      </c>
      <c r="BR2005" s="3" t="s">
        <v>84</v>
      </c>
      <c r="BS2005" s="4">
        <v>44588</v>
      </c>
      <c r="BT2005" s="5">
        <v>0.4152777777777778</v>
      </c>
      <c r="BU2005" s="3" t="s">
        <v>2112</v>
      </c>
      <c r="BV2005" s="3" t="s">
        <v>105</v>
      </c>
      <c r="BY2005" s="3">
        <v>91264</v>
      </c>
      <c r="BZ2005" s="3" t="s">
        <v>327</v>
      </c>
      <c r="CA2005" s="3" t="s">
        <v>2113</v>
      </c>
      <c r="CC2005" s="3" t="s">
        <v>80</v>
      </c>
      <c r="CD2005" s="3">
        <v>82</v>
      </c>
      <c r="CE2005" s="3" t="s">
        <v>221</v>
      </c>
      <c r="CF2005" s="4">
        <v>44588</v>
      </c>
      <c r="CI2005" s="3">
        <v>1</v>
      </c>
      <c r="CJ2005" s="3">
        <v>1</v>
      </c>
      <c r="CK2005" s="3">
        <v>41</v>
      </c>
      <c r="CL2005" s="3" t="s">
        <v>87</v>
      </c>
    </row>
    <row r="2006" spans="1:90" x14ac:dyDescent="0.2">
      <c r="A2006" s="3" t="s">
        <v>72</v>
      </c>
      <c r="B2006" s="3" t="s">
        <v>73</v>
      </c>
      <c r="C2006" s="3" t="s">
        <v>74</v>
      </c>
      <c r="E2006" s="3" t="str">
        <f>"FES1162846879"</f>
        <v>FES1162846879</v>
      </c>
      <c r="F2006" s="4">
        <v>44587</v>
      </c>
      <c r="G2006" s="3">
        <v>202207</v>
      </c>
      <c r="H2006" s="3" t="s">
        <v>75</v>
      </c>
      <c r="I2006" s="3" t="s">
        <v>76</v>
      </c>
      <c r="J2006" s="3" t="s">
        <v>77</v>
      </c>
      <c r="K2006" s="3" t="s">
        <v>78</v>
      </c>
      <c r="L2006" s="3" t="s">
        <v>158</v>
      </c>
      <c r="M2006" s="3" t="s">
        <v>159</v>
      </c>
      <c r="N2006" s="3" t="s">
        <v>832</v>
      </c>
      <c r="O2006" s="3" t="s">
        <v>82</v>
      </c>
      <c r="P2006" s="3" t="str">
        <f>"2170818158                    "</f>
        <v xml:space="preserve">2170818158                    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12.07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v>0</v>
      </c>
      <c r="BA2006" s="3">
        <v>0</v>
      </c>
      <c r="BB2006" s="3">
        <v>0</v>
      </c>
      <c r="BC2006" s="3">
        <v>0</v>
      </c>
      <c r="BD2006" s="3">
        <v>0</v>
      </c>
      <c r="BE2006" s="3">
        <v>0</v>
      </c>
      <c r="BF2006" s="3">
        <v>0</v>
      </c>
      <c r="BG2006" s="3">
        <v>0</v>
      </c>
      <c r="BH2006" s="3">
        <v>1</v>
      </c>
      <c r="BI2006" s="3">
        <v>1</v>
      </c>
      <c r="BJ2006" s="3">
        <v>0.2</v>
      </c>
      <c r="BK2006" s="3">
        <v>1</v>
      </c>
      <c r="BL2006" s="3">
        <v>46.08</v>
      </c>
      <c r="BM2006" s="3">
        <v>6.91</v>
      </c>
      <c r="BN2006" s="3">
        <v>52.99</v>
      </c>
      <c r="BO2006" s="3">
        <v>52.99</v>
      </c>
      <c r="BQ2006" s="3" t="s">
        <v>83</v>
      </c>
      <c r="BR2006" s="3" t="s">
        <v>84</v>
      </c>
      <c r="BS2006" s="4">
        <v>44588</v>
      </c>
      <c r="BT2006" s="5">
        <v>0.29236111111111113</v>
      </c>
      <c r="BU2006" s="3" t="s">
        <v>833</v>
      </c>
      <c r="BV2006" s="3" t="s">
        <v>105</v>
      </c>
      <c r="BY2006" s="3">
        <v>1200</v>
      </c>
      <c r="BZ2006" s="3" t="s">
        <v>165</v>
      </c>
      <c r="CA2006" s="3" t="s">
        <v>763</v>
      </c>
      <c r="CC2006" s="3" t="s">
        <v>159</v>
      </c>
      <c r="CD2006" s="3">
        <v>1460</v>
      </c>
      <c r="CE2006" s="3" t="s">
        <v>93</v>
      </c>
      <c r="CF2006" s="4">
        <v>44588</v>
      </c>
      <c r="CI2006" s="3">
        <v>1</v>
      </c>
      <c r="CJ2006" s="3">
        <v>1</v>
      </c>
      <c r="CK2006" s="3">
        <v>22</v>
      </c>
      <c r="CL2006" s="3" t="s">
        <v>87</v>
      </c>
    </row>
    <row r="2007" spans="1:90" x14ac:dyDescent="0.2">
      <c r="A2007" s="3" t="s">
        <v>72</v>
      </c>
      <c r="B2007" s="3" t="s">
        <v>73</v>
      </c>
      <c r="C2007" s="3" t="s">
        <v>74</v>
      </c>
      <c r="E2007" s="3" t="str">
        <f>"FES1162847063"</f>
        <v>FES1162847063</v>
      </c>
      <c r="F2007" s="4">
        <v>44587</v>
      </c>
      <c r="G2007" s="3">
        <v>202207</v>
      </c>
      <c r="H2007" s="3" t="s">
        <v>75</v>
      </c>
      <c r="I2007" s="3" t="s">
        <v>76</v>
      </c>
      <c r="J2007" s="3" t="s">
        <v>77</v>
      </c>
      <c r="K2007" s="3" t="s">
        <v>78</v>
      </c>
      <c r="L2007" s="3" t="s">
        <v>180</v>
      </c>
      <c r="M2007" s="3" t="s">
        <v>181</v>
      </c>
      <c r="N2007" s="3" t="s">
        <v>182</v>
      </c>
      <c r="O2007" s="3" t="s">
        <v>82</v>
      </c>
      <c r="P2007" s="3" t="str">
        <f>"2170818348                    "</f>
        <v xml:space="preserve">2170818348                    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21.74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v>0</v>
      </c>
      <c r="BA2007" s="3">
        <v>0</v>
      </c>
      <c r="BB2007" s="3">
        <v>0</v>
      </c>
      <c r="BC2007" s="3">
        <v>0</v>
      </c>
      <c r="BD2007" s="3">
        <v>0</v>
      </c>
      <c r="BE2007" s="3">
        <v>0</v>
      </c>
      <c r="BF2007" s="3">
        <v>0</v>
      </c>
      <c r="BG2007" s="3">
        <v>0</v>
      </c>
      <c r="BH2007" s="3">
        <v>1</v>
      </c>
      <c r="BI2007" s="3">
        <v>1</v>
      </c>
      <c r="BJ2007" s="3">
        <v>0.2</v>
      </c>
      <c r="BK2007" s="3">
        <v>1</v>
      </c>
      <c r="BL2007" s="3">
        <v>82.98</v>
      </c>
      <c r="BM2007" s="3">
        <v>12.45</v>
      </c>
      <c r="BN2007" s="3">
        <v>95.43</v>
      </c>
      <c r="BO2007" s="3">
        <v>95.43</v>
      </c>
      <c r="BQ2007" s="3" t="s">
        <v>83</v>
      </c>
      <c r="BR2007" s="3" t="s">
        <v>84</v>
      </c>
      <c r="BS2007" s="4">
        <v>44588</v>
      </c>
      <c r="BT2007" s="5">
        <v>0.3888888888888889</v>
      </c>
      <c r="BU2007" s="3" t="s">
        <v>2151</v>
      </c>
      <c r="BV2007" s="3" t="s">
        <v>105</v>
      </c>
      <c r="BY2007" s="3">
        <v>1200</v>
      </c>
      <c r="BZ2007" s="3" t="s">
        <v>165</v>
      </c>
      <c r="CA2007" s="3" t="s">
        <v>1166</v>
      </c>
      <c r="CC2007" s="3" t="s">
        <v>181</v>
      </c>
      <c r="CD2007" s="3">
        <v>1939</v>
      </c>
      <c r="CE2007" s="3" t="s">
        <v>93</v>
      </c>
      <c r="CF2007" s="4">
        <v>44589</v>
      </c>
      <c r="CI2007" s="3">
        <v>1</v>
      </c>
      <c r="CJ2007" s="3">
        <v>1</v>
      </c>
      <c r="CK2007" s="3">
        <v>24</v>
      </c>
      <c r="CL2007" s="3" t="s">
        <v>87</v>
      </c>
    </row>
    <row r="2008" spans="1:90" x14ac:dyDescent="0.2">
      <c r="A2008" s="3" t="s">
        <v>72</v>
      </c>
      <c r="B2008" s="3" t="s">
        <v>73</v>
      </c>
      <c r="C2008" s="3" t="s">
        <v>74</v>
      </c>
      <c r="E2008" s="3" t="str">
        <f>"FES1162846956"</f>
        <v>FES1162846956</v>
      </c>
      <c r="F2008" s="4">
        <v>44587</v>
      </c>
      <c r="G2008" s="3">
        <v>202207</v>
      </c>
      <c r="H2008" s="3" t="s">
        <v>75</v>
      </c>
      <c r="I2008" s="3" t="s">
        <v>76</v>
      </c>
      <c r="J2008" s="3" t="s">
        <v>77</v>
      </c>
      <c r="K2008" s="3" t="s">
        <v>78</v>
      </c>
      <c r="L2008" s="3" t="s">
        <v>79</v>
      </c>
      <c r="M2008" s="3" t="s">
        <v>80</v>
      </c>
      <c r="N2008" s="3" t="s">
        <v>740</v>
      </c>
      <c r="O2008" s="3" t="s">
        <v>82</v>
      </c>
      <c r="P2008" s="3" t="str">
        <f>"2170818247                    "</f>
        <v xml:space="preserve">2170818247                    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34.770000000000003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v>0</v>
      </c>
      <c r="BA2008" s="3">
        <v>0</v>
      </c>
      <c r="BB2008" s="3">
        <v>0</v>
      </c>
      <c r="BC2008" s="3">
        <v>0</v>
      </c>
      <c r="BD2008" s="3">
        <v>0</v>
      </c>
      <c r="BE2008" s="3">
        <v>0</v>
      </c>
      <c r="BF2008" s="3">
        <v>0</v>
      </c>
      <c r="BG2008" s="3">
        <v>0</v>
      </c>
      <c r="BH2008" s="3">
        <v>1</v>
      </c>
      <c r="BI2008" s="3">
        <v>3</v>
      </c>
      <c r="BJ2008" s="3">
        <v>4.2</v>
      </c>
      <c r="BK2008" s="3">
        <v>4.5</v>
      </c>
      <c r="BL2008" s="3">
        <v>132.71</v>
      </c>
      <c r="BM2008" s="3">
        <v>19.91</v>
      </c>
      <c r="BN2008" s="3">
        <v>152.62</v>
      </c>
      <c r="BO2008" s="3">
        <v>152.62</v>
      </c>
      <c r="BQ2008" s="3" t="s">
        <v>126</v>
      </c>
      <c r="BR2008" s="3" t="s">
        <v>84</v>
      </c>
      <c r="BS2008" s="4">
        <v>44588</v>
      </c>
      <c r="BT2008" s="5">
        <v>0.375</v>
      </c>
      <c r="BU2008" s="3" t="s">
        <v>2152</v>
      </c>
      <c r="BV2008" s="3" t="s">
        <v>105</v>
      </c>
      <c r="BY2008" s="3">
        <v>20800</v>
      </c>
      <c r="BZ2008" s="3" t="s">
        <v>165</v>
      </c>
      <c r="CA2008" s="3" t="s">
        <v>366</v>
      </c>
      <c r="CC2008" s="3" t="s">
        <v>80</v>
      </c>
      <c r="CD2008" s="3">
        <v>200</v>
      </c>
      <c r="CE2008" s="3" t="s">
        <v>221</v>
      </c>
      <c r="CF2008" s="4">
        <v>44588</v>
      </c>
      <c r="CI2008" s="3">
        <v>1</v>
      </c>
      <c r="CJ2008" s="3">
        <v>1</v>
      </c>
      <c r="CK2008" s="3">
        <v>21</v>
      </c>
      <c r="CL2008" s="3" t="s">
        <v>87</v>
      </c>
    </row>
    <row r="2009" spans="1:90" x14ac:dyDescent="0.2">
      <c r="A2009" s="3" t="s">
        <v>72</v>
      </c>
      <c r="B2009" s="3" t="s">
        <v>73</v>
      </c>
      <c r="C2009" s="3" t="s">
        <v>74</v>
      </c>
      <c r="E2009" s="3" t="str">
        <f>"FES1162847069"</f>
        <v>FES1162847069</v>
      </c>
      <c r="F2009" s="4">
        <v>44587</v>
      </c>
      <c r="G2009" s="3">
        <v>202207</v>
      </c>
      <c r="H2009" s="3" t="s">
        <v>75</v>
      </c>
      <c r="I2009" s="3" t="s">
        <v>76</v>
      </c>
      <c r="J2009" s="3" t="s">
        <v>77</v>
      </c>
      <c r="K2009" s="3" t="s">
        <v>78</v>
      </c>
      <c r="L2009" s="3" t="s">
        <v>90</v>
      </c>
      <c r="M2009" s="3" t="s">
        <v>91</v>
      </c>
      <c r="N2009" s="3" t="s">
        <v>157</v>
      </c>
      <c r="O2009" s="3" t="s">
        <v>82</v>
      </c>
      <c r="P2009" s="3" t="str">
        <f>"2170818358                    "</f>
        <v xml:space="preserve">2170818358                    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15.46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v>0</v>
      </c>
      <c r="BA2009" s="3">
        <v>0</v>
      </c>
      <c r="BB2009" s="3">
        <v>0</v>
      </c>
      <c r="BC2009" s="3">
        <v>0</v>
      </c>
      <c r="BD2009" s="3">
        <v>0</v>
      </c>
      <c r="BE2009" s="3">
        <v>0</v>
      </c>
      <c r="BF2009" s="3">
        <v>0</v>
      </c>
      <c r="BG2009" s="3">
        <v>0</v>
      </c>
      <c r="BH2009" s="3">
        <v>1</v>
      </c>
      <c r="BI2009" s="3">
        <v>1</v>
      </c>
      <c r="BJ2009" s="3">
        <v>0.2</v>
      </c>
      <c r="BK2009" s="3">
        <v>1</v>
      </c>
      <c r="BL2009" s="3">
        <v>59</v>
      </c>
      <c r="BM2009" s="3">
        <v>8.85</v>
      </c>
      <c r="BN2009" s="3">
        <v>67.849999999999994</v>
      </c>
      <c r="BO2009" s="3">
        <v>67.849999999999994</v>
      </c>
      <c r="BQ2009" s="3" t="s">
        <v>89</v>
      </c>
      <c r="BR2009" s="3" t="s">
        <v>84</v>
      </c>
      <c r="BS2009" s="4">
        <v>44588</v>
      </c>
      <c r="BT2009" s="5">
        <v>0.41041666666666665</v>
      </c>
      <c r="BU2009" s="3" t="s">
        <v>693</v>
      </c>
      <c r="BV2009" s="3" t="s">
        <v>105</v>
      </c>
      <c r="BY2009" s="3">
        <v>1200</v>
      </c>
      <c r="BZ2009" s="3" t="s">
        <v>165</v>
      </c>
      <c r="CA2009" s="3" t="s">
        <v>289</v>
      </c>
      <c r="CC2009" s="3" t="s">
        <v>91</v>
      </c>
      <c r="CD2009" s="3">
        <v>7441</v>
      </c>
      <c r="CE2009" s="3" t="s">
        <v>1513</v>
      </c>
      <c r="CF2009" s="4">
        <v>44589</v>
      </c>
      <c r="CI2009" s="3">
        <v>1</v>
      </c>
      <c r="CJ2009" s="3">
        <v>1</v>
      </c>
      <c r="CK2009" s="3">
        <v>21</v>
      </c>
      <c r="CL2009" s="3" t="s">
        <v>87</v>
      </c>
    </row>
    <row r="2010" spans="1:90" x14ac:dyDescent="0.2">
      <c r="A2010" s="3" t="s">
        <v>72</v>
      </c>
      <c r="B2010" s="3" t="s">
        <v>73</v>
      </c>
      <c r="C2010" s="3" t="s">
        <v>74</v>
      </c>
      <c r="E2010" s="3" t="str">
        <f>"FES1162847152"</f>
        <v>FES1162847152</v>
      </c>
      <c r="F2010" s="4">
        <v>44587</v>
      </c>
      <c r="G2010" s="3">
        <v>202207</v>
      </c>
      <c r="H2010" s="3" t="s">
        <v>75</v>
      </c>
      <c r="I2010" s="3" t="s">
        <v>76</v>
      </c>
      <c r="J2010" s="3" t="s">
        <v>77</v>
      </c>
      <c r="K2010" s="3" t="s">
        <v>78</v>
      </c>
      <c r="L2010" s="3" t="s">
        <v>427</v>
      </c>
      <c r="M2010" s="3" t="s">
        <v>428</v>
      </c>
      <c r="N2010" s="3" t="s">
        <v>1867</v>
      </c>
      <c r="O2010" s="3" t="s">
        <v>82</v>
      </c>
      <c r="P2010" s="3" t="str">
        <f>"2170818468                    "</f>
        <v xml:space="preserve">2170818468                    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111.1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v>0</v>
      </c>
      <c r="BA2010" s="3">
        <v>0</v>
      </c>
      <c r="BB2010" s="3">
        <v>0</v>
      </c>
      <c r="BC2010" s="3">
        <v>0</v>
      </c>
      <c r="BD2010" s="3">
        <v>0</v>
      </c>
      <c r="BE2010" s="3">
        <v>0</v>
      </c>
      <c r="BF2010" s="3">
        <v>0</v>
      </c>
      <c r="BG2010" s="3">
        <v>0</v>
      </c>
      <c r="BH2010" s="3">
        <v>1</v>
      </c>
      <c r="BI2010" s="3">
        <v>3</v>
      </c>
      <c r="BJ2010" s="3">
        <v>7.7</v>
      </c>
      <c r="BK2010" s="3">
        <v>8</v>
      </c>
      <c r="BL2010" s="3">
        <v>424.06</v>
      </c>
      <c r="BM2010" s="3">
        <v>63.61</v>
      </c>
      <c r="BN2010" s="3">
        <v>487.67</v>
      </c>
      <c r="BO2010" s="3">
        <v>487.67</v>
      </c>
      <c r="BQ2010" s="3" t="s">
        <v>83</v>
      </c>
      <c r="BR2010" s="3" t="s">
        <v>84</v>
      </c>
      <c r="BS2010" s="4">
        <v>44588</v>
      </c>
      <c r="BT2010" s="5">
        <v>0.40347222222222223</v>
      </c>
      <c r="BU2010" s="3" t="s">
        <v>2153</v>
      </c>
      <c r="BV2010" s="3" t="s">
        <v>105</v>
      </c>
      <c r="BY2010" s="3">
        <v>38416</v>
      </c>
      <c r="BZ2010" s="3" t="s">
        <v>165</v>
      </c>
      <c r="CA2010" s="3" t="s">
        <v>488</v>
      </c>
      <c r="CC2010" s="3" t="s">
        <v>428</v>
      </c>
      <c r="CD2010" s="3">
        <v>7130</v>
      </c>
      <c r="CE2010" s="3" t="s">
        <v>86</v>
      </c>
      <c r="CF2010" s="4">
        <v>44589</v>
      </c>
      <c r="CI2010" s="3">
        <v>1</v>
      </c>
      <c r="CJ2010" s="3">
        <v>1</v>
      </c>
      <c r="CK2010" s="3">
        <v>23</v>
      </c>
      <c r="CL2010" s="3" t="s">
        <v>87</v>
      </c>
    </row>
    <row r="2011" spans="1:90" x14ac:dyDescent="0.2">
      <c r="A2011" s="3" t="s">
        <v>72</v>
      </c>
      <c r="B2011" s="3" t="s">
        <v>73</v>
      </c>
      <c r="C2011" s="3" t="s">
        <v>74</v>
      </c>
      <c r="E2011" s="3" t="str">
        <f>"FES1162847066"</f>
        <v>FES1162847066</v>
      </c>
      <c r="F2011" s="4">
        <v>44587</v>
      </c>
      <c r="G2011" s="3">
        <v>202207</v>
      </c>
      <c r="H2011" s="3" t="s">
        <v>75</v>
      </c>
      <c r="I2011" s="3" t="s">
        <v>76</v>
      </c>
      <c r="J2011" s="3" t="s">
        <v>77</v>
      </c>
      <c r="K2011" s="3" t="s">
        <v>78</v>
      </c>
      <c r="L2011" s="3" t="s">
        <v>90</v>
      </c>
      <c r="M2011" s="3" t="s">
        <v>91</v>
      </c>
      <c r="N2011" s="3" t="s">
        <v>157</v>
      </c>
      <c r="O2011" s="3" t="s">
        <v>82</v>
      </c>
      <c r="P2011" s="3" t="str">
        <f>"2170818351                    "</f>
        <v xml:space="preserve">2170818351                    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15.46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v>0</v>
      </c>
      <c r="BA2011" s="3">
        <v>0</v>
      </c>
      <c r="BB2011" s="3">
        <v>0</v>
      </c>
      <c r="BC2011" s="3">
        <v>0</v>
      </c>
      <c r="BD2011" s="3">
        <v>0</v>
      </c>
      <c r="BE2011" s="3">
        <v>0</v>
      </c>
      <c r="BF2011" s="3">
        <v>0</v>
      </c>
      <c r="BG2011" s="3">
        <v>0</v>
      </c>
      <c r="BH2011" s="3">
        <v>1</v>
      </c>
      <c r="BI2011" s="3">
        <v>1</v>
      </c>
      <c r="BJ2011" s="3">
        <v>0.2</v>
      </c>
      <c r="BK2011" s="3">
        <v>1</v>
      </c>
      <c r="BL2011" s="3">
        <v>59</v>
      </c>
      <c r="BM2011" s="3">
        <v>8.85</v>
      </c>
      <c r="BN2011" s="3">
        <v>67.849999999999994</v>
      </c>
      <c r="BO2011" s="3">
        <v>67.849999999999994</v>
      </c>
      <c r="BQ2011" s="3" t="s">
        <v>89</v>
      </c>
      <c r="BR2011" s="3" t="s">
        <v>84</v>
      </c>
      <c r="BS2011" s="4">
        <v>44588</v>
      </c>
      <c r="BT2011" s="5">
        <v>0.41041666666666665</v>
      </c>
      <c r="BU2011" s="3" t="s">
        <v>693</v>
      </c>
      <c r="BV2011" s="3" t="s">
        <v>105</v>
      </c>
      <c r="BY2011" s="3">
        <v>1200</v>
      </c>
      <c r="BZ2011" s="3" t="s">
        <v>165</v>
      </c>
      <c r="CA2011" s="3" t="s">
        <v>289</v>
      </c>
      <c r="CC2011" s="3" t="s">
        <v>91</v>
      </c>
      <c r="CD2011" s="3">
        <v>7441</v>
      </c>
      <c r="CE2011" s="3" t="s">
        <v>1513</v>
      </c>
      <c r="CF2011" s="4">
        <v>44589</v>
      </c>
      <c r="CI2011" s="3">
        <v>1</v>
      </c>
      <c r="CJ2011" s="3">
        <v>1</v>
      </c>
      <c r="CK2011" s="3">
        <v>21</v>
      </c>
      <c r="CL2011" s="3" t="s">
        <v>87</v>
      </c>
    </row>
    <row r="2012" spans="1:90" x14ac:dyDescent="0.2">
      <c r="A2012" s="3" t="s">
        <v>72</v>
      </c>
      <c r="B2012" s="3" t="s">
        <v>73</v>
      </c>
      <c r="C2012" s="3" t="s">
        <v>74</v>
      </c>
      <c r="E2012" s="3" t="str">
        <f>"FES1162846976"</f>
        <v>FES1162846976</v>
      </c>
      <c r="F2012" s="4">
        <v>44587</v>
      </c>
      <c r="G2012" s="3">
        <v>202207</v>
      </c>
      <c r="H2012" s="3" t="s">
        <v>75</v>
      </c>
      <c r="I2012" s="3" t="s">
        <v>76</v>
      </c>
      <c r="J2012" s="3" t="s">
        <v>77</v>
      </c>
      <c r="K2012" s="3" t="s">
        <v>78</v>
      </c>
      <c r="L2012" s="3" t="s">
        <v>79</v>
      </c>
      <c r="M2012" s="3" t="s">
        <v>80</v>
      </c>
      <c r="N2012" s="3" t="s">
        <v>1239</v>
      </c>
      <c r="O2012" s="3" t="s">
        <v>82</v>
      </c>
      <c r="P2012" s="3" t="str">
        <f>"2170810074                    "</f>
        <v xml:space="preserve">2170810074                    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15.46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v>0</v>
      </c>
      <c r="BA2012" s="3">
        <v>0</v>
      </c>
      <c r="BB2012" s="3">
        <v>0</v>
      </c>
      <c r="BC2012" s="3">
        <v>0</v>
      </c>
      <c r="BD2012" s="3">
        <v>0</v>
      </c>
      <c r="BE2012" s="3">
        <v>0</v>
      </c>
      <c r="BF2012" s="3">
        <v>0</v>
      </c>
      <c r="BG2012" s="3">
        <v>0</v>
      </c>
      <c r="BH2012" s="3">
        <v>1</v>
      </c>
      <c r="BI2012" s="3">
        <v>1</v>
      </c>
      <c r="BJ2012" s="3">
        <v>2</v>
      </c>
      <c r="BK2012" s="3">
        <v>2</v>
      </c>
      <c r="BL2012" s="3">
        <v>59</v>
      </c>
      <c r="BM2012" s="3">
        <v>8.85</v>
      </c>
      <c r="BN2012" s="3">
        <v>67.849999999999994</v>
      </c>
      <c r="BO2012" s="3">
        <v>67.849999999999994</v>
      </c>
      <c r="BQ2012" s="3" t="s">
        <v>126</v>
      </c>
      <c r="BR2012" s="3" t="s">
        <v>84</v>
      </c>
      <c r="BS2012" s="4">
        <v>44588</v>
      </c>
      <c r="BT2012" s="5">
        <v>0.4201388888888889</v>
      </c>
      <c r="BU2012" s="3" t="s">
        <v>1555</v>
      </c>
      <c r="BV2012" s="3" t="s">
        <v>105</v>
      </c>
      <c r="BY2012" s="3">
        <v>9900</v>
      </c>
      <c r="BZ2012" s="3" t="s">
        <v>165</v>
      </c>
      <c r="CA2012" s="3" t="s">
        <v>366</v>
      </c>
      <c r="CC2012" s="3" t="s">
        <v>80</v>
      </c>
      <c r="CD2012" s="3">
        <v>200</v>
      </c>
      <c r="CE2012" s="3" t="s">
        <v>221</v>
      </c>
      <c r="CF2012" s="4">
        <v>44588</v>
      </c>
      <c r="CI2012" s="3">
        <v>1</v>
      </c>
      <c r="CJ2012" s="3">
        <v>1</v>
      </c>
      <c r="CK2012" s="3">
        <v>21</v>
      </c>
      <c r="CL2012" s="3" t="s">
        <v>87</v>
      </c>
    </row>
    <row r="2013" spans="1:90" x14ac:dyDescent="0.2">
      <c r="A2013" s="3" t="s">
        <v>72</v>
      </c>
      <c r="B2013" s="3" t="s">
        <v>73</v>
      </c>
      <c r="C2013" s="3" t="s">
        <v>74</v>
      </c>
      <c r="E2013" s="3" t="str">
        <f>"FES1162847068"</f>
        <v>FES1162847068</v>
      </c>
      <c r="F2013" s="4">
        <v>44587</v>
      </c>
      <c r="G2013" s="3">
        <v>202207</v>
      </c>
      <c r="H2013" s="3" t="s">
        <v>75</v>
      </c>
      <c r="I2013" s="3" t="s">
        <v>76</v>
      </c>
      <c r="J2013" s="3" t="s">
        <v>77</v>
      </c>
      <c r="K2013" s="3" t="s">
        <v>78</v>
      </c>
      <c r="L2013" s="3" t="s">
        <v>90</v>
      </c>
      <c r="M2013" s="3" t="s">
        <v>91</v>
      </c>
      <c r="N2013" s="3" t="s">
        <v>157</v>
      </c>
      <c r="O2013" s="3" t="s">
        <v>82</v>
      </c>
      <c r="P2013" s="3" t="str">
        <f>"2170818356                    "</f>
        <v xml:space="preserve">2170818356                    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15.46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v>0</v>
      </c>
      <c r="BA2013" s="3">
        <v>0</v>
      </c>
      <c r="BB2013" s="3">
        <v>0</v>
      </c>
      <c r="BC2013" s="3">
        <v>0</v>
      </c>
      <c r="BD2013" s="3">
        <v>0</v>
      </c>
      <c r="BE2013" s="3">
        <v>0</v>
      </c>
      <c r="BF2013" s="3">
        <v>0</v>
      </c>
      <c r="BG2013" s="3">
        <v>0</v>
      </c>
      <c r="BH2013" s="3">
        <v>1</v>
      </c>
      <c r="BI2013" s="3">
        <v>1</v>
      </c>
      <c r="BJ2013" s="3">
        <v>0.2</v>
      </c>
      <c r="BK2013" s="3">
        <v>1</v>
      </c>
      <c r="BL2013" s="3">
        <v>59</v>
      </c>
      <c r="BM2013" s="3">
        <v>8.85</v>
      </c>
      <c r="BN2013" s="3">
        <v>67.849999999999994</v>
      </c>
      <c r="BO2013" s="3">
        <v>67.849999999999994</v>
      </c>
      <c r="BQ2013" s="3" t="s">
        <v>89</v>
      </c>
      <c r="BR2013" s="3" t="s">
        <v>84</v>
      </c>
      <c r="BS2013" s="4">
        <v>44588</v>
      </c>
      <c r="BT2013" s="5">
        <v>0.41041666666666665</v>
      </c>
      <c r="BU2013" s="3" t="s">
        <v>693</v>
      </c>
      <c r="BV2013" s="3" t="s">
        <v>105</v>
      </c>
      <c r="BY2013" s="3">
        <v>1200</v>
      </c>
      <c r="BZ2013" s="3" t="s">
        <v>165</v>
      </c>
      <c r="CA2013" s="3" t="s">
        <v>289</v>
      </c>
      <c r="CC2013" s="3" t="s">
        <v>91</v>
      </c>
      <c r="CD2013" s="3">
        <v>7441</v>
      </c>
      <c r="CE2013" s="3" t="s">
        <v>1513</v>
      </c>
      <c r="CF2013" s="4">
        <v>44589</v>
      </c>
      <c r="CI2013" s="3">
        <v>1</v>
      </c>
      <c r="CJ2013" s="3">
        <v>1</v>
      </c>
      <c r="CK2013" s="3">
        <v>21</v>
      </c>
      <c r="CL2013" s="3" t="s">
        <v>87</v>
      </c>
    </row>
    <row r="2014" spans="1:90" x14ac:dyDescent="0.2">
      <c r="A2014" s="3" t="s">
        <v>72</v>
      </c>
      <c r="B2014" s="3" t="s">
        <v>73</v>
      </c>
      <c r="C2014" s="3" t="s">
        <v>74</v>
      </c>
      <c r="E2014" s="3" t="str">
        <f>"FES1162846905"</f>
        <v>FES1162846905</v>
      </c>
      <c r="F2014" s="4">
        <v>44587</v>
      </c>
      <c r="G2014" s="3">
        <v>202207</v>
      </c>
      <c r="H2014" s="3" t="s">
        <v>75</v>
      </c>
      <c r="I2014" s="3" t="s">
        <v>76</v>
      </c>
      <c r="J2014" s="3" t="s">
        <v>77</v>
      </c>
      <c r="K2014" s="3" t="s">
        <v>78</v>
      </c>
      <c r="L2014" s="3" t="s">
        <v>244</v>
      </c>
      <c r="M2014" s="3" t="s">
        <v>245</v>
      </c>
      <c r="N2014" s="3" t="s">
        <v>400</v>
      </c>
      <c r="O2014" s="3" t="s">
        <v>82</v>
      </c>
      <c r="P2014" s="3" t="str">
        <f>"2170818193                    "</f>
        <v xml:space="preserve">2170818193                    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29.95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v>0</v>
      </c>
      <c r="BA2014" s="3">
        <v>0</v>
      </c>
      <c r="BB2014" s="3">
        <v>0</v>
      </c>
      <c r="BC2014" s="3">
        <v>0</v>
      </c>
      <c r="BD2014" s="3">
        <v>0</v>
      </c>
      <c r="BE2014" s="3">
        <v>0</v>
      </c>
      <c r="BF2014" s="3">
        <v>0</v>
      </c>
      <c r="BG2014" s="3">
        <v>0</v>
      </c>
      <c r="BH2014" s="3">
        <v>1</v>
      </c>
      <c r="BI2014" s="3">
        <v>1</v>
      </c>
      <c r="BJ2014" s="3">
        <v>0.2</v>
      </c>
      <c r="BK2014" s="3">
        <v>1</v>
      </c>
      <c r="BL2014" s="3">
        <v>114.31</v>
      </c>
      <c r="BM2014" s="3">
        <v>17.149999999999999</v>
      </c>
      <c r="BN2014" s="3">
        <v>131.46</v>
      </c>
      <c r="BO2014" s="3">
        <v>131.46</v>
      </c>
      <c r="BQ2014" s="3" t="s">
        <v>83</v>
      </c>
      <c r="BR2014" s="3" t="s">
        <v>84</v>
      </c>
      <c r="BS2014" s="4">
        <v>44588</v>
      </c>
      <c r="BT2014" s="5">
        <v>0.53402777777777777</v>
      </c>
      <c r="BU2014" s="3" t="s">
        <v>401</v>
      </c>
      <c r="BV2014" s="3" t="s">
        <v>87</v>
      </c>
      <c r="BW2014" s="3" t="s">
        <v>353</v>
      </c>
      <c r="BX2014" s="3" t="s">
        <v>723</v>
      </c>
      <c r="BY2014" s="3">
        <v>1200</v>
      </c>
      <c r="BZ2014" s="3" t="s">
        <v>165</v>
      </c>
      <c r="CA2014" s="3" t="s">
        <v>402</v>
      </c>
      <c r="CC2014" s="3" t="s">
        <v>245</v>
      </c>
      <c r="CD2014" s="3">
        <v>1947</v>
      </c>
      <c r="CE2014" s="3" t="s">
        <v>93</v>
      </c>
      <c r="CF2014" s="4">
        <v>44589</v>
      </c>
      <c r="CI2014" s="3">
        <v>1</v>
      </c>
      <c r="CJ2014" s="3">
        <v>1</v>
      </c>
      <c r="CK2014" s="3">
        <v>23</v>
      </c>
      <c r="CL2014" s="3" t="s">
        <v>87</v>
      </c>
    </row>
    <row r="2015" spans="1:90" x14ac:dyDescent="0.2">
      <c r="A2015" s="3" t="s">
        <v>72</v>
      </c>
      <c r="B2015" s="3" t="s">
        <v>73</v>
      </c>
      <c r="C2015" s="3" t="s">
        <v>74</v>
      </c>
      <c r="E2015" s="3" t="str">
        <f>"009942045032"</f>
        <v>009942045032</v>
      </c>
      <c r="F2015" s="4">
        <v>44587</v>
      </c>
      <c r="G2015" s="3">
        <v>202207</v>
      </c>
      <c r="H2015" s="3" t="s">
        <v>75</v>
      </c>
      <c r="I2015" s="3" t="s">
        <v>76</v>
      </c>
      <c r="J2015" s="3" t="s">
        <v>77</v>
      </c>
      <c r="K2015" s="3" t="s">
        <v>78</v>
      </c>
      <c r="L2015" s="3" t="s">
        <v>1467</v>
      </c>
      <c r="M2015" s="3" t="s">
        <v>1468</v>
      </c>
      <c r="N2015" s="3" t="s">
        <v>1469</v>
      </c>
      <c r="O2015" s="3" t="s">
        <v>82</v>
      </c>
      <c r="P2015" s="3" t="str">
        <f>"1162845488                    "</f>
        <v xml:space="preserve">1162845488                    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29.95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15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v>0</v>
      </c>
      <c r="BA2015" s="3">
        <v>0</v>
      </c>
      <c r="BB2015" s="3">
        <v>0</v>
      </c>
      <c r="BC2015" s="3">
        <v>0</v>
      </c>
      <c r="BD2015" s="3">
        <v>0</v>
      </c>
      <c r="BE2015" s="3">
        <v>0</v>
      </c>
      <c r="BF2015" s="3">
        <v>0</v>
      </c>
      <c r="BG2015" s="3">
        <v>0</v>
      </c>
      <c r="BH2015" s="3">
        <v>1</v>
      </c>
      <c r="BI2015" s="3">
        <v>1</v>
      </c>
      <c r="BJ2015" s="3">
        <v>1.1000000000000001</v>
      </c>
      <c r="BK2015" s="3">
        <v>1.5</v>
      </c>
      <c r="BL2015" s="3">
        <v>129.31</v>
      </c>
      <c r="BM2015" s="3">
        <v>19.399999999999999</v>
      </c>
      <c r="BN2015" s="3">
        <v>148.71</v>
      </c>
      <c r="BO2015" s="3">
        <v>148.71</v>
      </c>
      <c r="BR2015" s="3" t="s">
        <v>84</v>
      </c>
      <c r="BS2015" s="4">
        <v>44588</v>
      </c>
      <c r="BT2015" s="5">
        <v>0.56180555555555556</v>
      </c>
      <c r="BU2015" s="3" t="s">
        <v>1470</v>
      </c>
      <c r="BV2015" s="3" t="s">
        <v>105</v>
      </c>
      <c r="BY2015" s="3">
        <v>5320</v>
      </c>
      <c r="BZ2015" s="3" t="s">
        <v>446</v>
      </c>
      <c r="CA2015" s="3" t="s">
        <v>1471</v>
      </c>
      <c r="CC2015" s="3" t="s">
        <v>1468</v>
      </c>
      <c r="CD2015" s="3">
        <v>1133</v>
      </c>
      <c r="CE2015" s="3" t="s">
        <v>221</v>
      </c>
      <c r="CF2015" s="4">
        <v>44588</v>
      </c>
      <c r="CI2015" s="3">
        <v>2</v>
      </c>
      <c r="CJ2015" s="3">
        <v>1</v>
      </c>
      <c r="CK2015" s="3">
        <v>23</v>
      </c>
      <c r="CL2015" s="3" t="s">
        <v>87</v>
      </c>
    </row>
    <row r="2016" spans="1:90" x14ac:dyDescent="0.2">
      <c r="A2016" s="3" t="s">
        <v>72</v>
      </c>
      <c r="B2016" s="3" t="s">
        <v>73</v>
      </c>
      <c r="C2016" s="3" t="s">
        <v>74</v>
      </c>
      <c r="E2016" s="3" t="str">
        <f>"FES1162846709"</f>
        <v>FES1162846709</v>
      </c>
      <c r="F2016" s="4">
        <v>44587</v>
      </c>
      <c r="G2016" s="3">
        <v>202207</v>
      </c>
      <c r="H2016" s="3" t="s">
        <v>75</v>
      </c>
      <c r="I2016" s="3" t="s">
        <v>76</v>
      </c>
      <c r="J2016" s="3" t="s">
        <v>77</v>
      </c>
      <c r="K2016" s="3" t="s">
        <v>78</v>
      </c>
      <c r="L2016" s="3" t="s">
        <v>489</v>
      </c>
      <c r="M2016" s="3" t="s">
        <v>490</v>
      </c>
      <c r="N2016" s="3" t="s">
        <v>1730</v>
      </c>
      <c r="O2016" s="3" t="s">
        <v>82</v>
      </c>
      <c r="P2016" s="3" t="str">
        <f>"2170799052                    "</f>
        <v xml:space="preserve">2170799052                    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29.95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15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v>0</v>
      </c>
      <c r="BA2016" s="3">
        <v>0</v>
      </c>
      <c r="BB2016" s="3">
        <v>0</v>
      </c>
      <c r="BC2016" s="3">
        <v>0</v>
      </c>
      <c r="BD2016" s="3">
        <v>0</v>
      </c>
      <c r="BE2016" s="3">
        <v>0</v>
      </c>
      <c r="BF2016" s="3">
        <v>0</v>
      </c>
      <c r="BG2016" s="3">
        <v>0</v>
      </c>
      <c r="BH2016" s="3">
        <v>1</v>
      </c>
      <c r="BI2016" s="3">
        <v>1</v>
      </c>
      <c r="BJ2016" s="3">
        <v>0.2</v>
      </c>
      <c r="BK2016" s="3">
        <v>1</v>
      </c>
      <c r="BL2016" s="3">
        <v>129.31</v>
      </c>
      <c r="BM2016" s="3">
        <v>19.399999999999999</v>
      </c>
      <c r="BN2016" s="3">
        <v>148.71</v>
      </c>
      <c r="BO2016" s="3">
        <v>148.71</v>
      </c>
      <c r="BR2016" s="3" t="s">
        <v>84</v>
      </c>
      <c r="BS2016" s="4">
        <v>44588</v>
      </c>
      <c r="BT2016" s="5">
        <v>0.58750000000000002</v>
      </c>
      <c r="BU2016" s="3" t="s">
        <v>1731</v>
      </c>
      <c r="BV2016" s="3" t="s">
        <v>105</v>
      </c>
      <c r="BY2016" s="3">
        <v>1200</v>
      </c>
      <c r="BZ2016" s="3" t="s">
        <v>446</v>
      </c>
      <c r="CA2016" s="3" t="s">
        <v>1732</v>
      </c>
      <c r="CC2016" s="3" t="s">
        <v>490</v>
      </c>
      <c r="CD2016" s="3">
        <v>232</v>
      </c>
      <c r="CE2016" s="3" t="s">
        <v>1513</v>
      </c>
      <c r="CF2016" s="4">
        <v>44588</v>
      </c>
      <c r="CI2016" s="3">
        <v>5</v>
      </c>
      <c r="CJ2016" s="3">
        <v>1</v>
      </c>
      <c r="CK2016" s="3">
        <v>23</v>
      </c>
      <c r="CL2016" s="3" t="s">
        <v>87</v>
      </c>
    </row>
    <row r="2017" spans="1:90" x14ac:dyDescent="0.2">
      <c r="A2017" s="3" t="s">
        <v>72</v>
      </c>
      <c r="B2017" s="3" t="s">
        <v>73</v>
      </c>
      <c r="C2017" s="3" t="s">
        <v>74</v>
      </c>
      <c r="E2017" s="3" t="str">
        <f>"FES1162847109"</f>
        <v>FES1162847109</v>
      </c>
      <c r="F2017" s="4">
        <v>44587</v>
      </c>
      <c r="G2017" s="3">
        <v>202207</v>
      </c>
      <c r="H2017" s="3" t="s">
        <v>75</v>
      </c>
      <c r="I2017" s="3" t="s">
        <v>76</v>
      </c>
      <c r="J2017" s="3" t="s">
        <v>77</v>
      </c>
      <c r="K2017" s="3" t="s">
        <v>78</v>
      </c>
      <c r="L2017" s="3" t="s">
        <v>184</v>
      </c>
      <c r="M2017" s="3" t="s">
        <v>185</v>
      </c>
      <c r="N2017" s="3" t="s">
        <v>503</v>
      </c>
      <c r="O2017" s="3" t="s">
        <v>82</v>
      </c>
      <c r="P2017" s="3" t="str">
        <f>"2170818418                    "</f>
        <v xml:space="preserve">2170818418                    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23.18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v>0</v>
      </c>
      <c r="BA2017" s="3">
        <v>0</v>
      </c>
      <c r="BB2017" s="3">
        <v>0</v>
      </c>
      <c r="BC2017" s="3">
        <v>0</v>
      </c>
      <c r="BD2017" s="3">
        <v>0</v>
      </c>
      <c r="BE2017" s="3">
        <v>0</v>
      </c>
      <c r="BF2017" s="3">
        <v>0</v>
      </c>
      <c r="BG2017" s="3">
        <v>0</v>
      </c>
      <c r="BH2017" s="3">
        <v>1</v>
      </c>
      <c r="BI2017" s="3">
        <v>3</v>
      </c>
      <c r="BJ2017" s="3">
        <v>2</v>
      </c>
      <c r="BK2017" s="3">
        <v>3</v>
      </c>
      <c r="BL2017" s="3">
        <v>88.48</v>
      </c>
      <c r="BM2017" s="3">
        <v>13.27</v>
      </c>
      <c r="BN2017" s="3">
        <v>101.75</v>
      </c>
      <c r="BO2017" s="3">
        <v>101.75</v>
      </c>
      <c r="BQ2017" s="3" t="s">
        <v>89</v>
      </c>
      <c r="BR2017" s="3" t="s">
        <v>84</v>
      </c>
      <c r="BS2017" s="4">
        <v>44588</v>
      </c>
      <c r="BT2017" s="5">
        <v>0.56111111111111112</v>
      </c>
      <c r="BU2017" s="3" t="s">
        <v>2130</v>
      </c>
      <c r="BV2017" s="3" t="s">
        <v>87</v>
      </c>
      <c r="BW2017" s="3" t="s">
        <v>353</v>
      </c>
      <c r="BX2017" s="3" t="s">
        <v>605</v>
      </c>
      <c r="BY2017" s="3">
        <v>9900</v>
      </c>
      <c r="BZ2017" s="3" t="s">
        <v>165</v>
      </c>
      <c r="CA2017" s="3" t="s">
        <v>1681</v>
      </c>
      <c r="CC2017" s="3" t="s">
        <v>185</v>
      </c>
      <c r="CD2017" s="3">
        <v>5201</v>
      </c>
      <c r="CE2017" s="3" t="s">
        <v>221</v>
      </c>
      <c r="CF2017" s="4">
        <v>44588</v>
      </c>
      <c r="CI2017" s="3">
        <v>1</v>
      </c>
      <c r="CJ2017" s="3">
        <v>1</v>
      </c>
      <c r="CK2017" s="3">
        <v>21</v>
      </c>
      <c r="CL2017" s="3" t="s">
        <v>87</v>
      </c>
    </row>
    <row r="2018" spans="1:90" x14ac:dyDescent="0.2">
      <c r="A2018" s="3" t="s">
        <v>72</v>
      </c>
      <c r="B2018" s="3" t="s">
        <v>73</v>
      </c>
      <c r="C2018" s="3" t="s">
        <v>74</v>
      </c>
      <c r="E2018" s="3" t="str">
        <f>"FES1162847146"</f>
        <v>FES1162847146</v>
      </c>
      <c r="F2018" s="4">
        <v>44587</v>
      </c>
      <c r="G2018" s="3">
        <v>202207</v>
      </c>
      <c r="H2018" s="3" t="s">
        <v>75</v>
      </c>
      <c r="I2018" s="3" t="s">
        <v>76</v>
      </c>
      <c r="J2018" s="3" t="s">
        <v>77</v>
      </c>
      <c r="K2018" s="3" t="s">
        <v>78</v>
      </c>
      <c r="L2018" s="3" t="s">
        <v>162</v>
      </c>
      <c r="M2018" s="3" t="s">
        <v>163</v>
      </c>
      <c r="N2018" s="3" t="s">
        <v>1048</v>
      </c>
      <c r="O2018" s="3" t="s">
        <v>82</v>
      </c>
      <c r="P2018" s="3" t="str">
        <f>"2170818273                    "</f>
        <v xml:space="preserve">2170818273                    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12.07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v>0</v>
      </c>
      <c r="BA2018" s="3">
        <v>0</v>
      </c>
      <c r="BB2018" s="3">
        <v>0</v>
      </c>
      <c r="BC2018" s="3">
        <v>0</v>
      </c>
      <c r="BD2018" s="3">
        <v>0</v>
      </c>
      <c r="BE2018" s="3">
        <v>0</v>
      </c>
      <c r="BF2018" s="3">
        <v>0</v>
      </c>
      <c r="BG2018" s="3">
        <v>0</v>
      </c>
      <c r="BH2018" s="3">
        <v>1</v>
      </c>
      <c r="BI2018" s="3">
        <v>5</v>
      </c>
      <c r="BJ2018" s="3">
        <v>4.0999999999999996</v>
      </c>
      <c r="BK2018" s="3">
        <v>5</v>
      </c>
      <c r="BL2018" s="3">
        <v>46.08</v>
      </c>
      <c r="BM2018" s="3">
        <v>6.91</v>
      </c>
      <c r="BN2018" s="3">
        <v>52.99</v>
      </c>
      <c r="BO2018" s="3">
        <v>52.99</v>
      </c>
      <c r="BQ2018" s="3" t="s">
        <v>1049</v>
      </c>
      <c r="BR2018" s="3" t="s">
        <v>84</v>
      </c>
      <c r="BS2018" s="4">
        <v>44588</v>
      </c>
      <c r="BT2018" s="5">
        <v>0.37152777777777773</v>
      </c>
      <c r="BU2018" s="3" t="s">
        <v>1050</v>
      </c>
      <c r="BV2018" s="3" t="s">
        <v>105</v>
      </c>
      <c r="BY2018" s="3">
        <v>20358</v>
      </c>
      <c r="BZ2018" s="3" t="s">
        <v>165</v>
      </c>
      <c r="CA2018" s="3" t="s">
        <v>1051</v>
      </c>
      <c r="CC2018" s="3" t="s">
        <v>163</v>
      </c>
      <c r="CD2018" s="3">
        <v>1406</v>
      </c>
      <c r="CE2018" s="3" t="s">
        <v>86</v>
      </c>
      <c r="CF2018" s="4">
        <v>44589</v>
      </c>
      <c r="CI2018" s="3">
        <v>1</v>
      </c>
      <c r="CJ2018" s="3">
        <v>1</v>
      </c>
      <c r="CK2018" s="3">
        <v>22</v>
      </c>
      <c r="CL2018" s="3" t="s">
        <v>87</v>
      </c>
    </row>
    <row r="2019" spans="1:90" x14ac:dyDescent="0.2">
      <c r="A2019" s="3" t="s">
        <v>72</v>
      </c>
      <c r="B2019" s="3" t="s">
        <v>73</v>
      </c>
      <c r="C2019" s="3" t="s">
        <v>74</v>
      </c>
      <c r="E2019" s="3" t="str">
        <f>"FES1162846743"</f>
        <v>FES1162846743</v>
      </c>
      <c r="F2019" s="4">
        <v>44587</v>
      </c>
      <c r="G2019" s="3">
        <v>202207</v>
      </c>
      <c r="H2019" s="3" t="s">
        <v>75</v>
      </c>
      <c r="I2019" s="3" t="s">
        <v>76</v>
      </c>
      <c r="J2019" s="3" t="s">
        <v>77</v>
      </c>
      <c r="K2019" s="3" t="s">
        <v>78</v>
      </c>
      <c r="L2019" s="3" t="s">
        <v>171</v>
      </c>
      <c r="M2019" s="3" t="s">
        <v>172</v>
      </c>
      <c r="N2019" s="3" t="s">
        <v>200</v>
      </c>
      <c r="O2019" s="3" t="s">
        <v>82</v>
      </c>
      <c r="P2019" s="3" t="str">
        <f>"2170815950                    "</f>
        <v xml:space="preserve">2170815950                    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15.46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v>0</v>
      </c>
      <c r="BA2019" s="3">
        <v>0</v>
      </c>
      <c r="BB2019" s="3">
        <v>0</v>
      </c>
      <c r="BC2019" s="3">
        <v>0</v>
      </c>
      <c r="BD2019" s="3">
        <v>0</v>
      </c>
      <c r="BE2019" s="3">
        <v>0</v>
      </c>
      <c r="BF2019" s="3">
        <v>0</v>
      </c>
      <c r="BG2019" s="3">
        <v>0</v>
      </c>
      <c r="BH2019" s="3">
        <v>1</v>
      </c>
      <c r="BI2019" s="3">
        <v>1</v>
      </c>
      <c r="BJ2019" s="3">
        <v>2</v>
      </c>
      <c r="BK2019" s="3">
        <v>2</v>
      </c>
      <c r="BL2019" s="3">
        <v>59</v>
      </c>
      <c r="BM2019" s="3">
        <v>8.85</v>
      </c>
      <c r="BN2019" s="3">
        <v>67.849999999999994</v>
      </c>
      <c r="BO2019" s="3">
        <v>67.849999999999994</v>
      </c>
      <c r="BQ2019" s="3" t="s">
        <v>89</v>
      </c>
      <c r="BR2019" s="3" t="s">
        <v>84</v>
      </c>
      <c r="BS2019" s="4">
        <v>44588</v>
      </c>
      <c r="BT2019" s="5">
        <v>0.36805555555555558</v>
      </c>
      <c r="BU2019" s="3" t="s">
        <v>908</v>
      </c>
      <c r="BV2019" s="3" t="s">
        <v>105</v>
      </c>
      <c r="BY2019" s="3">
        <v>9918</v>
      </c>
      <c r="BZ2019" s="3" t="s">
        <v>165</v>
      </c>
      <c r="CA2019" s="3" t="s">
        <v>814</v>
      </c>
      <c r="CC2019" s="3" t="s">
        <v>172</v>
      </c>
      <c r="CD2019" s="3">
        <v>6001</v>
      </c>
      <c r="CE2019" s="3" t="s">
        <v>221</v>
      </c>
      <c r="CF2019" s="4">
        <v>44588</v>
      </c>
      <c r="CI2019" s="3">
        <v>1</v>
      </c>
      <c r="CJ2019" s="3">
        <v>1</v>
      </c>
      <c r="CK2019" s="3">
        <v>21</v>
      </c>
      <c r="CL2019" s="3" t="s">
        <v>87</v>
      </c>
    </row>
    <row r="2020" spans="1:90" x14ac:dyDescent="0.2">
      <c r="A2020" s="3" t="s">
        <v>72</v>
      </c>
      <c r="B2020" s="3" t="s">
        <v>73</v>
      </c>
      <c r="C2020" s="3" t="s">
        <v>74</v>
      </c>
      <c r="E2020" s="3" t="str">
        <f>"FES1162847006"</f>
        <v>FES1162847006</v>
      </c>
      <c r="F2020" s="4">
        <v>44587</v>
      </c>
      <c r="G2020" s="3">
        <v>202207</v>
      </c>
      <c r="H2020" s="3" t="s">
        <v>75</v>
      </c>
      <c r="I2020" s="3" t="s">
        <v>76</v>
      </c>
      <c r="J2020" s="3" t="s">
        <v>77</v>
      </c>
      <c r="K2020" s="3" t="s">
        <v>78</v>
      </c>
      <c r="L2020" s="3" t="s">
        <v>75</v>
      </c>
      <c r="M2020" s="3" t="s">
        <v>76</v>
      </c>
      <c r="N2020" s="3" t="s">
        <v>147</v>
      </c>
      <c r="O2020" s="3" t="s">
        <v>82</v>
      </c>
      <c r="P2020" s="3" t="str">
        <f>"2170818287                    "</f>
        <v xml:space="preserve">2170818287                    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12.07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0</v>
      </c>
      <c r="AZ2020" s="3">
        <v>0</v>
      </c>
      <c r="BA2020" s="3">
        <v>0</v>
      </c>
      <c r="BB2020" s="3">
        <v>0</v>
      </c>
      <c r="BC2020" s="3">
        <v>0</v>
      </c>
      <c r="BD2020" s="3">
        <v>0</v>
      </c>
      <c r="BE2020" s="3">
        <v>0</v>
      </c>
      <c r="BF2020" s="3">
        <v>0</v>
      </c>
      <c r="BG2020" s="3">
        <v>0</v>
      </c>
      <c r="BH2020" s="3">
        <v>1</v>
      </c>
      <c r="BI2020" s="3">
        <v>1</v>
      </c>
      <c r="BJ2020" s="3">
        <v>0.2</v>
      </c>
      <c r="BK2020" s="3">
        <v>1</v>
      </c>
      <c r="BL2020" s="3">
        <v>46.08</v>
      </c>
      <c r="BM2020" s="3">
        <v>6.91</v>
      </c>
      <c r="BN2020" s="3">
        <v>52.99</v>
      </c>
      <c r="BO2020" s="3">
        <v>52.99</v>
      </c>
      <c r="BQ2020" s="3" t="s">
        <v>89</v>
      </c>
      <c r="BR2020" s="3" t="s">
        <v>84</v>
      </c>
      <c r="BS2020" s="4">
        <v>44588</v>
      </c>
      <c r="BT2020" s="5">
        <v>0.34722222222222227</v>
      </c>
      <c r="BU2020" s="3" t="s">
        <v>2154</v>
      </c>
      <c r="BV2020" s="3" t="s">
        <v>105</v>
      </c>
      <c r="BY2020" s="3">
        <v>1200</v>
      </c>
      <c r="BZ2020" s="3" t="s">
        <v>165</v>
      </c>
      <c r="CA2020" s="3" t="s">
        <v>2155</v>
      </c>
      <c r="CC2020" s="3" t="s">
        <v>76</v>
      </c>
      <c r="CD2020" s="3">
        <v>1645</v>
      </c>
      <c r="CE2020" s="3" t="s">
        <v>93</v>
      </c>
      <c r="CF2020" s="4">
        <v>44588</v>
      </c>
      <c r="CI2020" s="3">
        <v>1</v>
      </c>
      <c r="CJ2020" s="3">
        <v>1</v>
      </c>
      <c r="CK2020" s="3">
        <v>22</v>
      </c>
      <c r="CL2020" s="3" t="s">
        <v>87</v>
      </c>
    </row>
    <row r="2021" spans="1:90" x14ac:dyDescent="0.2">
      <c r="A2021" s="3" t="s">
        <v>72</v>
      </c>
      <c r="B2021" s="3" t="s">
        <v>73</v>
      </c>
      <c r="C2021" s="3" t="s">
        <v>74</v>
      </c>
      <c r="E2021" s="3" t="str">
        <f>"FES1162847097"</f>
        <v>FES1162847097</v>
      </c>
      <c r="F2021" s="4">
        <v>44587</v>
      </c>
      <c r="G2021" s="3">
        <v>202207</v>
      </c>
      <c r="H2021" s="3" t="s">
        <v>75</v>
      </c>
      <c r="I2021" s="3" t="s">
        <v>76</v>
      </c>
      <c r="J2021" s="3" t="s">
        <v>77</v>
      </c>
      <c r="K2021" s="3" t="s">
        <v>78</v>
      </c>
      <c r="L2021" s="3" t="s">
        <v>211</v>
      </c>
      <c r="M2021" s="3" t="s">
        <v>212</v>
      </c>
      <c r="N2021" s="3" t="s">
        <v>642</v>
      </c>
      <c r="O2021" s="3" t="s">
        <v>82</v>
      </c>
      <c r="P2021" s="3" t="str">
        <f>"2170818226                    "</f>
        <v xml:space="preserve">2170818226                    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12.07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0</v>
      </c>
      <c r="AZ2021" s="3">
        <v>0</v>
      </c>
      <c r="BA2021" s="3">
        <v>0</v>
      </c>
      <c r="BB2021" s="3">
        <v>0</v>
      </c>
      <c r="BC2021" s="3">
        <v>0</v>
      </c>
      <c r="BD2021" s="3">
        <v>0</v>
      </c>
      <c r="BE2021" s="3">
        <v>0</v>
      </c>
      <c r="BF2021" s="3">
        <v>0</v>
      </c>
      <c r="BG2021" s="3">
        <v>0</v>
      </c>
      <c r="BH2021" s="3">
        <v>1</v>
      </c>
      <c r="BI2021" s="3">
        <v>6</v>
      </c>
      <c r="BJ2021" s="3">
        <v>3.1</v>
      </c>
      <c r="BK2021" s="3">
        <v>6</v>
      </c>
      <c r="BL2021" s="3">
        <v>46.08</v>
      </c>
      <c r="BM2021" s="3">
        <v>6.91</v>
      </c>
      <c r="BN2021" s="3">
        <v>52.99</v>
      </c>
      <c r="BO2021" s="3">
        <v>52.99</v>
      </c>
      <c r="BQ2021" s="3" t="s">
        <v>89</v>
      </c>
      <c r="BR2021" s="3" t="s">
        <v>84</v>
      </c>
      <c r="BS2021" s="4">
        <v>44588</v>
      </c>
      <c r="BT2021" s="5">
        <v>0.38958333333333334</v>
      </c>
      <c r="BU2021" s="3" t="s">
        <v>2156</v>
      </c>
      <c r="BV2021" s="3" t="s">
        <v>105</v>
      </c>
      <c r="BY2021" s="3">
        <v>15428</v>
      </c>
      <c r="BZ2021" s="3" t="s">
        <v>165</v>
      </c>
      <c r="CA2021" s="3" t="s">
        <v>345</v>
      </c>
      <c r="CC2021" s="3" t="s">
        <v>212</v>
      </c>
      <c r="CD2021" s="3">
        <v>2163</v>
      </c>
      <c r="CE2021" s="3" t="s">
        <v>86</v>
      </c>
      <c r="CF2021" s="4">
        <v>44588</v>
      </c>
      <c r="CI2021" s="3">
        <v>1</v>
      </c>
      <c r="CJ2021" s="3">
        <v>1</v>
      </c>
      <c r="CK2021" s="3">
        <v>22</v>
      </c>
      <c r="CL2021" s="3" t="s">
        <v>87</v>
      </c>
    </row>
    <row r="2022" spans="1:90" x14ac:dyDescent="0.2">
      <c r="A2022" s="3" t="s">
        <v>72</v>
      </c>
      <c r="B2022" s="3" t="s">
        <v>73</v>
      </c>
      <c r="C2022" s="3" t="s">
        <v>74</v>
      </c>
      <c r="E2022" s="3" t="str">
        <f>"FES1162846894"</f>
        <v>FES1162846894</v>
      </c>
      <c r="F2022" s="4">
        <v>44587</v>
      </c>
      <c r="G2022" s="3">
        <v>202207</v>
      </c>
      <c r="H2022" s="3" t="s">
        <v>75</v>
      </c>
      <c r="I2022" s="3" t="s">
        <v>76</v>
      </c>
      <c r="J2022" s="3" t="s">
        <v>77</v>
      </c>
      <c r="K2022" s="3" t="s">
        <v>78</v>
      </c>
      <c r="L2022" s="3" t="s">
        <v>1119</v>
      </c>
      <c r="M2022" s="3" t="s">
        <v>1120</v>
      </c>
      <c r="N2022" s="3" t="s">
        <v>2157</v>
      </c>
      <c r="O2022" s="3" t="s">
        <v>82</v>
      </c>
      <c r="P2022" s="3" t="str">
        <f>"2170818176                    "</f>
        <v xml:space="preserve">2170818176                    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29.95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v>0</v>
      </c>
      <c r="BA2022" s="3">
        <v>0</v>
      </c>
      <c r="BB2022" s="3">
        <v>0</v>
      </c>
      <c r="BC2022" s="3">
        <v>0</v>
      </c>
      <c r="BD2022" s="3">
        <v>0</v>
      </c>
      <c r="BE2022" s="3">
        <v>0</v>
      </c>
      <c r="BF2022" s="3">
        <v>0</v>
      </c>
      <c r="BG2022" s="3">
        <v>0</v>
      </c>
      <c r="BH2022" s="3">
        <v>1</v>
      </c>
      <c r="BI2022" s="3">
        <v>1</v>
      </c>
      <c r="BJ2022" s="3">
        <v>0.2</v>
      </c>
      <c r="BK2022" s="3">
        <v>1</v>
      </c>
      <c r="BL2022" s="3">
        <v>114.31</v>
      </c>
      <c r="BM2022" s="3">
        <v>17.149999999999999</v>
      </c>
      <c r="BN2022" s="3">
        <v>131.46</v>
      </c>
      <c r="BO2022" s="3">
        <v>131.46</v>
      </c>
      <c r="BQ2022" s="3" t="s">
        <v>126</v>
      </c>
      <c r="BR2022" s="3" t="s">
        <v>84</v>
      </c>
      <c r="BS2022" s="4">
        <v>44588</v>
      </c>
      <c r="BT2022" s="5">
        <v>0.40208333333333335</v>
      </c>
      <c r="BU2022" s="3" t="s">
        <v>2158</v>
      </c>
      <c r="BV2022" s="3" t="s">
        <v>105</v>
      </c>
      <c r="BY2022" s="3">
        <v>1200</v>
      </c>
      <c r="BZ2022" s="3" t="s">
        <v>165</v>
      </c>
      <c r="CA2022" s="3" t="s">
        <v>809</v>
      </c>
      <c r="CC2022" s="3" t="s">
        <v>1120</v>
      </c>
      <c r="CD2022" s="3">
        <v>4339</v>
      </c>
      <c r="CE2022" s="3" t="s">
        <v>1513</v>
      </c>
      <c r="CF2022" s="4">
        <v>44589</v>
      </c>
      <c r="CI2022" s="3">
        <v>1</v>
      </c>
      <c r="CJ2022" s="3">
        <v>1</v>
      </c>
      <c r="CK2022" s="3">
        <v>23</v>
      </c>
      <c r="CL2022" s="3" t="s">
        <v>87</v>
      </c>
    </row>
    <row r="2023" spans="1:90" x14ac:dyDescent="0.2">
      <c r="A2023" s="3" t="s">
        <v>72</v>
      </c>
      <c r="B2023" s="3" t="s">
        <v>73</v>
      </c>
      <c r="C2023" s="3" t="s">
        <v>74</v>
      </c>
      <c r="E2023" s="3" t="str">
        <f>"FES1162847038"</f>
        <v>FES1162847038</v>
      </c>
      <c r="F2023" s="4">
        <v>44587</v>
      </c>
      <c r="G2023" s="3">
        <v>202207</v>
      </c>
      <c r="H2023" s="3" t="s">
        <v>75</v>
      </c>
      <c r="I2023" s="3" t="s">
        <v>76</v>
      </c>
      <c r="J2023" s="3" t="s">
        <v>77</v>
      </c>
      <c r="K2023" s="3" t="s">
        <v>78</v>
      </c>
      <c r="L2023" s="3" t="s">
        <v>90</v>
      </c>
      <c r="M2023" s="3" t="s">
        <v>91</v>
      </c>
      <c r="N2023" s="3" t="s">
        <v>210</v>
      </c>
      <c r="O2023" s="3" t="s">
        <v>148</v>
      </c>
      <c r="P2023" s="3" t="str">
        <f>"2170816282                    "</f>
        <v xml:space="preserve">2170816282                    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29.89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0</v>
      </c>
      <c r="AZ2023" s="3">
        <v>0</v>
      </c>
      <c r="BA2023" s="3">
        <v>0</v>
      </c>
      <c r="BB2023" s="3">
        <v>0</v>
      </c>
      <c r="BC2023" s="3">
        <v>0</v>
      </c>
      <c r="BD2023" s="3">
        <v>0</v>
      </c>
      <c r="BE2023" s="3">
        <v>0</v>
      </c>
      <c r="BF2023" s="3">
        <v>0</v>
      </c>
      <c r="BG2023" s="3">
        <v>0</v>
      </c>
      <c r="BH2023" s="3">
        <v>1</v>
      </c>
      <c r="BI2023" s="3">
        <v>9</v>
      </c>
      <c r="BJ2023" s="3">
        <v>4.3</v>
      </c>
      <c r="BK2023" s="3">
        <v>9</v>
      </c>
      <c r="BL2023" s="3">
        <v>119.34</v>
      </c>
      <c r="BM2023" s="3">
        <v>17.899999999999999</v>
      </c>
      <c r="BN2023" s="3">
        <v>137.24</v>
      </c>
      <c r="BO2023" s="3">
        <v>137.24</v>
      </c>
      <c r="BQ2023" s="3" t="s">
        <v>89</v>
      </c>
      <c r="BR2023" s="3" t="s">
        <v>84</v>
      </c>
      <c r="BS2023" s="4">
        <v>44589</v>
      </c>
      <c r="BT2023" s="5">
        <v>0.45694444444444443</v>
      </c>
      <c r="BU2023" s="3" t="s">
        <v>2159</v>
      </c>
      <c r="BV2023" s="3" t="s">
        <v>105</v>
      </c>
      <c r="BY2023" s="3">
        <v>21600</v>
      </c>
      <c r="BZ2023" s="3" t="s">
        <v>327</v>
      </c>
      <c r="CA2023" s="3" t="s">
        <v>289</v>
      </c>
      <c r="CC2023" s="3" t="s">
        <v>91</v>
      </c>
      <c r="CD2023" s="3">
        <v>7441</v>
      </c>
      <c r="CE2023" s="3" t="s">
        <v>221</v>
      </c>
      <c r="CI2023" s="3">
        <v>2</v>
      </c>
      <c r="CJ2023" s="3">
        <v>2</v>
      </c>
      <c r="CK2023" s="3">
        <v>41</v>
      </c>
      <c r="CL2023" s="3" t="s">
        <v>87</v>
      </c>
    </row>
    <row r="2024" spans="1:90" x14ac:dyDescent="0.2">
      <c r="A2024" s="3" t="s">
        <v>72</v>
      </c>
      <c r="B2024" s="3" t="s">
        <v>73</v>
      </c>
      <c r="C2024" s="3" t="s">
        <v>74</v>
      </c>
      <c r="E2024" s="3" t="str">
        <f>"FES1162846732"</f>
        <v>FES1162846732</v>
      </c>
      <c r="F2024" s="4">
        <v>44587</v>
      </c>
      <c r="G2024" s="3">
        <v>202207</v>
      </c>
      <c r="H2024" s="3" t="s">
        <v>75</v>
      </c>
      <c r="I2024" s="3" t="s">
        <v>76</v>
      </c>
      <c r="J2024" s="3" t="s">
        <v>77</v>
      </c>
      <c r="K2024" s="3" t="s">
        <v>78</v>
      </c>
      <c r="L2024" s="3" t="s">
        <v>171</v>
      </c>
      <c r="M2024" s="3" t="s">
        <v>172</v>
      </c>
      <c r="N2024" s="3" t="s">
        <v>744</v>
      </c>
      <c r="O2024" s="3" t="s">
        <v>82</v>
      </c>
      <c r="P2024" s="3" t="str">
        <f>"2170815417                    "</f>
        <v xml:space="preserve">2170815417                    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15.46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0</v>
      </c>
      <c r="AZ2024" s="3">
        <v>0</v>
      </c>
      <c r="BA2024" s="3">
        <v>0</v>
      </c>
      <c r="BB2024" s="3">
        <v>0</v>
      </c>
      <c r="BC2024" s="3">
        <v>0</v>
      </c>
      <c r="BD2024" s="3">
        <v>0</v>
      </c>
      <c r="BE2024" s="3">
        <v>0</v>
      </c>
      <c r="BF2024" s="3">
        <v>0</v>
      </c>
      <c r="BG2024" s="3">
        <v>0</v>
      </c>
      <c r="BH2024" s="3">
        <v>1</v>
      </c>
      <c r="BI2024" s="3">
        <v>1</v>
      </c>
      <c r="BJ2024" s="3">
        <v>0.2</v>
      </c>
      <c r="BK2024" s="3">
        <v>1</v>
      </c>
      <c r="BL2024" s="3">
        <v>59</v>
      </c>
      <c r="BM2024" s="3">
        <v>8.85</v>
      </c>
      <c r="BN2024" s="3">
        <v>67.849999999999994</v>
      </c>
      <c r="BO2024" s="3">
        <v>67.849999999999994</v>
      </c>
      <c r="BQ2024" s="3" t="s">
        <v>745</v>
      </c>
      <c r="BR2024" s="3" t="s">
        <v>84</v>
      </c>
      <c r="BS2024" s="4">
        <v>44588</v>
      </c>
      <c r="BT2024" s="5">
        <v>0.4284722222222222</v>
      </c>
      <c r="BU2024" s="3" t="s">
        <v>2160</v>
      </c>
      <c r="BV2024" s="3" t="s">
        <v>105</v>
      </c>
      <c r="BY2024" s="3">
        <v>1200</v>
      </c>
      <c r="BZ2024" s="3" t="s">
        <v>165</v>
      </c>
      <c r="CA2024" s="3" t="s">
        <v>1580</v>
      </c>
      <c r="CC2024" s="3" t="s">
        <v>172</v>
      </c>
      <c r="CD2024" s="3">
        <v>6100</v>
      </c>
      <c r="CE2024" s="3" t="s">
        <v>1513</v>
      </c>
      <c r="CF2024" s="4">
        <v>44588</v>
      </c>
      <c r="CI2024" s="3">
        <v>1</v>
      </c>
      <c r="CJ2024" s="3">
        <v>1</v>
      </c>
      <c r="CK2024" s="3">
        <v>21</v>
      </c>
      <c r="CL2024" s="3" t="s">
        <v>87</v>
      </c>
    </row>
    <row r="2025" spans="1:90" x14ac:dyDescent="0.2">
      <c r="A2025" s="3" t="s">
        <v>72</v>
      </c>
      <c r="B2025" s="3" t="s">
        <v>73</v>
      </c>
      <c r="C2025" s="3" t="s">
        <v>74</v>
      </c>
      <c r="E2025" s="3" t="str">
        <f>"FES1162846751"</f>
        <v>FES1162846751</v>
      </c>
      <c r="F2025" s="4">
        <v>44587</v>
      </c>
      <c r="G2025" s="3">
        <v>202207</v>
      </c>
      <c r="H2025" s="3" t="s">
        <v>75</v>
      </c>
      <c r="I2025" s="3" t="s">
        <v>76</v>
      </c>
      <c r="J2025" s="3" t="s">
        <v>77</v>
      </c>
      <c r="K2025" s="3" t="s">
        <v>78</v>
      </c>
      <c r="L2025" s="3" t="s">
        <v>75</v>
      </c>
      <c r="M2025" s="3" t="s">
        <v>76</v>
      </c>
      <c r="N2025" s="3" t="s">
        <v>1328</v>
      </c>
      <c r="O2025" s="3" t="s">
        <v>82</v>
      </c>
      <c r="P2025" s="3" t="str">
        <f>"2170816098                    "</f>
        <v xml:space="preserve">2170816098                    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12.07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0</v>
      </c>
      <c r="AZ2025" s="3">
        <v>0</v>
      </c>
      <c r="BA2025" s="3">
        <v>0</v>
      </c>
      <c r="BB2025" s="3">
        <v>0</v>
      </c>
      <c r="BC2025" s="3">
        <v>0</v>
      </c>
      <c r="BD2025" s="3">
        <v>0</v>
      </c>
      <c r="BE2025" s="3">
        <v>0</v>
      </c>
      <c r="BF2025" s="3">
        <v>0</v>
      </c>
      <c r="BG2025" s="3">
        <v>0</v>
      </c>
      <c r="BH2025" s="3">
        <v>1</v>
      </c>
      <c r="BI2025" s="3">
        <v>1</v>
      </c>
      <c r="BJ2025" s="3">
        <v>0.9</v>
      </c>
      <c r="BK2025" s="3">
        <v>1</v>
      </c>
      <c r="BL2025" s="3">
        <v>46.08</v>
      </c>
      <c r="BM2025" s="3">
        <v>6.91</v>
      </c>
      <c r="BN2025" s="3">
        <v>52.99</v>
      </c>
      <c r="BO2025" s="3">
        <v>52.99</v>
      </c>
      <c r="BQ2025" s="3" t="s">
        <v>83</v>
      </c>
      <c r="BR2025" s="3" t="s">
        <v>84</v>
      </c>
      <c r="BS2025" s="4">
        <v>44588</v>
      </c>
      <c r="BT2025" s="5">
        <v>0.4375</v>
      </c>
      <c r="BU2025" s="3" t="s">
        <v>2161</v>
      </c>
      <c r="BV2025" s="3" t="s">
        <v>105</v>
      </c>
      <c r="BY2025" s="3">
        <v>4275</v>
      </c>
      <c r="BZ2025" s="3" t="s">
        <v>165</v>
      </c>
      <c r="CA2025" s="3" t="s">
        <v>227</v>
      </c>
      <c r="CC2025" s="3" t="s">
        <v>76</v>
      </c>
      <c r="CD2025" s="3">
        <v>1624</v>
      </c>
      <c r="CE2025" s="3" t="s">
        <v>86</v>
      </c>
      <c r="CF2025" s="4">
        <v>44588</v>
      </c>
      <c r="CI2025" s="3">
        <v>1</v>
      </c>
      <c r="CJ2025" s="3">
        <v>1</v>
      </c>
      <c r="CK2025" s="3">
        <v>22</v>
      </c>
      <c r="CL2025" s="3" t="s">
        <v>87</v>
      </c>
    </row>
    <row r="2026" spans="1:90" x14ac:dyDescent="0.2">
      <c r="A2026" s="3" t="s">
        <v>72</v>
      </c>
      <c r="B2026" s="3" t="s">
        <v>73</v>
      </c>
      <c r="C2026" s="3" t="s">
        <v>74</v>
      </c>
      <c r="E2026" s="3" t="str">
        <f>"FES1162847153"</f>
        <v>FES1162847153</v>
      </c>
      <c r="F2026" s="4">
        <v>44587</v>
      </c>
      <c r="G2026" s="3">
        <v>202207</v>
      </c>
      <c r="H2026" s="3" t="s">
        <v>75</v>
      </c>
      <c r="I2026" s="3" t="s">
        <v>76</v>
      </c>
      <c r="J2026" s="3" t="s">
        <v>77</v>
      </c>
      <c r="K2026" s="3" t="s">
        <v>78</v>
      </c>
      <c r="L2026" s="3" t="s">
        <v>75</v>
      </c>
      <c r="M2026" s="3" t="s">
        <v>76</v>
      </c>
      <c r="N2026" s="3" t="s">
        <v>147</v>
      </c>
      <c r="O2026" s="3" t="s">
        <v>82</v>
      </c>
      <c r="P2026" s="3" t="str">
        <f>"2170818469                    "</f>
        <v xml:space="preserve">2170818469                    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12.07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0</v>
      </c>
      <c r="AZ2026" s="3">
        <v>0</v>
      </c>
      <c r="BA2026" s="3">
        <v>0</v>
      </c>
      <c r="BB2026" s="3">
        <v>0</v>
      </c>
      <c r="BC2026" s="3">
        <v>0</v>
      </c>
      <c r="BD2026" s="3">
        <v>0</v>
      </c>
      <c r="BE2026" s="3">
        <v>0</v>
      </c>
      <c r="BF2026" s="3">
        <v>0</v>
      </c>
      <c r="BG2026" s="3">
        <v>0</v>
      </c>
      <c r="BH2026" s="3">
        <v>1</v>
      </c>
      <c r="BI2026" s="3">
        <v>8</v>
      </c>
      <c r="BJ2026" s="3">
        <v>4.0999999999999996</v>
      </c>
      <c r="BK2026" s="3">
        <v>8</v>
      </c>
      <c r="BL2026" s="3">
        <v>46.08</v>
      </c>
      <c r="BM2026" s="3">
        <v>6.91</v>
      </c>
      <c r="BN2026" s="3">
        <v>52.99</v>
      </c>
      <c r="BO2026" s="3">
        <v>52.99</v>
      </c>
      <c r="BQ2026" s="3" t="s">
        <v>89</v>
      </c>
      <c r="BR2026" s="3" t="s">
        <v>84</v>
      </c>
      <c r="BS2026" s="4">
        <v>44588</v>
      </c>
      <c r="BT2026" s="5">
        <v>0.34722222222222227</v>
      </c>
      <c r="BU2026" s="3" t="s">
        <v>2154</v>
      </c>
      <c r="BV2026" s="3" t="s">
        <v>105</v>
      </c>
      <c r="BY2026" s="3">
        <v>20358</v>
      </c>
      <c r="BZ2026" s="3" t="s">
        <v>165</v>
      </c>
      <c r="CA2026" s="3" t="s">
        <v>2155</v>
      </c>
      <c r="CC2026" s="3" t="s">
        <v>76</v>
      </c>
      <c r="CD2026" s="3">
        <v>1645</v>
      </c>
      <c r="CE2026" s="3" t="s">
        <v>86</v>
      </c>
      <c r="CF2026" s="4">
        <v>44588</v>
      </c>
      <c r="CI2026" s="3">
        <v>1</v>
      </c>
      <c r="CJ2026" s="3">
        <v>1</v>
      </c>
      <c r="CK2026" s="3">
        <v>22</v>
      </c>
      <c r="CL2026" s="3" t="s">
        <v>87</v>
      </c>
    </row>
    <row r="2027" spans="1:90" x14ac:dyDescent="0.2">
      <c r="A2027" s="3" t="s">
        <v>72</v>
      </c>
      <c r="B2027" s="3" t="s">
        <v>73</v>
      </c>
      <c r="C2027" s="3" t="s">
        <v>74</v>
      </c>
      <c r="E2027" s="3" t="str">
        <f>"FES1162846892"</f>
        <v>FES1162846892</v>
      </c>
      <c r="F2027" s="4">
        <v>44587</v>
      </c>
      <c r="G2027" s="3">
        <v>202207</v>
      </c>
      <c r="H2027" s="3" t="s">
        <v>75</v>
      </c>
      <c r="I2027" s="3" t="s">
        <v>76</v>
      </c>
      <c r="J2027" s="3" t="s">
        <v>77</v>
      </c>
      <c r="K2027" s="3" t="s">
        <v>78</v>
      </c>
      <c r="L2027" s="3" t="s">
        <v>138</v>
      </c>
      <c r="M2027" s="3" t="s">
        <v>139</v>
      </c>
      <c r="N2027" s="3" t="s">
        <v>558</v>
      </c>
      <c r="O2027" s="3" t="s">
        <v>82</v>
      </c>
      <c r="P2027" s="3" t="str">
        <f>"2170818172                    "</f>
        <v xml:space="preserve">2170818172                    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15.46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0</v>
      </c>
      <c r="AZ2027" s="3">
        <v>0</v>
      </c>
      <c r="BA2027" s="3">
        <v>0</v>
      </c>
      <c r="BB2027" s="3">
        <v>0</v>
      </c>
      <c r="BC2027" s="3">
        <v>0</v>
      </c>
      <c r="BD2027" s="3">
        <v>0</v>
      </c>
      <c r="BE2027" s="3">
        <v>0</v>
      </c>
      <c r="BF2027" s="3">
        <v>0</v>
      </c>
      <c r="BG2027" s="3">
        <v>0</v>
      </c>
      <c r="BH2027" s="3">
        <v>1</v>
      </c>
      <c r="BI2027" s="3">
        <v>1</v>
      </c>
      <c r="BJ2027" s="3">
        <v>0.2</v>
      </c>
      <c r="BK2027" s="3">
        <v>1</v>
      </c>
      <c r="BL2027" s="3">
        <v>59</v>
      </c>
      <c r="BM2027" s="3">
        <v>8.85</v>
      </c>
      <c r="BN2027" s="3">
        <v>67.849999999999994</v>
      </c>
      <c r="BO2027" s="3">
        <v>67.849999999999994</v>
      </c>
      <c r="BR2027" s="3" t="s">
        <v>84</v>
      </c>
      <c r="BS2027" s="4">
        <v>44588</v>
      </c>
      <c r="BT2027" s="5">
        <v>0.3611111111111111</v>
      </c>
      <c r="BU2027" s="3" t="s">
        <v>2162</v>
      </c>
      <c r="BV2027" s="3" t="s">
        <v>105</v>
      </c>
      <c r="BY2027" s="3">
        <v>1200</v>
      </c>
      <c r="BZ2027" s="3" t="s">
        <v>165</v>
      </c>
      <c r="CA2027" s="3" t="s">
        <v>240</v>
      </c>
      <c r="CC2027" s="3" t="s">
        <v>139</v>
      </c>
      <c r="CD2027" s="3">
        <v>3610</v>
      </c>
      <c r="CE2027" s="3" t="s">
        <v>1513</v>
      </c>
      <c r="CF2027" s="4">
        <v>44589</v>
      </c>
      <c r="CI2027" s="3">
        <v>1</v>
      </c>
      <c r="CJ2027" s="3">
        <v>1</v>
      </c>
      <c r="CK2027" s="3">
        <v>21</v>
      </c>
      <c r="CL2027" s="3" t="s">
        <v>87</v>
      </c>
    </row>
    <row r="2028" spans="1:90" x14ac:dyDescent="0.2">
      <c r="A2028" s="3" t="s">
        <v>72</v>
      </c>
      <c r="B2028" s="3" t="s">
        <v>73</v>
      </c>
      <c r="C2028" s="3" t="s">
        <v>74</v>
      </c>
      <c r="E2028" s="3" t="str">
        <f>"FES1162846896"</f>
        <v>FES1162846896</v>
      </c>
      <c r="F2028" s="4">
        <v>44587</v>
      </c>
      <c r="G2028" s="3">
        <v>202207</v>
      </c>
      <c r="H2028" s="3" t="s">
        <v>75</v>
      </c>
      <c r="I2028" s="3" t="s">
        <v>76</v>
      </c>
      <c r="J2028" s="3" t="s">
        <v>77</v>
      </c>
      <c r="K2028" s="3" t="s">
        <v>78</v>
      </c>
      <c r="L2028" s="3" t="s">
        <v>94</v>
      </c>
      <c r="M2028" s="3" t="s">
        <v>95</v>
      </c>
      <c r="N2028" s="3" t="s">
        <v>179</v>
      </c>
      <c r="O2028" s="3" t="s">
        <v>82</v>
      </c>
      <c r="P2028" s="3" t="str">
        <f>"2170818179                    "</f>
        <v xml:space="preserve">2170818179                    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15.46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0</v>
      </c>
      <c r="AZ2028" s="3">
        <v>0</v>
      </c>
      <c r="BA2028" s="3">
        <v>0</v>
      </c>
      <c r="BB2028" s="3">
        <v>0</v>
      </c>
      <c r="BC2028" s="3">
        <v>0</v>
      </c>
      <c r="BD2028" s="3">
        <v>0</v>
      </c>
      <c r="BE2028" s="3">
        <v>0</v>
      </c>
      <c r="BF2028" s="3">
        <v>0</v>
      </c>
      <c r="BG2028" s="3">
        <v>0</v>
      </c>
      <c r="BH2028" s="3">
        <v>1</v>
      </c>
      <c r="BI2028" s="3">
        <v>1</v>
      </c>
      <c r="BJ2028" s="3">
        <v>0.2</v>
      </c>
      <c r="BK2028" s="3">
        <v>1</v>
      </c>
      <c r="BL2028" s="3">
        <v>59</v>
      </c>
      <c r="BM2028" s="3">
        <v>8.85</v>
      </c>
      <c r="BN2028" s="3">
        <v>67.849999999999994</v>
      </c>
      <c r="BO2028" s="3">
        <v>67.849999999999994</v>
      </c>
      <c r="BQ2028" s="3" t="s">
        <v>83</v>
      </c>
      <c r="BR2028" s="3" t="s">
        <v>84</v>
      </c>
      <c r="BS2028" s="4">
        <v>44588</v>
      </c>
      <c r="BT2028" s="5">
        <v>0.43055555555555558</v>
      </c>
      <c r="BU2028" s="3" t="s">
        <v>2163</v>
      </c>
      <c r="BV2028" s="3" t="s">
        <v>105</v>
      </c>
      <c r="BY2028" s="3">
        <v>1200</v>
      </c>
      <c r="BZ2028" s="3" t="s">
        <v>165</v>
      </c>
      <c r="CC2028" s="3" t="s">
        <v>95</v>
      </c>
      <c r="CD2028" s="3">
        <v>3201</v>
      </c>
      <c r="CE2028" s="3" t="s">
        <v>1513</v>
      </c>
      <c r="CI2028" s="3">
        <v>1</v>
      </c>
      <c r="CJ2028" s="3">
        <v>1</v>
      </c>
      <c r="CK2028" s="3">
        <v>21</v>
      </c>
      <c r="CL2028" s="3" t="s">
        <v>87</v>
      </c>
    </row>
    <row r="2029" spans="1:90" x14ac:dyDescent="0.2">
      <c r="A2029" s="3" t="s">
        <v>72</v>
      </c>
      <c r="B2029" s="3" t="s">
        <v>73</v>
      </c>
      <c r="C2029" s="3" t="s">
        <v>74</v>
      </c>
      <c r="E2029" s="3" t="str">
        <f>"FES1162846932"</f>
        <v>FES1162846932</v>
      </c>
      <c r="F2029" s="4">
        <v>44587</v>
      </c>
      <c r="G2029" s="3">
        <v>202207</v>
      </c>
      <c r="H2029" s="3" t="s">
        <v>75</v>
      </c>
      <c r="I2029" s="3" t="s">
        <v>76</v>
      </c>
      <c r="J2029" s="3" t="s">
        <v>77</v>
      </c>
      <c r="K2029" s="3" t="s">
        <v>78</v>
      </c>
      <c r="L2029" s="3" t="s">
        <v>427</v>
      </c>
      <c r="M2029" s="3" t="s">
        <v>428</v>
      </c>
      <c r="N2029" s="3" t="s">
        <v>447</v>
      </c>
      <c r="O2029" s="3" t="s">
        <v>82</v>
      </c>
      <c r="P2029" s="3" t="str">
        <f>"2170818216                    "</f>
        <v xml:space="preserve">2170818216                    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29.95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v>0</v>
      </c>
      <c r="BA2029" s="3">
        <v>0</v>
      </c>
      <c r="BB2029" s="3">
        <v>0</v>
      </c>
      <c r="BC2029" s="3">
        <v>0</v>
      </c>
      <c r="BD2029" s="3">
        <v>0</v>
      </c>
      <c r="BE2029" s="3">
        <v>0</v>
      </c>
      <c r="BF2029" s="3">
        <v>0</v>
      </c>
      <c r="BG2029" s="3">
        <v>0</v>
      </c>
      <c r="BH2029" s="3">
        <v>1</v>
      </c>
      <c r="BI2029" s="3">
        <v>1</v>
      </c>
      <c r="BJ2029" s="3">
        <v>0.2</v>
      </c>
      <c r="BK2029" s="3">
        <v>1</v>
      </c>
      <c r="BL2029" s="3">
        <v>114.31</v>
      </c>
      <c r="BM2029" s="3">
        <v>17.149999999999999</v>
      </c>
      <c r="BN2029" s="3">
        <v>131.46</v>
      </c>
      <c r="BO2029" s="3">
        <v>131.46</v>
      </c>
      <c r="BQ2029" s="3" t="s">
        <v>89</v>
      </c>
      <c r="BR2029" s="3" t="s">
        <v>84</v>
      </c>
      <c r="BS2029" s="4">
        <v>44588</v>
      </c>
      <c r="BT2029" s="5">
        <v>0.59027777777777779</v>
      </c>
      <c r="BU2029" s="3" t="s">
        <v>1695</v>
      </c>
      <c r="BV2029" s="3" t="s">
        <v>87</v>
      </c>
      <c r="BW2029" s="3" t="s">
        <v>353</v>
      </c>
      <c r="BX2029" s="3" t="s">
        <v>354</v>
      </c>
      <c r="BY2029" s="3">
        <v>1200</v>
      </c>
      <c r="BZ2029" s="3" t="s">
        <v>165</v>
      </c>
      <c r="CA2029" s="3" t="s">
        <v>488</v>
      </c>
      <c r="CC2029" s="3" t="s">
        <v>428</v>
      </c>
      <c r="CD2029" s="3">
        <v>7130</v>
      </c>
      <c r="CE2029" s="3" t="s">
        <v>1513</v>
      </c>
      <c r="CF2029" s="4">
        <v>44589</v>
      </c>
      <c r="CI2029" s="3">
        <v>1</v>
      </c>
      <c r="CJ2029" s="3">
        <v>1</v>
      </c>
      <c r="CK2029" s="3">
        <v>23</v>
      </c>
      <c r="CL2029" s="3" t="s">
        <v>87</v>
      </c>
    </row>
    <row r="2030" spans="1:90" x14ac:dyDescent="0.2">
      <c r="A2030" s="3" t="s">
        <v>72</v>
      </c>
      <c r="B2030" s="3" t="s">
        <v>73</v>
      </c>
      <c r="C2030" s="3" t="s">
        <v>74</v>
      </c>
      <c r="E2030" s="3" t="str">
        <f>"FES1162846919"</f>
        <v>FES1162846919</v>
      </c>
      <c r="F2030" s="4">
        <v>44587</v>
      </c>
      <c r="G2030" s="3">
        <v>202207</v>
      </c>
      <c r="H2030" s="3" t="s">
        <v>75</v>
      </c>
      <c r="I2030" s="3" t="s">
        <v>76</v>
      </c>
      <c r="J2030" s="3" t="s">
        <v>77</v>
      </c>
      <c r="K2030" s="3" t="s">
        <v>78</v>
      </c>
      <c r="L2030" s="3" t="s">
        <v>241</v>
      </c>
      <c r="M2030" s="3" t="s">
        <v>242</v>
      </c>
      <c r="N2030" s="3" t="s">
        <v>243</v>
      </c>
      <c r="O2030" s="3" t="s">
        <v>82</v>
      </c>
      <c r="P2030" s="3" t="str">
        <f>"2170818059                    "</f>
        <v xml:space="preserve">2170818059                    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15.46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0</v>
      </c>
      <c r="AZ2030" s="3">
        <v>0</v>
      </c>
      <c r="BA2030" s="3">
        <v>0</v>
      </c>
      <c r="BB2030" s="3">
        <v>0</v>
      </c>
      <c r="BC2030" s="3">
        <v>0</v>
      </c>
      <c r="BD2030" s="3">
        <v>0</v>
      </c>
      <c r="BE2030" s="3">
        <v>0</v>
      </c>
      <c r="BF2030" s="3">
        <v>0</v>
      </c>
      <c r="BG2030" s="3">
        <v>0</v>
      </c>
      <c r="BH2030" s="3">
        <v>1</v>
      </c>
      <c r="BI2030" s="3">
        <v>1</v>
      </c>
      <c r="BJ2030" s="3">
        <v>0.2</v>
      </c>
      <c r="BK2030" s="3">
        <v>1</v>
      </c>
      <c r="BL2030" s="3">
        <v>59</v>
      </c>
      <c r="BM2030" s="3">
        <v>8.85</v>
      </c>
      <c r="BN2030" s="3">
        <v>67.849999999999994</v>
      </c>
      <c r="BO2030" s="3">
        <v>67.849999999999994</v>
      </c>
      <c r="BQ2030" s="3" t="s">
        <v>83</v>
      </c>
      <c r="BR2030" s="3" t="s">
        <v>84</v>
      </c>
      <c r="BS2030" s="4">
        <v>44588</v>
      </c>
      <c r="BT2030" s="5">
        <v>0.39652777777777781</v>
      </c>
      <c r="BU2030" s="3" t="s">
        <v>388</v>
      </c>
      <c r="BV2030" s="3" t="s">
        <v>105</v>
      </c>
      <c r="BY2030" s="3">
        <v>1200</v>
      </c>
      <c r="BZ2030" s="3" t="s">
        <v>165</v>
      </c>
      <c r="CA2030" s="3" t="s">
        <v>389</v>
      </c>
      <c r="CC2030" s="3" t="s">
        <v>242</v>
      </c>
      <c r="CD2030" s="3">
        <v>7600</v>
      </c>
      <c r="CE2030" s="3" t="s">
        <v>1513</v>
      </c>
      <c r="CF2030" s="4">
        <v>44589</v>
      </c>
      <c r="CI2030" s="3">
        <v>1</v>
      </c>
      <c r="CJ2030" s="3">
        <v>1</v>
      </c>
      <c r="CK2030" s="3">
        <v>21</v>
      </c>
      <c r="CL2030" s="3" t="s">
        <v>87</v>
      </c>
    </row>
    <row r="2031" spans="1:90" x14ac:dyDescent="0.2">
      <c r="A2031" s="3" t="s">
        <v>72</v>
      </c>
      <c r="B2031" s="3" t="s">
        <v>73</v>
      </c>
      <c r="C2031" s="3" t="s">
        <v>74</v>
      </c>
      <c r="E2031" s="3" t="str">
        <f>"FES1162846890"</f>
        <v>FES1162846890</v>
      </c>
      <c r="F2031" s="4">
        <v>44587</v>
      </c>
      <c r="G2031" s="3">
        <v>202207</v>
      </c>
      <c r="H2031" s="3" t="s">
        <v>75</v>
      </c>
      <c r="I2031" s="3" t="s">
        <v>76</v>
      </c>
      <c r="J2031" s="3" t="s">
        <v>77</v>
      </c>
      <c r="K2031" s="3" t="s">
        <v>78</v>
      </c>
      <c r="L2031" s="3" t="s">
        <v>138</v>
      </c>
      <c r="M2031" s="3" t="s">
        <v>139</v>
      </c>
      <c r="N2031" s="3" t="s">
        <v>558</v>
      </c>
      <c r="O2031" s="3" t="s">
        <v>82</v>
      </c>
      <c r="P2031" s="3" t="str">
        <f>"2170818167                    "</f>
        <v xml:space="preserve">2170818167                    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15.46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0</v>
      </c>
      <c r="AZ2031" s="3">
        <v>0</v>
      </c>
      <c r="BA2031" s="3">
        <v>0</v>
      </c>
      <c r="BB2031" s="3">
        <v>0</v>
      </c>
      <c r="BC2031" s="3">
        <v>0</v>
      </c>
      <c r="BD2031" s="3">
        <v>0</v>
      </c>
      <c r="BE2031" s="3">
        <v>0</v>
      </c>
      <c r="BF2031" s="3">
        <v>0</v>
      </c>
      <c r="BG2031" s="3">
        <v>0</v>
      </c>
      <c r="BH2031" s="3">
        <v>1</v>
      </c>
      <c r="BI2031" s="3">
        <v>1</v>
      </c>
      <c r="BJ2031" s="3">
        <v>0.2</v>
      </c>
      <c r="BK2031" s="3">
        <v>1</v>
      </c>
      <c r="BL2031" s="3">
        <v>59</v>
      </c>
      <c r="BM2031" s="3">
        <v>8.85</v>
      </c>
      <c r="BN2031" s="3">
        <v>67.849999999999994</v>
      </c>
      <c r="BO2031" s="3">
        <v>67.849999999999994</v>
      </c>
      <c r="BR2031" s="3" t="s">
        <v>84</v>
      </c>
      <c r="BS2031" s="4">
        <v>44588</v>
      </c>
      <c r="BT2031" s="5">
        <v>0.36041666666666666</v>
      </c>
      <c r="BU2031" s="3" t="s">
        <v>2162</v>
      </c>
      <c r="BV2031" s="3" t="s">
        <v>105</v>
      </c>
      <c r="BY2031" s="3">
        <v>1200</v>
      </c>
      <c r="BZ2031" s="3" t="s">
        <v>165</v>
      </c>
      <c r="CA2031" s="3" t="s">
        <v>240</v>
      </c>
      <c r="CC2031" s="3" t="s">
        <v>139</v>
      </c>
      <c r="CD2031" s="3">
        <v>3610</v>
      </c>
      <c r="CE2031" s="3" t="s">
        <v>1513</v>
      </c>
      <c r="CF2031" s="4">
        <v>44589</v>
      </c>
      <c r="CI2031" s="3">
        <v>1</v>
      </c>
      <c r="CJ2031" s="3">
        <v>1</v>
      </c>
      <c r="CK2031" s="3">
        <v>21</v>
      </c>
      <c r="CL2031" s="3" t="s">
        <v>87</v>
      </c>
    </row>
    <row r="2032" spans="1:90" x14ac:dyDescent="0.2">
      <c r="A2032" s="3" t="s">
        <v>72</v>
      </c>
      <c r="B2032" s="3" t="s">
        <v>73</v>
      </c>
      <c r="C2032" s="3" t="s">
        <v>74</v>
      </c>
      <c r="E2032" s="3" t="str">
        <f>"FES1162846942"</f>
        <v>FES1162846942</v>
      </c>
      <c r="F2032" s="4">
        <v>44587</v>
      </c>
      <c r="G2032" s="3">
        <v>202207</v>
      </c>
      <c r="H2032" s="3" t="s">
        <v>75</v>
      </c>
      <c r="I2032" s="3" t="s">
        <v>76</v>
      </c>
      <c r="J2032" s="3" t="s">
        <v>77</v>
      </c>
      <c r="K2032" s="3" t="s">
        <v>78</v>
      </c>
      <c r="L2032" s="3" t="s">
        <v>101</v>
      </c>
      <c r="M2032" s="3" t="s">
        <v>102</v>
      </c>
      <c r="N2032" s="3" t="s">
        <v>272</v>
      </c>
      <c r="O2032" s="3" t="s">
        <v>82</v>
      </c>
      <c r="P2032" s="3" t="str">
        <f>"2170818236                    "</f>
        <v xml:space="preserve">2170818236                    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15.46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0</v>
      </c>
      <c r="AZ2032" s="3">
        <v>0</v>
      </c>
      <c r="BA2032" s="3">
        <v>0</v>
      </c>
      <c r="BB2032" s="3">
        <v>0</v>
      </c>
      <c r="BC2032" s="3">
        <v>0</v>
      </c>
      <c r="BD2032" s="3">
        <v>0</v>
      </c>
      <c r="BE2032" s="3">
        <v>0</v>
      </c>
      <c r="BF2032" s="3">
        <v>0</v>
      </c>
      <c r="BG2032" s="3">
        <v>0</v>
      </c>
      <c r="BH2032" s="3">
        <v>1</v>
      </c>
      <c r="BI2032" s="3">
        <v>1</v>
      </c>
      <c r="BJ2032" s="3">
        <v>0.2</v>
      </c>
      <c r="BK2032" s="3">
        <v>1</v>
      </c>
      <c r="BL2032" s="3">
        <v>59</v>
      </c>
      <c r="BM2032" s="3">
        <v>8.85</v>
      </c>
      <c r="BN2032" s="3">
        <v>67.849999999999994</v>
      </c>
      <c r="BO2032" s="3">
        <v>67.849999999999994</v>
      </c>
      <c r="BQ2032" s="3" t="s">
        <v>273</v>
      </c>
      <c r="BR2032" s="3" t="s">
        <v>84</v>
      </c>
      <c r="BS2032" s="4">
        <v>44588</v>
      </c>
      <c r="BT2032" s="5">
        <v>0.36736111111111108</v>
      </c>
      <c r="BU2032" s="3" t="s">
        <v>2147</v>
      </c>
      <c r="BV2032" s="3" t="s">
        <v>105</v>
      </c>
      <c r="BY2032" s="3">
        <v>1200</v>
      </c>
      <c r="BZ2032" s="3" t="s">
        <v>165</v>
      </c>
      <c r="CA2032" s="3" t="s">
        <v>2148</v>
      </c>
      <c r="CC2032" s="3" t="s">
        <v>102</v>
      </c>
      <c r="CD2032" s="3">
        <v>4000</v>
      </c>
      <c r="CE2032" s="3" t="s">
        <v>1513</v>
      </c>
      <c r="CF2032" s="4">
        <v>44589</v>
      </c>
      <c r="CI2032" s="3">
        <v>1</v>
      </c>
      <c r="CJ2032" s="3">
        <v>1</v>
      </c>
      <c r="CK2032" s="3">
        <v>21</v>
      </c>
      <c r="CL2032" s="3" t="s">
        <v>87</v>
      </c>
    </row>
    <row r="2033" spans="1:90" x14ac:dyDescent="0.2">
      <c r="A2033" s="3" t="s">
        <v>72</v>
      </c>
      <c r="B2033" s="3" t="s">
        <v>73</v>
      </c>
      <c r="C2033" s="3" t="s">
        <v>74</v>
      </c>
      <c r="E2033" s="3" t="str">
        <f>"FES1162846984"</f>
        <v>FES1162846984</v>
      </c>
      <c r="F2033" s="4">
        <v>44587</v>
      </c>
      <c r="G2033" s="3">
        <v>202207</v>
      </c>
      <c r="H2033" s="3" t="s">
        <v>75</v>
      </c>
      <c r="I2033" s="3" t="s">
        <v>76</v>
      </c>
      <c r="J2033" s="3" t="s">
        <v>77</v>
      </c>
      <c r="K2033" s="3" t="s">
        <v>78</v>
      </c>
      <c r="L2033" s="3" t="s">
        <v>75</v>
      </c>
      <c r="M2033" s="3" t="s">
        <v>76</v>
      </c>
      <c r="N2033" s="3" t="s">
        <v>1328</v>
      </c>
      <c r="O2033" s="3" t="s">
        <v>82</v>
      </c>
      <c r="P2033" s="3" t="str">
        <f>"2170816876                    "</f>
        <v xml:space="preserve">2170816876                    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12.07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0</v>
      </c>
      <c r="AZ2033" s="3">
        <v>0</v>
      </c>
      <c r="BA2033" s="3">
        <v>0</v>
      </c>
      <c r="BB2033" s="3">
        <v>0</v>
      </c>
      <c r="BC2033" s="3">
        <v>0</v>
      </c>
      <c r="BD2033" s="3">
        <v>0</v>
      </c>
      <c r="BE2033" s="3">
        <v>0</v>
      </c>
      <c r="BF2033" s="3">
        <v>0</v>
      </c>
      <c r="BG2033" s="3">
        <v>0</v>
      </c>
      <c r="BH2033" s="3">
        <v>1</v>
      </c>
      <c r="BI2033" s="3">
        <v>2</v>
      </c>
      <c r="BJ2033" s="3">
        <v>1.5</v>
      </c>
      <c r="BK2033" s="3">
        <v>2</v>
      </c>
      <c r="BL2033" s="3">
        <v>46.08</v>
      </c>
      <c r="BM2033" s="3">
        <v>6.91</v>
      </c>
      <c r="BN2033" s="3">
        <v>52.99</v>
      </c>
      <c r="BO2033" s="3">
        <v>52.99</v>
      </c>
      <c r="BQ2033" s="3" t="s">
        <v>83</v>
      </c>
      <c r="BR2033" s="3" t="s">
        <v>84</v>
      </c>
      <c r="BS2033" s="4">
        <v>44588</v>
      </c>
      <c r="BT2033" s="5">
        <v>0.4375</v>
      </c>
      <c r="BU2033" s="3" t="s">
        <v>2161</v>
      </c>
      <c r="BV2033" s="3" t="s">
        <v>105</v>
      </c>
      <c r="BY2033" s="3">
        <v>7540</v>
      </c>
      <c r="BZ2033" s="3" t="s">
        <v>165</v>
      </c>
      <c r="CA2033" s="3" t="s">
        <v>227</v>
      </c>
      <c r="CC2033" s="3" t="s">
        <v>76</v>
      </c>
      <c r="CD2033" s="3">
        <v>1624</v>
      </c>
      <c r="CE2033" s="3" t="s">
        <v>86</v>
      </c>
      <c r="CF2033" s="4">
        <v>44588</v>
      </c>
      <c r="CI2033" s="3">
        <v>1</v>
      </c>
      <c r="CJ2033" s="3">
        <v>1</v>
      </c>
      <c r="CK2033" s="3">
        <v>22</v>
      </c>
      <c r="CL2033" s="3" t="s">
        <v>87</v>
      </c>
    </row>
    <row r="2034" spans="1:90" x14ac:dyDescent="0.2">
      <c r="A2034" s="3" t="s">
        <v>72</v>
      </c>
      <c r="B2034" s="3" t="s">
        <v>73</v>
      </c>
      <c r="C2034" s="3" t="s">
        <v>74</v>
      </c>
      <c r="E2034" s="3" t="str">
        <f>"FES1162846968"</f>
        <v>FES1162846968</v>
      </c>
      <c r="F2034" s="4">
        <v>44587</v>
      </c>
      <c r="G2034" s="3">
        <v>202207</v>
      </c>
      <c r="H2034" s="3" t="s">
        <v>75</v>
      </c>
      <c r="I2034" s="3" t="s">
        <v>76</v>
      </c>
      <c r="J2034" s="3" t="s">
        <v>77</v>
      </c>
      <c r="K2034" s="3" t="s">
        <v>78</v>
      </c>
      <c r="L2034" s="3" t="s">
        <v>75</v>
      </c>
      <c r="M2034" s="3" t="s">
        <v>76</v>
      </c>
      <c r="N2034" s="3" t="s">
        <v>688</v>
      </c>
      <c r="O2034" s="3" t="s">
        <v>82</v>
      </c>
      <c r="P2034" s="3" t="str">
        <f>"2170818036                    "</f>
        <v xml:space="preserve">2170818036                    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12.07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v>0</v>
      </c>
      <c r="BA2034" s="3">
        <v>0</v>
      </c>
      <c r="BB2034" s="3">
        <v>0</v>
      </c>
      <c r="BC2034" s="3">
        <v>0</v>
      </c>
      <c r="BD2034" s="3">
        <v>0</v>
      </c>
      <c r="BE2034" s="3">
        <v>0</v>
      </c>
      <c r="BF2034" s="3">
        <v>0</v>
      </c>
      <c r="BG2034" s="3">
        <v>0</v>
      </c>
      <c r="BH2034" s="3">
        <v>1</v>
      </c>
      <c r="BI2034" s="3">
        <v>1</v>
      </c>
      <c r="BJ2034" s="3">
        <v>1.1000000000000001</v>
      </c>
      <c r="BK2034" s="3">
        <v>1.5</v>
      </c>
      <c r="BL2034" s="3">
        <v>46.08</v>
      </c>
      <c r="BM2034" s="3">
        <v>6.91</v>
      </c>
      <c r="BN2034" s="3">
        <v>52.99</v>
      </c>
      <c r="BO2034" s="3">
        <v>52.99</v>
      </c>
      <c r="BQ2034" s="3" t="s">
        <v>83</v>
      </c>
      <c r="BR2034" s="3" t="s">
        <v>84</v>
      </c>
      <c r="BS2034" s="4">
        <v>44588</v>
      </c>
      <c r="BT2034" s="5">
        <v>0.30763888888888891</v>
      </c>
      <c r="BU2034" s="3" t="s">
        <v>1173</v>
      </c>
      <c r="BV2034" s="3" t="s">
        <v>105</v>
      </c>
      <c r="BY2034" s="3">
        <v>5320</v>
      </c>
      <c r="BZ2034" s="3" t="s">
        <v>165</v>
      </c>
      <c r="CA2034" s="3" t="s">
        <v>227</v>
      </c>
      <c r="CC2034" s="3" t="s">
        <v>76</v>
      </c>
      <c r="CD2034" s="3">
        <v>1620</v>
      </c>
      <c r="CE2034" s="3" t="s">
        <v>86</v>
      </c>
      <c r="CF2034" s="4">
        <v>44588</v>
      </c>
      <c r="CI2034" s="3">
        <v>1</v>
      </c>
      <c r="CJ2034" s="3">
        <v>1</v>
      </c>
      <c r="CK2034" s="3">
        <v>22</v>
      </c>
      <c r="CL2034" s="3" t="s">
        <v>87</v>
      </c>
    </row>
    <row r="2035" spans="1:90" x14ac:dyDescent="0.2">
      <c r="A2035" s="3" t="s">
        <v>72</v>
      </c>
      <c r="B2035" s="3" t="s">
        <v>73</v>
      </c>
      <c r="C2035" s="3" t="s">
        <v>74</v>
      </c>
      <c r="E2035" s="3" t="str">
        <f>"FES1162846898"</f>
        <v>FES1162846898</v>
      </c>
      <c r="F2035" s="4">
        <v>44587</v>
      </c>
      <c r="G2035" s="3">
        <v>202207</v>
      </c>
      <c r="H2035" s="3" t="s">
        <v>75</v>
      </c>
      <c r="I2035" s="3" t="s">
        <v>76</v>
      </c>
      <c r="J2035" s="3" t="s">
        <v>77</v>
      </c>
      <c r="K2035" s="3" t="s">
        <v>78</v>
      </c>
      <c r="L2035" s="3" t="s">
        <v>75</v>
      </c>
      <c r="M2035" s="3" t="s">
        <v>76</v>
      </c>
      <c r="N2035" s="3" t="s">
        <v>166</v>
      </c>
      <c r="O2035" s="3" t="s">
        <v>82</v>
      </c>
      <c r="P2035" s="3" t="str">
        <f>"2170818182                    "</f>
        <v xml:space="preserve">2170818182                    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12.07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v>0</v>
      </c>
      <c r="BA2035" s="3">
        <v>0</v>
      </c>
      <c r="BB2035" s="3">
        <v>0</v>
      </c>
      <c r="BC2035" s="3">
        <v>0</v>
      </c>
      <c r="BD2035" s="3">
        <v>0</v>
      </c>
      <c r="BE2035" s="3">
        <v>0</v>
      </c>
      <c r="BF2035" s="3">
        <v>0</v>
      </c>
      <c r="BG2035" s="3">
        <v>0</v>
      </c>
      <c r="BH2035" s="3">
        <v>1</v>
      </c>
      <c r="BI2035" s="3">
        <v>1</v>
      </c>
      <c r="BJ2035" s="3">
        <v>0.2</v>
      </c>
      <c r="BK2035" s="3">
        <v>1</v>
      </c>
      <c r="BL2035" s="3">
        <v>46.08</v>
      </c>
      <c r="BM2035" s="3">
        <v>6.91</v>
      </c>
      <c r="BN2035" s="3">
        <v>52.99</v>
      </c>
      <c r="BO2035" s="3">
        <v>52.99</v>
      </c>
      <c r="BQ2035" s="3" t="s">
        <v>89</v>
      </c>
      <c r="BR2035" s="3" t="s">
        <v>84</v>
      </c>
      <c r="BS2035" s="4">
        <v>44588</v>
      </c>
      <c r="BT2035" s="5">
        <v>0.40763888888888888</v>
      </c>
      <c r="BU2035" s="3" t="s">
        <v>2164</v>
      </c>
      <c r="BV2035" s="3" t="s">
        <v>105</v>
      </c>
      <c r="BY2035" s="3">
        <v>1200</v>
      </c>
      <c r="BZ2035" s="3" t="s">
        <v>165</v>
      </c>
      <c r="CA2035" s="3" t="s">
        <v>607</v>
      </c>
      <c r="CC2035" s="3" t="s">
        <v>76</v>
      </c>
      <c r="CD2035" s="3">
        <v>1665</v>
      </c>
      <c r="CE2035" s="3" t="s">
        <v>93</v>
      </c>
      <c r="CF2035" s="4">
        <v>44589</v>
      </c>
      <c r="CI2035" s="3">
        <v>1</v>
      </c>
      <c r="CJ2035" s="3">
        <v>1</v>
      </c>
      <c r="CK2035" s="3">
        <v>22</v>
      </c>
      <c r="CL2035" s="3" t="s">
        <v>87</v>
      </c>
    </row>
    <row r="2036" spans="1:90" x14ac:dyDescent="0.2">
      <c r="A2036" s="3" t="s">
        <v>72</v>
      </c>
      <c r="B2036" s="3" t="s">
        <v>73</v>
      </c>
      <c r="C2036" s="3" t="s">
        <v>74</v>
      </c>
      <c r="E2036" s="3" t="str">
        <f>"FES1162846996"</f>
        <v>FES1162846996</v>
      </c>
      <c r="F2036" s="4">
        <v>44587</v>
      </c>
      <c r="G2036" s="3">
        <v>202207</v>
      </c>
      <c r="H2036" s="3" t="s">
        <v>75</v>
      </c>
      <c r="I2036" s="3" t="s">
        <v>76</v>
      </c>
      <c r="J2036" s="3" t="s">
        <v>77</v>
      </c>
      <c r="K2036" s="3" t="s">
        <v>78</v>
      </c>
      <c r="L2036" s="3" t="s">
        <v>75</v>
      </c>
      <c r="M2036" s="3" t="s">
        <v>76</v>
      </c>
      <c r="N2036" s="3" t="s">
        <v>560</v>
      </c>
      <c r="O2036" s="3" t="s">
        <v>82</v>
      </c>
      <c r="P2036" s="3" t="str">
        <f>"2170818211                    "</f>
        <v xml:space="preserve">2170818211                    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12.07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0</v>
      </c>
      <c r="AZ2036" s="3">
        <v>0</v>
      </c>
      <c r="BA2036" s="3">
        <v>0</v>
      </c>
      <c r="BB2036" s="3">
        <v>0</v>
      </c>
      <c r="BC2036" s="3">
        <v>0</v>
      </c>
      <c r="BD2036" s="3">
        <v>0</v>
      </c>
      <c r="BE2036" s="3">
        <v>0</v>
      </c>
      <c r="BF2036" s="3">
        <v>0</v>
      </c>
      <c r="BG2036" s="3">
        <v>0</v>
      </c>
      <c r="BH2036" s="3">
        <v>1</v>
      </c>
      <c r="BI2036" s="3">
        <v>1</v>
      </c>
      <c r="BJ2036" s="3">
        <v>0.6</v>
      </c>
      <c r="BK2036" s="3">
        <v>1</v>
      </c>
      <c r="BL2036" s="3">
        <v>46.08</v>
      </c>
      <c r="BM2036" s="3">
        <v>6.91</v>
      </c>
      <c r="BN2036" s="3">
        <v>52.99</v>
      </c>
      <c r="BO2036" s="3">
        <v>52.99</v>
      </c>
      <c r="BQ2036" s="3" t="s">
        <v>83</v>
      </c>
      <c r="BR2036" s="3" t="s">
        <v>84</v>
      </c>
      <c r="BS2036" s="4">
        <v>44588</v>
      </c>
      <c r="BT2036" s="5">
        <v>0.34791666666666665</v>
      </c>
      <c r="BU2036" s="3" t="s">
        <v>1123</v>
      </c>
      <c r="BV2036" s="3" t="s">
        <v>105</v>
      </c>
      <c r="BY2036" s="3">
        <v>3240</v>
      </c>
      <c r="BZ2036" s="3" t="s">
        <v>165</v>
      </c>
      <c r="CA2036" s="3" t="s">
        <v>378</v>
      </c>
      <c r="CC2036" s="3" t="s">
        <v>76</v>
      </c>
      <c r="CD2036" s="3">
        <v>1601</v>
      </c>
      <c r="CE2036" s="3" t="s">
        <v>86</v>
      </c>
      <c r="CF2036" s="4">
        <v>44588</v>
      </c>
      <c r="CI2036" s="3">
        <v>1</v>
      </c>
      <c r="CJ2036" s="3">
        <v>1</v>
      </c>
      <c r="CK2036" s="3">
        <v>22</v>
      </c>
      <c r="CL2036" s="3" t="s">
        <v>87</v>
      </c>
    </row>
    <row r="2037" spans="1:90" x14ac:dyDescent="0.2">
      <c r="A2037" s="3" t="s">
        <v>72</v>
      </c>
      <c r="B2037" s="3" t="s">
        <v>73</v>
      </c>
      <c r="C2037" s="3" t="s">
        <v>74</v>
      </c>
      <c r="E2037" s="3" t="str">
        <f>"FES1162847140"</f>
        <v>FES1162847140</v>
      </c>
      <c r="F2037" s="4">
        <v>44587</v>
      </c>
      <c r="G2037" s="3">
        <v>202207</v>
      </c>
      <c r="H2037" s="3" t="s">
        <v>75</v>
      </c>
      <c r="I2037" s="3" t="s">
        <v>76</v>
      </c>
      <c r="J2037" s="3" t="s">
        <v>77</v>
      </c>
      <c r="K2037" s="3" t="s">
        <v>78</v>
      </c>
      <c r="L2037" s="3" t="s">
        <v>158</v>
      </c>
      <c r="M2037" s="3" t="s">
        <v>159</v>
      </c>
      <c r="N2037" s="3" t="s">
        <v>223</v>
      </c>
      <c r="O2037" s="3" t="s">
        <v>82</v>
      </c>
      <c r="P2037" s="3" t="str">
        <f>"2170818459                    "</f>
        <v xml:space="preserve">2170818459                    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12.07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v>0</v>
      </c>
      <c r="BA2037" s="3">
        <v>0</v>
      </c>
      <c r="BB2037" s="3">
        <v>0</v>
      </c>
      <c r="BC2037" s="3">
        <v>0</v>
      </c>
      <c r="BD2037" s="3">
        <v>0</v>
      </c>
      <c r="BE2037" s="3">
        <v>0</v>
      </c>
      <c r="BF2037" s="3">
        <v>0</v>
      </c>
      <c r="BG2037" s="3">
        <v>0</v>
      </c>
      <c r="BH2037" s="3">
        <v>1</v>
      </c>
      <c r="BI2037" s="3">
        <v>1</v>
      </c>
      <c r="BJ2037" s="3">
        <v>0.2</v>
      </c>
      <c r="BK2037" s="3">
        <v>1</v>
      </c>
      <c r="BL2037" s="3">
        <v>46.08</v>
      </c>
      <c r="BM2037" s="3">
        <v>6.91</v>
      </c>
      <c r="BN2037" s="3">
        <v>52.99</v>
      </c>
      <c r="BO2037" s="3">
        <v>52.99</v>
      </c>
      <c r="BQ2037" s="3" t="s">
        <v>89</v>
      </c>
      <c r="BR2037" s="3" t="s">
        <v>84</v>
      </c>
      <c r="BS2037" s="4">
        <v>44588</v>
      </c>
      <c r="BT2037" s="5">
        <v>0.31041666666666667</v>
      </c>
      <c r="BU2037" s="3" t="s">
        <v>2165</v>
      </c>
      <c r="BV2037" s="3" t="s">
        <v>105</v>
      </c>
      <c r="BY2037" s="3">
        <v>1200</v>
      </c>
      <c r="BZ2037" s="3" t="s">
        <v>165</v>
      </c>
      <c r="CA2037" s="3" t="s">
        <v>678</v>
      </c>
      <c r="CC2037" s="3" t="s">
        <v>159</v>
      </c>
      <c r="CD2037" s="3">
        <v>1459</v>
      </c>
      <c r="CE2037" s="3" t="s">
        <v>93</v>
      </c>
      <c r="CF2037" s="4">
        <v>44588</v>
      </c>
      <c r="CI2037" s="3">
        <v>1</v>
      </c>
      <c r="CJ2037" s="3">
        <v>1</v>
      </c>
      <c r="CK2037" s="3">
        <v>22</v>
      </c>
      <c r="CL2037" s="3" t="s">
        <v>87</v>
      </c>
    </row>
    <row r="2038" spans="1:90" x14ac:dyDescent="0.2">
      <c r="A2038" s="3" t="s">
        <v>72</v>
      </c>
      <c r="B2038" s="3" t="s">
        <v>73</v>
      </c>
      <c r="C2038" s="3" t="s">
        <v>74</v>
      </c>
      <c r="E2038" s="3" t="str">
        <f>"FES1162846979"</f>
        <v>FES1162846979</v>
      </c>
      <c r="F2038" s="4">
        <v>44587</v>
      </c>
      <c r="G2038" s="3">
        <v>202207</v>
      </c>
      <c r="H2038" s="3" t="s">
        <v>75</v>
      </c>
      <c r="I2038" s="3" t="s">
        <v>76</v>
      </c>
      <c r="J2038" s="3" t="s">
        <v>77</v>
      </c>
      <c r="K2038" s="3" t="s">
        <v>78</v>
      </c>
      <c r="L2038" s="3" t="s">
        <v>90</v>
      </c>
      <c r="M2038" s="3" t="s">
        <v>91</v>
      </c>
      <c r="N2038" s="3" t="s">
        <v>735</v>
      </c>
      <c r="O2038" s="3" t="s">
        <v>82</v>
      </c>
      <c r="P2038" s="3" t="str">
        <f>"2170815023                    "</f>
        <v xml:space="preserve">2170815023                    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34.770000000000003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0</v>
      </c>
      <c r="AZ2038" s="3">
        <v>0</v>
      </c>
      <c r="BA2038" s="3">
        <v>0</v>
      </c>
      <c r="BB2038" s="3">
        <v>0</v>
      </c>
      <c r="BC2038" s="3">
        <v>0</v>
      </c>
      <c r="BD2038" s="3">
        <v>0</v>
      </c>
      <c r="BE2038" s="3">
        <v>0</v>
      </c>
      <c r="BF2038" s="3">
        <v>0</v>
      </c>
      <c r="BG2038" s="3">
        <v>0</v>
      </c>
      <c r="BH2038" s="3">
        <v>1</v>
      </c>
      <c r="BI2038" s="3">
        <v>4</v>
      </c>
      <c r="BJ2038" s="3">
        <v>4.0999999999999996</v>
      </c>
      <c r="BK2038" s="3">
        <v>4.5</v>
      </c>
      <c r="BL2038" s="3">
        <v>132.71</v>
      </c>
      <c r="BM2038" s="3">
        <v>19.91</v>
      </c>
      <c r="BN2038" s="3">
        <v>152.62</v>
      </c>
      <c r="BO2038" s="3">
        <v>152.62</v>
      </c>
      <c r="BQ2038" s="3" t="s">
        <v>273</v>
      </c>
      <c r="BR2038" s="3" t="s">
        <v>84</v>
      </c>
      <c r="BS2038" s="4">
        <v>44588</v>
      </c>
      <c r="BT2038" s="5">
        <v>0.3347222222222222</v>
      </c>
      <c r="BU2038" s="3" t="s">
        <v>2166</v>
      </c>
      <c r="BV2038" s="3" t="s">
        <v>105</v>
      </c>
      <c r="BY2038" s="3">
        <v>20358</v>
      </c>
      <c r="BZ2038" s="3" t="s">
        <v>165</v>
      </c>
      <c r="CA2038" s="3" t="s">
        <v>566</v>
      </c>
      <c r="CC2038" s="3" t="s">
        <v>91</v>
      </c>
      <c r="CD2038" s="3">
        <v>7460</v>
      </c>
      <c r="CE2038" s="3" t="s">
        <v>221</v>
      </c>
      <c r="CF2038" s="4">
        <v>44589</v>
      </c>
      <c r="CI2038" s="3">
        <v>1</v>
      </c>
      <c r="CJ2038" s="3">
        <v>1</v>
      </c>
      <c r="CK2038" s="3">
        <v>21</v>
      </c>
      <c r="CL2038" s="3" t="s">
        <v>87</v>
      </c>
    </row>
    <row r="2039" spans="1:90" x14ac:dyDescent="0.2">
      <c r="A2039" s="3" t="s">
        <v>72</v>
      </c>
      <c r="B2039" s="3" t="s">
        <v>73</v>
      </c>
      <c r="C2039" s="3" t="s">
        <v>74</v>
      </c>
      <c r="E2039" s="3" t="str">
        <f>"FES1162846884"</f>
        <v>FES1162846884</v>
      </c>
      <c r="F2039" s="4">
        <v>44587</v>
      </c>
      <c r="G2039" s="3">
        <v>202207</v>
      </c>
      <c r="H2039" s="3" t="s">
        <v>75</v>
      </c>
      <c r="I2039" s="3" t="s">
        <v>76</v>
      </c>
      <c r="J2039" s="3" t="s">
        <v>77</v>
      </c>
      <c r="K2039" s="3" t="s">
        <v>78</v>
      </c>
      <c r="L2039" s="3" t="s">
        <v>138</v>
      </c>
      <c r="M2039" s="3" t="s">
        <v>139</v>
      </c>
      <c r="N2039" s="3" t="s">
        <v>558</v>
      </c>
      <c r="O2039" s="3" t="s">
        <v>82</v>
      </c>
      <c r="P2039" s="3" t="str">
        <f>"2170818165                    "</f>
        <v xml:space="preserve">2170818165                    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15.46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0</v>
      </c>
      <c r="AZ2039" s="3">
        <v>0</v>
      </c>
      <c r="BA2039" s="3">
        <v>0</v>
      </c>
      <c r="BB2039" s="3">
        <v>0</v>
      </c>
      <c r="BC2039" s="3">
        <v>0</v>
      </c>
      <c r="BD2039" s="3">
        <v>0</v>
      </c>
      <c r="BE2039" s="3">
        <v>0</v>
      </c>
      <c r="BF2039" s="3">
        <v>0</v>
      </c>
      <c r="BG2039" s="3">
        <v>0</v>
      </c>
      <c r="BH2039" s="3">
        <v>1</v>
      </c>
      <c r="BI2039" s="3">
        <v>1</v>
      </c>
      <c r="BJ2039" s="3">
        <v>0.2</v>
      </c>
      <c r="BK2039" s="3">
        <v>1</v>
      </c>
      <c r="BL2039" s="3">
        <v>59</v>
      </c>
      <c r="BM2039" s="3">
        <v>8.85</v>
      </c>
      <c r="BN2039" s="3">
        <v>67.849999999999994</v>
      </c>
      <c r="BO2039" s="3">
        <v>67.849999999999994</v>
      </c>
      <c r="BR2039" s="3" t="s">
        <v>84</v>
      </c>
      <c r="BS2039" s="4">
        <v>44588</v>
      </c>
      <c r="BT2039" s="5">
        <v>0.36041666666666666</v>
      </c>
      <c r="BU2039" s="3" t="s">
        <v>2162</v>
      </c>
      <c r="BV2039" s="3" t="s">
        <v>105</v>
      </c>
      <c r="BY2039" s="3">
        <v>1200</v>
      </c>
      <c r="BZ2039" s="3" t="s">
        <v>165</v>
      </c>
      <c r="CA2039" s="3" t="s">
        <v>240</v>
      </c>
      <c r="CC2039" s="3" t="s">
        <v>139</v>
      </c>
      <c r="CD2039" s="3">
        <v>3610</v>
      </c>
      <c r="CE2039" s="3" t="s">
        <v>1513</v>
      </c>
      <c r="CF2039" s="4">
        <v>44589</v>
      </c>
      <c r="CI2039" s="3">
        <v>1</v>
      </c>
      <c r="CJ2039" s="3">
        <v>1</v>
      </c>
      <c r="CK2039" s="3">
        <v>21</v>
      </c>
      <c r="CL2039" s="3" t="s">
        <v>87</v>
      </c>
    </row>
    <row r="2040" spans="1:90" x14ac:dyDescent="0.2">
      <c r="A2040" s="3" t="s">
        <v>72</v>
      </c>
      <c r="B2040" s="3" t="s">
        <v>73</v>
      </c>
      <c r="C2040" s="3" t="s">
        <v>74</v>
      </c>
      <c r="E2040" s="3" t="str">
        <f>"FES1162847004"</f>
        <v>FES1162847004</v>
      </c>
      <c r="F2040" s="4">
        <v>44587</v>
      </c>
      <c r="G2040" s="3">
        <v>202207</v>
      </c>
      <c r="H2040" s="3" t="s">
        <v>75</v>
      </c>
      <c r="I2040" s="3" t="s">
        <v>76</v>
      </c>
      <c r="J2040" s="3" t="s">
        <v>77</v>
      </c>
      <c r="K2040" s="3" t="s">
        <v>78</v>
      </c>
      <c r="L2040" s="3" t="s">
        <v>158</v>
      </c>
      <c r="M2040" s="3" t="s">
        <v>159</v>
      </c>
      <c r="N2040" s="3" t="s">
        <v>823</v>
      </c>
      <c r="O2040" s="3" t="s">
        <v>82</v>
      </c>
      <c r="P2040" s="3" t="str">
        <f>"2170818285                    "</f>
        <v xml:space="preserve">2170818285                    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12.07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v>0</v>
      </c>
      <c r="BA2040" s="3">
        <v>0</v>
      </c>
      <c r="BB2040" s="3">
        <v>0</v>
      </c>
      <c r="BC2040" s="3">
        <v>0</v>
      </c>
      <c r="BD2040" s="3">
        <v>0</v>
      </c>
      <c r="BE2040" s="3">
        <v>0</v>
      </c>
      <c r="BF2040" s="3">
        <v>0</v>
      </c>
      <c r="BG2040" s="3">
        <v>0</v>
      </c>
      <c r="BH2040" s="3">
        <v>1</v>
      </c>
      <c r="BI2040" s="3">
        <v>5</v>
      </c>
      <c r="BJ2040" s="3">
        <v>4.0999999999999996</v>
      </c>
      <c r="BK2040" s="3">
        <v>5</v>
      </c>
      <c r="BL2040" s="3">
        <v>46.08</v>
      </c>
      <c r="BM2040" s="3">
        <v>6.91</v>
      </c>
      <c r="BN2040" s="3">
        <v>52.99</v>
      </c>
      <c r="BO2040" s="3">
        <v>52.99</v>
      </c>
      <c r="BQ2040" s="3" t="s">
        <v>89</v>
      </c>
      <c r="BR2040" s="3" t="s">
        <v>84</v>
      </c>
      <c r="BS2040" s="4">
        <v>44588</v>
      </c>
      <c r="BT2040" s="5">
        <v>0.36319444444444443</v>
      </c>
      <c r="BU2040" s="3" t="s">
        <v>1937</v>
      </c>
      <c r="BV2040" s="3" t="s">
        <v>105</v>
      </c>
      <c r="BY2040" s="3">
        <v>20358</v>
      </c>
      <c r="BZ2040" s="3" t="s">
        <v>165</v>
      </c>
      <c r="CA2040" s="3" t="s">
        <v>653</v>
      </c>
      <c r="CC2040" s="3" t="s">
        <v>159</v>
      </c>
      <c r="CD2040" s="3">
        <v>1459</v>
      </c>
      <c r="CE2040" s="3" t="s">
        <v>86</v>
      </c>
      <c r="CF2040" s="4">
        <v>44588</v>
      </c>
      <c r="CI2040" s="3">
        <v>1</v>
      </c>
      <c r="CJ2040" s="3">
        <v>1</v>
      </c>
      <c r="CK2040" s="3">
        <v>22</v>
      </c>
      <c r="CL2040" s="3" t="s">
        <v>87</v>
      </c>
    </row>
    <row r="2041" spans="1:90" x14ac:dyDescent="0.2">
      <c r="A2041" s="3" t="s">
        <v>72</v>
      </c>
      <c r="B2041" s="3" t="s">
        <v>73</v>
      </c>
      <c r="C2041" s="3" t="s">
        <v>74</v>
      </c>
      <c r="E2041" s="3" t="str">
        <f>"FES1162847137"</f>
        <v>FES1162847137</v>
      </c>
      <c r="F2041" s="4">
        <v>44587</v>
      </c>
      <c r="G2041" s="3">
        <v>202207</v>
      </c>
      <c r="H2041" s="3" t="s">
        <v>75</v>
      </c>
      <c r="I2041" s="3" t="s">
        <v>76</v>
      </c>
      <c r="J2041" s="3" t="s">
        <v>77</v>
      </c>
      <c r="K2041" s="3" t="s">
        <v>78</v>
      </c>
      <c r="L2041" s="3" t="s">
        <v>171</v>
      </c>
      <c r="M2041" s="3" t="s">
        <v>172</v>
      </c>
      <c r="N2041" s="3" t="s">
        <v>2167</v>
      </c>
      <c r="O2041" s="3" t="s">
        <v>82</v>
      </c>
      <c r="P2041" s="3" t="str">
        <f>"2170818456                    "</f>
        <v xml:space="preserve">2170818456                    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38.630000000000003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  <c r="BH2041" s="3">
        <v>1</v>
      </c>
      <c r="BI2041" s="3">
        <v>5</v>
      </c>
      <c r="BJ2041" s="3">
        <v>4.0999999999999996</v>
      </c>
      <c r="BK2041" s="3">
        <v>5</v>
      </c>
      <c r="BL2041" s="3">
        <v>147.44999999999999</v>
      </c>
      <c r="BM2041" s="3">
        <v>22.12</v>
      </c>
      <c r="BN2041" s="3">
        <v>169.57</v>
      </c>
      <c r="BO2041" s="3">
        <v>169.57</v>
      </c>
      <c r="BQ2041" s="3" t="s">
        <v>83</v>
      </c>
      <c r="BR2041" s="3" t="s">
        <v>84</v>
      </c>
      <c r="BS2041" s="4">
        <v>44588</v>
      </c>
      <c r="BT2041" s="5">
        <v>0.40625</v>
      </c>
      <c r="BU2041" s="3" t="s">
        <v>2168</v>
      </c>
      <c r="BV2041" s="3" t="s">
        <v>105</v>
      </c>
      <c r="BY2041" s="3">
        <v>20358</v>
      </c>
      <c r="BZ2041" s="3" t="s">
        <v>165</v>
      </c>
      <c r="CA2041" s="3" t="s">
        <v>814</v>
      </c>
      <c r="CC2041" s="3" t="s">
        <v>172</v>
      </c>
      <c r="CD2041" s="3">
        <v>6001</v>
      </c>
      <c r="CE2041" s="3" t="s">
        <v>86</v>
      </c>
      <c r="CF2041" s="4">
        <v>44588</v>
      </c>
      <c r="CI2041" s="3">
        <v>1</v>
      </c>
      <c r="CJ2041" s="3">
        <v>1</v>
      </c>
      <c r="CK2041" s="3">
        <v>21</v>
      </c>
      <c r="CL2041" s="3" t="s">
        <v>87</v>
      </c>
    </row>
    <row r="2042" spans="1:90" x14ac:dyDescent="0.2">
      <c r="A2042" s="3" t="s">
        <v>72</v>
      </c>
      <c r="B2042" s="3" t="s">
        <v>73</v>
      </c>
      <c r="C2042" s="3" t="s">
        <v>74</v>
      </c>
      <c r="E2042" s="3" t="str">
        <f>"FES1162847025"</f>
        <v>FES1162847025</v>
      </c>
      <c r="F2042" s="4">
        <v>44587</v>
      </c>
      <c r="G2042" s="3">
        <v>202207</v>
      </c>
      <c r="H2042" s="3" t="s">
        <v>75</v>
      </c>
      <c r="I2042" s="3" t="s">
        <v>76</v>
      </c>
      <c r="J2042" s="3" t="s">
        <v>77</v>
      </c>
      <c r="K2042" s="3" t="s">
        <v>78</v>
      </c>
      <c r="L2042" s="3" t="s">
        <v>158</v>
      </c>
      <c r="M2042" s="3" t="s">
        <v>159</v>
      </c>
      <c r="N2042" s="3" t="s">
        <v>417</v>
      </c>
      <c r="O2042" s="3" t="s">
        <v>82</v>
      </c>
      <c r="P2042" s="3" t="str">
        <f>"2170813816                    "</f>
        <v xml:space="preserve">2170813816                    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29.45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0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  <c r="BH2042" s="3">
        <v>2</v>
      </c>
      <c r="BI2042" s="3">
        <v>14</v>
      </c>
      <c r="BJ2042" s="3">
        <v>8.1</v>
      </c>
      <c r="BK2042" s="3">
        <v>14</v>
      </c>
      <c r="BL2042" s="3">
        <v>112.42</v>
      </c>
      <c r="BM2042" s="3">
        <v>16.86</v>
      </c>
      <c r="BN2042" s="3">
        <v>129.28</v>
      </c>
      <c r="BO2042" s="3">
        <v>129.28</v>
      </c>
      <c r="BQ2042" s="3" t="s">
        <v>83</v>
      </c>
      <c r="BR2042" s="3" t="s">
        <v>84</v>
      </c>
      <c r="BS2042" s="4">
        <v>44588</v>
      </c>
      <c r="BT2042" s="5">
        <v>0.32013888888888892</v>
      </c>
      <c r="BU2042" s="3" t="s">
        <v>1257</v>
      </c>
      <c r="BV2042" s="3" t="s">
        <v>105</v>
      </c>
      <c r="BY2042" s="3">
        <v>20358</v>
      </c>
      <c r="BZ2042" s="3" t="s">
        <v>165</v>
      </c>
      <c r="CA2042" s="3" t="s">
        <v>763</v>
      </c>
      <c r="CC2042" s="3" t="s">
        <v>159</v>
      </c>
      <c r="CD2042" s="3">
        <v>1459</v>
      </c>
      <c r="CE2042" s="3" t="s">
        <v>221</v>
      </c>
      <c r="CF2042" s="4">
        <v>44588</v>
      </c>
      <c r="CI2042" s="3">
        <v>1</v>
      </c>
      <c r="CJ2042" s="3">
        <v>1</v>
      </c>
      <c r="CK2042" s="3">
        <v>22</v>
      </c>
      <c r="CL2042" s="3" t="s">
        <v>87</v>
      </c>
    </row>
    <row r="2043" spans="1:90" x14ac:dyDescent="0.2">
      <c r="A2043" s="3" t="s">
        <v>72</v>
      </c>
      <c r="B2043" s="3" t="s">
        <v>73</v>
      </c>
      <c r="C2043" s="3" t="s">
        <v>74</v>
      </c>
      <c r="E2043" s="3" t="str">
        <f>"FES1162846899"</f>
        <v>FES1162846899</v>
      </c>
      <c r="F2043" s="4">
        <v>44587</v>
      </c>
      <c r="G2043" s="3">
        <v>202207</v>
      </c>
      <c r="H2043" s="3" t="s">
        <v>75</v>
      </c>
      <c r="I2043" s="3" t="s">
        <v>76</v>
      </c>
      <c r="J2043" s="3" t="s">
        <v>77</v>
      </c>
      <c r="K2043" s="3" t="s">
        <v>78</v>
      </c>
      <c r="L2043" s="3" t="s">
        <v>75</v>
      </c>
      <c r="M2043" s="3" t="s">
        <v>76</v>
      </c>
      <c r="N2043" s="3" t="s">
        <v>2143</v>
      </c>
      <c r="O2043" s="3" t="s">
        <v>82</v>
      </c>
      <c r="P2043" s="3" t="str">
        <f>"2170818183                    "</f>
        <v xml:space="preserve">2170818183                    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12.07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v>0</v>
      </c>
      <c r="BA2043" s="3">
        <v>0</v>
      </c>
      <c r="BB2043" s="3">
        <v>0</v>
      </c>
      <c r="BC2043" s="3">
        <v>0</v>
      </c>
      <c r="BD2043" s="3">
        <v>0</v>
      </c>
      <c r="BE2043" s="3">
        <v>0</v>
      </c>
      <c r="BF2043" s="3">
        <v>0</v>
      </c>
      <c r="BG2043" s="3">
        <v>0</v>
      </c>
      <c r="BH2043" s="3">
        <v>1</v>
      </c>
      <c r="BI2043" s="3">
        <v>1</v>
      </c>
      <c r="BJ2043" s="3">
        <v>0.2</v>
      </c>
      <c r="BK2043" s="3">
        <v>1</v>
      </c>
      <c r="BL2043" s="3">
        <v>46.08</v>
      </c>
      <c r="BM2043" s="3">
        <v>6.91</v>
      </c>
      <c r="BN2043" s="3">
        <v>52.99</v>
      </c>
      <c r="BO2043" s="3">
        <v>52.99</v>
      </c>
      <c r="BQ2043" s="3" t="s">
        <v>89</v>
      </c>
      <c r="BR2043" s="3" t="s">
        <v>84</v>
      </c>
      <c r="BS2043" s="4">
        <v>44588</v>
      </c>
      <c r="BT2043" s="5">
        <v>0.32430555555555557</v>
      </c>
      <c r="BU2043" s="3" t="s">
        <v>2169</v>
      </c>
      <c r="BV2043" s="3" t="s">
        <v>105</v>
      </c>
      <c r="BY2043" s="3">
        <v>1200</v>
      </c>
      <c r="BZ2043" s="3" t="s">
        <v>165</v>
      </c>
      <c r="CA2043" s="3" t="s">
        <v>1314</v>
      </c>
      <c r="CC2043" s="3" t="s">
        <v>76</v>
      </c>
      <c r="CD2043" s="3">
        <v>1601</v>
      </c>
      <c r="CE2043" s="3" t="s">
        <v>93</v>
      </c>
      <c r="CF2043" s="4">
        <v>44589</v>
      </c>
      <c r="CI2043" s="3">
        <v>1</v>
      </c>
      <c r="CJ2043" s="3">
        <v>1</v>
      </c>
      <c r="CK2043" s="3">
        <v>22</v>
      </c>
      <c r="CL2043" s="3" t="s">
        <v>87</v>
      </c>
    </row>
    <row r="2044" spans="1:90" x14ac:dyDescent="0.2">
      <c r="A2044" s="3" t="s">
        <v>72</v>
      </c>
      <c r="B2044" s="3" t="s">
        <v>73</v>
      </c>
      <c r="C2044" s="3" t="s">
        <v>74</v>
      </c>
      <c r="E2044" s="3" t="str">
        <f>"FES1162846991"</f>
        <v>FES1162846991</v>
      </c>
      <c r="F2044" s="4">
        <v>44587</v>
      </c>
      <c r="G2044" s="3">
        <v>202207</v>
      </c>
      <c r="H2044" s="3" t="s">
        <v>75</v>
      </c>
      <c r="I2044" s="3" t="s">
        <v>76</v>
      </c>
      <c r="J2044" s="3" t="s">
        <v>77</v>
      </c>
      <c r="K2044" s="3" t="s">
        <v>78</v>
      </c>
      <c r="L2044" s="3" t="s">
        <v>79</v>
      </c>
      <c r="M2044" s="3" t="s">
        <v>80</v>
      </c>
      <c r="N2044" s="3" t="s">
        <v>2170</v>
      </c>
      <c r="O2044" s="3" t="s">
        <v>148</v>
      </c>
      <c r="P2044" s="3" t="str">
        <f>"2170817943                    "</f>
        <v xml:space="preserve">2170817943                    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42.21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v>0</v>
      </c>
      <c r="BA2044" s="3">
        <v>0</v>
      </c>
      <c r="BB2044" s="3">
        <v>0</v>
      </c>
      <c r="BC2044" s="3">
        <v>0</v>
      </c>
      <c r="BD2044" s="3">
        <v>0</v>
      </c>
      <c r="BE2044" s="3">
        <v>0</v>
      </c>
      <c r="BF2044" s="3">
        <v>0</v>
      </c>
      <c r="BG2044" s="3">
        <v>0</v>
      </c>
      <c r="BH2044" s="3">
        <v>3</v>
      </c>
      <c r="BI2044" s="3">
        <v>25</v>
      </c>
      <c r="BJ2044" s="3">
        <v>9.8000000000000007</v>
      </c>
      <c r="BK2044" s="3">
        <v>25</v>
      </c>
      <c r="BL2044" s="3">
        <v>166.36</v>
      </c>
      <c r="BM2044" s="3">
        <v>24.95</v>
      </c>
      <c r="BN2044" s="3">
        <v>191.31</v>
      </c>
      <c r="BO2044" s="3">
        <v>191.31</v>
      </c>
      <c r="BQ2044" s="3" t="s">
        <v>89</v>
      </c>
      <c r="BR2044" s="3" t="s">
        <v>84</v>
      </c>
      <c r="BS2044" s="4">
        <v>44588</v>
      </c>
      <c r="BT2044" s="5">
        <v>0.40277777777777773</v>
      </c>
      <c r="BU2044" s="3" t="s">
        <v>1007</v>
      </c>
      <c r="BV2044" s="3" t="s">
        <v>105</v>
      </c>
      <c r="BY2044" s="3">
        <v>49225</v>
      </c>
      <c r="BZ2044" s="3" t="s">
        <v>327</v>
      </c>
      <c r="CA2044" s="3" t="s">
        <v>366</v>
      </c>
      <c r="CC2044" s="3" t="s">
        <v>80</v>
      </c>
      <c r="CD2044" s="3">
        <v>200</v>
      </c>
      <c r="CE2044" s="3" t="s">
        <v>2171</v>
      </c>
      <c r="CF2044" s="4">
        <v>44588</v>
      </c>
      <c r="CI2044" s="3">
        <v>1</v>
      </c>
      <c r="CJ2044" s="3">
        <v>1</v>
      </c>
      <c r="CK2044" s="3">
        <v>41</v>
      </c>
      <c r="CL2044" s="3" t="s">
        <v>87</v>
      </c>
    </row>
    <row r="2045" spans="1:90" x14ac:dyDescent="0.2">
      <c r="A2045" s="3" t="s">
        <v>72</v>
      </c>
      <c r="B2045" s="3" t="s">
        <v>73</v>
      </c>
      <c r="C2045" s="3" t="s">
        <v>74</v>
      </c>
      <c r="E2045" s="3" t="str">
        <f>"FES1162847141"</f>
        <v>FES1162847141</v>
      </c>
      <c r="F2045" s="4">
        <v>44587</v>
      </c>
      <c r="G2045" s="3">
        <v>202207</v>
      </c>
      <c r="H2045" s="3" t="s">
        <v>75</v>
      </c>
      <c r="I2045" s="3" t="s">
        <v>76</v>
      </c>
      <c r="J2045" s="3" t="s">
        <v>77</v>
      </c>
      <c r="K2045" s="3" t="s">
        <v>78</v>
      </c>
      <c r="L2045" s="3" t="s">
        <v>184</v>
      </c>
      <c r="M2045" s="3" t="s">
        <v>185</v>
      </c>
      <c r="N2045" s="3" t="s">
        <v>1938</v>
      </c>
      <c r="O2045" s="3" t="s">
        <v>82</v>
      </c>
      <c r="P2045" s="3" t="str">
        <f>"2170818460                    "</f>
        <v xml:space="preserve">2170818460                    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15.46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v>0</v>
      </c>
      <c r="BA2045" s="3">
        <v>0</v>
      </c>
      <c r="BB2045" s="3">
        <v>0</v>
      </c>
      <c r="BC2045" s="3">
        <v>0</v>
      </c>
      <c r="BD2045" s="3">
        <v>0</v>
      </c>
      <c r="BE2045" s="3">
        <v>0</v>
      </c>
      <c r="BF2045" s="3">
        <v>0</v>
      </c>
      <c r="BG2045" s="3">
        <v>0</v>
      </c>
      <c r="BH2045" s="3">
        <v>1</v>
      </c>
      <c r="BI2045" s="3">
        <v>1</v>
      </c>
      <c r="BJ2045" s="3">
        <v>0.2</v>
      </c>
      <c r="BK2045" s="3">
        <v>1</v>
      </c>
      <c r="BL2045" s="3">
        <v>59</v>
      </c>
      <c r="BM2045" s="3">
        <v>8.85</v>
      </c>
      <c r="BN2045" s="3">
        <v>67.849999999999994</v>
      </c>
      <c r="BO2045" s="3">
        <v>67.849999999999994</v>
      </c>
      <c r="BQ2045" s="3" t="s">
        <v>83</v>
      </c>
      <c r="BR2045" s="3" t="s">
        <v>84</v>
      </c>
      <c r="BS2045" s="4">
        <v>44588</v>
      </c>
      <c r="BT2045" s="5">
        <v>0.49513888888888885</v>
      </c>
      <c r="BU2045" s="3" t="s">
        <v>2172</v>
      </c>
      <c r="BV2045" s="3" t="s">
        <v>87</v>
      </c>
      <c r="BW2045" s="3" t="s">
        <v>353</v>
      </c>
      <c r="BX2045" s="3" t="s">
        <v>605</v>
      </c>
      <c r="BY2045" s="3">
        <v>1200</v>
      </c>
      <c r="BZ2045" s="3" t="s">
        <v>165</v>
      </c>
      <c r="CA2045" s="3" t="s">
        <v>2125</v>
      </c>
      <c r="CC2045" s="3" t="s">
        <v>185</v>
      </c>
      <c r="CD2045" s="3">
        <v>5201</v>
      </c>
      <c r="CE2045" s="3" t="s">
        <v>93</v>
      </c>
      <c r="CF2045" s="4">
        <v>44588</v>
      </c>
      <c r="CI2045" s="3">
        <v>1</v>
      </c>
      <c r="CJ2045" s="3">
        <v>1</v>
      </c>
      <c r="CK2045" s="3">
        <v>21</v>
      </c>
      <c r="CL2045" s="3" t="s">
        <v>87</v>
      </c>
    </row>
    <row r="2046" spans="1:90" x14ac:dyDescent="0.2">
      <c r="A2046" s="3" t="s">
        <v>72</v>
      </c>
      <c r="B2046" s="3" t="s">
        <v>73</v>
      </c>
      <c r="C2046" s="3" t="s">
        <v>74</v>
      </c>
      <c r="E2046" s="3" t="str">
        <f>"FES1162846713"</f>
        <v>FES1162846713</v>
      </c>
      <c r="F2046" s="4">
        <v>44587</v>
      </c>
      <c r="G2046" s="3">
        <v>202207</v>
      </c>
      <c r="H2046" s="3" t="s">
        <v>75</v>
      </c>
      <c r="I2046" s="3" t="s">
        <v>76</v>
      </c>
      <c r="J2046" s="3" t="s">
        <v>77</v>
      </c>
      <c r="K2046" s="3" t="s">
        <v>78</v>
      </c>
      <c r="L2046" s="3" t="s">
        <v>420</v>
      </c>
      <c r="M2046" s="3" t="s">
        <v>421</v>
      </c>
      <c r="N2046" s="3" t="s">
        <v>422</v>
      </c>
      <c r="O2046" s="3" t="s">
        <v>82</v>
      </c>
      <c r="P2046" s="3" t="str">
        <f>"2170804992                    "</f>
        <v xml:space="preserve">2170804992                    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29.95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0</v>
      </c>
      <c r="AZ2046" s="3">
        <v>0</v>
      </c>
      <c r="BA2046" s="3">
        <v>0</v>
      </c>
      <c r="BB2046" s="3">
        <v>0</v>
      </c>
      <c r="BC2046" s="3">
        <v>0</v>
      </c>
      <c r="BD2046" s="3">
        <v>0</v>
      </c>
      <c r="BE2046" s="3">
        <v>0</v>
      </c>
      <c r="BF2046" s="3">
        <v>0</v>
      </c>
      <c r="BG2046" s="3">
        <v>0</v>
      </c>
      <c r="BH2046" s="3">
        <v>1</v>
      </c>
      <c r="BI2046" s="3">
        <v>1</v>
      </c>
      <c r="BJ2046" s="3">
        <v>2</v>
      </c>
      <c r="BK2046" s="3">
        <v>2</v>
      </c>
      <c r="BL2046" s="3">
        <v>114.31</v>
      </c>
      <c r="BM2046" s="3">
        <v>17.149999999999999</v>
      </c>
      <c r="BN2046" s="3">
        <v>131.46</v>
      </c>
      <c r="BO2046" s="3">
        <v>131.46</v>
      </c>
      <c r="BR2046" s="3" t="s">
        <v>84</v>
      </c>
      <c r="BS2046" s="4">
        <v>44589</v>
      </c>
      <c r="BT2046" s="5">
        <v>0.3743055555555555</v>
      </c>
      <c r="BU2046" s="3" t="s">
        <v>2173</v>
      </c>
      <c r="BV2046" s="3" t="s">
        <v>105</v>
      </c>
      <c r="BY2046" s="3">
        <v>9918</v>
      </c>
      <c r="BZ2046" s="3" t="s">
        <v>165</v>
      </c>
      <c r="CC2046" s="3" t="s">
        <v>421</v>
      </c>
      <c r="CD2046" s="3">
        <v>6742</v>
      </c>
      <c r="CE2046" s="3" t="s">
        <v>221</v>
      </c>
      <c r="CI2046" s="3">
        <v>2</v>
      </c>
      <c r="CJ2046" s="3">
        <v>2</v>
      </c>
      <c r="CK2046" s="3">
        <v>23</v>
      </c>
      <c r="CL2046" s="3" t="s">
        <v>87</v>
      </c>
    </row>
    <row r="2047" spans="1:90" x14ac:dyDescent="0.2">
      <c r="A2047" s="3" t="s">
        <v>72</v>
      </c>
      <c r="B2047" s="3" t="s">
        <v>73</v>
      </c>
      <c r="C2047" s="3" t="s">
        <v>74</v>
      </c>
      <c r="E2047" s="3" t="str">
        <f>"FES1162846958"</f>
        <v>FES1162846958</v>
      </c>
      <c r="F2047" s="4">
        <v>44587</v>
      </c>
      <c r="G2047" s="3">
        <v>202207</v>
      </c>
      <c r="H2047" s="3" t="s">
        <v>75</v>
      </c>
      <c r="I2047" s="3" t="s">
        <v>76</v>
      </c>
      <c r="J2047" s="3" t="s">
        <v>77</v>
      </c>
      <c r="K2047" s="3" t="s">
        <v>78</v>
      </c>
      <c r="L2047" s="3" t="s">
        <v>171</v>
      </c>
      <c r="M2047" s="3" t="s">
        <v>172</v>
      </c>
      <c r="N2047" s="3" t="s">
        <v>200</v>
      </c>
      <c r="O2047" s="3" t="s">
        <v>82</v>
      </c>
      <c r="P2047" s="3" t="str">
        <f>"2170818250                    "</f>
        <v xml:space="preserve">2170818250                    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15.46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0</v>
      </c>
      <c r="AZ2047" s="3">
        <v>0</v>
      </c>
      <c r="BA2047" s="3">
        <v>0</v>
      </c>
      <c r="BB2047" s="3">
        <v>0</v>
      </c>
      <c r="BC2047" s="3">
        <v>0</v>
      </c>
      <c r="BD2047" s="3">
        <v>0</v>
      </c>
      <c r="BE2047" s="3">
        <v>0</v>
      </c>
      <c r="BF2047" s="3">
        <v>0</v>
      </c>
      <c r="BG2047" s="3">
        <v>0</v>
      </c>
      <c r="BH2047" s="3">
        <v>1</v>
      </c>
      <c r="BI2047" s="3">
        <v>1</v>
      </c>
      <c r="BJ2047" s="3">
        <v>0.2</v>
      </c>
      <c r="BK2047" s="3">
        <v>1</v>
      </c>
      <c r="BL2047" s="3">
        <v>59</v>
      </c>
      <c r="BM2047" s="3">
        <v>8.85</v>
      </c>
      <c r="BN2047" s="3">
        <v>67.849999999999994</v>
      </c>
      <c r="BO2047" s="3">
        <v>67.849999999999994</v>
      </c>
      <c r="BQ2047" s="3" t="s">
        <v>89</v>
      </c>
      <c r="BR2047" s="3" t="s">
        <v>84</v>
      </c>
      <c r="BS2047" s="4">
        <v>44588</v>
      </c>
      <c r="BT2047" s="5">
        <v>0.3666666666666667</v>
      </c>
      <c r="BU2047" s="3" t="s">
        <v>908</v>
      </c>
      <c r="BV2047" s="3" t="s">
        <v>105</v>
      </c>
      <c r="BY2047" s="3">
        <v>1200</v>
      </c>
      <c r="BZ2047" s="3" t="s">
        <v>165</v>
      </c>
      <c r="CA2047" s="3" t="s">
        <v>814</v>
      </c>
      <c r="CC2047" s="3" t="s">
        <v>172</v>
      </c>
      <c r="CD2047" s="3">
        <v>6001</v>
      </c>
      <c r="CE2047" s="3" t="s">
        <v>1513</v>
      </c>
      <c r="CF2047" s="4">
        <v>44588</v>
      </c>
      <c r="CI2047" s="3">
        <v>1</v>
      </c>
      <c r="CJ2047" s="3">
        <v>1</v>
      </c>
      <c r="CK2047" s="3">
        <v>21</v>
      </c>
      <c r="CL2047" s="3" t="s">
        <v>87</v>
      </c>
    </row>
    <row r="2048" spans="1:90" x14ac:dyDescent="0.2">
      <c r="A2048" s="3" t="s">
        <v>72</v>
      </c>
      <c r="B2048" s="3" t="s">
        <v>73</v>
      </c>
      <c r="C2048" s="3" t="s">
        <v>74</v>
      </c>
      <c r="E2048" s="3" t="str">
        <f>"FES1162846993"</f>
        <v>FES1162846993</v>
      </c>
      <c r="F2048" s="4">
        <v>44587</v>
      </c>
      <c r="G2048" s="3">
        <v>202207</v>
      </c>
      <c r="H2048" s="3" t="s">
        <v>75</v>
      </c>
      <c r="I2048" s="3" t="s">
        <v>76</v>
      </c>
      <c r="J2048" s="3" t="s">
        <v>77</v>
      </c>
      <c r="K2048" s="3" t="s">
        <v>78</v>
      </c>
      <c r="L2048" s="3" t="s">
        <v>90</v>
      </c>
      <c r="M2048" s="3" t="s">
        <v>91</v>
      </c>
      <c r="N2048" s="3" t="s">
        <v>735</v>
      </c>
      <c r="O2048" s="3" t="s">
        <v>82</v>
      </c>
      <c r="P2048" s="3" t="str">
        <f>"2170818106                    "</f>
        <v xml:space="preserve">2170818106                    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15.46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0</v>
      </c>
      <c r="AZ2048" s="3">
        <v>0</v>
      </c>
      <c r="BA2048" s="3">
        <v>0</v>
      </c>
      <c r="BB2048" s="3">
        <v>0</v>
      </c>
      <c r="BC2048" s="3">
        <v>0</v>
      </c>
      <c r="BD2048" s="3">
        <v>0</v>
      </c>
      <c r="BE2048" s="3">
        <v>0</v>
      </c>
      <c r="BF2048" s="3">
        <v>0</v>
      </c>
      <c r="BG2048" s="3">
        <v>0</v>
      </c>
      <c r="BH2048" s="3">
        <v>1</v>
      </c>
      <c r="BI2048" s="3">
        <v>1</v>
      </c>
      <c r="BJ2048" s="3">
        <v>0.2</v>
      </c>
      <c r="BK2048" s="3">
        <v>1</v>
      </c>
      <c r="BL2048" s="3">
        <v>59</v>
      </c>
      <c r="BM2048" s="3">
        <v>8.85</v>
      </c>
      <c r="BN2048" s="3">
        <v>67.849999999999994</v>
      </c>
      <c r="BO2048" s="3">
        <v>67.849999999999994</v>
      </c>
      <c r="BQ2048" s="3" t="s">
        <v>273</v>
      </c>
      <c r="BR2048" s="3" t="s">
        <v>84</v>
      </c>
      <c r="BS2048" s="4">
        <v>44588</v>
      </c>
      <c r="BT2048" s="5">
        <v>0.3347222222222222</v>
      </c>
      <c r="BU2048" s="3" t="s">
        <v>2166</v>
      </c>
      <c r="BV2048" s="3" t="s">
        <v>105</v>
      </c>
      <c r="BY2048" s="3">
        <v>1200</v>
      </c>
      <c r="BZ2048" s="3" t="s">
        <v>165</v>
      </c>
      <c r="CA2048" s="3" t="s">
        <v>566</v>
      </c>
      <c r="CC2048" s="3" t="s">
        <v>91</v>
      </c>
      <c r="CD2048" s="3">
        <v>7460</v>
      </c>
      <c r="CE2048" s="3" t="s">
        <v>1513</v>
      </c>
      <c r="CF2048" s="4">
        <v>44589</v>
      </c>
      <c r="CI2048" s="3">
        <v>1</v>
      </c>
      <c r="CJ2048" s="3">
        <v>1</v>
      </c>
      <c r="CK2048" s="3">
        <v>21</v>
      </c>
      <c r="CL2048" s="3" t="s">
        <v>87</v>
      </c>
    </row>
    <row r="2049" spans="1:90" x14ac:dyDescent="0.2">
      <c r="A2049" s="3" t="s">
        <v>72</v>
      </c>
      <c r="B2049" s="3" t="s">
        <v>73</v>
      </c>
      <c r="C2049" s="3" t="s">
        <v>74</v>
      </c>
      <c r="E2049" s="3" t="str">
        <f>"FES1162847126"</f>
        <v>FES1162847126</v>
      </c>
      <c r="F2049" s="4">
        <v>44587</v>
      </c>
      <c r="G2049" s="3">
        <v>202207</v>
      </c>
      <c r="H2049" s="3" t="s">
        <v>75</v>
      </c>
      <c r="I2049" s="3" t="s">
        <v>76</v>
      </c>
      <c r="J2049" s="3" t="s">
        <v>77</v>
      </c>
      <c r="K2049" s="3" t="s">
        <v>78</v>
      </c>
      <c r="L2049" s="3" t="s">
        <v>142</v>
      </c>
      <c r="M2049" s="3" t="s">
        <v>143</v>
      </c>
      <c r="N2049" s="3" t="s">
        <v>1368</v>
      </c>
      <c r="O2049" s="3" t="s">
        <v>82</v>
      </c>
      <c r="P2049" s="3" t="str">
        <f>"2170818440                    "</f>
        <v xml:space="preserve">2170818440                    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12.07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v>0</v>
      </c>
      <c r="BA2049" s="3">
        <v>0</v>
      </c>
      <c r="BB2049" s="3">
        <v>0</v>
      </c>
      <c r="BC2049" s="3">
        <v>0</v>
      </c>
      <c r="BD2049" s="3">
        <v>0</v>
      </c>
      <c r="BE2049" s="3">
        <v>0</v>
      </c>
      <c r="BF2049" s="3">
        <v>0</v>
      </c>
      <c r="BG2049" s="3">
        <v>0</v>
      </c>
      <c r="BH2049" s="3">
        <v>1</v>
      </c>
      <c r="BI2049" s="3">
        <v>1</v>
      </c>
      <c r="BJ2049" s="3">
        <v>0.2</v>
      </c>
      <c r="BK2049" s="3">
        <v>1</v>
      </c>
      <c r="BL2049" s="3">
        <v>46.08</v>
      </c>
      <c r="BM2049" s="3">
        <v>6.91</v>
      </c>
      <c r="BN2049" s="3">
        <v>52.99</v>
      </c>
      <c r="BO2049" s="3">
        <v>52.99</v>
      </c>
      <c r="BQ2049" s="3" t="s">
        <v>83</v>
      </c>
      <c r="BR2049" s="3" t="s">
        <v>84</v>
      </c>
      <c r="BS2049" s="4">
        <v>44588</v>
      </c>
      <c r="BT2049" s="5">
        <v>0.30763888888888891</v>
      </c>
      <c r="BU2049" s="3" t="s">
        <v>2174</v>
      </c>
      <c r="BV2049" s="3" t="s">
        <v>105</v>
      </c>
      <c r="BY2049" s="3">
        <v>1200</v>
      </c>
      <c r="BZ2049" s="3" t="s">
        <v>165</v>
      </c>
      <c r="CA2049" s="3" t="s">
        <v>1370</v>
      </c>
      <c r="CC2049" s="3" t="s">
        <v>143</v>
      </c>
      <c r="CD2049" s="3">
        <v>1449</v>
      </c>
      <c r="CE2049" s="3" t="s">
        <v>93</v>
      </c>
      <c r="CF2049" s="4">
        <v>44588</v>
      </c>
      <c r="CI2049" s="3">
        <v>1</v>
      </c>
      <c r="CJ2049" s="3">
        <v>1</v>
      </c>
      <c r="CK2049" s="3">
        <v>22</v>
      </c>
      <c r="CL2049" s="3" t="s">
        <v>87</v>
      </c>
    </row>
    <row r="2050" spans="1:90" x14ac:dyDescent="0.2">
      <c r="A2050" s="3" t="s">
        <v>72</v>
      </c>
      <c r="B2050" s="3" t="s">
        <v>73</v>
      </c>
      <c r="C2050" s="3" t="s">
        <v>74</v>
      </c>
      <c r="E2050" s="3" t="str">
        <f>"FES1162846835"</f>
        <v>FES1162846835</v>
      </c>
      <c r="F2050" s="4">
        <v>44587</v>
      </c>
      <c r="G2050" s="3">
        <v>202207</v>
      </c>
      <c r="H2050" s="3" t="s">
        <v>75</v>
      </c>
      <c r="I2050" s="3" t="s">
        <v>76</v>
      </c>
      <c r="J2050" s="3" t="s">
        <v>77</v>
      </c>
      <c r="K2050" s="3" t="s">
        <v>78</v>
      </c>
      <c r="L2050" s="3" t="s">
        <v>129</v>
      </c>
      <c r="M2050" s="3" t="s">
        <v>130</v>
      </c>
      <c r="N2050" s="3" t="s">
        <v>404</v>
      </c>
      <c r="O2050" s="3" t="s">
        <v>82</v>
      </c>
      <c r="P2050" s="3" t="str">
        <f>"2170818122                    "</f>
        <v xml:space="preserve">2170818122                    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29.95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1</v>
      </c>
      <c r="BI2050" s="3">
        <v>1</v>
      </c>
      <c r="BJ2050" s="3">
        <v>0.2</v>
      </c>
      <c r="BK2050" s="3">
        <v>1</v>
      </c>
      <c r="BL2050" s="3">
        <v>114.31</v>
      </c>
      <c r="BM2050" s="3">
        <v>17.149999999999999</v>
      </c>
      <c r="BN2050" s="3">
        <v>131.46</v>
      </c>
      <c r="BO2050" s="3">
        <v>131.46</v>
      </c>
      <c r="BQ2050" s="3" t="s">
        <v>83</v>
      </c>
      <c r="BR2050" s="3" t="s">
        <v>84</v>
      </c>
      <c r="BS2050" s="4">
        <v>44588</v>
      </c>
      <c r="BT2050" s="5">
        <v>0.46249999999999997</v>
      </c>
      <c r="BU2050" s="3" t="s">
        <v>2175</v>
      </c>
      <c r="BV2050" s="3" t="s">
        <v>105</v>
      </c>
      <c r="BY2050" s="3">
        <v>1200</v>
      </c>
      <c r="BZ2050" s="3" t="s">
        <v>165</v>
      </c>
      <c r="CA2050" s="3" t="s">
        <v>1210</v>
      </c>
      <c r="CC2050" s="3" t="s">
        <v>130</v>
      </c>
      <c r="CD2050" s="3">
        <v>3370</v>
      </c>
      <c r="CE2050" s="3" t="s">
        <v>1513</v>
      </c>
      <c r="CF2050" s="4">
        <v>44589</v>
      </c>
      <c r="CI2050" s="3">
        <v>2</v>
      </c>
      <c r="CJ2050" s="3">
        <v>1</v>
      </c>
      <c r="CK2050" s="3">
        <v>23</v>
      </c>
      <c r="CL2050" s="3" t="s">
        <v>87</v>
      </c>
    </row>
    <row r="2051" spans="1:90" x14ac:dyDescent="0.2">
      <c r="A2051" s="3" t="s">
        <v>72</v>
      </c>
      <c r="B2051" s="3" t="s">
        <v>73</v>
      </c>
      <c r="C2051" s="3" t="s">
        <v>74</v>
      </c>
      <c r="E2051" s="3" t="str">
        <f>"FES1162846920"</f>
        <v>FES1162846920</v>
      </c>
      <c r="F2051" s="4">
        <v>44587</v>
      </c>
      <c r="G2051" s="3">
        <v>202207</v>
      </c>
      <c r="H2051" s="3" t="s">
        <v>75</v>
      </c>
      <c r="I2051" s="3" t="s">
        <v>76</v>
      </c>
      <c r="J2051" s="3" t="s">
        <v>77</v>
      </c>
      <c r="K2051" s="3" t="s">
        <v>78</v>
      </c>
      <c r="L2051" s="3" t="s">
        <v>107</v>
      </c>
      <c r="M2051" s="3" t="s">
        <v>108</v>
      </c>
      <c r="N2051" s="3" t="s">
        <v>582</v>
      </c>
      <c r="O2051" s="3" t="s">
        <v>82</v>
      </c>
      <c r="P2051" s="3" t="str">
        <f>"2170818152                    "</f>
        <v xml:space="preserve">2170818152                    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29.95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0</v>
      </c>
      <c r="AZ2051" s="3">
        <v>0</v>
      </c>
      <c r="BA2051" s="3">
        <v>0</v>
      </c>
      <c r="BB2051" s="3">
        <v>0</v>
      </c>
      <c r="BC2051" s="3">
        <v>0</v>
      </c>
      <c r="BD2051" s="3">
        <v>0</v>
      </c>
      <c r="BE2051" s="3">
        <v>0</v>
      </c>
      <c r="BF2051" s="3">
        <v>0</v>
      </c>
      <c r="BG2051" s="3">
        <v>0</v>
      </c>
      <c r="BH2051" s="3">
        <v>1</v>
      </c>
      <c r="BI2051" s="3">
        <v>1</v>
      </c>
      <c r="BJ2051" s="3">
        <v>0.2</v>
      </c>
      <c r="BK2051" s="3">
        <v>1</v>
      </c>
      <c r="BL2051" s="3">
        <v>114.31</v>
      </c>
      <c r="BM2051" s="3">
        <v>17.149999999999999</v>
      </c>
      <c r="BN2051" s="3">
        <v>131.46</v>
      </c>
      <c r="BO2051" s="3">
        <v>131.46</v>
      </c>
      <c r="BQ2051" s="3" t="s">
        <v>126</v>
      </c>
      <c r="BR2051" s="3" t="s">
        <v>84</v>
      </c>
      <c r="BS2051" s="4">
        <v>44588</v>
      </c>
      <c r="BT2051" s="5">
        <v>0.50972222222222219</v>
      </c>
      <c r="BU2051" s="3" t="s">
        <v>2176</v>
      </c>
      <c r="BV2051" s="3" t="s">
        <v>105</v>
      </c>
      <c r="BY2051" s="3">
        <v>1200</v>
      </c>
      <c r="BZ2051" s="3" t="s">
        <v>165</v>
      </c>
      <c r="CA2051" s="3" t="s">
        <v>394</v>
      </c>
      <c r="CC2051" s="3" t="s">
        <v>108</v>
      </c>
      <c r="CD2051" s="3">
        <v>6850</v>
      </c>
      <c r="CE2051" s="3" t="s">
        <v>1513</v>
      </c>
      <c r="CF2051" s="4">
        <v>44589</v>
      </c>
      <c r="CI2051" s="3">
        <v>2</v>
      </c>
      <c r="CJ2051" s="3">
        <v>1</v>
      </c>
      <c r="CK2051" s="3">
        <v>23</v>
      </c>
      <c r="CL2051" s="3" t="s">
        <v>87</v>
      </c>
    </row>
    <row r="2052" spans="1:90" x14ac:dyDescent="0.2">
      <c r="A2052" s="3" t="s">
        <v>72</v>
      </c>
      <c r="B2052" s="3" t="s">
        <v>73</v>
      </c>
      <c r="C2052" s="3" t="s">
        <v>74</v>
      </c>
      <c r="E2052" s="3" t="str">
        <f>"FES1162846863"</f>
        <v>FES1162846863</v>
      </c>
      <c r="F2052" s="4">
        <v>44587</v>
      </c>
      <c r="G2052" s="3">
        <v>202207</v>
      </c>
      <c r="H2052" s="3" t="s">
        <v>75</v>
      </c>
      <c r="I2052" s="3" t="s">
        <v>76</v>
      </c>
      <c r="J2052" s="3" t="s">
        <v>77</v>
      </c>
      <c r="K2052" s="3" t="s">
        <v>78</v>
      </c>
      <c r="L2052" s="3" t="s">
        <v>115</v>
      </c>
      <c r="M2052" s="3" t="s">
        <v>116</v>
      </c>
      <c r="N2052" s="3" t="s">
        <v>902</v>
      </c>
      <c r="O2052" s="3" t="s">
        <v>82</v>
      </c>
      <c r="P2052" s="3" t="str">
        <f>"2170818141                    "</f>
        <v xml:space="preserve">2170818141                    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12.07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v>0</v>
      </c>
      <c r="BA2052" s="3">
        <v>0</v>
      </c>
      <c r="BB2052" s="3">
        <v>0</v>
      </c>
      <c r="BC2052" s="3">
        <v>0</v>
      </c>
      <c r="BD2052" s="3">
        <v>0</v>
      </c>
      <c r="BE2052" s="3">
        <v>0</v>
      </c>
      <c r="BF2052" s="3">
        <v>0</v>
      </c>
      <c r="BG2052" s="3">
        <v>0</v>
      </c>
      <c r="BH2052" s="3">
        <v>1</v>
      </c>
      <c r="BI2052" s="3">
        <v>3</v>
      </c>
      <c r="BJ2052" s="3">
        <v>0.9</v>
      </c>
      <c r="BK2052" s="3">
        <v>3</v>
      </c>
      <c r="BL2052" s="3">
        <v>46.08</v>
      </c>
      <c r="BM2052" s="3">
        <v>6.91</v>
      </c>
      <c r="BN2052" s="3">
        <v>52.99</v>
      </c>
      <c r="BO2052" s="3">
        <v>52.99</v>
      </c>
      <c r="BQ2052" s="3" t="s">
        <v>83</v>
      </c>
      <c r="BR2052" s="3" t="s">
        <v>84</v>
      </c>
      <c r="BS2052" s="4">
        <v>44588</v>
      </c>
      <c r="BT2052" s="5">
        <v>0.32847222222222222</v>
      </c>
      <c r="BU2052" s="3" t="s">
        <v>2177</v>
      </c>
      <c r="BV2052" s="3" t="s">
        <v>105</v>
      </c>
      <c r="BY2052" s="3">
        <v>4275</v>
      </c>
      <c r="BZ2052" s="3" t="s">
        <v>165</v>
      </c>
      <c r="CA2052" s="3" t="s">
        <v>119</v>
      </c>
      <c r="CC2052" s="3" t="s">
        <v>116</v>
      </c>
      <c r="CD2052" s="3">
        <v>1559</v>
      </c>
      <c r="CE2052" s="3" t="s">
        <v>86</v>
      </c>
      <c r="CF2052" s="4">
        <v>44588</v>
      </c>
      <c r="CI2052" s="3">
        <v>1</v>
      </c>
      <c r="CJ2052" s="3">
        <v>1</v>
      </c>
      <c r="CK2052" s="3">
        <v>22</v>
      </c>
      <c r="CL2052" s="3" t="s">
        <v>87</v>
      </c>
    </row>
    <row r="2053" spans="1:90" x14ac:dyDescent="0.2">
      <c r="A2053" s="3" t="s">
        <v>72</v>
      </c>
      <c r="B2053" s="3" t="s">
        <v>73</v>
      </c>
      <c r="C2053" s="3" t="s">
        <v>74</v>
      </c>
      <c r="E2053" s="3" t="str">
        <f>"FES1162847162"</f>
        <v>FES1162847162</v>
      </c>
      <c r="F2053" s="4">
        <v>44587</v>
      </c>
      <c r="G2053" s="3">
        <v>202207</v>
      </c>
      <c r="H2053" s="3" t="s">
        <v>75</v>
      </c>
      <c r="I2053" s="3" t="s">
        <v>76</v>
      </c>
      <c r="J2053" s="3" t="s">
        <v>77</v>
      </c>
      <c r="K2053" s="3" t="s">
        <v>78</v>
      </c>
      <c r="L2053" s="3" t="s">
        <v>244</v>
      </c>
      <c r="M2053" s="3" t="s">
        <v>245</v>
      </c>
      <c r="N2053" s="3" t="s">
        <v>400</v>
      </c>
      <c r="O2053" s="3" t="s">
        <v>82</v>
      </c>
      <c r="P2053" s="3" t="str">
        <f>"2170818480                    "</f>
        <v xml:space="preserve">2170818480                    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43.47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v>0</v>
      </c>
      <c r="BA2053" s="3">
        <v>0</v>
      </c>
      <c r="BB2053" s="3">
        <v>0</v>
      </c>
      <c r="BC2053" s="3">
        <v>0</v>
      </c>
      <c r="BD2053" s="3">
        <v>0</v>
      </c>
      <c r="BE2053" s="3">
        <v>0</v>
      </c>
      <c r="BF2053" s="3">
        <v>0</v>
      </c>
      <c r="BG2053" s="3">
        <v>0</v>
      </c>
      <c r="BH2053" s="3">
        <v>1</v>
      </c>
      <c r="BI2053" s="3">
        <v>3</v>
      </c>
      <c r="BJ2053" s="3">
        <v>1</v>
      </c>
      <c r="BK2053" s="3">
        <v>3</v>
      </c>
      <c r="BL2053" s="3">
        <v>165.93</v>
      </c>
      <c r="BM2053" s="3">
        <v>24.89</v>
      </c>
      <c r="BN2053" s="3">
        <v>190.82</v>
      </c>
      <c r="BO2053" s="3">
        <v>190.82</v>
      </c>
      <c r="BQ2053" s="3" t="s">
        <v>83</v>
      </c>
      <c r="BR2053" s="3" t="s">
        <v>84</v>
      </c>
      <c r="BS2053" s="4">
        <v>44588</v>
      </c>
      <c r="BT2053" s="5">
        <v>0.53472222222222221</v>
      </c>
      <c r="BU2053" s="3" t="s">
        <v>401</v>
      </c>
      <c r="BV2053" s="3" t="s">
        <v>87</v>
      </c>
      <c r="BW2053" s="3" t="s">
        <v>353</v>
      </c>
      <c r="BX2053" s="3" t="s">
        <v>723</v>
      </c>
      <c r="BY2053" s="3">
        <v>5000</v>
      </c>
      <c r="BZ2053" s="3" t="s">
        <v>165</v>
      </c>
      <c r="CA2053" s="3" t="s">
        <v>402</v>
      </c>
      <c r="CC2053" s="3" t="s">
        <v>245</v>
      </c>
      <c r="CD2053" s="3">
        <v>1947</v>
      </c>
      <c r="CE2053" s="3" t="s">
        <v>86</v>
      </c>
      <c r="CF2053" s="4">
        <v>44589</v>
      </c>
      <c r="CI2053" s="3">
        <v>1</v>
      </c>
      <c r="CJ2053" s="3">
        <v>1</v>
      </c>
      <c r="CK2053" s="3">
        <v>23</v>
      </c>
      <c r="CL2053" s="3" t="s">
        <v>87</v>
      </c>
    </row>
    <row r="2054" spans="1:90" x14ac:dyDescent="0.2">
      <c r="A2054" s="3" t="s">
        <v>72</v>
      </c>
      <c r="B2054" s="3" t="s">
        <v>73</v>
      </c>
      <c r="C2054" s="3" t="s">
        <v>74</v>
      </c>
      <c r="E2054" s="3" t="str">
        <f>"FES1162847029"</f>
        <v>FES1162847029</v>
      </c>
      <c r="F2054" s="4">
        <v>44587</v>
      </c>
      <c r="G2054" s="3">
        <v>202207</v>
      </c>
      <c r="H2054" s="3" t="s">
        <v>75</v>
      </c>
      <c r="I2054" s="3" t="s">
        <v>76</v>
      </c>
      <c r="J2054" s="3" t="s">
        <v>77</v>
      </c>
      <c r="K2054" s="3" t="s">
        <v>78</v>
      </c>
      <c r="L2054" s="3" t="s">
        <v>138</v>
      </c>
      <c r="M2054" s="3" t="s">
        <v>139</v>
      </c>
      <c r="N2054" s="3" t="s">
        <v>1602</v>
      </c>
      <c r="O2054" s="3" t="s">
        <v>82</v>
      </c>
      <c r="P2054" s="3" t="str">
        <f>"2170817912                    "</f>
        <v xml:space="preserve">2170817912                    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15.46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v>0</v>
      </c>
      <c r="BA2054" s="3">
        <v>0</v>
      </c>
      <c r="BB2054" s="3">
        <v>0</v>
      </c>
      <c r="BC2054" s="3">
        <v>0</v>
      </c>
      <c r="BD2054" s="3">
        <v>0</v>
      </c>
      <c r="BE2054" s="3">
        <v>0</v>
      </c>
      <c r="BF2054" s="3">
        <v>0</v>
      </c>
      <c r="BG2054" s="3">
        <v>0</v>
      </c>
      <c r="BH2054" s="3">
        <v>1</v>
      </c>
      <c r="BI2054" s="3">
        <v>1</v>
      </c>
      <c r="BJ2054" s="3">
        <v>0.2</v>
      </c>
      <c r="BK2054" s="3">
        <v>1</v>
      </c>
      <c r="BL2054" s="3">
        <v>59</v>
      </c>
      <c r="BM2054" s="3">
        <v>8.85</v>
      </c>
      <c r="BN2054" s="3">
        <v>67.849999999999994</v>
      </c>
      <c r="BO2054" s="3">
        <v>67.849999999999994</v>
      </c>
      <c r="BQ2054" s="3" t="s">
        <v>126</v>
      </c>
      <c r="BR2054" s="3" t="s">
        <v>84</v>
      </c>
      <c r="BS2054" s="4">
        <v>44588</v>
      </c>
      <c r="BT2054" s="5">
        <v>0.31805555555555554</v>
      </c>
      <c r="BU2054" s="3" t="s">
        <v>2178</v>
      </c>
      <c r="BV2054" s="3" t="s">
        <v>105</v>
      </c>
      <c r="BY2054" s="3">
        <v>1200</v>
      </c>
      <c r="BZ2054" s="3" t="s">
        <v>165</v>
      </c>
      <c r="CA2054" s="3" t="s">
        <v>240</v>
      </c>
      <c r="CC2054" s="3" t="s">
        <v>139</v>
      </c>
      <c r="CD2054" s="3">
        <v>3610</v>
      </c>
      <c r="CE2054" s="3" t="s">
        <v>1513</v>
      </c>
      <c r="CF2054" s="4">
        <v>44589</v>
      </c>
      <c r="CI2054" s="3">
        <v>1</v>
      </c>
      <c r="CJ2054" s="3">
        <v>1</v>
      </c>
      <c r="CK2054" s="3">
        <v>21</v>
      </c>
      <c r="CL2054" s="3" t="s">
        <v>87</v>
      </c>
    </row>
    <row r="2055" spans="1:90" x14ac:dyDescent="0.2">
      <c r="A2055" s="3" t="s">
        <v>72</v>
      </c>
      <c r="B2055" s="3" t="s">
        <v>73</v>
      </c>
      <c r="C2055" s="3" t="s">
        <v>74</v>
      </c>
      <c r="E2055" s="3" t="str">
        <f>"FES1162846944"</f>
        <v>FES1162846944</v>
      </c>
      <c r="F2055" s="4">
        <v>44587</v>
      </c>
      <c r="G2055" s="3">
        <v>202207</v>
      </c>
      <c r="H2055" s="3" t="s">
        <v>75</v>
      </c>
      <c r="I2055" s="3" t="s">
        <v>76</v>
      </c>
      <c r="J2055" s="3" t="s">
        <v>77</v>
      </c>
      <c r="K2055" s="3" t="s">
        <v>78</v>
      </c>
      <c r="L2055" s="3" t="s">
        <v>79</v>
      </c>
      <c r="M2055" s="3" t="s">
        <v>80</v>
      </c>
      <c r="N2055" s="3" t="s">
        <v>740</v>
      </c>
      <c r="O2055" s="3" t="s">
        <v>82</v>
      </c>
      <c r="P2055" s="3" t="str">
        <f>"2170818239                    "</f>
        <v xml:space="preserve">2170818239                    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15.46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v>0</v>
      </c>
      <c r="BA2055" s="3">
        <v>0</v>
      </c>
      <c r="BB2055" s="3">
        <v>0</v>
      </c>
      <c r="BC2055" s="3">
        <v>0</v>
      </c>
      <c r="BD2055" s="3">
        <v>0</v>
      </c>
      <c r="BE2055" s="3">
        <v>0</v>
      </c>
      <c r="BF2055" s="3">
        <v>0</v>
      </c>
      <c r="BG2055" s="3">
        <v>0</v>
      </c>
      <c r="BH2055" s="3">
        <v>1</v>
      </c>
      <c r="BI2055" s="3">
        <v>1</v>
      </c>
      <c r="BJ2055" s="3">
        <v>0.2</v>
      </c>
      <c r="BK2055" s="3">
        <v>1</v>
      </c>
      <c r="BL2055" s="3">
        <v>59</v>
      </c>
      <c r="BM2055" s="3">
        <v>8.85</v>
      </c>
      <c r="BN2055" s="3">
        <v>67.849999999999994</v>
      </c>
      <c r="BO2055" s="3">
        <v>67.849999999999994</v>
      </c>
      <c r="BQ2055" s="3" t="s">
        <v>126</v>
      </c>
      <c r="BR2055" s="3" t="s">
        <v>84</v>
      </c>
      <c r="BS2055" s="4">
        <v>44588</v>
      </c>
      <c r="BT2055" s="5">
        <v>0.375</v>
      </c>
      <c r="BU2055" s="3" t="s">
        <v>2152</v>
      </c>
      <c r="BV2055" s="3" t="s">
        <v>105</v>
      </c>
      <c r="BY2055" s="3">
        <v>1200</v>
      </c>
      <c r="BZ2055" s="3" t="s">
        <v>165</v>
      </c>
      <c r="CA2055" s="3" t="s">
        <v>366</v>
      </c>
      <c r="CC2055" s="3" t="s">
        <v>80</v>
      </c>
      <c r="CD2055" s="3">
        <v>200</v>
      </c>
      <c r="CE2055" s="3" t="s">
        <v>1513</v>
      </c>
      <c r="CF2055" s="4">
        <v>44588</v>
      </c>
      <c r="CI2055" s="3">
        <v>1</v>
      </c>
      <c r="CJ2055" s="3">
        <v>1</v>
      </c>
      <c r="CK2055" s="3">
        <v>21</v>
      </c>
      <c r="CL2055" s="3" t="s">
        <v>87</v>
      </c>
    </row>
    <row r="2056" spans="1:90" x14ac:dyDescent="0.2">
      <c r="A2056" s="3" t="s">
        <v>72</v>
      </c>
      <c r="B2056" s="3" t="s">
        <v>73</v>
      </c>
      <c r="C2056" s="3" t="s">
        <v>74</v>
      </c>
      <c r="E2056" s="3" t="str">
        <f>"FES1162846901"</f>
        <v>FES1162846901</v>
      </c>
      <c r="F2056" s="4">
        <v>44587</v>
      </c>
      <c r="G2056" s="3">
        <v>202207</v>
      </c>
      <c r="H2056" s="3" t="s">
        <v>75</v>
      </c>
      <c r="I2056" s="3" t="s">
        <v>76</v>
      </c>
      <c r="J2056" s="3" t="s">
        <v>77</v>
      </c>
      <c r="K2056" s="3" t="s">
        <v>78</v>
      </c>
      <c r="L2056" s="3" t="s">
        <v>211</v>
      </c>
      <c r="M2056" s="3" t="s">
        <v>212</v>
      </c>
      <c r="N2056" s="3" t="s">
        <v>2179</v>
      </c>
      <c r="O2056" s="3" t="s">
        <v>82</v>
      </c>
      <c r="P2056" s="3" t="str">
        <f>"2170818188                    "</f>
        <v xml:space="preserve">2170818188                    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12.07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0</v>
      </c>
      <c r="AZ2056" s="3">
        <v>0</v>
      </c>
      <c r="BA2056" s="3">
        <v>0</v>
      </c>
      <c r="BB2056" s="3">
        <v>0</v>
      </c>
      <c r="BC2056" s="3">
        <v>0</v>
      </c>
      <c r="BD2056" s="3">
        <v>0</v>
      </c>
      <c r="BE2056" s="3">
        <v>0</v>
      </c>
      <c r="BF2056" s="3">
        <v>0</v>
      </c>
      <c r="BG2056" s="3">
        <v>0</v>
      </c>
      <c r="BH2056" s="3">
        <v>1</v>
      </c>
      <c r="BI2056" s="3">
        <v>1</v>
      </c>
      <c r="BJ2056" s="3">
        <v>0.2</v>
      </c>
      <c r="BK2056" s="3">
        <v>1</v>
      </c>
      <c r="BL2056" s="3">
        <v>46.08</v>
      </c>
      <c r="BM2056" s="3">
        <v>6.91</v>
      </c>
      <c r="BN2056" s="3">
        <v>52.99</v>
      </c>
      <c r="BO2056" s="3">
        <v>52.99</v>
      </c>
      <c r="BR2056" s="3" t="s">
        <v>84</v>
      </c>
      <c r="BS2056" s="4">
        <v>44588</v>
      </c>
      <c r="BT2056" s="5">
        <v>0.38541666666666669</v>
      </c>
      <c r="BU2056" s="3" t="s">
        <v>1484</v>
      </c>
      <c r="BV2056" s="3" t="s">
        <v>105</v>
      </c>
      <c r="BY2056" s="3">
        <v>1200</v>
      </c>
      <c r="BZ2056" s="3" t="s">
        <v>165</v>
      </c>
      <c r="CA2056" s="3" t="s">
        <v>345</v>
      </c>
      <c r="CC2056" s="3" t="s">
        <v>212</v>
      </c>
      <c r="CD2056" s="3">
        <v>2163</v>
      </c>
      <c r="CE2056" s="3" t="s">
        <v>93</v>
      </c>
      <c r="CF2056" s="4">
        <v>44588</v>
      </c>
      <c r="CI2056" s="3">
        <v>1</v>
      </c>
      <c r="CJ2056" s="3">
        <v>1</v>
      </c>
      <c r="CK2056" s="3">
        <v>22</v>
      </c>
      <c r="CL2056" s="3" t="s">
        <v>87</v>
      </c>
    </row>
    <row r="2057" spans="1:90" x14ac:dyDescent="0.2">
      <c r="A2057" s="3" t="s">
        <v>72</v>
      </c>
      <c r="B2057" s="3" t="s">
        <v>73</v>
      </c>
      <c r="C2057" s="3" t="s">
        <v>74</v>
      </c>
      <c r="E2057" s="3" t="str">
        <f>"FES1162846642"</f>
        <v>FES1162846642</v>
      </c>
      <c r="F2057" s="4">
        <v>44587</v>
      </c>
      <c r="G2057" s="3">
        <v>202207</v>
      </c>
      <c r="H2057" s="3" t="s">
        <v>75</v>
      </c>
      <c r="I2057" s="3" t="s">
        <v>76</v>
      </c>
      <c r="J2057" s="3" t="s">
        <v>77</v>
      </c>
      <c r="K2057" s="3" t="s">
        <v>78</v>
      </c>
      <c r="L2057" s="3" t="s">
        <v>171</v>
      </c>
      <c r="M2057" s="3" t="s">
        <v>172</v>
      </c>
      <c r="N2057" s="3" t="s">
        <v>973</v>
      </c>
      <c r="O2057" s="3" t="s">
        <v>148</v>
      </c>
      <c r="P2057" s="3" t="str">
        <f>"2170818023                    "</f>
        <v xml:space="preserve">2170818023                    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34.82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0</v>
      </c>
      <c r="AZ2057" s="3">
        <v>0</v>
      </c>
      <c r="BA2057" s="3">
        <v>0</v>
      </c>
      <c r="BB2057" s="3">
        <v>0</v>
      </c>
      <c r="BC2057" s="3">
        <v>0</v>
      </c>
      <c r="BD2057" s="3">
        <v>0</v>
      </c>
      <c r="BE2057" s="3">
        <v>0</v>
      </c>
      <c r="BF2057" s="3">
        <v>0</v>
      </c>
      <c r="BG2057" s="3">
        <v>0</v>
      </c>
      <c r="BH2057" s="3">
        <v>1</v>
      </c>
      <c r="BI2057" s="3">
        <v>16</v>
      </c>
      <c r="BJ2057" s="3">
        <v>18.3</v>
      </c>
      <c r="BK2057" s="3">
        <v>19</v>
      </c>
      <c r="BL2057" s="3">
        <v>138.15</v>
      </c>
      <c r="BM2057" s="3">
        <v>20.72</v>
      </c>
      <c r="BN2057" s="3">
        <v>158.87</v>
      </c>
      <c r="BO2057" s="3">
        <v>158.87</v>
      </c>
      <c r="BQ2057" s="3" t="s">
        <v>974</v>
      </c>
      <c r="BR2057" s="3" t="s">
        <v>84</v>
      </c>
      <c r="BS2057" s="4">
        <v>44589</v>
      </c>
      <c r="BT2057" s="5">
        <v>0.41180555555555554</v>
      </c>
      <c r="BU2057" s="3" t="s">
        <v>2180</v>
      </c>
      <c r="BV2057" s="3" t="s">
        <v>105</v>
      </c>
      <c r="BY2057" s="3">
        <v>91264</v>
      </c>
      <c r="BZ2057" s="3" t="s">
        <v>327</v>
      </c>
      <c r="CA2057" s="3" t="s">
        <v>408</v>
      </c>
      <c r="CC2057" s="3" t="s">
        <v>172</v>
      </c>
      <c r="CD2057" s="3">
        <v>6045</v>
      </c>
      <c r="CE2057" s="3" t="s">
        <v>86</v>
      </c>
      <c r="CF2057" s="4">
        <v>44589</v>
      </c>
      <c r="CI2057" s="3">
        <v>2</v>
      </c>
      <c r="CJ2057" s="3">
        <v>2</v>
      </c>
      <c r="CK2057" s="3">
        <v>41</v>
      </c>
      <c r="CL2057" s="3" t="s">
        <v>87</v>
      </c>
    </row>
    <row r="2058" spans="1:90" x14ac:dyDescent="0.2">
      <c r="A2058" s="3" t="s">
        <v>72</v>
      </c>
      <c r="B2058" s="3" t="s">
        <v>73</v>
      </c>
      <c r="C2058" s="3" t="s">
        <v>74</v>
      </c>
      <c r="E2058" s="3" t="str">
        <f>"FES1162846999"</f>
        <v>FES1162846999</v>
      </c>
      <c r="F2058" s="4">
        <v>44587</v>
      </c>
      <c r="G2058" s="3">
        <v>202207</v>
      </c>
      <c r="H2058" s="3" t="s">
        <v>75</v>
      </c>
      <c r="I2058" s="3" t="s">
        <v>76</v>
      </c>
      <c r="J2058" s="3" t="s">
        <v>77</v>
      </c>
      <c r="K2058" s="3" t="s">
        <v>78</v>
      </c>
      <c r="L2058" s="3" t="s">
        <v>162</v>
      </c>
      <c r="M2058" s="3" t="s">
        <v>163</v>
      </c>
      <c r="N2058" s="3" t="s">
        <v>1048</v>
      </c>
      <c r="O2058" s="3" t="s">
        <v>82</v>
      </c>
      <c r="P2058" s="3" t="str">
        <f>"2170818273                    "</f>
        <v xml:space="preserve">2170818273                    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12.07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0</v>
      </c>
      <c r="AZ2058" s="3">
        <v>0</v>
      </c>
      <c r="BA2058" s="3">
        <v>0</v>
      </c>
      <c r="BB2058" s="3">
        <v>0</v>
      </c>
      <c r="BC2058" s="3">
        <v>0</v>
      </c>
      <c r="BD2058" s="3">
        <v>0</v>
      </c>
      <c r="BE2058" s="3">
        <v>0</v>
      </c>
      <c r="BF2058" s="3">
        <v>0</v>
      </c>
      <c r="BG2058" s="3">
        <v>0</v>
      </c>
      <c r="BH2058" s="3">
        <v>1</v>
      </c>
      <c r="BI2058" s="3">
        <v>1</v>
      </c>
      <c r="BJ2058" s="3">
        <v>0.2</v>
      </c>
      <c r="BK2058" s="3">
        <v>1</v>
      </c>
      <c r="BL2058" s="3">
        <v>46.08</v>
      </c>
      <c r="BM2058" s="3">
        <v>6.91</v>
      </c>
      <c r="BN2058" s="3">
        <v>52.99</v>
      </c>
      <c r="BO2058" s="3">
        <v>52.99</v>
      </c>
      <c r="BQ2058" s="3" t="s">
        <v>1049</v>
      </c>
      <c r="BR2058" s="3" t="s">
        <v>84</v>
      </c>
      <c r="BS2058" s="4">
        <v>44588</v>
      </c>
      <c r="BT2058" s="5">
        <v>0.37152777777777773</v>
      </c>
      <c r="BU2058" s="3" t="s">
        <v>1050</v>
      </c>
      <c r="BV2058" s="3" t="s">
        <v>105</v>
      </c>
      <c r="BY2058" s="3">
        <v>1200</v>
      </c>
      <c r="BZ2058" s="3" t="s">
        <v>165</v>
      </c>
      <c r="CA2058" s="3" t="s">
        <v>1051</v>
      </c>
      <c r="CC2058" s="3" t="s">
        <v>163</v>
      </c>
      <c r="CD2058" s="3">
        <v>1406</v>
      </c>
      <c r="CE2058" s="3" t="s">
        <v>93</v>
      </c>
      <c r="CF2058" s="4">
        <v>44589</v>
      </c>
      <c r="CI2058" s="3">
        <v>1</v>
      </c>
      <c r="CJ2058" s="3">
        <v>1</v>
      </c>
      <c r="CK2058" s="3">
        <v>22</v>
      </c>
      <c r="CL2058" s="3" t="s">
        <v>87</v>
      </c>
    </row>
    <row r="2059" spans="1:90" x14ac:dyDescent="0.2">
      <c r="A2059" s="3" t="s">
        <v>72</v>
      </c>
      <c r="B2059" s="3" t="s">
        <v>73</v>
      </c>
      <c r="C2059" s="3" t="s">
        <v>74</v>
      </c>
      <c r="E2059" s="3" t="str">
        <f>"FES1162847008"</f>
        <v>FES1162847008</v>
      </c>
      <c r="F2059" s="4">
        <v>44587</v>
      </c>
      <c r="G2059" s="3">
        <v>202207</v>
      </c>
      <c r="H2059" s="3" t="s">
        <v>75</v>
      </c>
      <c r="I2059" s="3" t="s">
        <v>76</v>
      </c>
      <c r="J2059" s="3" t="s">
        <v>77</v>
      </c>
      <c r="K2059" s="3" t="s">
        <v>78</v>
      </c>
      <c r="L2059" s="3" t="s">
        <v>90</v>
      </c>
      <c r="M2059" s="3" t="s">
        <v>91</v>
      </c>
      <c r="N2059" s="3" t="s">
        <v>2181</v>
      </c>
      <c r="O2059" s="3" t="s">
        <v>82</v>
      </c>
      <c r="P2059" s="3" t="str">
        <f>"2170818289                    "</f>
        <v xml:space="preserve">2170818289                    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15.46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0</v>
      </c>
      <c r="AZ2059" s="3">
        <v>0</v>
      </c>
      <c r="BA2059" s="3">
        <v>0</v>
      </c>
      <c r="BB2059" s="3">
        <v>0</v>
      </c>
      <c r="BC2059" s="3">
        <v>0</v>
      </c>
      <c r="BD2059" s="3">
        <v>0</v>
      </c>
      <c r="BE2059" s="3">
        <v>0</v>
      </c>
      <c r="BF2059" s="3">
        <v>0</v>
      </c>
      <c r="BG2059" s="3">
        <v>0</v>
      </c>
      <c r="BH2059" s="3">
        <v>1</v>
      </c>
      <c r="BI2059" s="3">
        <v>1</v>
      </c>
      <c r="BJ2059" s="3">
        <v>0.2</v>
      </c>
      <c r="BK2059" s="3">
        <v>1</v>
      </c>
      <c r="BL2059" s="3">
        <v>59</v>
      </c>
      <c r="BM2059" s="3">
        <v>8.85</v>
      </c>
      <c r="BN2059" s="3">
        <v>67.849999999999994</v>
      </c>
      <c r="BO2059" s="3">
        <v>67.849999999999994</v>
      </c>
      <c r="BQ2059" s="3" t="s">
        <v>2182</v>
      </c>
      <c r="BR2059" s="3" t="s">
        <v>84</v>
      </c>
      <c r="BS2059" s="4">
        <v>44588</v>
      </c>
      <c r="BT2059" s="5">
        <v>0.36319444444444443</v>
      </c>
      <c r="BU2059" s="3" t="s">
        <v>2183</v>
      </c>
      <c r="BV2059" s="3" t="s">
        <v>105</v>
      </c>
      <c r="BY2059" s="3">
        <v>1200</v>
      </c>
      <c r="BZ2059" s="3" t="s">
        <v>165</v>
      </c>
      <c r="CA2059" s="3" t="s">
        <v>1112</v>
      </c>
      <c r="CC2059" s="3" t="s">
        <v>91</v>
      </c>
      <c r="CD2059" s="3">
        <v>7405</v>
      </c>
      <c r="CE2059" s="3" t="s">
        <v>1513</v>
      </c>
      <c r="CF2059" s="4">
        <v>44589</v>
      </c>
      <c r="CI2059" s="3">
        <v>1</v>
      </c>
      <c r="CJ2059" s="3">
        <v>1</v>
      </c>
      <c r="CK2059" s="3">
        <v>21</v>
      </c>
      <c r="CL2059" s="3" t="s">
        <v>87</v>
      </c>
    </row>
    <row r="2060" spans="1:90" x14ac:dyDescent="0.2">
      <c r="A2060" s="3" t="s">
        <v>72</v>
      </c>
      <c r="B2060" s="3" t="s">
        <v>73</v>
      </c>
      <c r="C2060" s="3" t="s">
        <v>74</v>
      </c>
      <c r="E2060" s="3" t="str">
        <f>"FES1162847011"</f>
        <v>FES1162847011</v>
      </c>
      <c r="F2060" s="4">
        <v>44587</v>
      </c>
      <c r="G2060" s="3">
        <v>202207</v>
      </c>
      <c r="H2060" s="3" t="s">
        <v>75</v>
      </c>
      <c r="I2060" s="3" t="s">
        <v>76</v>
      </c>
      <c r="J2060" s="3" t="s">
        <v>77</v>
      </c>
      <c r="K2060" s="3" t="s">
        <v>78</v>
      </c>
      <c r="L2060" s="3" t="s">
        <v>786</v>
      </c>
      <c r="M2060" s="3" t="s">
        <v>787</v>
      </c>
      <c r="N2060" s="3" t="s">
        <v>788</v>
      </c>
      <c r="O2060" s="3" t="s">
        <v>82</v>
      </c>
      <c r="P2060" s="3" t="str">
        <f>"2170818296                    "</f>
        <v xml:space="preserve">2170818296                    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21.74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v>0</v>
      </c>
      <c r="BA2060" s="3">
        <v>0</v>
      </c>
      <c r="BB2060" s="3">
        <v>0</v>
      </c>
      <c r="BC2060" s="3">
        <v>0</v>
      </c>
      <c r="BD2060" s="3">
        <v>0</v>
      </c>
      <c r="BE2060" s="3">
        <v>0</v>
      </c>
      <c r="BF2060" s="3">
        <v>0</v>
      </c>
      <c r="BG2060" s="3">
        <v>0</v>
      </c>
      <c r="BH2060" s="3">
        <v>1</v>
      </c>
      <c r="BI2060" s="3">
        <v>1</v>
      </c>
      <c r="BJ2060" s="3">
        <v>0.2</v>
      </c>
      <c r="BK2060" s="3">
        <v>1</v>
      </c>
      <c r="BL2060" s="3">
        <v>82.98</v>
      </c>
      <c r="BM2060" s="3">
        <v>12.45</v>
      </c>
      <c r="BN2060" s="3">
        <v>95.43</v>
      </c>
      <c r="BO2060" s="3">
        <v>95.43</v>
      </c>
      <c r="BQ2060" s="3" t="s">
        <v>83</v>
      </c>
      <c r="BR2060" s="3" t="s">
        <v>84</v>
      </c>
      <c r="BS2060" s="4">
        <v>44588</v>
      </c>
      <c r="BT2060" s="5">
        <v>0.4381944444444445</v>
      </c>
      <c r="BU2060" s="3" t="s">
        <v>658</v>
      </c>
      <c r="BV2060" s="3" t="s">
        <v>105</v>
      </c>
      <c r="BY2060" s="3">
        <v>1200</v>
      </c>
      <c r="BZ2060" s="3" t="s">
        <v>165</v>
      </c>
      <c r="CA2060" s="3" t="s">
        <v>790</v>
      </c>
      <c r="CC2060" s="3" t="s">
        <v>787</v>
      </c>
      <c r="CD2060" s="3">
        <v>2410</v>
      </c>
      <c r="CE2060" s="3" t="s">
        <v>93</v>
      </c>
      <c r="CF2060" s="4">
        <v>44589</v>
      </c>
      <c r="CI2060" s="3">
        <v>1</v>
      </c>
      <c r="CJ2060" s="3">
        <v>1</v>
      </c>
      <c r="CK2060" s="3">
        <v>24</v>
      </c>
      <c r="CL2060" s="3" t="s">
        <v>87</v>
      </c>
    </row>
    <row r="2061" spans="1:90" x14ac:dyDescent="0.2">
      <c r="A2061" s="3" t="s">
        <v>72</v>
      </c>
      <c r="B2061" s="3" t="s">
        <v>73</v>
      </c>
      <c r="C2061" s="3" t="s">
        <v>74</v>
      </c>
      <c r="E2061" s="3" t="str">
        <f>"FES1162847163"</f>
        <v>FES1162847163</v>
      </c>
      <c r="F2061" s="4">
        <v>44587</v>
      </c>
      <c r="G2061" s="3">
        <v>202207</v>
      </c>
      <c r="H2061" s="3" t="s">
        <v>75</v>
      </c>
      <c r="I2061" s="3" t="s">
        <v>76</v>
      </c>
      <c r="J2061" s="3" t="s">
        <v>77</v>
      </c>
      <c r="K2061" s="3" t="s">
        <v>78</v>
      </c>
      <c r="L2061" s="3" t="s">
        <v>97</v>
      </c>
      <c r="M2061" s="3" t="s">
        <v>98</v>
      </c>
      <c r="N2061" s="3" t="s">
        <v>1928</v>
      </c>
      <c r="O2061" s="3" t="s">
        <v>82</v>
      </c>
      <c r="P2061" s="3" t="str">
        <f>"2170818481                    "</f>
        <v xml:space="preserve">2170818481                    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12.07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v>0</v>
      </c>
      <c r="BA2061" s="3">
        <v>0</v>
      </c>
      <c r="BB2061" s="3">
        <v>0</v>
      </c>
      <c r="BC2061" s="3">
        <v>0</v>
      </c>
      <c r="BD2061" s="3">
        <v>0</v>
      </c>
      <c r="BE2061" s="3">
        <v>0</v>
      </c>
      <c r="BF2061" s="3">
        <v>0</v>
      </c>
      <c r="BG2061" s="3">
        <v>0</v>
      </c>
      <c r="BH2061" s="3">
        <v>1</v>
      </c>
      <c r="BI2061" s="3">
        <v>1</v>
      </c>
      <c r="BJ2061" s="3">
        <v>0.2</v>
      </c>
      <c r="BK2061" s="3">
        <v>1</v>
      </c>
      <c r="BL2061" s="3">
        <v>46.08</v>
      </c>
      <c r="BM2061" s="3">
        <v>6.91</v>
      </c>
      <c r="BN2061" s="3">
        <v>52.99</v>
      </c>
      <c r="BO2061" s="3">
        <v>52.99</v>
      </c>
      <c r="BQ2061" s="3" t="s">
        <v>145</v>
      </c>
      <c r="BR2061" s="3" t="s">
        <v>84</v>
      </c>
      <c r="BS2061" s="4">
        <v>44588</v>
      </c>
      <c r="BT2061" s="5">
        <v>0.37291666666666662</v>
      </c>
      <c r="BU2061" s="3" t="s">
        <v>2184</v>
      </c>
      <c r="BV2061" s="3" t="s">
        <v>105</v>
      </c>
      <c r="BY2061" s="3">
        <v>1200</v>
      </c>
      <c r="BZ2061" s="3" t="s">
        <v>165</v>
      </c>
      <c r="CA2061" s="3" t="s">
        <v>2185</v>
      </c>
      <c r="CC2061" s="3" t="s">
        <v>98</v>
      </c>
      <c r="CD2061" s="3">
        <v>2094</v>
      </c>
      <c r="CE2061" s="3" t="s">
        <v>93</v>
      </c>
      <c r="CF2061" s="4">
        <v>44588</v>
      </c>
      <c r="CI2061" s="3">
        <v>1</v>
      </c>
      <c r="CJ2061" s="3">
        <v>1</v>
      </c>
      <c r="CK2061" s="3">
        <v>22</v>
      </c>
      <c r="CL2061" s="3" t="s">
        <v>87</v>
      </c>
    </row>
    <row r="2062" spans="1:90" x14ac:dyDescent="0.2">
      <c r="A2062" s="3" t="s">
        <v>72</v>
      </c>
      <c r="B2062" s="3" t="s">
        <v>73</v>
      </c>
      <c r="C2062" s="3" t="s">
        <v>74</v>
      </c>
      <c r="E2062" s="3" t="str">
        <f>"FES1162847045"</f>
        <v>FES1162847045</v>
      </c>
      <c r="F2062" s="4">
        <v>44587</v>
      </c>
      <c r="G2062" s="3">
        <v>202207</v>
      </c>
      <c r="H2062" s="3" t="s">
        <v>75</v>
      </c>
      <c r="I2062" s="3" t="s">
        <v>76</v>
      </c>
      <c r="J2062" s="3" t="s">
        <v>77</v>
      </c>
      <c r="K2062" s="3" t="s">
        <v>78</v>
      </c>
      <c r="L2062" s="3" t="s">
        <v>107</v>
      </c>
      <c r="M2062" s="3" t="s">
        <v>108</v>
      </c>
      <c r="N2062" s="3" t="s">
        <v>109</v>
      </c>
      <c r="O2062" s="3" t="s">
        <v>82</v>
      </c>
      <c r="P2062" s="3" t="str">
        <f>"2170818330                    "</f>
        <v xml:space="preserve">2170818330                    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70.52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v>0</v>
      </c>
      <c r="BA2062" s="3">
        <v>0</v>
      </c>
      <c r="BB2062" s="3">
        <v>0</v>
      </c>
      <c r="BC2062" s="3">
        <v>0</v>
      </c>
      <c r="BD2062" s="3">
        <v>0</v>
      </c>
      <c r="BE2062" s="3">
        <v>0</v>
      </c>
      <c r="BF2062" s="3">
        <v>0</v>
      </c>
      <c r="BG2062" s="3">
        <v>0</v>
      </c>
      <c r="BH2062" s="3">
        <v>1</v>
      </c>
      <c r="BI2062" s="3">
        <v>5</v>
      </c>
      <c r="BJ2062" s="3">
        <v>4.0999999999999996</v>
      </c>
      <c r="BK2062" s="3">
        <v>5</v>
      </c>
      <c r="BL2062" s="3">
        <v>269.18</v>
      </c>
      <c r="BM2062" s="3">
        <v>40.380000000000003</v>
      </c>
      <c r="BN2062" s="3">
        <v>309.56</v>
      </c>
      <c r="BO2062" s="3">
        <v>309.56</v>
      </c>
      <c r="BQ2062" s="3" t="s">
        <v>83</v>
      </c>
      <c r="BR2062" s="3" t="s">
        <v>84</v>
      </c>
      <c r="BS2062" s="4">
        <v>44588</v>
      </c>
      <c r="BT2062" s="5">
        <v>0.48749999999999999</v>
      </c>
      <c r="BU2062" s="3" t="s">
        <v>2186</v>
      </c>
      <c r="BV2062" s="3" t="s">
        <v>105</v>
      </c>
      <c r="BY2062" s="3">
        <v>20358</v>
      </c>
      <c r="BZ2062" s="3" t="s">
        <v>165</v>
      </c>
      <c r="CA2062" s="3" t="s">
        <v>394</v>
      </c>
      <c r="CC2062" s="3" t="s">
        <v>108</v>
      </c>
      <c r="CD2062" s="3">
        <v>6850</v>
      </c>
      <c r="CE2062" s="3" t="s">
        <v>221</v>
      </c>
      <c r="CF2062" s="4">
        <v>44589</v>
      </c>
      <c r="CI2062" s="3">
        <v>2</v>
      </c>
      <c r="CJ2062" s="3">
        <v>1</v>
      </c>
      <c r="CK2062" s="3">
        <v>23</v>
      </c>
      <c r="CL2062" s="3" t="s">
        <v>87</v>
      </c>
    </row>
    <row r="2063" spans="1:90" x14ac:dyDescent="0.2">
      <c r="A2063" s="3" t="s">
        <v>72</v>
      </c>
      <c r="B2063" s="3" t="s">
        <v>73</v>
      </c>
      <c r="C2063" s="3" t="s">
        <v>74</v>
      </c>
      <c r="E2063" s="3" t="str">
        <f>"FES1162847150"</f>
        <v>FES1162847150</v>
      </c>
      <c r="F2063" s="4">
        <v>44587</v>
      </c>
      <c r="G2063" s="3">
        <v>202207</v>
      </c>
      <c r="H2063" s="3" t="s">
        <v>75</v>
      </c>
      <c r="I2063" s="3" t="s">
        <v>76</v>
      </c>
      <c r="J2063" s="3" t="s">
        <v>77</v>
      </c>
      <c r="K2063" s="3" t="s">
        <v>78</v>
      </c>
      <c r="L2063" s="3" t="s">
        <v>123</v>
      </c>
      <c r="M2063" s="3" t="s">
        <v>124</v>
      </c>
      <c r="N2063" s="3" t="s">
        <v>193</v>
      </c>
      <c r="O2063" s="3" t="s">
        <v>82</v>
      </c>
      <c r="P2063" s="3" t="str">
        <f>"2170818466                    "</f>
        <v xml:space="preserve">2170818466                    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12.07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v>0</v>
      </c>
      <c r="BA2063" s="3">
        <v>0</v>
      </c>
      <c r="BB2063" s="3">
        <v>0</v>
      </c>
      <c r="BC2063" s="3">
        <v>0</v>
      </c>
      <c r="BD2063" s="3">
        <v>0</v>
      </c>
      <c r="BE2063" s="3">
        <v>0</v>
      </c>
      <c r="BF2063" s="3">
        <v>0</v>
      </c>
      <c r="BG2063" s="3">
        <v>0</v>
      </c>
      <c r="BH2063" s="3">
        <v>1</v>
      </c>
      <c r="BI2063" s="3">
        <v>1</v>
      </c>
      <c r="BJ2063" s="3">
        <v>0.2</v>
      </c>
      <c r="BK2063" s="3">
        <v>1</v>
      </c>
      <c r="BL2063" s="3">
        <v>46.08</v>
      </c>
      <c r="BM2063" s="3">
        <v>6.91</v>
      </c>
      <c r="BN2063" s="3">
        <v>52.99</v>
      </c>
      <c r="BO2063" s="3">
        <v>52.99</v>
      </c>
      <c r="BQ2063" s="3" t="s">
        <v>83</v>
      </c>
      <c r="BR2063" s="3" t="s">
        <v>84</v>
      </c>
      <c r="BS2063" s="4">
        <v>44588</v>
      </c>
      <c r="BT2063" s="5">
        <v>0.34791666666666665</v>
      </c>
      <c r="BU2063" s="3" t="s">
        <v>2023</v>
      </c>
      <c r="BV2063" s="3" t="s">
        <v>105</v>
      </c>
      <c r="BY2063" s="3">
        <v>1200</v>
      </c>
      <c r="BZ2063" s="3" t="s">
        <v>165</v>
      </c>
      <c r="CA2063" s="3" t="s">
        <v>320</v>
      </c>
      <c r="CC2063" s="3" t="s">
        <v>124</v>
      </c>
      <c r="CD2063" s="3">
        <v>1709</v>
      </c>
      <c r="CE2063" s="3" t="s">
        <v>93</v>
      </c>
      <c r="CF2063" s="4">
        <v>44588</v>
      </c>
      <c r="CI2063" s="3">
        <v>1</v>
      </c>
      <c r="CJ2063" s="3">
        <v>1</v>
      </c>
      <c r="CK2063" s="3">
        <v>22</v>
      </c>
      <c r="CL2063" s="3" t="s">
        <v>87</v>
      </c>
    </row>
    <row r="2064" spans="1:90" x14ac:dyDescent="0.2">
      <c r="A2064" s="3" t="s">
        <v>72</v>
      </c>
      <c r="B2064" s="3" t="s">
        <v>73</v>
      </c>
      <c r="C2064" s="3" t="s">
        <v>74</v>
      </c>
      <c r="E2064" s="3" t="str">
        <f>"FES1162847040"</f>
        <v>FES1162847040</v>
      </c>
      <c r="F2064" s="4">
        <v>44587</v>
      </c>
      <c r="G2064" s="3">
        <v>202207</v>
      </c>
      <c r="H2064" s="3" t="s">
        <v>75</v>
      </c>
      <c r="I2064" s="3" t="s">
        <v>76</v>
      </c>
      <c r="J2064" s="3" t="s">
        <v>77</v>
      </c>
      <c r="K2064" s="3" t="s">
        <v>78</v>
      </c>
      <c r="L2064" s="3" t="s">
        <v>101</v>
      </c>
      <c r="M2064" s="3" t="s">
        <v>102</v>
      </c>
      <c r="N2064" s="3" t="s">
        <v>1048</v>
      </c>
      <c r="O2064" s="3" t="s">
        <v>82</v>
      </c>
      <c r="P2064" s="3" t="str">
        <f>"2170818323                    "</f>
        <v xml:space="preserve">2170818323                    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69.53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0</v>
      </c>
      <c r="AZ2064" s="3">
        <v>0</v>
      </c>
      <c r="BA2064" s="3">
        <v>0</v>
      </c>
      <c r="BB2064" s="3">
        <v>0</v>
      </c>
      <c r="BC2064" s="3">
        <v>0</v>
      </c>
      <c r="BD2064" s="3">
        <v>0</v>
      </c>
      <c r="BE2064" s="3">
        <v>0</v>
      </c>
      <c r="BF2064" s="3">
        <v>0</v>
      </c>
      <c r="BG2064" s="3">
        <v>0</v>
      </c>
      <c r="BH2064" s="3">
        <v>1</v>
      </c>
      <c r="BI2064" s="3">
        <v>9</v>
      </c>
      <c r="BJ2064" s="3">
        <v>2</v>
      </c>
      <c r="BK2064" s="3">
        <v>9</v>
      </c>
      <c r="BL2064" s="3">
        <v>265.39</v>
      </c>
      <c r="BM2064" s="3">
        <v>39.81</v>
      </c>
      <c r="BN2064" s="3">
        <v>305.2</v>
      </c>
      <c r="BO2064" s="3">
        <v>305.2</v>
      </c>
      <c r="BQ2064" s="3" t="s">
        <v>89</v>
      </c>
      <c r="BR2064" s="3" t="s">
        <v>84</v>
      </c>
      <c r="BS2064" s="4">
        <v>44588</v>
      </c>
      <c r="BT2064" s="5">
        <v>0.6069444444444444</v>
      </c>
      <c r="BU2064" s="3" t="s">
        <v>1940</v>
      </c>
      <c r="BV2064" s="3" t="s">
        <v>87</v>
      </c>
      <c r="BW2064" s="3" t="s">
        <v>353</v>
      </c>
      <c r="BX2064" s="3" t="s">
        <v>1878</v>
      </c>
      <c r="BY2064" s="3">
        <v>9900</v>
      </c>
      <c r="BZ2064" s="3" t="s">
        <v>165</v>
      </c>
      <c r="CA2064" s="3" t="s">
        <v>280</v>
      </c>
      <c r="CC2064" s="3" t="s">
        <v>102</v>
      </c>
      <c r="CD2064" s="3">
        <v>4001</v>
      </c>
      <c r="CE2064" s="3" t="s">
        <v>221</v>
      </c>
      <c r="CF2064" s="4">
        <v>44589</v>
      </c>
      <c r="CI2064" s="3">
        <v>1</v>
      </c>
      <c r="CJ2064" s="3">
        <v>1</v>
      </c>
      <c r="CK2064" s="3">
        <v>21</v>
      </c>
      <c r="CL2064" s="3" t="s">
        <v>87</v>
      </c>
    </row>
    <row r="2065" spans="1:90" x14ac:dyDescent="0.2">
      <c r="A2065" s="3" t="s">
        <v>72</v>
      </c>
      <c r="B2065" s="3" t="s">
        <v>73</v>
      </c>
      <c r="C2065" s="3" t="s">
        <v>74</v>
      </c>
      <c r="E2065" s="3" t="str">
        <f>"FES1162847133"</f>
        <v>FES1162847133</v>
      </c>
      <c r="F2065" s="4">
        <v>44587</v>
      </c>
      <c r="G2065" s="3">
        <v>202207</v>
      </c>
      <c r="H2065" s="3" t="s">
        <v>75</v>
      </c>
      <c r="I2065" s="3" t="s">
        <v>76</v>
      </c>
      <c r="J2065" s="3" t="s">
        <v>77</v>
      </c>
      <c r="K2065" s="3" t="s">
        <v>78</v>
      </c>
      <c r="L2065" s="3" t="s">
        <v>94</v>
      </c>
      <c r="M2065" s="3" t="s">
        <v>95</v>
      </c>
      <c r="N2065" s="3" t="s">
        <v>2187</v>
      </c>
      <c r="O2065" s="3" t="s">
        <v>82</v>
      </c>
      <c r="P2065" s="3" t="str">
        <f>"2170818450                    "</f>
        <v xml:space="preserve">2170818450                    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15.46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v>0</v>
      </c>
      <c r="BA2065" s="3">
        <v>0</v>
      </c>
      <c r="BB2065" s="3">
        <v>0</v>
      </c>
      <c r="BC2065" s="3">
        <v>0</v>
      </c>
      <c r="BD2065" s="3">
        <v>0</v>
      </c>
      <c r="BE2065" s="3">
        <v>0</v>
      </c>
      <c r="BF2065" s="3">
        <v>0</v>
      </c>
      <c r="BG2065" s="3">
        <v>0</v>
      </c>
      <c r="BH2065" s="3">
        <v>1</v>
      </c>
      <c r="BI2065" s="3">
        <v>1</v>
      </c>
      <c r="BJ2065" s="3">
        <v>0.2</v>
      </c>
      <c r="BK2065" s="3">
        <v>1</v>
      </c>
      <c r="BL2065" s="3">
        <v>59</v>
      </c>
      <c r="BM2065" s="3">
        <v>8.85</v>
      </c>
      <c r="BN2065" s="3">
        <v>67.849999999999994</v>
      </c>
      <c r="BO2065" s="3">
        <v>67.849999999999994</v>
      </c>
      <c r="BQ2065" s="3" t="s">
        <v>83</v>
      </c>
      <c r="BR2065" s="3" t="s">
        <v>84</v>
      </c>
      <c r="BS2065" s="4">
        <v>44588</v>
      </c>
      <c r="BT2065" s="5">
        <v>0.35416666666666669</v>
      </c>
      <c r="BU2065" s="3" t="s">
        <v>2188</v>
      </c>
      <c r="BV2065" s="3" t="s">
        <v>105</v>
      </c>
      <c r="BY2065" s="3">
        <v>1200</v>
      </c>
      <c r="BZ2065" s="3" t="s">
        <v>165</v>
      </c>
      <c r="CC2065" s="3" t="s">
        <v>95</v>
      </c>
      <c r="CD2065" s="3">
        <v>3201</v>
      </c>
      <c r="CE2065" s="3" t="s">
        <v>93</v>
      </c>
      <c r="CI2065" s="3">
        <v>1</v>
      </c>
      <c r="CJ2065" s="3">
        <v>1</v>
      </c>
      <c r="CK2065" s="3">
        <v>21</v>
      </c>
      <c r="CL2065" s="3" t="s">
        <v>87</v>
      </c>
    </row>
    <row r="2066" spans="1:90" x14ac:dyDescent="0.2">
      <c r="A2066" s="3" t="s">
        <v>72</v>
      </c>
      <c r="B2066" s="3" t="s">
        <v>73</v>
      </c>
      <c r="C2066" s="3" t="s">
        <v>74</v>
      </c>
      <c r="E2066" s="3" t="str">
        <f>"FES1162847064"</f>
        <v>FES1162847064</v>
      </c>
      <c r="F2066" s="4">
        <v>44587</v>
      </c>
      <c r="G2066" s="3">
        <v>202207</v>
      </c>
      <c r="H2066" s="3" t="s">
        <v>75</v>
      </c>
      <c r="I2066" s="3" t="s">
        <v>76</v>
      </c>
      <c r="J2066" s="3" t="s">
        <v>77</v>
      </c>
      <c r="K2066" s="3" t="s">
        <v>78</v>
      </c>
      <c r="L2066" s="3" t="s">
        <v>90</v>
      </c>
      <c r="M2066" s="3" t="s">
        <v>91</v>
      </c>
      <c r="N2066" s="3" t="s">
        <v>584</v>
      </c>
      <c r="O2066" s="3" t="s">
        <v>82</v>
      </c>
      <c r="P2066" s="3" t="str">
        <f>"2170818349                    "</f>
        <v xml:space="preserve">2170818349                    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15.46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0</v>
      </c>
      <c r="AZ2066" s="3">
        <v>0</v>
      </c>
      <c r="BA2066" s="3">
        <v>0</v>
      </c>
      <c r="BB2066" s="3">
        <v>0</v>
      </c>
      <c r="BC2066" s="3">
        <v>0</v>
      </c>
      <c r="BD2066" s="3">
        <v>0</v>
      </c>
      <c r="BE2066" s="3">
        <v>0</v>
      </c>
      <c r="BF2066" s="3">
        <v>0</v>
      </c>
      <c r="BG2066" s="3">
        <v>0</v>
      </c>
      <c r="BH2066" s="3">
        <v>1</v>
      </c>
      <c r="BI2066" s="3">
        <v>1</v>
      </c>
      <c r="BJ2066" s="3">
        <v>2</v>
      </c>
      <c r="BK2066" s="3">
        <v>2</v>
      </c>
      <c r="BL2066" s="3">
        <v>59</v>
      </c>
      <c r="BM2066" s="3">
        <v>8.85</v>
      </c>
      <c r="BN2066" s="3">
        <v>67.849999999999994</v>
      </c>
      <c r="BO2066" s="3">
        <v>67.849999999999994</v>
      </c>
      <c r="BQ2066" s="3" t="s">
        <v>83</v>
      </c>
      <c r="BR2066" s="3" t="s">
        <v>84</v>
      </c>
      <c r="BS2066" s="4">
        <v>44588</v>
      </c>
      <c r="BT2066" s="5">
        <v>0.34861111111111115</v>
      </c>
      <c r="BU2066" s="3" t="s">
        <v>1067</v>
      </c>
      <c r="BV2066" s="3" t="s">
        <v>105</v>
      </c>
      <c r="BY2066" s="3">
        <v>9900</v>
      </c>
      <c r="BZ2066" s="3" t="s">
        <v>165</v>
      </c>
      <c r="CA2066" s="3" t="s">
        <v>543</v>
      </c>
      <c r="CC2066" s="3" t="s">
        <v>91</v>
      </c>
      <c r="CD2066" s="3">
        <v>7530</v>
      </c>
      <c r="CE2066" s="3" t="s">
        <v>221</v>
      </c>
      <c r="CF2066" s="4">
        <v>44589</v>
      </c>
      <c r="CI2066" s="3">
        <v>1</v>
      </c>
      <c r="CJ2066" s="3">
        <v>1</v>
      </c>
      <c r="CK2066" s="3">
        <v>21</v>
      </c>
      <c r="CL2066" s="3" t="s">
        <v>87</v>
      </c>
    </row>
    <row r="2067" spans="1:90" x14ac:dyDescent="0.2">
      <c r="A2067" s="3" t="s">
        <v>72</v>
      </c>
      <c r="B2067" s="3" t="s">
        <v>73</v>
      </c>
      <c r="C2067" s="3" t="s">
        <v>74</v>
      </c>
      <c r="E2067" s="3" t="str">
        <f>"FES1162847132"</f>
        <v>FES1162847132</v>
      </c>
      <c r="F2067" s="4">
        <v>44587</v>
      </c>
      <c r="G2067" s="3">
        <v>202207</v>
      </c>
      <c r="H2067" s="3" t="s">
        <v>75</v>
      </c>
      <c r="I2067" s="3" t="s">
        <v>76</v>
      </c>
      <c r="J2067" s="3" t="s">
        <v>77</v>
      </c>
      <c r="K2067" s="3" t="s">
        <v>78</v>
      </c>
      <c r="L2067" s="3" t="s">
        <v>184</v>
      </c>
      <c r="M2067" s="3" t="s">
        <v>185</v>
      </c>
      <c r="N2067" s="3" t="s">
        <v>186</v>
      </c>
      <c r="O2067" s="3" t="s">
        <v>82</v>
      </c>
      <c r="P2067" s="3" t="str">
        <f>"2170818449                    "</f>
        <v xml:space="preserve">2170818449                    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15.46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v>0</v>
      </c>
      <c r="BA2067" s="3">
        <v>0</v>
      </c>
      <c r="BB2067" s="3">
        <v>0</v>
      </c>
      <c r="BC2067" s="3">
        <v>0</v>
      </c>
      <c r="BD2067" s="3">
        <v>0</v>
      </c>
      <c r="BE2067" s="3">
        <v>0</v>
      </c>
      <c r="BF2067" s="3">
        <v>0</v>
      </c>
      <c r="BG2067" s="3">
        <v>0</v>
      </c>
      <c r="BH2067" s="3">
        <v>1</v>
      </c>
      <c r="BI2067" s="3">
        <v>1</v>
      </c>
      <c r="BJ2067" s="3">
        <v>0.2</v>
      </c>
      <c r="BK2067" s="3">
        <v>1</v>
      </c>
      <c r="BL2067" s="3">
        <v>59</v>
      </c>
      <c r="BM2067" s="3">
        <v>8.85</v>
      </c>
      <c r="BN2067" s="3">
        <v>67.849999999999994</v>
      </c>
      <c r="BO2067" s="3">
        <v>67.849999999999994</v>
      </c>
      <c r="BQ2067" s="3" t="s">
        <v>83</v>
      </c>
      <c r="BR2067" s="3" t="s">
        <v>84</v>
      </c>
      <c r="BS2067" s="4">
        <v>44589</v>
      </c>
      <c r="BT2067" s="5">
        <v>0.56180555555555556</v>
      </c>
      <c r="BU2067" s="3" t="s">
        <v>2189</v>
      </c>
      <c r="BV2067" s="3" t="s">
        <v>87</v>
      </c>
      <c r="BW2067" s="3" t="s">
        <v>353</v>
      </c>
      <c r="BX2067" s="3" t="s">
        <v>648</v>
      </c>
      <c r="BY2067" s="3">
        <v>1200</v>
      </c>
      <c r="BZ2067" s="3" t="s">
        <v>165</v>
      </c>
      <c r="CA2067" s="3" t="s">
        <v>1681</v>
      </c>
      <c r="CC2067" s="3" t="s">
        <v>185</v>
      </c>
      <c r="CD2067" s="3">
        <v>5201</v>
      </c>
      <c r="CE2067" s="3" t="s">
        <v>93</v>
      </c>
      <c r="CF2067" s="4">
        <v>44589</v>
      </c>
      <c r="CI2067" s="3">
        <v>1</v>
      </c>
      <c r="CJ2067" s="3">
        <v>2</v>
      </c>
      <c r="CK2067" s="3">
        <v>21</v>
      </c>
      <c r="CL2067" s="3" t="s">
        <v>87</v>
      </c>
    </row>
    <row r="2068" spans="1:90" x14ac:dyDescent="0.2">
      <c r="A2068" s="3" t="s">
        <v>72</v>
      </c>
      <c r="B2068" s="3" t="s">
        <v>73</v>
      </c>
      <c r="C2068" s="3" t="s">
        <v>74</v>
      </c>
      <c r="E2068" s="3" t="str">
        <f>"FES1162847043"</f>
        <v>FES1162847043</v>
      </c>
      <c r="F2068" s="4">
        <v>44587</v>
      </c>
      <c r="G2068" s="3">
        <v>202207</v>
      </c>
      <c r="H2068" s="3" t="s">
        <v>75</v>
      </c>
      <c r="I2068" s="3" t="s">
        <v>76</v>
      </c>
      <c r="J2068" s="3" t="s">
        <v>77</v>
      </c>
      <c r="K2068" s="3" t="s">
        <v>78</v>
      </c>
      <c r="L2068" s="3" t="s">
        <v>101</v>
      </c>
      <c r="M2068" s="3" t="s">
        <v>102</v>
      </c>
      <c r="N2068" s="3" t="s">
        <v>1048</v>
      </c>
      <c r="O2068" s="3" t="s">
        <v>82</v>
      </c>
      <c r="P2068" s="3" t="str">
        <f>"2170818327                    "</f>
        <v xml:space="preserve">2170818327                    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15.46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v>0</v>
      </c>
      <c r="BA2068" s="3">
        <v>0</v>
      </c>
      <c r="BB2068" s="3">
        <v>0</v>
      </c>
      <c r="BC2068" s="3">
        <v>0</v>
      </c>
      <c r="BD2068" s="3">
        <v>0</v>
      </c>
      <c r="BE2068" s="3">
        <v>0</v>
      </c>
      <c r="BF2068" s="3">
        <v>0</v>
      </c>
      <c r="BG2068" s="3">
        <v>0</v>
      </c>
      <c r="BH2068" s="3">
        <v>1</v>
      </c>
      <c r="BI2068" s="3">
        <v>2</v>
      </c>
      <c r="BJ2068" s="3">
        <v>1.5</v>
      </c>
      <c r="BK2068" s="3">
        <v>2</v>
      </c>
      <c r="BL2068" s="3">
        <v>59</v>
      </c>
      <c r="BM2068" s="3">
        <v>8.85</v>
      </c>
      <c r="BN2068" s="3">
        <v>67.849999999999994</v>
      </c>
      <c r="BO2068" s="3">
        <v>67.849999999999994</v>
      </c>
      <c r="BQ2068" s="3" t="s">
        <v>89</v>
      </c>
      <c r="BR2068" s="3" t="s">
        <v>84</v>
      </c>
      <c r="BS2068" s="4">
        <v>44588</v>
      </c>
      <c r="BT2068" s="5">
        <v>0.69027777777777777</v>
      </c>
      <c r="BU2068" s="3" t="s">
        <v>1940</v>
      </c>
      <c r="BV2068" s="3" t="s">
        <v>87</v>
      </c>
      <c r="BW2068" s="3" t="s">
        <v>353</v>
      </c>
      <c r="BX2068" s="3" t="s">
        <v>1878</v>
      </c>
      <c r="BY2068" s="3">
        <v>7540</v>
      </c>
      <c r="BZ2068" s="3" t="s">
        <v>165</v>
      </c>
      <c r="CA2068" s="3" t="s">
        <v>280</v>
      </c>
      <c r="CC2068" s="3" t="s">
        <v>102</v>
      </c>
      <c r="CD2068" s="3">
        <v>4001</v>
      </c>
      <c r="CE2068" s="3" t="s">
        <v>221</v>
      </c>
      <c r="CF2068" s="4">
        <v>44589</v>
      </c>
      <c r="CI2068" s="3">
        <v>1</v>
      </c>
      <c r="CJ2068" s="3">
        <v>1</v>
      </c>
      <c r="CK2068" s="3">
        <v>21</v>
      </c>
      <c r="CL2068" s="3" t="s">
        <v>87</v>
      </c>
    </row>
    <row r="2069" spans="1:90" x14ac:dyDescent="0.2">
      <c r="A2069" s="3" t="s">
        <v>72</v>
      </c>
      <c r="B2069" s="3" t="s">
        <v>73</v>
      </c>
      <c r="C2069" s="3" t="s">
        <v>74</v>
      </c>
      <c r="E2069" s="3" t="str">
        <f>"FES1162847115"</f>
        <v>FES1162847115</v>
      </c>
      <c r="F2069" s="4">
        <v>44587</v>
      </c>
      <c r="G2069" s="3">
        <v>202207</v>
      </c>
      <c r="H2069" s="3" t="s">
        <v>75</v>
      </c>
      <c r="I2069" s="3" t="s">
        <v>76</v>
      </c>
      <c r="J2069" s="3" t="s">
        <v>77</v>
      </c>
      <c r="K2069" s="3" t="s">
        <v>78</v>
      </c>
      <c r="L2069" s="3" t="s">
        <v>133</v>
      </c>
      <c r="M2069" s="3" t="s">
        <v>134</v>
      </c>
      <c r="N2069" s="3" t="s">
        <v>2190</v>
      </c>
      <c r="O2069" s="3" t="s">
        <v>82</v>
      </c>
      <c r="P2069" s="3" t="str">
        <f>"21708148382                   "</f>
        <v xml:space="preserve">21708148382                   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21.74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v>0</v>
      </c>
      <c r="BA2069" s="3">
        <v>0</v>
      </c>
      <c r="BB2069" s="3">
        <v>0</v>
      </c>
      <c r="BC2069" s="3">
        <v>0</v>
      </c>
      <c r="BD2069" s="3">
        <v>0</v>
      </c>
      <c r="BE2069" s="3">
        <v>0</v>
      </c>
      <c r="BF2069" s="3">
        <v>0</v>
      </c>
      <c r="BG2069" s="3">
        <v>0</v>
      </c>
      <c r="BH2069" s="3">
        <v>1</v>
      </c>
      <c r="BI2069" s="3">
        <v>1</v>
      </c>
      <c r="BJ2069" s="3">
        <v>0.2</v>
      </c>
      <c r="BK2069" s="3">
        <v>1</v>
      </c>
      <c r="BL2069" s="3">
        <v>82.98</v>
      </c>
      <c r="BM2069" s="3">
        <v>12.45</v>
      </c>
      <c r="BN2069" s="3">
        <v>95.43</v>
      </c>
      <c r="BO2069" s="3">
        <v>95.43</v>
      </c>
      <c r="BQ2069" s="3" t="s">
        <v>145</v>
      </c>
      <c r="BR2069" s="3" t="s">
        <v>84</v>
      </c>
      <c r="BS2069" s="4">
        <v>44588</v>
      </c>
      <c r="BT2069" s="5">
        <v>0.42777777777777781</v>
      </c>
      <c r="BU2069" s="3" t="s">
        <v>2191</v>
      </c>
      <c r="BV2069" s="3" t="s">
        <v>105</v>
      </c>
      <c r="BY2069" s="3">
        <v>1200</v>
      </c>
      <c r="BZ2069" s="3" t="s">
        <v>165</v>
      </c>
      <c r="CA2069" s="3" t="s">
        <v>673</v>
      </c>
      <c r="CC2069" s="3" t="s">
        <v>134</v>
      </c>
      <c r="CD2069" s="3">
        <v>1911</v>
      </c>
      <c r="CE2069" s="3" t="s">
        <v>93</v>
      </c>
      <c r="CF2069" s="4">
        <v>44589</v>
      </c>
      <c r="CI2069" s="3">
        <v>1</v>
      </c>
      <c r="CJ2069" s="3">
        <v>1</v>
      </c>
      <c r="CK2069" s="3">
        <v>24</v>
      </c>
      <c r="CL2069" s="3" t="s">
        <v>87</v>
      </c>
    </row>
    <row r="2070" spans="1:90" x14ac:dyDescent="0.2">
      <c r="A2070" s="3" t="s">
        <v>72</v>
      </c>
      <c r="B2070" s="3" t="s">
        <v>73</v>
      </c>
      <c r="C2070" s="3" t="s">
        <v>74</v>
      </c>
      <c r="E2070" s="3" t="str">
        <f>"FES1162846823"</f>
        <v>FES1162846823</v>
      </c>
      <c r="F2070" s="4">
        <v>44587</v>
      </c>
      <c r="G2070" s="3">
        <v>202207</v>
      </c>
      <c r="H2070" s="3" t="s">
        <v>75</v>
      </c>
      <c r="I2070" s="3" t="s">
        <v>76</v>
      </c>
      <c r="J2070" s="3" t="s">
        <v>77</v>
      </c>
      <c r="K2070" s="3" t="s">
        <v>78</v>
      </c>
      <c r="L2070" s="3" t="s">
        <v>162</v>
      </c>
      <c r="M2070" s="3" t="s">
        <v>163</v>
      </c>
      <c r="N2070" s="3" t="s">
        <v>2192</v>
      </c>
      <c r="O2070" s="3" t="s">
        <v>82</v>
      </c>
      <c r="P2070" s="3" t="str">
        <f>"2170818103                    "</f>
        <v xml:space="preserve">2170818103                    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12.07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v>0</v>
      </c>
      <c r="BA2070" s="3">
        <v>0</v>
      </c>
      <c r="BB2070" s="3">
        <v>0</v>
      </c>
      <c r="BC2070" s="3">
        <v>0</v>
      </c>
      <c r="BD2070" s="3">
        <v>0</v>
      </c>
      <c r="BE2070" s="3">
        <v>0</v>
      </c>
      <c r="BF2070" s="3">
        <v>0</v>
      </c>
      <c r="BG2070" s="3">
        <v>0</v>
      </c>
      <c r="BH2070" s="3">
        <v>1</v>
      </c>
      <c r="BI2070" s="3">
        <v>1</v>
      </c>
      <c r="BJ2070" s="3">
        <v>0.2</v>
      </c>
      <c r="BK2070" s="3">
        <v>1</v>
      </c>
      <c r="BL2070" s="3">
        <v>46.08</v>
      </c>
      <c r="BM2070" s="3">
        <v>6.91</v>
      </c>
      <c r="BN2070" s="3">
        <v>52.99</v>
      </c>
      <c r="BO2070" s="3">
        <v>52.99</v>
      </c>
      <c r="BQ2070" s="3" t="s">
        <v>83</v>
      </c>
      <c r="BR2070" s="3" t="s">
        <v>84</v>
      </c>
      <c r="BS2070" s="4">
        <v>44588</v>
      </c>
      <c r="BT2070" s="5">
        <v>0.4055555555555555</v>
      </c>
      <c r="BU2070" s="3" t="s">
        <v>2193</v>
      </c>
      <c r="BV2070" s="3" t="s">
        <v>105</v>
      </c>
      <c r="BY2070" s="3">
        <v>1200</v>
      </c>
      <c r="BZ2070" s="3" t="s">
        <v>165</v>
      </c>
      <c r="CA2070" s="3" t="s">
        <v>1051</v>
      </c>
      <c r="CC2070" s="3" t="s">
        <v>163</v>
      </c>
      <c r="CD2070" s="3">
        <v>1406</v>
      </c>
      <c r="CE2070" s="3" t="s">
        <v>93</v>
      </c>
      <c r="CF2070" s="4">
        <v>44589</v>
      </c>
      <c r="CI2070" s="3">
        <v>1</v>
      </c>
      <c r="CJ2070" s="3">
        <v>1</v>
      </c>
      <c r="CK2070" s="3">
        <v>22</v>
      </c>
      <c r="CL2070" s="3" t="s">
        <v>87</v>
      </c>
    </row>
    <row r="2071" spans="1:90" x14ac:dyDescent="0.2">
      <c r="A2071" s="3" t="s">
        <v>72</v>
      </c>
      <c r="B2071" s="3" t="s">
        <v>73</v>
      </c>
      <c r="C2071" s="3" t="s">
        <v>74</v>
      </c>
      <c r="E2071" s="3" t="str">
        <f>"FES1162847129"</f>
        <v>FES1162847129</v>
      </c>
      <c r="F2071" s="4">
        <v>44587</v>
      </c>
      <c r="G2071" s="3">
        <v>202207</v>
      </c>
      <c r="H2071" s="3" t="s">
        <v>75</v>
      </c>
      <c r="I2071" s="3" t="s">
        <v>76</v>
      </c>
      <c r="J2071" s="3" t="s">
        <v>77</v>
      </c>
      <c r="K2071" s="3" t="s">
        <v>78</v>
      </c>
      <c r="L2071" s="3" t="s">
        <v>101</v>
      </c>
      <c r="M2071" s="3" t="s">
        <v>102</v>
      </c>
      <c r="N2071" s="3" t="s">
        <v>170</v>
      </c>
      <c r="O2071" s="3" t="s">
        <v>82</v>
      </c>
      <c r="P2071" s="3" t="str">
        <f>"2170818445                    "</f>
        <v xml:space="preserve">2170818445                    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15.46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v>0</v>
      </c>
      <c r="BA2071" s="3">
        <v>0</v>
      </c>
      <c r="BB2071" s="3">
        <v>0</v>
      </c>
      <c r="BC2071" s="3">
        <v>0</v>
      </c>
      <c r="BD2071" s="3">
        <v>0</v>
      </c>
      <c r="BE2071" s="3">
        <v>0</v>
      </c>
      <c r="BF2071" s="3">
        <v>0</v>
      </c>
      <c r="BG2071" s="3">
        <v>0</v>
      </c>
      <c r="BH2071" s="3">
        <v>1</v>
      </c>
      <c r="BI2071" s="3">
        <v>1</v>
      </c>
      <c r="BJ2071" s="3">
        <v>0.2</v>
      </c>
      <c r="BK2071" s="3">
        <v>1</v>
      </c>
      <c r="BL2071" s="3">
        <v>59</v>
      </c>
      <c r="BM2071" s="3">
        <v>8.85</v>
      </c>
      <c r="BN2071" s="3">
        <v>67.849999999999994</v>
      </c>
      <c r="BO2071" s="3">
        <v>67.849999999999994</v>
      </c>
      <c r="BQ2071" s="3" t="s">
        <v>89</v>
      </c>
      <c r="BR2071" s="3" t="s">
        <v>84</v>
      </c>
      <c r="BS2071" s="4">
        <v>44588</v>
      </c>
      <c r="BT2071" s="5">
        <v>0.46319444444444446</v>
      </c>
      <c r="BU2071" s="3" t="s">
        <v>898</v>
      </c>
      <c r="BV2071" s="3" t="s">
        <v>87</v>
      </c>
      <c r="BW2071" s="3" t="s">
        <v>353</v>
      </c>
      <c r="BX2071" s="3" t="s">
        <v>1878</v>
      </c>
      <c r="BY2071" s="3">
        <v>1200</v>
      </c>
      <c r="BZ2071" s="3" t="s">
        <v>165</v>
      </c>
      <c r="CA2071" s="3" t="s">
        <v>280</v>
      </c>
      <c r="CC2071" s="3" t="s">
        <v>102</v>
      </c>
      <c r="CD2071" s="3">
        <v>4001</v>
      </c>
      <c r="CE2071" s="3" t="s">
        <v>93</v>
      </c>
      <c r="CF2071" s="4">
        <v>44589</v>
      </c>
      <c r="CI2071" s="3">
        <v>1</v>
      </c>
      <c r="CJ2071" s="3">
        <v>1</v>
      </c>
      <c r="CK2071" s="3">
        <v>21</v>
      </c>
      <c r="CL2071" s="3" t="s">
        <v>87</v>
      </c>
    </row>
    <row r="2072" spans="1:90" x14ac:dyDescent="0.2">
      <c r="A2072" s="3" t="s">
        <v>72</v>
      </c>
      <c r="B2072" s="3" t="s">
        <v>73</v>
      </c>
      <c r="C2072" s="3" t="s">
        <v>74</v>
      </c>
      <c r="E2072" s="3" t="str">
        <f>"FES1162847084"</f>
        <v>FES1162847084</v>
      </c>
      <c r="F2072" s="4">
        <v>44587</v>
      </c>
      <c r="G2072" s="3">
        <v>202207</v>
      </c>
      <c r="H2072" s="3" t="s">
        <v>75</v>
      </c>
      <c r="I2072" s="3" t="s">
        <v>76</v>
      </c>
      <c r="J2072" s="3" t="s">
        <v>77</v>
      </c>
      <c r="K2072" s="3" t="s">
        <v>78</v>
      </c>
      <c r="L2072" s="3" t="s">
        <v>2194</v>
      </c>
      <c r="M2072" s="3" t="s">
        <v>2195</v>
      </c>
      <c r="N2072" s="3" t="s">
        <v>2196</v>
      </c>
      <c r="O2072" s="3" t="s">
        <v>82</v>
      </c>
      <c r="P2072" s="3" t="str">
        <f>"2170817902                    "</f>
        <v xml:space="preserve">2170817902                    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97.58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v>0</v>
      </c>
      <c r="BA2072" s="3">
        <v>0</v>
      </c>
      <c r="BB2072" s="3">
        <v>0</v>
      </c>
      <c r="BC2072" s="3">
        <v>0</v>
      </c>
      <c r="BD2072" s="3">
        <v>0</v>
      </c>
      <c r="BE2072" s="3">
        <v>0</v>
      </c>
      <c r="BF2072" s="3">
        <v>0</v>
      </c>
      <c r="BG2072" s="3">
        <v>0</v>
      </c>
      <c r="BH2072" s="3">
        <v>1</v>
      </c>
      <c r="BI2072" s="3">
        <v>7</v>
      </c>
      <c r="BJ2072" s="3">
        <v>4.0999999999999996</v>
      </c>
      <c r="BK2072" s="3">
        <v>7</v>
      </c>
      <c r="BL2072" s="3">
        <v>372.44</v>
      </c>
      <c r="BM2072" s="3">
        <v>55.87</v>
      </c>
      <c r="BN2072" s="3">
        <v>428.31</v>
      </c>
      <c r="BO2072" s="3">
        <v>428.31</v>
      </c>
      <c r="BR2072" s="3" t="s">
        <v>84</v>
      </c>
      <c r="BS2072" s="4">
        <v>44588</v>
      </c>
      <c r="BT2072" s="5">
        <v>0.37847222222222227</v>
      </c>
      <c r="BU2072" s="3" t="s">
        <v>2197</v>
      </c>
      <c r="BV2072" s="3" t="s">
        <v>105</v>
      </c>
      <c r="BY2072" s="3">
        <v>20358</v>
      </c>
      <c r="BZ2072" s="3" t="s">
        <v>165</v>
      </c>
      <c r="CA2072" s="3" t="s">
        <v>289</v>
      </c>
      <c r="CC2072" s="3" t="s">
        <v>2195</v>
      </c>
      <c r="CD2072" s="3">
        <v>6705</v>
      </c>
      <c r="CE2072" s="3" t="s">
        <v>221</v>
      </c>
      <c r="CF2072" s="4">
        <v>44589</v>
      </c>
      <c r="CI2072" s="3">
        <v>2</v>
      </c>
      <c r="CJ2072" s="3">
        <v>1</v>
      </c>
      <c r="CK2072" s="3">
        <v>23</v>
      </c>
      <c r="CL2072" s="3" t="s">
        <v>87</v>
      </c>
    </row>
    <row r="2073" spans="1:90" x14ac:dyDescent="0.2">
      <c r="A2073" s="3" t="s">
        <v>72</v>
      </c>
      <c r="B2073" s="3" t="s">
        <v>73</v>
      </c>
      <c r="C2073" s="3" t="s">
        <v>74</v>
      </c>
      <c r="E2073" s="3" t="str">
        <f>"FES1162847134"</f>
        <v>FES1162847134</v>
      </c>
      <c r="F2073" s="4">
        <v>44587</v>
      </c>
      <c r="G2073" s="3">
        <v>202207</v>
      </c>
      <c r="H2073" s="3" t="s">
        <v>75</v>
      </c>
      <c r="I2073" s="3" t="s">
        <v>76</v>
      </c>
      <c r="J2073" s="3" t="s">
        <v>77</v>
      </c>
      <c r="K2073" s="3" t="s">
        <v>78</v>
      </c>
      <c r="L2073" s="3" t="s">
        <v>97</v>
      </c>
      <c r="M2073" s="3" t="s">
        <v>98</v>
      </c>
      <c r="N2073" s="3" t="s">
        <v>1408</v>
      </c>
      <c r="O2073" s="3" t="s">
        <v>82</v>
      </c>
      <c r="P2073" s="3" t="str">
        <f>"2170818451                    "</f>
        <v xml:space="preserve">2170818451                    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12.07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v>0</v>
      </c>
      <c r="BA2073" s="3">
        <v>0</v>
      </c>
      <c r="BB2073" s="3">
        <v>0</v>
      </c>
      <c r="BC2073" s="3">
        <v>0</v>
      </c>
      <c r="BD2073" s="3">
        <v>0</v>
      </c>
      <c r="BE2073" s="3">
        <v>0</v>
      </c>
      <c r="BF2073" s="3">
        <v>0</v>
      </c>
      <c r="BG2073" s="3">
        <v>0</v>
      </c>
      <c r="BH2073" s="3">
        <v>1</v>
      </c>
      <c r="BI2073" s="3">
        <v>1</v>
      </c>
      <c r="BJ2073" s="3">
        <v>0.2</v>
      </c>
      <c r="BK2073" s="3">
        <v>1</v>
      </c>
      <c r="BL2073" s="3">
        <v>46.08</v>
      </c>
      <c r="BM2073" s="3">
        <v>6.91</v>
      </c>
      <c r="BN2073" s="3">
        <v>52.99</v>
      </c>
      <c r="BO2073" s="3">
        <v>52.99</v>
      </c>
      <c r="BR2073" s="3" t="s">
        <v>84</v>
      </c>
      <c r="BS2073" s="4">
        <v>44588</v>
      </c>
      <c r="BT2073" s="5">
        <v>0.4284722222222222</v>
      </c>
      <c r="BU2073" s="3" t="s">
        <v>2198</v>
      </c>
      <c r="BV2073" s="3" t="s">
        <v>105</v>
      </c>
      <c r="BY2073" s="3">
        <v>1200</v>
      </c>
      <c r="BZ2073" s="3" t="s">
        <v>165</v>
      </c>
      <c r="CA2073" s="3" t="s">
        <v>2185</v>
      </c>
      <c r="CC2073" s="3" t="s">
        <v>98</v>
      </c>
      <c r="CD2073" s="3">
        <v>2049</v>
      </c>
      <c r="CE2073" s="3" t="s">
        <v>93</v>
      </c>
      <c r="CF2073" s="4">
        <v>44588</v>
      </c>
      <c r="CI2073" s="3">
        <v>1</v>
      </c>
      <c r="CJ2073" s="3">
        <v>1</v>
      </c>
      <c r="CK2073" s="3">
        <v>22</v>
      </c>
      <c r="CL2073" s="3" t="s">
        <v>87</v>
      </c>
    </row>
    <row r="2074" spans="1:90" x14ac:dyDescent="0.2">
      <c r="A2074" s="3" t="s">
        <v>72</v>
      </c>
      <c r="B2074" s="3" t="s">
        <v>73</v>
      </c>
      <c r="C2074" s="3" t="s">
        <v>74</v>
      </c>
      <c r="E2074" s="3" t="str">
        <f>"FES1162847093"</f>
        <v>FES1162847093</v>
      </c>
      <c r="F2074" s="4">
        <v>44587</v>
      </c>
      <c r="G2074" s="3">
        <v>202207</v>
      </c>
      <c r="H2074" s="3" t="s">
        <v>75</v>
      </c>
      <c r="I2074" s="3" t="s">
        <v>76</v>
      </c>
      <c r="J2074" s="3" t="s">
        <v>77</v>
      </c>
      <c r="K2074" s="3" t="s">
        <v>78</v>
      </c>
      <c r="L2074" s="3" t="s">
        <v>167</v>
      </c>
      <c r="M2074" s="3" t="s">
        <v>168</v>
      </c>
      <c r="N2074" s="3" t="s">
        <v>194</v>
      </c>
      <c r="O2074" s="3" t="s">
        <v>82</v>
      </c>
      <c r="P2074" s="3" t="str">
        <f>"2170818396                    "</f>
        <v xml:space="preserve">2170818396                    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38.630000000000003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v>0</v>
      </c>
      <c r="BA2074" s="3">
        <v>0</v>
      </c>
      <c r="BB2074" s="3">
        <v>0</v>
      </c>
      <c r="BC2074" s="3">
        <v>0</v>
      </c>
      <c r="BD2074" s="3">
        <v>0</v>
      </c>
      <c r="BE2074" s="3">
        <v>0</v>
      </c>
      <c r="BF2074" s="3">
        <v>0</v>
      </c>
      <c r="BG2074" s="3">
        <v>0</v>
      </c>
      <c r="BH2074" s="3">
        <v>1</v>
      </c>
      <c r="BI2074" s="3">
        <v>5</v>
      </c>
      <c r="BJ2074" s="3">
        <v>2</v>
      </c>
      <c r="BK2074" s="3">
        <v>5</v>
      </c>
      <c r="BL2074" s="3">
        <v>147.44999999999999</v>
      </c>
      <c r="BM2074" s="3">
        <v>22.12</v>
      </c>
      <c r="BN2074" s="3">
        <v>169.57</v>
      </c>
      <c r="BO2074" s="3">
        <v>169.57</v>
      </c>
      <c r="BQ2074" s="3" t="s">
        <v>89</v>
      </c>
      <c r="BR2074" s="3" t="s">
        <v>84</v>
      </c>
      <c r="BS2074" s="4">
        <v>44588</v>
      </c>
      <c r="BT2074" s="5">
        <v>0.33888888888888885</v>
      </c>
      <c r="BU2074" s="3" t="s">
        <v>2199</v>
      </c>
      <c r="BV2074" s="3" t="s">
        <v>105</v>
      </c>
      <c r="BY2074" s="3">
        <v>9918</v>
      </c>
      <c r="BZ2074" s="3" t="s">
        <v>165</v>
      </c>
      <c r="CA2074" s="3" t="s">
        <v>553</v>
      </c>
      <c r="CC2074" s="3" t="s">
        <v>168</v>
      </c>
      <c r="CD2074" s="3">
        <v>6229</v>
      </c>
      <c r="CE2074" s="3" t="s">
        <v>221</v>
      </c>
      <c r="CF2074" s="4">
        <v>44588</v>
      </c>
      <c r="CI2074" s="3">
        <v>1</v>
      </c>
      <c r="CJ2074" s="3">
        <v>1</v>
      </c>
      <c r="CK2074" s="3">
        <v>21</v>
      </c>
      <c r="CL2074" s="3" t="s">
        <v>87</v>
      </c>
    </row>
    <row r="2075" spans="1:90" x14ac:dyDescent="0.2">
      <c r="A2075" s="3" t="s">
        <v>72</v>
      </c>
      <c r="B2075" s="3" t="s">
        <v>73</v>
      </c>
      <c r="C2075" s="3" t="s">
        <v>74</v>
      </c>
      <c r="E2075" s="3" t="str">
        <f>"FES1162847130"</f>
        <v>FES1162847130</v>
      </c>
      <c r="F2075" s="4">
        <v>44587</v>
      </c>
      <c r="G2075" s="3">
        <v>202207</v>
      </c>
      <c r="H2075" s="3" t="s">
        <v>75</v>
      </c>
      <c r="I2075" s="3" t="s">
        <v>76</v>
      </c>
      <c r="J2075" s="3" t="s">
        <v>77</v>
      </c>
      <c r="K2075" s="3" t="s">
        <v>78</v>
      </c>
      <c r="L2075" s="3" t="s">
        <v>94</v>
      </c>
      <c r="M2075" s="3" t="s">
        <v>95</v>
      </c>
      <c r="N2075" s="3" t="s">
        <v>1443</v>
      </c>
      <c r="O2075" s="3" t="s">
        <v>82</v>
      </c>
      <c r="P2075" s="3" t="str">
        <f>"2170818447                    "</f>
        <v xml:space="preserve">2170818447                    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15.46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0</v>
      </c>
      <c r="AZ2075" s="3">
        <v>0</v>
      </c>
      <c r="BA2075" s="3">
        <v>0</v>
      </c>
      <c r="BB2075" s="3">
        <v>0</v>
      </c>
      <c r="BC2075" s="3">
        <v>0</v>
      </c>
      <c r="BD2075" s="3">
        <v>0</v>
      </c>
      <c r="BE2075" s="3">
        <v>0</v>
      </c>
      <c r="BF2075" s="3">
        <v>0</v>
      </c>
      <c r="BG2075" s="3">
        <v>0</v>
      </c>
      <c r="BH2075" s="3">
        <v>1</v>
      </c>
      <c r="BI2075" s="3">
        <v>1</v>
      </c>
      <c r="BJ2075" s="3">
        <v>0.2</v>
      </c>
      <c r="BK2075" s="3">
        <v>1</v>
      </c>
      <c r="BL2075" s="3">
        <v>59</v>
      </c>
      <c r="BM2075" s="3">
        <v>8.85</v>
      </c>
      <c r="BN2075" s="3">
        <v>67.849999999999994</v>
      </c>
      <c r="BO2075" s="3">
        <v>67.849999999999994</v>
      </c>
      <c r="BR2075" s="3" t="s">
        <v>84</v>
      </c>
      <c r="BS2075" s="4">
        <v>44588</v>
      </c>
      <c r="BT2075" s="5">
        <v>0.54861111111111105</v>
      </c>
      <c r="BU2075" s="3" t="s">
        <v>2200</v>
      </c>
      <c r="BV2075" s="3" t="s">
        <v>87</v>
      </c>
      <c r="BY2075" s="3">
        <v>1200</v>
      </c>
      <c r="BZ2075" s="3" t="s">
        <v>165</v>
      </c>
      <c r="CC2075" s="3" t="s">
        <v>95</v>
      </c>
      <c r="CD2075" s="3">
        <v>3200</v>
      </c>
      <c r="CE2075" s="3" t="s">
        <v>93</v>
      </c>
      <c r="CI2075" s="3">
        <v>1</v>
      </c>
      <c r="CJ2075" s="3">
        <v>1</v>
      </c>
      <c r="CK2075" s="3">
        <v>21</v>
      </c>
      <c r="CL2075" s="3" t="s">
        <v>87</v>
      </c>
    </row>
    <row r="2076" spans="1:90" x14ac:dyDescent="0.2">
      <c r="A2076" s="3" t="s">
        <v>72</v>
      </c>
      <c r="B2076" s="3" t="s">
        <v>73</v>
      </c>
      <c r="C2076" s="3" t="s">
        <v>74</v>
      </c>
      <c r="E2076" s="3" t="str">
        <f>"FES1162847121"</f>
        <v>FES1162847121</v>
      </c>
      <c r="F2076" s="4">
        <v>44587</v>
      </c>
      <c r="G2076" s="3">
        <v>202207</v>
      </c>
      <c r="H2076" s="3" t="s">
        <v>75</v>
      </c>
      <c r="I2076" s="3" t="s">
        <v>76</v>
      </c>
      <c r="J2076" s="3" t="s">
        <v>77</v>
      </c>
      <c r="K2076" s="3" t="s">
        <v>78</v>
      </c>
      <c r="L2076" s="3" t="s">
        <v>97</v>
      </c>
      <c r="M2076" s="3" t="s">
        <v>98</v>
      </c>
      <c r="N2076" s="3" t="s">
        <v>1068</v>
      </c>
      <c r="O2076" s="3" t="s">
        <v>82</v>
      </c>
      <c r="P2076" s="3" t="str">
        <f>"2170818434                    "</f>
        <v xml:space="preserve">2170818434                    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12.07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0</v>
      </c>
      <c r="AZ2076" s="3">
        <v>0</v>
      </c>
      <c r="BA2076" s="3">
        <v>0</v>
      </c>
      <c r="BB2076" s="3">
        <v>0</v>
      </c>
      <c r="BC2076" s="3">
        <v>0</v>
      </c>
      <c r="BD2076" s="3">
        <v>0</v>
      </c>
      <c r="BE2076" s="3">
        <v>0</v>
      </c>
      <c r="BF2076" s="3">
        <v>0</v>
      </c>
      <c r="BG2076" s="3">
        <v>0</v>
      </c>
      <c r="BH2076" s="3">
        <v>1</v>
      </c>
      <c r="BI2076" s="3">
        <v>2</v>
      </c>
      <c r="BJ2076" s="3">
        <v>1.1000000000000001</v>
      </c>
      <c r="BK2076" s="3">
        <v>2</v>
      </c>
      <c r="BL2076" s="3">
        <v>46.08</v>
      </c>
      <c r="BM2076" s="3">
        <v>6.91</v>
      </c>
      <c r="BN2076" s="3">
        <v>52.99</v>
      </c>
      <c r="BO2076" s="3">
        <v>52.99</v>
      </c>
      <c r="BR2076" s="3" t="s">
        <v>84</v>
      </c>
      <c r="BS2076" s="4">
        <v>44588</v>
      </c>
      <c r="BT2076" s="5">
        <v>0.32708333333333334</v>
      </c>
      <c r="BU2076" s="3" t="s">
        <v>1374</v>
      </c>
      <c r="BV2076" s="3" t="s">
        <v>105</v>
      </c>
      <c r="BY2076" s="3">
        <v>5320</v>
      </c>
      <c r="BZ2076" s="3" t="s">
        <v>165</v>
      </c>
      <c r="CA2076" s="3" t="s">
        <v>297</v>
      </c>
      <c r="CC2076" s="3" t="s">
        <v>98</v>
      </c>
      <c r="CD2076" s="3">
        <v>2013</v>
      </c>
      <c r="CE2076" s="3" t="s">
        <v>86</v>
      </c>
      <c r="CF2076" s="4">
        <v>44588</v>
      </c>
      <c r="CI2076" s="3">
        <v>1</v>
      </c>
      <c r="CJ2076" s="3">
        <v>1</v>
      </c>
      <c r="CK2076" s="3">
        <v>22</v>
      </c>
      <c r="CL2076" s="3" t="s">
        <v>87</v>
      </c>
    </row>
    <row r="2077" spans="1:90" x14ac:dyDescent="0.2">
      <c r="A2077" s="3" t="s">
        <v>72</v>
      </c>
      <c r="B2077" s="3" t="s">
        <v>73</v>
      </c>
      <c r="C2077" s="3" t="s">
        <v>74</v>
      </c>
      <c r="E2077" s="3" t="str">
        <f>"FES1162847110"</f>
        <v>FES1162847110</v>
      </c>
      <c r="F2077" s="4">
        <v>44587</v>
      </c>
      <c r="G2077" s="3">
        <v>202207</v>
      </c>
      <c r="H2077" s="3" t="s">
        <v>75</v>
      </c>
      <c r="I2077" s="3" t="s">
        <v>76</v>
      </c>
      <c r="J2077" s="3" t="s">
        <v>77</v>
      </c>
      <c r="K2077" s="3" t="s">
        <v>78</v>
      </c>
      <c r="L2077" s="3" t="s">
        <v>171</v>
      </c>
      <c r="M2077" s="3" t="s">
        <v>172</v>
      </c>
      <c r="N2077" s="3" t="s">
        <v>454</v>
      </c>
      <c r="O2077" s="3" t="s">
        <v>148</v>
      </c>
      <c r="P2077" s="3" t="str">
        <f>"2170818419                    "</f>
        <v xml:space="preserve">2170818419                    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34.82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0</v>
      </c>
      <c r="AZ2077" s="3">
        <v>0</v>
      </c>
      <c r="BA2077" s="3">
        <v>0</v>
      </c>
      <c r="BB2077" s="3">
        <v>0</v>
      </c>
      <c r="BC2077" s="3">
        <v>0</v>
      </c>
      <c r="BD2077" s="3">
        <v>0</v>
      </c>
      <c r="BE2077" s="3">
        <v>0</v>
      </c>
      <c r="BF2077" s="3">
        <v>0</v>
      </c>
      <c r="BG2077" s="3">
        <v>0</v>
      </c>
      <c r="BH2077" s="3">
        <v>1</v>
      </c>
      <c r="BI2077" s="3">
        <v>10</v>
      </c>
      <c r="BJ2077" s="3">
        <v>18.3</v>
      </c>
      <c r="BK2077" s="3">
        <v>19</v>
      </c>
      <c r="BL2077" s="3">
        <v>138.15</v>
      </c>
      <c r="BM2077" s="3">
        <v>20.72</v>
      </c>
      <c r="BN2077" s="3">
        <v>158.87</v>
      </c>
      <c r="BO2077" s="3">
        <v>158.87</v>
      </c>
      <c r="BQ2077" s="3" t="s">
        <v>89</v>
      </c>
      <c r="BR2077" s="3" t="s">
        <v>84</v>
      </c>
      <c r="BS2077" s="4">
        <v>44589</v>
      </c>
      <c r="BT2077" s="5">
        <v>0.38263888888888892</v>
      </c>
      <c r="BU2077" s="3" t="s">
        <v>2201</v>
      </c>
      <c r="BV2077" s="3" t="s">
        <v>105</v>
      </c>
      <c r="BY2077" s="3">
        <v>91264</v>
      </c>
      <c r="BZ2077" s="3" t="s">
        <v>327</v>
      </c>
      <c r="CA2077" s="3" t="s">
        <v>509</v>
      </c>
      <c r="CC2077" s="3" t="s">
        <v>172</v>
      </c>
      <c r="CD2077" s="3">
        <v>6001</v>
      </c>
      <c r="CE2077" s="3" t="s">
        <v>86</v>
      </c>
      <c r="CF2077" s="4">
        <v>44589</v>
      </c>
      <c r="CI2077" s="3">
        <v>2</v>
      </c>
      <c r="CJ2077" s="3">
        <v>2</v>
      </c>
      <c r="CK2077" s="3">
        <v>41</v>
      </c>
      <c r="CL2077" s="3" t="s">
        <v>87</v>
      </c>
    </row>
    <row r="2078" spans="1:90" x14ac:dyDescent="0.2">
      <c r="A2078" s="3" t="s">
        <v>72</v>
      </c>
      <c r="B2078" s="3" t="s">
        <v>73</v>
      </c>
      <c r="C2078" s="3" t="s">
        <v>74</v>
      </c>
      <c r="E2078" s="3" t="str">
        <f>"009942045034"</f>
        <v>009942045034</v>
      </c>
      <c r="F2078" s="4">
        <v>44587</v>
      </c>
      <c r="G2078" s="3">
        <v>202207</v>
      </c>
      <c r="H2078" s="3" t="s">
        <v>75</v>
      </c>
      <c r="I2078" s="3" t="s">
        <v>76</v>
      </c>
      <c r="J2078" s="3" t="s">
        <v>77</v>
      </c>
      <c r="K2078" s="3" t="s">
        <v>78</v>
      </c>
      <c r="L2078" s="3" t="s">
        <v>75</v>
      </c>
      <c r="M2078" s="3" t="s">
        <v>76</v>
      </c>
      <c r="N2078" s="3" t="s">
        <v>147</v>
      </c>
      <c r="O2078" s="3" t="s">
        <v>82</v>
      </c>
      <c r="P2078" s="3" t="str">
        <f>"1162841882                    "</f>
        <v xml:space="preserve">1162841882                    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455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173.6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0</v>
      </c>
      <c r="AZ2078" s="3">
        <v>0</v>
      </c>
      <c r="BA2078" s="3">
        <v>0</v>
      </c>
      <c r="BB2078" s="3">
        <v>0</v>
      </c>
      <c r="BC2078" s="3">
        <v>0</v>
      </c>
      <c r="BD2078" s="3">
        <v>0</v>
      </c>
      <c r="BE2078" s="3">
        <v>0</v>
      </c>
      <c r="BF2078" s="3">
        <v>0</v>
      </c>
      <c r="BG2078" s="3">
        <v>0</v>
      </c>
      <c r="BH2078" s="3">
        <v>1</v>
      </c>
      <c r="BI2078" s="3">
        <v>1</v>
      </c>
      <c r="BJ2078" s="3">
        <v>0.2</v>
      </c>
      <c r="BK2078" s="3">
        <v>1</v>
      </c>
      <c r="BL2078" s="3">
        <v>662.61</v>
      </c>
      <c r="BM2078" s="3">
        <v>99.39</v>
      </c>
      <c r="BN2078" s="3">
        <v>762</v>
      </c>
      <c r="BO2078" s="3">
        <v>762</v>
      </c>
      <c r="BP2078" s="3" t="s">
        <v>2202</v>
      </c>
      <c r="BQ2078" s="3" t="s">
        <v>89</v>
      </c>
      <c r="BR2078" s="3" t="s">
        <v>84</v>
      </c>
      <c r="BS2078" s="4">
        <v>44588</v>
      </c>
      <c r="BT2078" s="5">
        <v>0.34583333333333338</v>
      </c>
      <c r="BU2078" s="3" t="s">
        <v>2203</v>
      </c>
      <c r="BV2078" s="3" t="s">
        <v>105</v>
      </c>
      <c r="BY2078" s="3">
        <v>1200</v>
      </c>
      <c r="BZ2078" s="3" t="s">
        <v>2204</v>
      </c>
      <c r="CA2078" s="3" t="s">
        <v>1311</v>
      </c>
      <c r="CC2078" s="3" t="s">
        <v>76</v>
      </c>
      <c r="CD2078" s="3">
        <v>1645</v>
      </c>
      <c r="CE2078" s="3" t="s">
        <v>93</v>
      </c>
      <c r="CI2078" s="3">
        <v>1</v>
      </c>
      <c r="CJ2078" s="3">
        <v>1</v>
      </c>
      <c r="CK2078" s="3">
        <v>22</v>
      </c>
      <c r="CL2078" s="3" t="s">
        <v>87</v>
      </c>
    </row>
    <row r="2079" spans="1:90" x14ac:dyDescent="0.2">
      <c r="A2079" s="3" t="s">
        <v>72</v>
      </c>
      <c r="B2079" s="3" t="s">
        <v>73</v>
      </c>
      <c r="C2079" s="3" t="s">
        <v>74</v>
      </c>
      <c r="E2079" s="3" t="str">
        <f>"FES1162847127"</f>
        <v>FES1162847127</v>
      </c>
      <c r="F2079" s="4">
        <v>44587</v>
      </c>
      <c r="G2079" s="3">
        <v>202207</v>
      </c>
      <c r="H2079" s="3" t="s">
        <v>75</v>
      </c>
      <c r="I2079" s="3" t="s">
        <v>76</v>
      </c>
      <c r="J2079" s="3" t="s">
        <v>77</v>
      </c>
      <c r="K2079" s="3" t="s">
        <v>78</v>
      </c>
      <c r="L2079" s="3" t="s">
        <v>138</v>
      </c>
      <c r="M2079" s="3" t="s">
        <v>139</v>
      </c>
      <c r="N2079" s="3" t="s">
        <v>1206</v>
      </c>
      <c r="O2079" s="3" t="s">
        <v>148</v>
      </c>
      <c r="P2079" s="3" t="str">
        <f>"2170818441                    "</f>
        <v xml:space="preserve">2170818441                    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29.89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v>0</v>
      </c>
      <c r="BA2079" s="3">
        <v>0</v>
      </c>
      <c r="BB2079" s="3">
        <v>0</v>
      </c>
      <c r="BC2079" s="3">
        <v>0</v>
      </c>
      <c r="BD2079" s="3">
        <v>0</v>
      </c>
      <c r="BE2079" s="3">
        <v>0</v>
      </c>
      <c r="BF2079" s="3">
        <v>0</v>
      </c>
      <c r="BG2079" s="3">
        <v>0</v>
      </c>
      <c r="BH2079" s="3">
        <v>1</v>
      </c>
      <c r="BI2079" s="3">
        <v>5</v>
      </c>
      <c r="BJ2079" s="3">
        <v>2.7</v>
      </c>
      <c r="BK2079" s="3">
        <v>5</v>
      </c>
      <c r="BL2079" s="3">
        <v>119.34</v>
      </c>
      <c r="BM2079" s="3">
        <v>17.899999999999999</v>
      </c>
      <c r="BN2079" s="3">
        <v>137.24</v>
      </c>
      <c r="BO2079" s="3">
        <v>137.24</v>
      </c>
      <c r="BR2079" s="3" t="s">
        <v>84</v>
      </c>
      <c r="BS2079" s="4">
        <v>44589</v>
      </c>
      <c r="BT2079" s="5">
        <v>0.38472222222222219</v>
      </c>
      <c r="BU2079" s="3" t="s">
        <v>2205</v>
      </c>
      <c r="BV2079" s="3" t="s">
        <v>87</v>
      </c>
      <c r="BW2079" s="3" t="s">
        <v>457</v>
      </c>
      <c r="BX2079" s="3" t="s">
        <v>1878</v>
      </c>
      <c r="BY2079" s="3">
        <v>13455</v>
      </c>
      <c r="BZ2079" s="3" t="s">
        <v>327</v>
      </c>
      <c r="CA2079" s="3" t="s">
        <v>240</v>
      </c>
      <c r="CC2079" s="3" t="s">
        <v>139</v>
      </c>
      <c r="CD2079" s="3">
        <v>3610</v>
      </c>
      <c r="CE2079" s="3" t="s">
        <v>86</v>
      </c>
      <c r="CI2079" s="3">
        <v>1</v>
      </c>
      <c r="CJ2079" s="3">
        <v>2</v>
      </c>
      <c r="CK2079" s="3">
        <v>41</v>
      </c>
      <c r="CL2079" s="3" t="s">
        <v>87</v>
      </c>
    </row>
    <row r="2080" spans="1:90" x14ac:dyDescent="0.2">
      <c r="A2080" s="3" t="s">
        <v>72</v>
      </c>
      <c r="B2080" s="3" t="s">
        <v>73</v>
      </c>
      <c r="C2080" s="3" t="s">
        <v>74</v>
      </c>
      <c r="E2080" s="3" t="str">
        <f>"FES1162847116"</f>
        <v>FES1162847116</v>
      </c>
      <c r="F2080" s="4">
        <v>44587</v>
      </c>
      <c r="G2080" s="3">
        <v>202207</v>
      </c>
      <c r="H2080" s="3" t="s">
        <v>75</v>
      </c>
      <c r="I2080" s="3" t="s">
        <v>76</v>
      </c>
      <c r="J2080" s="3" t="s">
        <v>77</v>
      </c>
      <c r="K2080" s="3" t="s">
        <v>78</v>
      </c>
      <c r="L2080" s="3" t="s">
        <v>2194</v>
      </c>
      <c r="M2080" s="3" t="s">
        <v>2195</v>
      </c>
      <c r="N2080" s="3" t="s">
        <v>2196</v>
      </c>
      <c r="O2080" s="3" t="s">
        <v>82</v>
      </c>
      <c r="P2080" s="3" t="str">
        <f>"2170817902                    "</f>
        <v xml:space="preserve">2170817902                    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43.47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v>0</v>
      </c>
      <c r="BA2080" s="3">
        <v>0</v>
      </c>
      <c r="BB2080" s="3">
        <v>0</v>
      </c>
      <c r="BC2080" s="3">
        <v>0</v>
      </c>
      <c r="BD2080" s="3">
        <v>0</v>
      </c>
      <c r="BE2080" s="3">
        <v>0</v>
      </c>
      <c r="BF2080" s="3">
        <v>0</v>
      </c>
      <c r="BG2080" s="3">
        <v>0</v>
      </c>
      <c r="BH2080" s="3">
        <v>1</v>
      </c>
      <c r="BI2080" s="3">
        <v>3</v>
      </c>
      <c r="BJ2080" s="3">
        <v>2</v>
      </c>
      <c r="BK2080" s="3">
        <v>3</v>
      </c>
      <c r="BL2080" s="3">
        <v>165.93</v>
      </c>
      <c r="BM2080" s="3">
        <v>24.89</v>
      </c>
      <c r="BN2080" s="3">
        <v>190.82</v>
      </c>
      <c r="BO2080" s="3">
        <v>190.82</v>
      </c>
      <c r="BR2080" s="3" t="s">
        <v>84</v>
      </c>
      <c r="BS2080" s="4">
        <v>44588</v>
      </c>
      <c r="BT2080" s="5">
        <v>0.41666666666666669</v>
      </c>
      <c r="BU2080" s="3" t="s">
        <v>2206</v>
      </c>
      <c r="BV2080" s="3" t="s">
        <v>105</v>
      </c>
      <c r="BY2080" s="3">
        <v>9900</v>
      </c>
      <c r="BZ2080" s="3" t="s">
        <v>165</v>
      </c>
      <c r="CC2080" s="3" t="s">
        <v>2195</v>
      </c>
      <c r="CD2080" s="3">
        <v>6705</v>
      </c>
      <c r="CE2080" s="3" t="s">
        <v>221</v>
      </c>
      <c r="CF2080" s="4">
        <v>44589</v>
      </c>
      <c r="CI2080" s="3">
        <v>2</v>
      </c>
      <c r="CJ2080" s="3">
        <v>1</v>
      </c>
      <c r="CK2080" s="3">
        <v>23</v>
      </c>
      <c r="CL2080" s="3" t="s">
        <v>87</v>
      </c>
    </row>
    <row r="2081" spans="1:90" x14ac:dyDescent="0.2">
      <c r="A2081" s="3" t="s">
        <v>72</v>
      </c>
      <c r="B2081" s="3" t="s">
        <v>73</v>
      </c>
      <c r="C2081" s="3" t="s">
        <v>74</v>
      </c>
      <c r="E2081" s="3" t="str">
        <f>"FES1162847117"</f>
        <v>FES1162847117</v>
      </c>
      <c r="F2081" s="4">
        <v>44587</v>
      </c>
      <c r="G2081" s="3">
        <v>202207</v>
      </c>
      <c r="H2081" s="3" t="s">
        <v>75</v>
      </c>
      <c r="I2081" s="3" t="s">
        <v>76</v>
      </c>
      <c r="J2081" s="3" t="s">
        <v>77</v>
      </c>
      <c r="K2081" s="3" t="s">
        <v>78</v>
      </c>
      <c r="L2081" s="3" t="s">
        <v>244</v>
      </c>
      <c r="M2081" s="3" t="s">
        <v>245</v>
      </c>
      <c r="N2081" s="3" t="s">
        <v>246</v>
      </c>
      <c r="O2081" s="3" t="s">
        <v>82</v>
      </c>
      <c r="P2081" s="3" t="str">
        <f>"2170818429                    "</f>
        <v xml:space="preserve">2170818429                    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57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0</v>
      </c>
      <c r="AZ2081" s="3">
        <v>0</v>
      </c>
      <c r="BA2081" s="3">
        <v>0</v>
      </c>
      <c r="BB2081" s="3">
        <v>0</v>
      </c>
      <c r="BC2081" s="3">
        <v>0</v>
      </c>
      <c r="BD2081" s="3">
        <v>0</v>
      </c>
      <c r="BE2081" s="3">
        <v>0</v>
      </c>
      <c r="BF2081" s="3">
        <v>0</v>
      </c>
      <c r="BG2081" s="3">
        <v>0</v>
      </c>
      <c r="BH2081" s="3">
        <v>1</v>
      </c>
      <c r="BI2081" s="3">
        <v>4</v>
      </c>
      <c r="BJ2081" s="3">
        <v>1.8</v>
      </c>
      <c r="BK2081" s="3">
        <v>4</v>
      </c>
      <c r="BL2081" s="3">
        <v>217.56</v>
      </c>
      <c r="BM2081" s="3">
        <v>32.630000000000003</v>
      </c>
      <c r="BN2081" s="3">
        <v>250.19</v>
      </c>
      <c r="BO2081" s="3">
        <v>250.19</v>
      </c>
      <c r="BQ2081" s="3" t="s">
        <v>89</v>
      </c>
      <c r="BR2081" s="3" t="s">
        <v>84</v>
      </c>
      <c r="BS2081" s="4">
        <v>44588</v>
      </c>
      <c r="BT2081" s="5">
        <v>0.43124999999999997</v>
      </c>
      <c r="BU2081" s="3" t="s">
        <v>2207</v>
      </c>
      <c r="BV2081" s="3" t="s">
        <v>105</v>
      </c>
      <c r="BY2081" s="3">
        <v>8775</v>
      </c>
      <c r="BZ2081" s="3" t="s">
        <v>165</v>
      </c>
      <c r="CA2081" s="3" t="s">
        <v>402</v>
      </c>
      <c r="CC2081" s="3" t="s">
        <v>245</v>
      </c>
      <c r="CD2081" s="3">
        <v>1947</v>
      </c>
      <c r="CE2081" s="3" t="s">
        <v>86</v>
      </c>
      <c r="CF2081" s="4">
        <v>44589</v>
      </c>
      <c r="CI2081" s="3">
        <v>1</v>
      </c>
      <c r="CJ2081" s="3">
        <v>1</v>
      </c>
      <c r="CK2081" s="3">
        <v>23</v>
      </c>
      <c r="CL2081" s="3" t="s">
        <v>87</v>
      </c>
    </row>
    <row r="2082" spans="1:90" x14ac:dyDescent="0.2">
      <c r="A2082" s="3" t="s">
        <v>72</v>
      </c>
      <c r="B2082" s="3" t="s">
        <v>73</v>
      </c>
      <c r="C2082" s="3" t="s">
        <v>74</v>
      </c>
      <c r="E2082" s="3" t="str">
        <f>"FES1162847083"</f>
        <v>FES1162847083</v>
      </c>
      <c r="F2082" s="4">
        <v>44587</v>
      </c>
      <c r="G2082" s="3">
        <v>202207</v>
      </c>
      <c r="H2082" s="3" t="s">
        <v>75</v>
      </c>
      <c r="I2082" s="3" t="s">
        <v>76</v>
      </c>
      <c r="J2082" s="3" t="s">
        <v>77</v>
      </c>
      <c r="K2082" s="3" t="s">
        <v>78</v>
      </c>
      <c r="L2082" s="3" t="s">
        <v>2194</v>
      </c>
      <c r="M2082" s="3" t="s">
        <v>2195</v>
      </c>
      <c r="N2082" s="3" t="s">
        <v>2196</v>
      </c>
      <c r="O2082" s="3" t="s">
        <v>82</v>
      </c>
      <c r="P2082" s="3" t="str">
        <f>"2170817902                    "</f>
        <v xml:space="preserve">2170817902                    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97.58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v>0</v>
      </c>
      <c r="BA2082" s="3">
        <v>0</v>
      </c>
      <c r="BB2082" s="3">
        <v>0</v>
      </c>
      <c r="BC2082" s="3">
        <v>0</v>
      </c>
      <c r="BD2082" s="3">
        <v>0</v>
      </c>
      <c r="BE2082" s="3">
        <v>0</v>
      </c>
      <c r="BF2082" s="3">
        <v>0</v>
      </c>
      <c r="BG2082" s="3">
        <v>0</v>
      </c>
      <c r="BH2082" s="3">
        <v>1</v>
      </c>
      <c r="BI2082" s="3">
        <v>7</v>
      </c>
      <c r="BJ2082" s="3">
        <v>4.0999999999999996</v>
      </c>
      <c r="BK2082" s="3">
        <v>7</v>
      </c>
      <c r="BL2082" s="3">
        <v>372.44</v>
      </c>
      <c r="BM2082" s="3">
        <v>55.87</v>
      </c>
      <c r="BN2082" s="3">
        <v>428.31</v>
      </c>
      <c r="BO2082" s="3">
        <v>428.31</v>
      </c>
      <c r="BR2082" s="3" t="s">
        <v>84</v>
      </c>
      <c r="BS2082" s="4">
        <v>44588</v>
      </c>
      <c r="BT2082" s="5">
        <v>0.41666666666666669</v>
      </c>
      <c r="BU2082" s="3" t="s">
        <v>658</v>
      </c>
      <c r="BV2082" s="3" t="s">
        <v>105</v>
      </c>
      <c r="BY2082" s="3">
        <v>20358</v>
      </c>
      <c r="BZ2082" s="3" t="s">
        <v>165</v>
      </c>
      <c r="CC2082" s="3" t="s">
        <v>2195</v>
      </c>
      <c r="CD2082" s="3">
        <v>6705</v>
      </c>
      <c r="CE2082" s="3" t="s">
        <v>221</v>
      </c>
      <c r="CF2082" s="4">
        <v>44589</v>
      </c>
      <c r="CI2082" s="3">
        <v>2</v>
      </c>
      <c r="CJ2082" s="3">
        <v>1</v>
      </c>
      <c r="CK2082" s="3">
        <v>23</v>
      </c>
      <c r="CL2082" s="3" t="s">
        <v>87</v>
      </c>
    </row>
    <row r="2083" spans="1:90" x14ac:dyDescent="0.2">
      <c r="A2083" s="3" t="s">
        <v>72</v>
      </c>
      <c r="B2083" s="3" t="s">
        <v>73</v>
      </c>
      <c r="C2083" s="3" t="s">
        <v>74</v>
      </c>
      <c r="E2083" s="3" t="str">
        <f>"FES1162847128"</f>
        <v>FES1162847128</v>
      </c>
      <c r="F2083" s="4">
        <v>44587</v>
      </c>
      <c r="G2083" s="3">
        <v>202207</v>
      </c>
      <c r="H2083" s="3" t="s">
        <v>75</v>
      </c>
      <c r="I2083" s="3" t="s">
        <v>76</v>
      </c>
      <c r="J2083" s="3" t="s">
        <v>77</v>
      </c>
      <c r="K2083" s="3" t="s">
        <v>78</v>
      </c>
      <c r="L2083" s="3" t="s">
        <v>97</v>
      </c>
      <c r="M2083" s="3" t="s">
        <v>98</v>
      </c>
      <c r="N2083" s="3" t="s">
        <v>482</v>
      </c>
      <c r="O2083" s="3" t="s">
        <v>1237</v>
      </c>
      <c r="P2083" s="3" t="str">
        <f>"2170818442                    "</f>
        <v xml:space="preserve">2170818442                    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12.08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v>0</v>
      </c>
      <c r="BA2083" s="3">
        <v>0</v>
      </c>
      <c r="BB2083" s="3">
        <v>0</v>
      </c>
      <c r="BC2083" s="3">
        <v>0</v>
      </c>
      <c r="BD2083" s="3">
        <v>0</v>
      </c>
      <c r="BE2083" s="3">
        <v>0</v>
      </c>
      <c r="BF2083" s="3">
        <v>0</v>
      </c>
      <c r="BG2083" s="3">
        <v>0</v>
      </c>
      <c r="BH2083" s="3">
        <v>1</v>
      </c>
      <c r="BI2083" s="3">
        <v>3</v>
      </c>
      <c r="BJ2083" s="3">
        <v>1.3</v>
      </c>
      <c r="BK2083" s="3">
        <v>3</v>
      </c>
      <c r="BL2083" s="3">
        <v>46.1</v>
      </c>
      <c r="BM2083" s="3">
        <v>6.92</v>
      </c>
      <c r="BN2083" s="3">
        <v>53.02</v>
      </c>
      <c r="BO2083" s="3">
        <v>53.02</v>
      </c>
      <c r="BQ2083" s="3" t="s">
        <v>89</v>
      </c>
      <c r="BR2083" s="3" t="s">
        <v>84</v>
      </c>
      <c r="BS2083" s="4">
        <v>44588</v>
      </c>
      <c r="BT2083" s="5">
        <v>0.4368055555555555</v>
      </c>
      <c r="BU2083" s="3" t="s">
        <v>1380</v>
      </c>
      <c r="BV2083" s="3" t="s">
        <v>105</v>
      </c>
      <c r="BY2083" s="3">
        <v>6555</v>
      </c>
      <c r="BZ2083" s="3" t="s">
        <v>327</v>
      </c>
      <c r="CA2083" s="3" t="s">
        <v>2185</v>
      </c>
      <c r="CC2083" s="3" t="s">
        <v>98</v>
      </c>
      <c r="CD2083" s="3">
        <v>2197</v>
      </c>
      <c r="CE2083" s="3" t="s">
        <v>86</v>
      </c>
      <c r="CF2083" s="4">
        <v>44588</v>
      </c>
      <c r="CI2083" s="3">
        <v>1</v>
      </c>
      <c r="CJ2083" s="3">
        <v>1</v>
      </c>
      <c r="CK2083" s="3">
        <v>32</v>
      </c>
      <c r="CL2083" s="3" t="s">
        <v>87</v>
      </c>
    </row>
    <row r="2084" spans="1:90" x14ac:dyDescent="0.2">
      <c r="A2084" s="3" t="s">
        <v>72</v>
      </c>
      <c r="B2084" s="3" t="s">
        <v>73</v>
      </c>
      <c r="C2084" s="3" t="s">
        <v>74</v>
      </c>
      <c r="E2084" s="3" t="str">
        <f>"FES1162847085"</f>
        <v>FES1162847085</v>
      </c>
      <c r="F2084" s="4">
        <v>44587</v>
      </c>
      <c r="G2084" s="3">
        <v>202207</v>
      </c>
      <c r="H2084" s="3" t="s">
        <v>75</v>
      </c>
      <c r="I2084" s="3" t="s">
        <v>76</v>
      </c>
      <c r="J2084" s="3" t="s">
        <v>77</v>
      </c>
      <c r="K2084" s="3" t="s">
        <v>78</v>
      </c>
      <c r="L2084" s="3" t="s">
        <v>258</v>
      </c>
      <c r="M2084" s="3" t="s">
        <v>259</v>
      </c>
      <c r="N2084" s="3" t="s">
        <v>412</v>
      </c>
      <c r="O2084" s="3" t="s">
        <v>82</v>
      </c>
      <c r="P2084" s="3" t="str">
        <f>"2170815996                    "</f>
        <v xml:space="preserve">2170815996                    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48.21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0</v>
      </c>
      <c r="AZ2084" s="3">
        <v>0</v>
      </c>
      <c r="BA2084" s="3">
        <v>0</v>
      </c>
      <c r="BB2084" s="3">
        <v>0</v>
      </c>
      <c r="BC2084" s="3">
        <v>0</v>
      </c>
      <c r="BD2084" s="3">
        <v>0</v>
      </c>
      <c r="BE2084" s="3">
        <v>0</v>
      </c>
      <c r="BF2084" s="3">
        <v>0</v>
      </c>
      <c r="BG2084" s="3">
        <v>0</v>
      </c>
      <c r="BH2084" s="3">
        <v>1</v>
      </c>
      <c r="BI2084" s="3">
        <v>4</v>
      </c>
      <c r="BJ2084" s="3">
        <v>4.0999999999999996</v>
      </c>
      <c r="BK2084" s="3">
        <v>4.5</v>
      </c>
      <c r="BL2084" s="3">
        <v>184</v>
      </c>
      <c r="BM2084" s="3">
        <v>27.6</v>
      </c>
      <c r="BN2084" s="3">
        <v>211.6</v>
      </c>
      <c r="BO2084" s="3">
        <v>211.6</v>
      </c>
      <c r="BQ2084" s="3" t="s">
        <v>83</v>
      </c>
      <c r="BR2084" s="3" t="s">
        <v>84</v>
      </c>
      <c r="BS2084" s="4">
        <v>44589</v>
      </c>
      <c r="BT2084" s="5">
        <v>0.41805555555555557</v>
      </c>
      <c r="BU2084" s="3" t="s">
        <v>2208</v>
      </c>
      <c r="BV2084" s="3" t="s">
        <v>87</v>
      </c>
      <c r="BW2084" s="3" t="s">
        <v>278</v>
      </c>
      <c r="BX2084" s="3" t="s">
        <v>723</v>
      </c>
      <c r="BY2084" s="3">
        <v>20358</v>
      </c>
      <c r="BZ2084" s="3" t="s">
        <v>165</v>
      </c>
      <c r="CA2084" s="3" t="s">
        <v>779</v>
      </c>
      <c r="CC2084" s="3" t="s">
        <v>259</v>
      </c>
      <c r="CD2084" s="3">
        <v>2302</v>
      </c>
      <c r="CE2084" s="3" t="s">
        <v>86</v>
      </c>
      <c r="CF2084" s="4">
        <v>44592</v>
      </c>
      <c r="CI2084" s="3">
        <v>1</v>
      </c>
      <c r="CJ2084" s="3">
        <v>2</v>
      </c>
      <c r="CK2084" s="3">
        <v>24</v>
      </c>
      <c r="CL2084" s="3" t="s">
        <v>87</v>
      </c>
    </row>
    <row r="2085" spans="1:90" x14ac:dyDescent="0.2">
      <c r="A2085" s="3" t="s">
        <v>72</v>
      </c>
      <c r="B2085" s="3" t="s">
        <v>73</v>
      </c>
      <c r="C2085" s="3" t="s">
        <v>74</v>
      </c>
      <c r="E2085" s="3" t="str">
        <f>"FES1162847120"</f>
        <v>FES1162847120</v>
      </c>
      <c r="F2085" s="4">
        <v>44587</v>
      </c>
      <c r="G2085" s="3">
        <v>202207</v>
      </c>
      <c r="H2085" s="3" t="s">
        <v>75</v>
      </c>
      <c r="I2085" s="3" t="s">
        <v>76</v>
      </c>
      <c r="J2085" s="3" t="s">
        <v>77</v>
      </c>
      <c r="K2085" s="3" t="s">
        <v>78</v>
      </c>
      <c r="L2085" s="3" t="s">
        <v>250</v>
      </c>
      <c r="M2085" s="3" t="s">
        <v>251</v>
      </c>
      <c r="N2085" s="3" t="s">
        <v>252</v>
      </c>
      <c r="O2085" s="3" t="s">
        <v>82</v>
      </c>
      <c r="P2085" s="3" t="str">
        <f>"2170818433                    "</f>
        <v xml:space="preserve">2170818433                    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57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v>0</v>
      </c>
      <c r="BA2085" s="3">
        <v>0</v>
      </c>
      <c r="BB2085" s="3">
        <v>0</v>
      </c>
      <c r="BC2085" s="3">
        <v>0</v>
      </c>
      <c r="BD2085" s="3">
        <v>0</v>
      </c>
      <c r="BE2085" s="3">
        <v>0</v>
      </c>
      <c r="BF2085" s="3">
        <v>0</v>
      </c>
      <c r="BG2085" s="3">
        <v>0</v>
      </c>
      <c r="BH2085" s="3">
        <v>1</v>
      </c>
      <c r="BI2085" s="3">
        <v>3</v>
      </c>
      <c r="BJ2085" s="3">
        <v>3.9</v>
      </c>
      <c r="BK2085" s="3">
        <v>4</v>
      </c>
      <c r="BL2085" s="3">
        <v>217.56</v>
      </c>
      <c r="BM2085" s="3">
        <v>32.630000000000003</v>
      </c>
      <c r="BN2085" s="3">
        <v>250.19</v>
      </c>
      <c r="BO2085" s="3">
        <v>250.19</v>
      </c>
      <c r="BQ2085" s="3" t="s">
        <v>253</v>
      </c>
      <c r="BR2085" s="3" t="s">
        <v>84</v>
      </c>
      <c r="BS2085" s="4">
        <v>44588</v>
      </c>
      <c r="BT2085" s="5">
        <v>0.55347222222222225</v>
      </c>
      <c r="BU2085" s="3" t="s">
        <v>2041</v>
      </c>
      <c r="BV2085" s="3" t="s">
        <v>105</v>
      </c>
      <c r="BY2085" s="3">
        <v>19440</v>
      </c>
      <c r="BZ2085" s="3" t="s">
        <v>165</v>
      </c>
      <c r="CA2085" s="3" t="s">
        <v>368</v>
      </c>
      <c r="CC2085" s="3" t="s">
        <v>251</v>
      </c>
      <c r="CD2085" s="3">
        <v>6300</v>
      </c>
      <c r="CE2085" s="3" t="s">
        <v>86</v>
      </c>
      <c r="CF2085" s="4">
        <v>44588</v>
      </c>
      <c r="CI2085" s="3">
        <v>2</v>
      </c>
      <c r="CJ2085" s="3">
        <v>1</v>
      </c>
      <c r="CK2085" s="3">
        <v>23</v>
      </c>
      <c r="CL2085" s="3" t="s">
        <v>87</v>
      </c>
    </row>
    <row r="2086" spans="1:90" x14ac:dyDescent="0.2">
      <c r="A2086" s="3" t="s">
        <v>72</v>
      </c>
      <c r="B2086" s="3" t="s">
        <v>73</v>
      </c>
      <c r="C2086" s="3" t="s">
        <v>74</v>
      </c>
      <c r="E2086" s="3" t="str">
        <f>"FES1162847118"</f>
        <v>FES1162847118</v>
      </c>
      <c r="F2086" s="4">
        <v>44587</v>
      </c>
      <c r="G2086" s="3">
        <v>202207</v>
      </c>
      <c r="H2086" s="3" t="s">
        <v>75</v>
      </c>
      <c r="I2086" s="3" t="s">
        <v>76</v>
      </c>
      <c r="J2086" s="3" t="s">
        <v>77</v>
      </c>
      <c r="K2086" s="3" t="s">
        <v>78</v>
      </c>
      <c r="L2086" s="3" t="s">
        <v>79</v>
      </c>
      <c r="M2086" s="3" t="s">
        <v>80</v>
      </c>
      <c r="N2086" s="3" t="s">
        <v>1295</v>
      </c>
      <c r="O2086" s="3" t="s">
        <v>82</v>
      </c>
      <c r="P2086" s="3" t="str">
        <f>"2170818431                    "</f>
        <v xml:space="preserve">2170818431                    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15.46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v>0</v>
      </c>
      <c r="BA2086" s="3">
        <v>0</v>
      </c>
      <c r="BB2086" s="3">
        <v>0</v>
      </c>
      <c r="BC2086" s="3">
        <v>0</v>
      </c>
      <c r="BD2086" s="3">
        <v>0</v>
      </c>
      <c r="BE2086" s="3">
        <v>0</v>
      </c>
      <c r="BF2086" s="3">
        <v>0</v>
      </c>
      <c r="BG2086" s="3">
        <v>0</v>
      </c>
      <c r="BH2086" s="3">
        <v>1</v>
      </c>
      <c r="BI2086" s="3">
        <v>1</v>
      </c>
      <c r="BJ2086" s="3">
        <v>0.2</v>
      </c>
      <c r="BK2086" s="3">
        <v>1</v>
      </c>
      <c r="BL2086" s="3">
        <v>59</v>
      </c>
      <c r="BM2086" s="3">
        <v>8.85</v>
      </c>
      <c r="BN2086" s="3">
        <v>67.849999999999994</v>
      </c>
      <c r="BO2086" s="3">
        <v>67.849999999999994</v>
      </c>
      <c r="BQ2086" s="3" t="s">
        <v>83</v>
      </c>
      <c r="BR2086" s="3" t="s">
        <v>84</v>
      </c>
      <c r="BS2086" s="4">
        <v>44588</v>
      </c>
      <c r="BT2086" s="5">
        <v>0.41597222222222219</v>
      </c>
      <c r="BU2086" s="3" t="s">
        <v>2043</v>
      </c>
      <c r="BV2086" s="3" t="s">
        <v>105</v>
      </c>
      <c r="BY2086" s="3">
        <v>1200</v>
      </c>
      <c r="BZ2086" s="3" t="s">
        <v>165</v>
      </c>
      <c r="CA2086" s="3" t="s">
        <v>287</v>
      </c>
      <c r="CC2086" s="3" t="s">
        <v>80</v>
      </c>
      <c r="CD2086" s="3">
        <v>181</v>
      </c>
      <c r="CE2086" s="3" t="s">
        <v>1513</v>
      </c>
      <c r="CF2086" s="4">
        <v>44588</v>
      </c>
      <c r="CI2086" s="3">
        <v>1</v>
      </c>
      <c r="CJ2086" s="3">
        <v>1</v>
      </c>
      <c r="CK2086" s="3">
        <v>21</v>
      </c>
      <c r="CL2086" s="3" t="s">
        <v>87</v>
      </c>
    </row>
    <row r="2087" spans="1:90" x14ac:dyDescent="0.2">
      <c r="A2087" s="3" t="s">
        <v>72</v>
      </c>
      <c r="B2087" s="3" t="s">
        <v>73</v>
      </c>
      <c r="C2087" s="3" t="s">
        <v>74</v>
      </c>
      <c r="E2087" s="3" t="str">
        <f>"FES1162847122"</f>
        <v>FES1162847122</v>
      </c>
      <c r="F2087" s="4">
        <v>44587</v>
      </c>
      <c r="G2087" s="3">
        <v>202207</v>
      </c>
      <c r="H2087" s="3" t="s">
        <v>75</v>
      </c>
      <c r="I2087" s="3" t="s">
        <v>76</v>
      </c>
      <c r="J2087" s="3" t="s">
        <v>77</v>
      </c>
      <c r="K2087" s="3" t="s">
        <v>78</v>
      </c>
      <c r="L2087" s="3" t="s">
        <v>138</v>
      </c>
      <c r="M2087" s="3" t="s">
        <v>139</v>
      </c>
      <c r="N2087" s="3" t="s">
        <v>729</v>
      </c>
      <c r="O2087" s="3" t="s">
        <v>82</v>
      </c>
      <c r="P2087" s="3" t="str">
        <f>"2170818436                    "</f>
        <v xml:space="preserve">2170818436                    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15.46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v>0</v>
      </c>
      <c r="BA2087" s="3">
        <v>0</v>
      </c>
      <c r="BB2087" s="3">
        <v>0</v>
      </c>
      <c r="BC2087" s="3">
        <v>0</v>
      </c>
      <c r="BD2087" s="3">
        <v>0</v>
      </c>
      <c r="BE2087" s="3">
        <v>0</v>
      </c>
      <c r="BF2087" s="3">
        <v>0</v>
      </c>
      <c r="BG2087" s="3">
        <v>0</v>
      </c>
      <c r="BH2087" s="3">
        <v>1</v>
      </c>
      <c r="BI2087" s="3">
        <v>2</v>
      </c>
      <c r="BJ2087" s="3">
        <v>1.1000000000000001</v>
      </c>
      <c r="BK2087" s="3">
        <v>2</v>
      </c>
      <c r="BL2087" s="3">
        <v>59</v>
      </c>
      <c r="BM2087" s="3">
        <v>8.85</v>
      </c>
      <c r="BN2087" s="3">
        <v>67.849999999999994</v>
      </c>
      <c r="BO2087" s="3">
        <v>67.849999999999994</v>
      </c>
      <c r="BQ2087" s="3" t="s">
        <v>89</v>
      </c>
      <c r="BR2087" s="3" t="s">
        <v>84</v>
      </c>
      <c r="BS2087" s="4">
        <v>44588</v>
      </c>
      <c r="BT2087" s="5">
        <v>0.39374999999999999</v>
      </c>
      <c r="BU2087" s="3" t="s">
        <v>2209</v>
      </c>
      <c r="BV2087" s="3" t="s">
        <v>105</v>
      </c>
      <c r="BY2087" s="3">
        <v>5320</v>
      </c>
      <c r="BZ2087" s="3" t="s">
        <v>165</v>
      </c>
      <c r="CA2087" s="3" t="s">
        <v>334</v>
      </c>
      <c r="CC2087" s="3" t="s">
        <v>139</v>
      </c>
      <c r="CD2087" s="3">
        <v>3610</v>
      </c>
      <c r="CE2087" s="3" t="s">
        <v>86</v>
      </c>
      <c r="CF2087" s="4">
        <v>44589</v>
      </c>
      <c r="CI2087" s="3">
        <v>1</v>
      </c>
      <c r="CJ2087" s="3">
        <v>1</v>
      </c>
      <c r="CK2087" s="3">
        <v>21</v>
      </c>
      <c r="CL2087" s="3" t="s">
        <v>87</v>
      </c>
    </row>
    <row r="2088" spans="1:90" x14ac:dyDescent="0.2">
      <c r="A2088" s="3" t="s">
        <v>72</v>
      </c>
      <c r="B2088" s="3" t="s">
        <v>73</v>
      </c>
      <c r="C2088" s="3" t="s">
        <v>74</v>
      </c>
      <c r="E2088" s="3" t="str">
        <f>"FES1162847112"</f>
        <v>FES1162847112</v>
      </c>
      <c r="F2088" s="4">
        <v>44587</v>
      </c>
      <c r="G2088" s="3">
        <v>202207</v>
      </c>
      <c r="H2088" s="3" t="s">
        <v>75</v>
      </c>
      <c r="I2088" s="3" t="s">
        <v>76</v>
      </c>
      <c r="J2088" s="3" t="s">
        <v>77</v>
      </c>
      <c r="K2088" s="3" t="s">
        <v>78</v>
      </c>
      <c r="L2088" s="3" t="s">
        <v>115</v>
      </c>
      <c r="M2088" s="3" t="s">
        <v>116</v>
      </c>
      <c r="N2088" s="3" t="s">
        <v>2210</v>
      </c>
      <c r="O2088" s="3" t="s">
        <v>82</v>
      </c>
      <c r="P2088" s="3" t="str">
        <f>"2170818423                    "</f>
        <v xml:space="preserve">2170818423                    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12.07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v>0</v>
      </c>
      <c r="BA2088" s="3">
        <v>0</v>
      </c>
      <c r="BB2088" s="3">
        <v>0</v>
      </c>
      <c r="BC2088" s="3">
        <v>0</v>
      </c>
      <c r="BD2088" s="3">
        <v>0</v>
      </c>
      <c r="BE2088" s="3">
        <v>0</v>
      </c>
      <c r="BF2088" s="3">
        <v>0</v>
      </c>
      <c r="BG2088" s="3">
        <v>0</v>
      </c>
      <c r="BH2088" s="3">
        <v>1</v>
      </c>
      <c r="BI2088" s="3">
        <v>1</v>
      </c>
      <c r="BJ2088" s="3">
        <v>0.2</v>
      </c>
      <c r="BK2088" s="3">
        <v>1</v>
      </c>
      <c r="BL2088" s="3">
        <v>46.08</v>
      </c>
      <c r="BM2088" s="3">
        <v>6.91</v>
      </c>
      <c r="BN2088" s="3">
        <v>52.99</v>
      </c>
      <c r="BO2088" s="3">
        <v>52.99</v>
      </c>
      <c r="BQ2088" s="3" t="s">
        <v>2211</v>
      </c>
      <c r="BR2088" s="3" t="s">
        <v>84</v>
      </c>
      <c r="BS2088" s="4">
        <v>44588</v>
      </c>
      <c r="BT2088" s="5">
        <v>0.41388888888888892</v>
      </c>
      <c r="BU2088" s="3" t="s">
        <v>1066</v>
      </c>
      <c r="BV2088" s="3" t="s">
        <v>105</v>
      </c>
      <c r="BY2088" s="3">
        <v>1200</v>
      </c>
      <c r="BZ2088" s="3" t="s">
        <v>165</v>
      </c>
      <c r="CA2088" s="3" t="s">
        <v>119</v>
      </c>
      <c r="CC2088" s="3" t="s">
        <v>116</v>
      </c>
      <c r="CD2088" s="3">
        <v>1559</v>
      </c>
      <c r="CE2088" s="3" t="s">
        <v>93</v>
      </c>
      <c r="CF2088" s="4">
        <v>44588</v>
      </c>
      <c r="CI2088" s="3">
        <v>1</v>
      </c>
      <c r="CJ2088" s="3">
        <v>1</v>
      </c>
      <c r="CK2088" s="3">
        <v>22</v>
      </c>
      <c r="CL2088" s="3" t="s">
        <v>87</v>
      </c>
    </row>
    <row r="2089" spans="1:90" x14ac:dyDescent="0.2">
      <c r="A2089" s="3" t="s">
        <v>72</v>
      </c>
      <c r="B2089" s="3" t="s">
        <v>73</v>
      </c>
      <c r="C2089" s="3" t="s">
        <v>74</v>
      </c>
      <c r="E2089" s="3" t="str">
        <f>"FES1162846646"</f>
        <v>FES1162846646</v>
      </c>
      <c r="F2089" s="4">
        <v>44587</v>
      </c>
      <c r="G2089" s="3">
        <v>202207</v>
      </c>
      <c r="H2089" s="3" t="s">
        <v>75</v>
      </c>
      <c r="I2089" s="3" t="s">
        <v>76</v>
      </c>
      <c r="J2089" s="3" t="s">
        <v>77</v>
      </c>
      <c r="K2089" s="3" t="s">
        <v>78</v>
      </c>
      <c r="L2089" s="3" t="s">
        <v>90</v>
      </c>
      <c r="M2089" s="3" t="s">
        <v>91</v>
      </c>
      <c r="N2089" s="3" t="s">
        <v>2116</v>
      </c>
      <c r="O2089" s="3" t="s">
        <v>82</v>
      </c>
      <c r="P2089" s="3" t="str">
        <f>"2170818027                    "</f>
        <v xml:space="preserve">2170818027                    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115.88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v>0</v>
      </c>
      <c r="BA2089" s="3">
        <v>0</v>
      </c>
      <c r="BB2089" s="3">
        <v>0</v>
      </c>
      <c r="BC2089" s="3">
        <v>0</v>
      </c>
      <c r="BD2089" s="3">
        <v>0</v>
      </c>
      <c r="BE2089" s="3">
        <v>0</v>
      </c>
      <c r="BF2089" s="3">
        <v>0</v>
      </c>
      <c r="BG2089" s="3">
        <v>0</v>
      </c>
      <c r="BH2089" s="3">
        <v>1</v>
      </c>
      <c r="BI2089" s="3">
        <v>15</v>
      </c>
      <c r="BJ2089" s="3">
        <v>13</v>
      </c>
      <c r="BK2089" s="3">
        <v>15</v>
      </c>
      <c r="BL2089" s="3">
        <v>442.3</v>
      </c>
      <c r="BM2089" s="3">
        <v>66.349999999999994</v>
      </c>
      <c r="BN2089" s="3">
        <v>508.65</v>
      </c>
      <c r="BO2089" s="3">
        <v>508.65</v>
      </c>
      <c r="BQ2089" s="3" t="s">
        <v>2117</v>
      </c>
      <c r="BR2089" s="3" t="s">
        <v>84</v>
      </c>
      <c r="BS2089" s="4">
        <v>44588</v>
      </c>
      <c r="BT2089" s="5">
        <v>0.37847222222222227</v>
      </c>
      <c r="BU2089" s="3" t="s">
        <v>2197</v>
      </c>
      <c r="BV2089" s="3" t="s">
        <v>105</v>
      </c>
      <c r="BY2089" s="3">
        <v>64980</v>
      </c>
      <c r="BZ2089" s="3" t="s">
        <v>165</v>
      </c>
      <c r="CA2089" s="3" t="s">
        <v>289</v>
      </c>
      <c r="CC2089" s="3" t="s">
        <v>91</v>
      </c>
      <c r="CD2089" s="3">
        <v>7405</v>
      </c>
      <c r="CE2089" s="3" t="s">
        <v>86</v>
      </c>
      <c r="CF2089" s="4">
        <v>44589</v>
      </c>
      <c r="CI2089" s="3">
        <v>1</v>
      </c>
      <c r="CJ2089" s="3">
        <v>1</v>
      </c>
      <c r="CK2089" s="3">
        <v>21</v>
      </c>
      <c r="CL2089" s="3" t="s">
        <v>87</v>
      </c>
    </row>
    <row r="2090" spans="1:90" x14ac:dyDescent="0.2">
      <c r="A2090" s="3" t="s">
        <v>72</v>
      </c>
      <c r="B2090" s="3" t="s">
        <v>73</v>
      </c>
      <c r="C2090" s="3" t="s">
        <v>74</v>
      </c>
      <c r="E2090" s="3" t="str">
        <f>"FES1162847101"</f>
        <v>FES1162847101</v>
      </c>
      <c r="F2090" s="4">
        <v>44587</v>
      </c>
      <c r="G2090" s="3">
        <v>202207</v>
      </c>
      <c r="H2090" s="3" t="s">
        <v>75</v>
      </c>
      <c r="I2090" s="3" t="s">
        <v>76</v>
      </c>
      <c r="J2090" s="3" t="s">
        <v>77</v>
      </c>
      <c r="K2090" s="3" t="s">
        <v>78</v>
      </c>
      <c r="L2090" s="3" t="s">
        <v>158</v>
      </c>
      <c r="M2090" s="3" t="s">
        <v>159</v>
      </c>
      <c r="N2090" s="3" t="s">
        <v>970</v>
      </c>
      <c r="O2090" s="3" t="s">
        <v>82</v>
      </c>
      <c r="P2090" s="3" t="str">
        <f>"2170818407                    "</f>
        <v xml:space="preserve">2170818407                    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12.07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v>0</v>
      </c>
      <c r="BA2090" s="3">
        <v>0</v>
      </c>
      <c r="BB2090" s="3">
        <v>0</v>
      </c>
      <c r="BC2090" s="3">
        <v>0</v>
      </c>
      <c r="BD2090" s="3">
        <v>0</v>
      </c>
      <c r="BE2090" s="3">
        <v>0</v>
      </c>
      <c r="BF2090" s="3">
        <v>0</v>
      </c>
      <c r="BG2090" s="3">
        <v>0</v>
      </c>
      <c r="BH2090" s="3">
        <v>1</v>
      </c>
      <c r="BI2090" s="3">
        <v>1</v>
      </c>
      <c r="BJ2090" s="3">
        <v>2</v>
      </c>
      <c r="BK2090" s="3">
        <v>2</v>
      </c>
      <c r="BL2090" s="3">
        <v>46.08</v>
      </c>
      <c r="BM2090" s="3">
        <v>6.91</v>
      </c>
      <c r="BN2090" s="3">
        <v>52.99</v>
      </c>
      <c r="BO2090" s="3">
        <v>52.99</v>
      </c>
      <c r="BR2090" s="3" t="s">
        <v>84</v>
      </c>
      <c r="BS2090" s="4">
        <v>44588</v>
      </c>
      <c r="BT2090" s="5">
        <v>0.34722222222222227</v>
      </c>
      <c r="BU2090" s="3" t="s">
        <v>2212</v>
      </c>
      <c r="BV2090" s="3" t="s">
        <v>105</v>
      </c>
      <c r="BY2090" s="3">
        <v>9918</v>
      </c>
      <c r="BZ2090" s="3" t="s">
        <v>165</v>
      </c>
      <c r="CA2090" s="3" t="s">
        <v>653</v>
      </c>
      <c r="CC2090" s="3" t="s">
        <v>159</v>
      </c>
      <c r="CD2090" s="3">
        <v>1469</v>
      </c>
      <c r="CE2090" s="3" t="s">
        <v>86</v>
      </c>
      <c r="CF2090" s="4">
        <v>44588</v>
      </c>
      <c r="CI2090" s="3">
        <v>1</v>
      </c>
      <c r="CJ2090" s="3">
        <v>1</v>
      </c>
      <c r="CK2090" s="3">
        <v>22</v>
      </c>
      <c r="CL2090" s="3" t="s">
        <v>87</v>
      </c>
    </row>
    <row r="2091" spans="1:90" x14ac:dyDescent="0.2">
      <c r="A2091" s="3" t="s">
        <v>72</v>
      </c>
      <c r="B2091" s="3" t="s">
        <v>73</v>
      </c>
      <c r="C2091" s="3" t="s">
        <v>74</v>
      </c>
      <c r="E2091" s="3" t="str">
        <f>"FES1162847156"</f>
        <v>FES1162847156</v>
      </c>
      <c r="F2091" s="4">
        <v>44587</v>
      </c>
      <c r="G2091" s="3">
        <v>202207</v>
      </c>
      <c r="H2091" s="3" t="s">
        <v>75</v>
      </c>
      <c r="I2091" s="3" t="s">
        <v>76</v>
      </c>
      <c r="J2091" s="3" t="s">
        <v>77</v>
      </c>
      <c r="K2091" s="3" t="s">
        <v>78</v>
      </c>
      <c r="L2091" s="3" t="s">
        <v>75</v>
      </c>
      <c r="M2091" s="3" t="s">
        <v>76</v>
      </c>
      <c r="N2091" s="3" t="s">
        <v>147</v>
      </c>
      <c r="O2091" s="3" t="s">
        <v>148</v>
      </c>
      <c r="P2091" s="3" t="str">
        <f>"2170818290                    "</f>
        <v xml:space="preserve">2170818290                    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23.06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v>0</v>
      </c>
      <c r="BA2091" s="3">
        <v>0</v>
      </c>
      <c r="BB2091" s="3">
        <v>0</v>
      </c>
      <c r="BC2091" s="3">
        <v>0</v>
      </c>
      <c r="BD2091" s="3">
        <v>0</v>
      </c>
      <c r="BE2091" s="3">
        <v>0</v>
      </c>
      <c r="BF2091" s="3">
        <v>0</v>
      </c>
      <c r="BG2091" s="3">
        <v>0</v>
      </c>
      <c r="BH2091" s="3">
        <v>1</v>
      </c>
      <c r="BI2091" s="3">
        <v>11</v>
      </c>
      <c r="BJ2091" s="3">
        <v>7.1</v>
      </c>
      <c r="BK2091" s="3">
        <v>11</v>
      </c>
      <c r="BL2091" s="3">
        <v>93.28</v>
      </c>
      <c r="BM2091" s="3">
        <v>13.99</v>
      </c>
      <c r="BN2091" s="3">
        <v>107.27</v>
      </c>
      <c r="BO2091" s="3">
        <v>107.27</v>
      </c>
      <c r="BQ2091" s="3" t="s">
        <v>89</v>
      </c>
      <c r="BR2091" s="3" t="s">
        <v>84</v>
      </c>
      <c r="BS2091" s="4">
        <v>44588</v>
      </c>
      <c r="BT2091" s="5">
        <v>0.34652777777777777</v>
      </c>
      <c r="BU2091" s="3" t="s">
        <v>2154</v>
      </c>
      <c r="BV2091" s="3" t="s">
        <v>105</v>
      </c>
      <c r="BY2091" s="3">
        <v>35328</v>
      </c>
      <c r="BZ2091" s="3" t="s">
        <v>327</v>
      </c>
      <c r="CA2091" s="3" t="s">
        <v>2155</v>
      </c>
      <c r="CC2091" s="3" t="s">
        <v>76</v>
      </c>
      <c r="CD2091" s="3">
        <v>1645</v>
      </c>
      <c r="CE2091" s="3" t="s">
        <v>86</v>
      </c>
      <c r="CF2091" s="4">
        <v>44588</v>
      </c>
      <c r="CI2091" s="3">
        <v>1</v>
      </c>
      <c r="CJ2091" s="3">
        <v>1</v>
      </c>
      <c r="CK2091" s="3">
        <v>42</v>
      </c>
      <c r="CL2091" s="3" t="s">
        <v>87</v>
      </c>
    </row>
    <row r="2092" spans="1:90" x14ac:dyDescent="0.2">
      <c r="A2092" s="3" t="s">
        <v>72</v>
      </c>
      <c r="B2092" s="3" t="s">
        <v>73</v>
      </c>
      <c r="C2092" s="3" t="s">
        <v>74</v>
      </c>
      <c r="E2092" s="3" t="str">
        <f>"FES1162847155"</f>
        <v>FES1162847155</v>
      </c>
      <c r="F2092" s="4">
        <v>44587</v>
      </c>
      <c r="G2092" s="3">
        <v>202207</v>
      </c>
      <c r="H2092" s="3" t="s">
        <v>75</v>
      </c>
      <c r="I2092" s="3" t="s">
        <v>76</v>
      </c>
      <c r="J2092" s="3" t="s">
        <v>77</v>
      </c>
      <c r="K2092" s="3" t="s">
        <v>78</v>
      </c>
      <c r="L2092" s="3" t="s">
        <v>427</v>
      </c>
      <c r="M2092" s="3" t="s">
        <v>428</v>
      </c>
      <c r="N2092" s="3" t="s">
        <v>447</v>
      </c>
      <c r="O2092" s="3" t="s">
        <v>82</v>
      </c>
      <c r="P2092" s="3" t="str">
        <f>"2170818216                    "</f>
        <v xml:space="preserve">2170818216                    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29.95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v>0</v>
      </c>
      <c r="BA2092" s="3">
        <v>0</v>
      </c>
      <c r="BB2092" s="3">
        <v>0</v>
      </c>
      <c r="BC2092" s="3">
        <v>0</v>
      </c>
      <c r="BD2092" s="3">
        <v>0</v>
      </c>
      <c r="BE2092" s="3">
        <v>0</v>
      </c>
      <c r="BF2092" s="3">
        <v>0</v>
      </c>
      <c r="BG2092" s="3">
        <v>0</v>
      </c>
      <c r="BH2092" s="3">
        <v>1</v>
      </c>
      <c r="BI2092" s="3">
        <v>1</v>
      </c>
      <c r="BJ2092" s="3">
        <v>0.2</v>
      </c>
      <c r="BK2092" s="3">
        <v>1</v>
      </c>
      <c r="BL2092" s="3">
        <v>114.31</v>
      </c>
      <c r="BM2092" s="3">
        <v>17.149999999999999</v>
      </c>
      <c r="BN2092" s="3">
        <v>131.46</v>
      </c>
      <c r="BO2092" s="3">
        <v>131.46</v>
      </c>
      <c r="BQ2092" s="3" t="s">
        <v>89</v>
      </c>
      <c r="BR2092" s="3" t="s">
        <v>84</v>
      </c>
      <c r="BS2092" s="4">
        <v>44588</v>
      </c>
      <c r="BT2092" s="5">
        <v>0.59027777777777779</v>
      </c>
      <c r="BU2092" s="3" t="s">
        <v>1695</v>
      </c>
      <c r="BV2092" s="3" t="s">
        <v>87</v>
      </c>
      <c r="BW2092" s="3" t="s">
        <v>353</v>
      </c>
      <c r="BX2092" s="3" t="s">
        <v>354</v>
      </c>
      <c r="BY2092" s="3">
        <v>1200</v>
      </c>
      <c r="BZ2092" s="3" t="s">
        <v>165</v>
      </c>
      <c r="CA2092" s="3" t="s">
        <v>488</v>
      </c>
      <c r="CC2092" s="3" t="s">
        <v>428</v>
      </c>
      <c r="CD2092" s="3">
        <v>7130</v>
      </c>
      <c r="CE2092" s="3" t="s">
        <v>93</v>
      </c>
      <c r="CF2092" s="4">
        <v>44589</v>
      </c>
      <c r="CI2092" s="3">
        <v>1</v>
      </c>
      <c r="CJ2092" s="3">
        <v>1</v>
      </c>
      <c r="CK2092" s="3">
        <v>23</v>
      </c>
      <c r="CL2092" s="3" t="s">
        <v>87</v>
      </c>
    </row>
    <row r="2093" spans="1:90" x14ac:dyDescent="0.2">
      <c r="A2093" s="3" t="s">
        <v>72</v>
      </c>
      <c r="B2093" s="3" t="s">
        <v>73</v>
      </c>
      <c r="C2093" s="3" t="s">
        <v>74</v>
      </c>
      <c r="E2093" s="3" t="str">
        <f>"FES1162847166"</f>
        <v>FES1162847166</v>
      </c>
      <c r="F2093" s="4">
        <v>44587</v>
      </c>
      <c r="G2093" s="3">
        <v>202207</v>
      </c>
      <c r="H2093" s="3" t="s">
        <v>75</v>
      </c>
      <c r="I2093" s="3" t="s">
        <v>76</v>
      </c>
      <c r="J2093" s="3" t="s">
        <v>77</v>
      </c>
      <c r="K2093" s="3" t="s">
        <v>78</v>
      </c>
      <c r="L2093" s="3" t="s">
        <v>281</v>
      </c>
      <c r="M2093" s="3" t="s">
        <v>282</v>
      </c>
      <c r="N2093" s="3" t="s">
        <v>283</v>
      </c>
      <c r="O2093" s="3" t="s">
        <v>82</v>
      </c>
      <c r="P2093" s="3" t="str">
        <f>"2170818483                    "</f>
        <v xml:space="preserve">2170818483                    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29.95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v>0</v>
      </c>
      <c r="BA2093" s="3">
        <v>0</v>
      </c>
      <c r="BB2093" s="3">
        <v>0</v>
      </c>
      <c r="BC2093" s="3">
        <v>0</v>
      </c>
      <c r="BD2093" s="3">
        <v>0</v>
      </c>
      <c r="BE2093" s="3">
        <v>0</v>
      </c>
      <c r="BF2093" s="3">
        <v>0</v>
      </c>
      <c r="BG2093" s="3">
        <v>0</v>
      </c>
      <c r="BH2093" s="3">
        <v>1</v>
      </c>
      <c r="BI2093" s="3">
        <v>1</v>
      </c>
      <c r="BJ2093" s="3">
        <v>0.2</v>
      </c>
      <c r="BK2093" s="3">
        <v>1</v>
      </c>
      <c r="BL2093" s="3">
        <v>114.31</v>
      </c>
      <c r="BM2093" s="3">
        <v>17.149999999999999</v>
      </c>
      <c r="BN2093" s="3">
        <v>131.46</v>
      </c>
      <c r="BO2093" s="3">
        <v>131.46</v>
      </c>
      <c r="BQ2093" s="3" t="s">
        <v>83</v>
      </c>
      <c r="BR2093" s="3" t="s">
        <v>84</v>
      </c>
      <c r="BS2093" s="3" t="s">
        <v>85</v>
      </c>
      <c r="BY2093" s="3">
        <v>1200</v>
      </c>
      <c r="BZ2093" s="3" t="s">
        <v>165</v>
      </c>
      <c r="CC2093" s="3" t="s">
        <v>282</v>
      </c>
      <c r="CD2093" s="3">
        <v>3236</v>
      </c>
      <c r="CE2093" s="3" t="s">
        <v>93</v>
      </c>
      <c r="CI2093" s="3">
        <v>5</v>
      </c>
      <c r="CJ2093" s="3" t="s">
        <v>85</v>
      </c>
      <c r="CK2093" s="3">
        <v>23</v>
      </c>
      <c r="CL2093" s="3" t="s">
        <v>87</v>
      </c>
    </row>
    <row r="2094" spans="1:90" x14ac:dyDescent="0.2">
      <c r="A2094" s="3" t="s">
        <v>72</v>
      </c>
      <c r="B2094" s="3" t="s">
        <v>73</v>
      </c>
      <c r="C2094" s="3" t="s">
        <v>74</v>
      </c>
      <c r="E2094" s="3" t="str">
        <f>"FES1162846866"</f>
        <v>FES1162846866</v>
      </c>
      <c r="F2094" s="4">
        <v>44586</v>
      </c>
      <c r="G2094" s="3">
        <v>202207</v>
      </c>
      <c r="H2094" s="3" t="s">
        <v>75</v>
      </c>
      <c r="I2094" s="3" t="s">
        <v>76</v>
      </c>
      <c r="J2094" s="3" t="s">
        <v>77</v>
      </c>
      <c r="K2094" s="3" t="s">
        <v>78</v>
      </c>
      <c r="L2094" s="3" t="s">
        <v>75</v>
      </c>
      <c r="M2094" s="3" t="s">
        <v>76</v>
      </c>
      <c r="N2094" s="3" t="s">
        <v>147</v>
      </c>
      <c r="O2094" s="3" t="s">
        <v>148</v>
      </c>
      <c r="P2094" s="3" t="str">
        <f>"2170816259                    "</f>
        <v xml:space="preserve">2170816259                    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25.76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v>0</v>
      </c>
      <c r="BA2094" s="3">
        <v>0</v>
      </c>
      <c r="BB2094" s="3">
        <v>0</v>
      </c>
      <c r="BC2094" s="3">
        <v>0</v>
      </c>
      <c r="BD2094" s="3">
        <v>0</v>
      </c>
      <c r="BE2094" s="3">
        <v>0</v>
      </c>
      <c r="BF2094" s="3">
        <v>0</v>
      </c>
      <c r="BG2094" s="3">
        <v>0</v>
      </c>
      <c r="BH2094" s="3">
        <v>1</v>
      </c>
      <c r="BI2094" s="3">
        <v>11</v>
      </c>
      <c r="BJ2094" s="3">
        <v>18.3</v>
      </c>
      <c r="BK2094" s="3">
        <v>19</v>
      </c>
      <c r="BL2094" s="3">
        <v>103.58</v>
      </c>
      <c r="BM2094" s="3">
        <v>15.54</v>
      </c>
      <c r="BN2094" s="3">
        <v>119.12</v>
      </c>
      <c r="BO2094" s="3">
        <v>119.12</v>
      </c>
      <c r="BQ2094" s="3" t="s">
        <v>89</v>
      </c>
      <c r="BR2094" s="3" t="s">
        <v>84</v>
      </c>
      <c r="BS2094" s="4">
        <v>44587</v>
      </c>
      <c r="BT2094" s="5">
        <v>0.4152777777777778</v>
      </c>
      <c r="BU2094" s="3" t="s">
        <v>476</v>
      </c>
      <c r="BV2094" s="3" t="s">
        <v>105</v>
      </c>
      <c r="BY2094" s="3">
        <v>91264</v>
      </c>
      <c r="BZ2094" s="3" t="s">
        <v>327</v>
      </c>
      <c r="CA2094" s="3" t="s">
        <v>477</v>
      </c>
      <c r="CC2094" s="3" t="s">
        <v>76</v>
      </c>
      <c r="CD2094" s="3">
        <v>1645</v>
      </c>
      <c r="CE2094" s="3" t="s">
        <v>86</v>
      </c>
      <c r="CF2094" s="4">
        <v>44588</v>
      </c>
      <c r="CI2094" s="3">
        <v>1</v>
      </c>
      <c r="CJ2094" s="3">
        <v>1</v>
      </c>
      <c r="CK2094" s="3">
        <v>42</v>
      </c>
      <c r="CL2094" s="3" t="s">
        <v>87</v>
      </c>
    </row>
    <row r="2095" spans="1:90" x14ac:dyDescent="0.2">
      <c r="A2095" s="3" t="s">
        <v>72</v>
      </c>
      <c r="B2095" s="3" t="s">
        <v>73</v>
      </c>
      <c r="C2095" s="3" t="s">
        <v>74</v>
      </c>
      <c r="E2095" s="3" t="str">
        <f>"FES1162846829"</f>
        <v>FES1162846829</v>
      </c>
      <c r="F2095" s="4">
        <v>44586</v>
      </c>
      <c r="G2095" s="3">
        <v>202207</v>
      </c>
      <c r="H2095" s="3" t="s">
        <v>75</v>
      </c>
      <c r="I2095" s="3" t="s">
        <v>76</v>
      </c>
      <c r="J2095" s="3" t="s">
        <v>77</v>
      </c>
      <c r="K2095" s="3" t="s">
        <v>78</v>
      </c>
      <c r="L2095" s="3" t="s">
        <v>94</v>
      </c>
      <c r="M2095" s="3" t="s">
        <v>95</v>
      </c>
      <c r="N2095" s="3" t="s">
        <v>1052</v>
      </c>
      <c r="O2095" s="3" t="s">
        <v>148</v>
      </c>
      <c r="P2095" s="3" t="str">
        <f>"2170818113                    "</f>
        <v xml:space="preserve">2170818113                    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43.44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v>0</v>
      </c>
      <c r="BA2095" s="3">
        <v>0</v>
      </c>
      <c r="BB2095" s="3">
        <v>0</v>
      </c>
      <c r="BC2095" s="3">
        <v>0</v>
      </c>
      <c r="BD2095" s="3">
        <v>0</v>
      </c>
      <c r="BE2095" s="3">
        <v>0</v>
      </c>
      <c r="BF2095" s="3">
        <v>0</v>
      </c>
      <c r="BG2095" s="3">
        <v>0</v>
      </c>
      <c r="BH2095" s="3">
        <v>1</v>
      </c>
      <c r="BI2095" s="3">
        <v>26</v>
      </c>
      <c r="BJ2095" s="3">
        <v>18.3</v>
      </c>
      <c r="BK2095" s="3">
        <v>26</v>
      </c>
      <c r="BL2095" s="3">
        <v>171.06</v>
      </c>
      <c r="BM2095" s="3">
        <v>25.66</v>
      </c>
      <c r="BN2095" s="3">
        <v>196.72</v>
      </c>
      <c r="BO2095" s="3">
        <v>196.72</v>
      </c>
      <c r="BQ2095" s="3" t="s">
        <v>83</v>
      </c>
      <c r="BR2095" s="3" t="s">
        <v>84</v>
      </c>
      <c r="BS2095" s="4">
        <v>44587</v>
      </c>
      <c r="BT2095" s="5">
        <v>0.4777777777777778</v>
      </c>
      <c r="BU2095" s="3" t="s">
        <v>2213</v>
      </c>
      <c r="BV2095" s="3" t="s">
        <v>105</v>
      </c>
      <c r="BY2095" s="3">
        <v>91264</v>
      </c>
      <c r="BZ2095" s="3" t="s">
        <v>327</v>
      </c>
      <c r="CA2095" s="3" t="s">
        <v>328</v>
      </c>
      <c r="CC2095" s="3" t="s">
        <v>95</v>
      </c>
      <c r="CD2095" s="3">
        <v>3201</v>
      </c>
      <c r="CE2095" s="3" t="s">
        <v>86</v>
      </c>
      <c r="CF2095" s="4">
        <v>44588</v>
      </c>
      <c r="CI2095" s="3">
        <v>1</v>
      </c>
      <c r="CJ2095" s="3">
        <v>1</v>
      </c>
      <c r="CK2095" s="3">
        <v>41</v>
      </c>
      <c r="CL2095" s="3" t="s">
        <v>87</v>
      </c>
    </row>
    <row r="2096" spans="1:90" x14ac:dyDescent="0.2">
      <c r="A2096" s="3" t="s">
        <v>72</v>
      </c>
      <c r="B2096" s="3" t="s">
        <v>73</v>
      </c>
      <c r="C2096" s="3" t="s">
        <v>74</v>
      </c>
      <c r="E2096" s="3" t="str">
        <f>"FES1162846477"</f>
        <v>FES1162846477</v>
      </c>
      <c r="F2096" s="4">
        <v>44586</v>
      </c>
      <c r="G2096" s="3">
        <v>202207</v>
      </c>
      <c r="H2096" s="3" t="s">
        <v>75</v>
      </c>
      <c r="I2096" s="3" t="s">
        <v>76</v>
      </c>
      <c r="J2096" s="3" t="s">
        <v>77</v>
      </c>
      <c r="K2096" s="3" t="s">
        <v>78</v>
      </c>
      <c r="L2096" s="3" t="s">
        <v>75</v>
      </c>
      <c r="M2096" s="3" t="s">
        <v>76</v>
      </c>
      <c r="N2096" s="3" t="s">
        <v>2214</v>
      </c>
      <c r="O2096" s="3" t="s">
        <v>82</v>
      </c>
      <c r="P2096" s="3" t="str">
        <f>"2170815714                    "</f>
        <v xml:space="preserve">2170815714                    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12.07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3">
        <v>0</v>
      </c>
      <c r="AY2096" s="3">
        <v>0</v>
      </c>
      <c r="AZ2096" s="3">
        <v>0</v>
      </c>
      <c r="BA2096" s="3">
        <v>0</v>
      </c>
      <c r="BB2096" s="3">
        <v>0</v>
      </c>
      <c r="BC2096" s="3">
        <v>0</v>
      </c>
      <c r="BD2096" s="3">
        <v>0</v>
      </c>
      <c r="BE2096" s="3">
        <v>0</v>
      </c>
      <c r="BF2096" s="3">
        <v>0</v>
      </c>
      <c r="BG2096" s="3">
        <v>0</v>
      </c>
      <c r="BH2096" s="3">
        <v>1</v>
      </c>
      <c r="BI2096" s="3">
        <v>3</v>
      </c>
      <c r="BJ2096" s="3">
        <v>1</v>
      </c>
      <c r="BK2096" s="3">
        <v>3</v>
      </c>
      <c r="BL2096" s="3">
        <v>46.08</v>
      </c>
      <c r="BM2096" s="3">
        <v>6.91</v>
      </c>
      <c r="BN2096" s="3">
        <v>52.99</v>
      </c>
      <c r="BO2096" s="3">
        <v>52.99</v>
      </c>
      <c r="BQ2096" s="3" t="s">
        <v>2215</v>
      </c>
      <c r="BR2096" s="3" t="s">
        <v>84</v>
      </c>
      <c r="BS2096" s="4">
        <v>44587</v>
      </c>
      <c r="BT2096" s="5">
        <v>0.33611111111111108</v>
      </c>
      <c r="BU2096" s="3" t="s">
        <v>631</v>
      </c>
      <c r="BV2096" s="3" t="s">
        <v>105</v>
      </c>
      <c r="BY2096" s="3">
        <v>5031</v>
      </c>
      <c r="BZ2096" s="3" t="s">
        <v>165</v>
      </c>
      <c r="CA2096" s="3" t="s">
        <v>477</v>
      </c>
      <c r="CC2096" s="3" t="s">
        <v>76</v>
      </c>
      <c r="CD2096" s="3">
        <v>1609</v>
      </c>
      <c r="CE2096" s="3" t="s">
        <v>86</v>
      </c>
      <c r="CF2096" s="4">
        <v>44588</v>
      </c>
      <c r="CI2096" s="3">
        <v>1</v>
      </c>
      <c r="CJ2096" s="3">
        <v>1</v>
      </c>
      <c r="CK2096" s="3">
        <v>22</v>
      </c>
      <c r="CL2096" s="3" t="s">
        <v>87</v>
      </c>
    </row>
    <row r="2097" spans="1:90" x14ac:dyDescent="0.2">
      <c r="A2097" s="3" t="s">
        <v>72</v>
      </c>
      <c r="B2097" s="3" t="s">
        <v>73</v>
      </c>
      <c r="C2097" s="3" t="s">
        <v>74</v>
      </c>
      <c r="E2097" s="3" t="str">
        <f>"FES1162846808"</f>
        <v>FES1162846808</v>
      </c>
      <c r="F2097" s="4">
        <v>44586</v>
      </c>
      <c r="G2097" s="3">
        <v>202207</v>
      </c>
      <c r="H2097" s="3" t="s">
        <v>75</v>
      </c>
      <c r="I2097" s="3" t="s">
        <v>76</v>
      </c>
      <c r="J2097" s="3" t="s">
        <v>77</v>
      </c>
      <c r="K2097" s="3" t="s">
        <v>78</v>
      </c>
      <c r="L2097" s="3" t="s">
        <v>120</v>
      </c>
      <c r="M2097" s="3" t="s">
        <v>121</v>
      </c>
      <c r="N2097" s="3" t="s">
        <v>122</v>
      </c>
      <c r="O2097" s="3" t="s">
        <v>82</v>
      </c>
      <c r="P2097" s="3" t="str">
        <f>"2170816035                    "</f>
        <v xml:space="preserve">2170816035                    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23.18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3">
        <v>0</v>
      </c>
      <c r="AY2097" s="3">
        <v>0</v>
      </c>
      <c r="AZ2097" s="3">
        <v>0</v>
      </c>
      <c r="BA2097" s="3">
        <v>0</v>
      </c>
      <c r="BB2097" s="3">
        <v>0</v>
      </c>
      <c r="BC2097" s="3">
        <v>0</v>
      </c>
      <c r="BD2097" s="3">
        <v>0</v>
      </c>
      <c r="BE2097" s="3">
        <v>0</v>
      </c>
      <c r="BF2097" s="3">
        <v>0</v>
      </c>
      <c r="BG2097" s="3">
        <v>0</v>
      </c>
      <c r="BH2097" s="3">
        <v>1</v>
      </c>
      <c r="BI2097" s="3">
        <v>3</v>
      </c>
      <c r="BJ2097" s="3">
        <v>2</v>
      </c>
      <c r="BK2097" s="3">
        <v>3</v>
      </c>
      <c r="BL2097" s="3">
        <v>88.48</v>
      </c>
      <c r="BM2097" s="3">
        <v>13.27</v>
      </c>
      <c r="BN2097" s="3">
        <v>101.75</v>
      </c>
      <c r="BO2097" s="3">
        <v>101.75</v>
      </c>
      <c r="BQ2097" s="3" t="s">
        <v>89</v>
      </c>
      <c r="BR2097" s="3" t="s">
        <v>84</v>
      </c>
      <c r="BS2097" s="4">
        <v>44587</v>
      </c>
      <c r="BT2097" s="5">
        <v>0.33263888888888887</v>
      </c>
      <c r="BU2097" s="3" t="s">
        <v>2216</v>
      </c>
      <c r="BV2097" s="3" t="s">
        <v>105</v>
      </c>
      <c r="BY2097" s="3">
        <v>9918</v>
      </c>
      <c r="BZ2097" s="3" t="s">
        <v>165</v>
      </c>
      <c r="CA2097" s="3" t="s">
        <v>553</v>
      </c>
      <c r="CC2097" s="3" t="s">
        <v>121</v>
      </c>
      <c r="CD2097" s="3">
        <v>6230</v>
      </c>
      <c r="CE2097" s="3" t="s">
        <v>86</v>
      </c>
      <c r="CF2097" s="4">
        <v>44587</v>
      </c>
      <c r="CI2097" s="3">
        <v>1</v>
      </c>
      <c r="CJ2097" s="3">
        <v>1</v>
      </c>
      <c r="CK2097" s="3">
        <v>21</v>
      </c>
      <c r="CL2097" s="3" t="s">
        <v>87</v>
      </c>
    </row>
    <row r="2098" spans="1:90" x14ac:dyDescent="0.2">
      <c r="A2098" s="3" t="s">
        <v>72</v>
      </c>
      <c r="B2098" s="3" t="s">
        <v>73</v>
      </c>
      <c r="C2098" s="3" t="s">
        <v>74</v>
      </c>
      <c r="E2098" s="3" t="str">
        <f>"FES1162846656"</f>
        <v>FES1162846656</v>
      </c>
      <c r="F2098" s="4">
        <v>44586</v>
      </c>
      <c r="G2098" s="3">
        <v>202207</v>
      </c>
      <c r="H2098" s="3" t="s">
        <v>75</v>
      </c>
      <c r="I2098" s="3" t="s">
        <v>76</v>
      </c>
      <c r="J2098" s="3" t="s">
        <v>77</v>
      </c>
      <c r="K2098" s="3" t="s">
        <v>78</v>
      </c>
      <c r="L2098" s="3" t="s">
        <v>75</v>
      </c>
      <c r="M2098" s="3" t="s">
        <v>76</v>
      </c>
      <c r="N2098" s="3" t="s">
        <v>147</v>
      </c>
      <c r="O2098" s="3" t="s">
        <v>82</v>
      </c>
      <c r="P2098" s="3" t="str">
        <f>"2170817459                    "</f>
        <v xml:space="preserve">2170817459                    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12.07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3">
        <v>0</v>
      </c>
      <c r="AY2098" s="3">
        <v>0</v>
      </c>
      <c r="AZ2098" s="3">
        <v>0</v>
      </c>
      <c r="BA2098" s="3">
        <v>0</v>
      </c>
      <c r="BB2098" s="3">
        <v>0</v>
      </c>
      <c r="BC2098" s="3">
        <v>0</v>
      </c>
      <c r="BD2098" s="3">
        <v>0</v>
      </c>
      <c r="BE2098" s="3">
        <v>0</v>
      </c>
      <c r="BF2098" s="3">
        <v>0</v>
      </c>
      <c r="BG2098" s="3">
        <v>0</v>
      </c>
      <c r="BH2098" s="3">
        <v>1</v>
      </c>
      <c r="BI2098" s="3">
        <v>1</v>
      </c>
      <c r="BJ2098" s="3">
        <v>1.1000000000000001</v>
      </c>
      <c r="BK2098" s="3">
        <v>1.5</v>
      </c>
      <c r="BL2098" s="3">
        <v>46.08</v>
      </c>
      <c r="BM2098" s="3">
        <v>6.91</v>
      </c>
      <c r="BN2098" s="3">
        <v>52.99</v>
      </c>
      <c r="BO2098" s="3">
        <v>52.99</v>
      </c>
      <c r="BQ2098" s="3" t="s">
        <v>89</v>
      </c>
      <c r="BR2098" s="3" t="s">
        <v>84</v>
      </c>
      <c r="BS2098" s="4">
        <v>44587</v>
      </c>
      <c r="BT2098" s="5">
        <v>0.4152777777777778</v>
      </c>
      <c r="BU2098" s="3" t="s">
        <v>476</v>
      </c>
      <c r="BV2098" s="3" t="s">
        <v>105</v>
      </c>
      <c r="BY2098" s="3">
        <v>5320</v>
      </c>
      <c r="BZ2098" s="3" t="s">
        <v>165</v>
      </c>
      <c r="CA2098" s="3" t="s">
        <v>477</v>
      </c>
      <c r="CC2098" s="3" t="s">
        <v>76</v>
      </c>
      <c r="CD2098" s="3">
        <v>1645</v>
      </c>
      <c r="CE2098" s="3" t="s">
        <v>86</v>
      </c>
      <c r="CF2098" s="4">
        <v>44588</v>
      </c>
      <c r="CI2098" s="3">
        <v>1</v>
      </c>
      <c r="CJ2098" s="3">
        <v>1</v>
      </c>
      <c r="CK2098" s="3">
        <v>22</v>
      </c>
      <c r="CL2098" s="3" t="s">
        <v>87</v>
      </c>
    </row>
    <row r="2099" spans="1:90" x14ac:dyDescent="0.2">
      <c r="A2099" s="3" t="s">
        <v>72</v>
      </c>
      <c r="B2099" s="3" t="s">
        <v>73</v>
      </c>
      <c r="C2099" s="3" t="s">
        <v>74</v>
      </c>
      <c r="E2099" s="3" t="str">
        <f>"FES1162846833"</f>
        <v>FES1162846833</v>
      </c>
      <c r="F2099" s="4">
        <v>44586</v>
      </c>
      <c r="G2099" s="3">
        <v>202207</v>
      </c>
      <c r="H2099" s="3" t="s">
        <v>75</v>
      </c>
      <c r="I2099" s="3" t="s">
        <v>76</v>
      </c>
      <c r="J2099" s="3" t="s">
        <v>77</v>
      </c>
      <c r="K2099" s="3" t="s">
        <v>78</v>
      </c>
      <c r="L2099" s="3" t="s">
        <v>94</v>
      </c>
      <c r="M2099" s="3" t="s">
        <v>95</v>
      </c>
      <c r="N2099" s="3" t="s">
        <v>1052</v>
      </c>
      <c r="O2099" s="3" t="s">
        <v>82</v>
      </c>
      <c r="P2099" s="3" t="str">
        <f>"2170818118                    "</f>
        <v xml:space="preserve">2170818118                    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30.91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3">
        <v>0</v>
      </c>
      <c r="AY2099" s="3">
        <v>0</v>
      </c>
      <c r="AZ2099" s="3">
        <v>0</v>
      </c>
      <c r="BA2099" s="3">
        <v>0</v>
      </c>
      <c r="BB2099" s="3">
        <v>0</v>
      </c>
      <c r="BC2099" s="3">
        <v>0</v>
      </c>
      <c r="BD2099" s="3">
        <v>0</v>
      </c>
      <c r="BE2099" s="3">
        <v>0</v>
      </c>
      <c r="BF2099" s="3">
        <v>0</v>
      </c>
      <c r="BG2099" s="3">
        <v>0</v>
      </c>
      <c r="BH2099" s="3">
        <v>1</v>
      </c>
      <c r="BI2099" s="3">
        <v>4</v>
      </c>
      <c r="BJ2099" s="3">
        <v>2</v>
      </c>
      <c r="BK2099" s="3">
        <v>4</v>
      </c>
      <c r="BL2099" s="3">
        <v>117.97</v>
      </c>
      <c r="BM2099" s="3">
        <v>17.7</v>
      </c>
      <c r="BN2099" s="3">
        <v>135.66999999999999</v>
      </c>
      <c r="BO2099" s="3">
        <v>135.66999999999999</v>
      </c>
      <c r="BQ2099" s="3" t="s">
        <v>83</v>
      </c>
      <c r="BR2099" s="3" t="s">
        <v>84</v>
      </c>
      <c r="BS2099" s="4">
        <v>44587</v>
      </c>
      <c r="BT2099" s="5">
        <v>0.47916666666666669</v>
      </c>
      <c r="BU2099" s="3" t="s">
        <v>1053</v>
      </c>
      <c r="BV2099" s="3" t="s">
        <v>87</v>
      </c>
      <c r="BW2099" s="3" t="s">
        <v>453</v>
      </c>
      <c r="BX2099" s="3" t="s">
        <v>279</v>
      </c>
      <c r="BY2099" s="3">
        <v>9918</v>
      </c>
      <c r="BZ2099" s="3" t="s">
        <v>165</v>
      </c>
      <c r="CC2099" s="3" t="s">
        <v>95</v>
      </c>
      <c r="CD2099" s="3">
        <v>3201</v>
      </c>
      <c r="CE2099" s="3" t="s">
        <v>86</v>
      </c>
      <c r="CF2099" s="4">
        <v>44589</v>
      </c>
      <c r="CI2099" s="3">
        <v>1</v>
      </c>
      <c r="CJ2099" s="3">
        <v>1</v>
      </c>
      <c r="CK2099" s="3">
        <v>21</v>
      </c>
      <c r="CL2099" s="3" t="s">
        <v>87</v>
      </c>
    </row>
    <row r="2100" spans="1:90" x14ac:dyDescent="0.2">
      <c r="A2100" s="3" t="s">
        <v>72</v>
      </c>
      <c r="B2100" s="3" t="s">
        <v>73</v>
      </c>
      <c r="C2100" s="3" t="s">
        <v>74</v>
      </c>
      <c r="E2100" s="3" t="str">
        <f>"FES1162846857"</f>
        <v>FES1162846857</v>
      </c>
      <c r="F2100" s="4">
        <v>44586</v>
      </c>
      <c r="G2100" s="3">
        <v>202207</v>
      </c>
      <c r="H2100" s="3" t="s">
        <v>75</v>
      </c>
      <c r="I2100" s="3" t="s">
        <v>76</v>
      </c>
      <c r="J2100" s="3" t="s">
        <v>77</v>
      </c>
      <c r="K2100" s="3" t="s">
        <v>78</v>
      </c>
      <c r="L2100" s="3" t="s">
        <v>120</v>
      </c>
      <c r="M2100" s="3" t="s">
        <v>121</v>
      </c>
      <c r="N2100" s="3" t="s">
        <v>122</v>
      </c>
      <c r="O2100" s="3" t="s">
        <v>82</v>
      </c>
      <c r="P2100" s="3" t="str">
        <f>"2170818083                    "</f>
        <v xml:space="preserve">2170818083                    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15.46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3">
        <v>0</v>
      </c>
      <c r="AY2100" s="3">
        <v>0</v>
      </c>
      <c r="AZ2100" s="3">
        <v>0</v>
      </c>
      <c r="BA2100" s="3">
        <v>0</v>
      </c>
      <c r="BB2100" s="3">
        <v>0</v>
      </c>
      <c r="BC2100" s="3">
        <v>0</v>
      </c>
      <c r="BD2100" s="3">
        <v>0</v>
      </c>
      <c r="BE2100" s="3">
        <v>0</v>
      </c>
      <c r="BF2100" s="3">
        <v>0</v>
      </c>
      <c r="BG2100" s="3">
        <v>0</v>
      </c>
      <c r="BH2100" s="3">
        <v>1</v>
      </c>
      <c r="BI2100" s="3">
        <v>1</v>
      </c>
      <c r="BJ2100" s="3">
        <v>1.1000000000000001</v>
      </c>
      <c r="BK2100" s="3">
        <v>1.5</v>
      </c>
      <c r="BL2100" s="3">
        <v>59</v>
      </c>
      <c r="BM2100" s="3">
        <v>8.85</v>
      </c>
      <c r="BN2100" s="3">
        <v>67.849999999999994</v>
      </c>
      <c r="BO2100" s="3">
        <v>67.849999999999994</v>
      </c>
      <c r="BQ2100" s="3" t="s">
        <v>89</v>
      </c>
      <c r="BR2100" s="3" t="s">
        <v>84</v>
      </c>
      <c r="BS2100" s="4">
        <v>44587</v>
      </c>
      <c r="BT2100" s="5">
        <v>0.33402777777777781</v>
      </c>
      <c r="BU2100" s="3" t="s">
        <v>2217</v>
      </c>
      <c r="BV2100" s="3" t="s">
        <v>105</v>
      </c>
      <c r="BY2100" s="3">
        <v>5320</v>
      </c>
      <c r="BZ2100" s="3" t="s">
        <v>165</v>
      </c>
      <c r="CA2100" s="3" t="s">
        <v>553</v>
      </c>
      <c r="CC2100" s="3" t="s">
        <v>121</v>
      </c>
      <c r="CD2100" s="3">
        <v>6230</v>
      </c>
      <c r="CE2100" s="3" t="s">
        <v>86</v>
      </c>
      <c r="CF2100" s="4">
        <v>44587</v>
      </c>
      <c r="CI2100" s="3">
        <v>1</v>
      </c>
      <c r="CJ2100" s="3">
        <v>1</v>
      </c>
      <c r="CK2100" s="3">
        <v>21</v>
      </c>
      <c r="CL2100" s="3" t="s">
        <v>87</v>
      </c>
    </row>
    <row r="2101" spans="1:90" x14ac:dyDescent="0.2">
      <c r="A2101" s="3" t="s">
        <v>72</v>
      </c>
      <c r="B2101" s="3" t="s">
        <v>73</v>
      </c>
      <c r="C2101" s="3" t="s">
        <v>74</v>
      </c>
      <c r="E2101" s="3" t="str">
        <f>"FES1162846748"</f>
        <v>FES1162846748</v>
      </c>
      <c r="F2101" s="4">
        <v>44586</v>
      </c>
      <c r="G2101" s="3">
        <v>202207</v>
      </c>
      <c r="H2101" s="3" t="s">
        <v>75</v>
      </c>
      <c r="I2101" s="3" t="s">
        <v>76</v>
      </c>
      <c r="J2101" s="3" t="s">
        <v>77</v>
      </c>
      <c r="K2101" s="3" t="s">
        <v>78</v>
      </c>
      <c r="L2101" s="3" t="s">
        <v>120</v>
      </c>
      <c r="M2101" s="3" t="s">
        <v>121</v>
      </c>
      <c r="N2101" s="3" t="s">
        <v>122</v>
      </c>
      <c r="O2101" s="3" t="s">
        <v>82</v>
      </c>
      <c r="P2101" s="3" t="str">
        <f>"2170816039                    "</f>
        <v xml:space="preserve">2170816039                    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30.91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3">
        <v>0</v>
      </c>
      <c r="AY2101" s="3">
        <v>0</v>
      </c>
      <c r="AZ2101" s="3">
        <v>0</v>
      </c>
      <c r="BA2101" s="3">
        <v>0</v>
      </c>
      <c r="BB2101" s="3">
        <v>0</v>
      </c>
      <c r="BC2101" s="3">
        <v>0</v>
      </c>
      <c r="BD2101" s="3">
        <v>0</v>
      </c>
      <c r="BE2101" s="3">
        <v>0</v>
      </c>
      <c r="BF2101" s="3">
        <v>0</v>
      </c>
      <c r="BG2101" s="3">
        <v>0</v>
      </c>
      <c r="BH2101" s="3">
        <v>1</v>
      </c>
      <c r="BI2101" s="3">
        <v>4</v>
      </c>
      <c r="BJ2101" s="3">
        <v>2</v>
      </c>
      <c r="BK2101" s="3">
        <v>4</v>
      </c>
      <c r="BL2101" s="3">
        <v>117.97</v>
      </c>
      <c r="BM2101" s="3">
        <v>17.7</v>
      </c>
      <c r="BN2101" s="3">
        <v>135.66999999999999</v>
      </c>
      <c r="BO2101" s="3">
        <v>135.66999999999999</v>
      </c>
      <c r="BQ2101" s="3" t="s">
        <v>89</v>
      </c>
      <c r="BR2101" s="3" t="s">
        <v>84</v>
      </c>
      <c r="BS2101" s="4">
        <v>44587</v>
      </c>
      <c r="BT2101" s="5">
        <v>0.33124999999999999</v>
      </c>
      <c r="BU2101" s="3" t="s">
        <v>2218</v>
      </c>
      <c r="BV2101" s="3" t="s">
        <v>105</v>
      </c>
      <c r="BY2101" s="3">
        <v>9918</v>
      </c>
      <c r="BZ2101" s="3" t="s">
        <v>165</v>
      </c>
      <c r="CA2101" s="3" t="s">
        <v>553</v>
      </c>
      <c r="CC2101" s="3" t="s">
        <v>121</v>
      </c>
      <c r="CD2101" s="3">
        <v>6230</v>
      </c>
      <c r="CE2101" s="3" t="s">
        <v>86</v>
      </c>
      <c r="CF2101" s="4">
        <v>44587</v>
      </c>
      <c r="CI2101" s="3">
        <v>1</v>
      </c>
      <c r="CJ2101" s="3">
        <v>1</v>
      </c>
      <c r="CK2101" s="3">
        <v>21</v>
      </c>
      <c r="CL2101" s="3" t="s">
        <v>87</v>
      </c>
    </row>
    <row r="2102" spans="1:90" x14ac:dyDescent="0.2">
      <c r="A2102" s="3" t="s">
        <v>72</v>
      </c>
      <c r="B2102" s="3" t="s">
        <v>73</v>
      </c>
      <c r="C2102" s="3" t="s">
        <v>74</v>
      </c>
      <c r="E2102" s="3" t="str">
        <f>"FES1162846778"</f>
        <v>FES1162846778</v>
      </c>
      <c r="F2102" s="4">
        <v>44586</v>
      </c>
      <c r="G2102" s="3">
        <v>202207</v>
      </c>
      <c r="H2102" s="3" t="s">
        <v>75</v>
      </c>
      <c r="I2102" s="3" t="s">
        <v>76</v>
      </c>
      <c r="J2102" s="3" t="s">
        <v>77</v>
      </c>
      <c r="K2102" s="3" t="s">
        <v>78</v>
      </c>
      <c r="L2102" s="3" t="s">
        <v>171</v>
      </c>
      <c r="M2102" s="3" t="s">
        <v>172</v>
      </c>
      <c r="N2102" s="3" t="s">
        <v>249</v>
      </c>
      <c r="O2102" s="3" t="s">
        <v>82</v>
      </c>
      <c r="P2102" s="3" t="str">
        <f>"2170816312                    "</f>
        <v xml:space="preserve">2170816312                    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15.46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3">
        <v>0</v>
      </c>
      <c r="AY2102" s="3">
        <v>0</v>
      </c>
      <c r="AZ2102" s="3">
        <v>0</v>
      </c>
      <c r="BA2102" s="3">
        <v>0</v>
      </c>
      <c r="BB2102" s="3">
        <v>0</v>
      </c>
      <c r="BC2102" s="3">
        <v>0</v>
      </c>
      <c r="BD2102" s="3">
        <v>0</v>
      </c>
      <c r="BE2102" s="3">
        <v>0</v>
      </c>
      <c r="BF2102" s="3">
        <v>0</v>
      </c>
      <c r="BG2102" s="3">
        <v>0</v>
      </c>
      <c r="BH2102" s="3">
        <v>1</v>
      </c>
      <c r="BI2102" s="3">
        <v>2</v>
      </c>
      <c r="BJ2102" s="3">
        <v>2</v>
      </c>
      <c r="BK2102" s="3">
        <v>2</v>
      </c>
      <c r="BL2102" s="3">
        <v>59</v>
      </c>
      <c r="BM2102" s="3">
        <v>8.85</v>
      </c>
      <c r="BN2102" s="3">
        <v>67.849999999999994</v>
      </c>
      <c r="BO2102" s="3">
        <v>67.849999999999994</v>
      </c>
      <c r="BQ2102" s="3" t="s">
        <v>89</v>
      </c>
      <c r="BR2102" s="3" t="s">
        <v>84</v>
      </c>
      <c r="BS2102" s="4">
        <v>44587</v>
      </c>
      <c r="BT2102" s="5">
        <v>0.39583333333333331</v>
      </c>
      <c r="BU2102" s="3" t="s">
        <v>2219</v>
      </c>
      <c r="BV2102" s="3" t="s">
        <v>105</v>
      </c>
      <c r="BY2102" s="3">
        <v>9918</v>
      </c>
      <c r="BZ2102" s="3" t="s">
        <v>165</v>
      </c>
      <c r="CC2102" s="3" t="s">
        <v>172</v>
      </c>
      <c r="CD2102" s="3">
        <v>6001</v>
      </c>
      <c r="CE2102" s="3" t="s">
        <v>86</v>
      </c>
      <c r="CF2102" s="4">
        <v>44587</v>
      </c>
      <c r="CI2102" s="3">
        <v>1</v>
      </c>
      <c r="CJ2102" s="3">
        <v>1</v>
      </c>
      <c r="CK2102" s="3">
        <v>21</v>
      </c>
      <c r="CL2102" s="3" t="s">
        <v>87</v>
      </c>
    </row>
    <row r="2103" spans="1:90" x14ac:dyDescent="0.2">
      <c r="A2103" s="3" t="s">
        <v>72</v>
      </c>
      <c r="B2103" s="3" t="s">
        <v>73</v>
      </c>
      <c r="C2103" s="3" t="s">
        <v>74</v>
      </c>
      <c r="E2103" s="3" t="str">
        <f>"FES1162846650"</f>
        <v>FES1162846650</v>
      </c>
      <c r="F2103" s="4">
        <v>44586</v>
      </c>
      <c r="G2103" s="3">
        <v>202207</v>
      </c>
      <c r="H2103" s="3" t="s">
        <v>75</v>
      </c>
      <c r="I2103" s="3" t="s">
        <v>76</v>
      </c>
      <c r="J2103" s="3" t="s">
        <v>77</v>
      </c>
      <c r="K2103" s="3" t="s">
        <v>78</v>
      </c>
      <c r="L2103" s="3" t="s">
        <v>75</v>
      </c>
      <c r="M2103" s="3" t="s">
        <v>76</v>
      </c>
      <c r="N2103" s="3" t="s">
        <v>2220</v>
      </c>
      <c r="O2103" s="3" t="s">
        <v>82</v>
      </c>
      <c r="P2103" s="3" t="str">
        <f>"2170818037                    "</f>
        <v xml:space="preserve">2170818037                    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12.07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3">
        <v>0</v>
      </c>
      <c r="AY2103" s="3">
        <v>0</v>
      </c>
      <c r="AZ2103" s="3">
        <v>0</v>
      </c>
      <c r="BA2103" s="3">
        <v>0</v>
      </c>
      <c r="BB2103" s="3">
        <v>0</v>
      </c>
      <c r="BC2103" s="3">
        <v>0</v>
      </c>
      <c r="BD2103" s="3">
        <v>0</v>
      </c>
      <c r="BE2103" s="3">
        <v>0</v>
      </c>
      <c r="BF2103" s="3">
        <v>0</v>
      </c>
      <c r="BG2103" s="3">
        <v>0</v>
      </c>
      <c r="BH2103" s="3">
        <v>1</v>
      </c>
      <c r="BI2103" s="3">
        <v>1</v>
      </c>
      <c r="BJ2103" s="3">
        <v>0.2</v>
      </c>
      <c r="BK2103" s="3">
        <v>1</v>
      </c>
      <c r="BL2103" s="3">
        <v>46.08</v>
      </c>
      <c r="BM2103" s="3">
        <v>6.91</v>
      </c>
      <c r="BN2103" s="3">
        <v>52.99</v>
      </c>
      <c r="BO2103" s="3">
        <v>52.99</v>
      </c>
      <c r="BQ2103" s="3" t="s">
        <v>2221</v>
      </c>
      <c r="BR2103" s="3" t="s">
        <v>84</v>
      </c>
      <c r="BS2103" s="4">
        <v>44587</v>
      </c>
      <c r="BT2103" s="5">
        <v>0.31944444444444448</v>
      </c>
      <c r="BU2103" s="3" t="s">
        <v>2222</v>
      </c>
      <c r="BV2103" s="3" t="s">
        <v>105</v>
      </c>
      <c r="BY2103" s="3">
        <v>1200</v>
      </c>
      <c r="BZ2103" s="3" t="s">
        <v>165</v>
      </c>
      <c r="CA2103" s="3" t="s">
        <v>378</v>
      </c>
      <c r="CC2103" s="3" t="s">
        <v>76</v>
      </c>
      <c r="CD2103" s="3">
        <v>1600</v>
      </c>
      <c r="CE2103" s="3" t="s">
        <v>93</v>
      </c>
      <c r="CF2103" s="4">
        <v>44587</v>
      </c>
      <c r="CI2103" s="3">
        <v>1</v>
      </c>
      <c r="CJ2103" s="3">
        <v>1</v>
      </c>
      <c r="CK2103" s="3">
        <v>22</v>
      </c>
      <c r="CL2103" s="3" t="s">
        <v>87</v>
      </c>
    </row>
    <row r="2104" spans="1:90" x14ac:dyDescent="0.2">
      <c r="A2104" s="3" t="s">
        <v>72</v>
      </c>
      <c r="B2104" s="3" t="s">
        <v>73</v>
      </c>
      <c r="C2104" s="3" t="s">
        <v>74</v>
      </c>
      <c r="E2104" s="3" t="str">
        <f>"FES1162846834"</f>
        <v>FES1162846834</v>
      </c>
      <c r="F2104" s="4">
        <v>44586</v>
      </c>
      <c r="G2104" s="3">
        <v>202207</v>
      </c>
      <c r="H2104" s="3" t="s">
        <v>75</v>
      </c>
      <c r="I2104" s="3" t="s">
        <v>76</v>
      </c>
      <c r="J2104" s="3" t="s">
        <v>77</v>
      </c>
      <c r="K2104" s="3" t="s">
        <v>78</v>
      </c>
      <c r="L2104" s="3" t="s">
        <v>162</v>
      </c>
      <c r="M2104" s="3" t="s">
        <v>163</v>
      </c>
      <c r="N2104" s="3" t="s">
        <v>2223</v>
      </c>
      <c r="O2104" s="3" t="s">
        <v>82</v>
      </c>
      <c r="P2104" s="3" t="str">
        <f>"2170818120                    "</f>
        <v xml:space="preserve">2170818120                    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12.07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3">
        <v>0</v>
      </c>
      <c r="AY2104" s="3">
        <v>0</v>
      </c>
      <c r="AZ2104" s="3">
        <v>0</v>
      </c>
      <c r="BA2104" s="3">
        <v>0</v>
      </c>
      <c r="BB2104" s="3">
        <v>0</v>
      </c>
      <c r="BC2104" s="3">
        <v>0</v>
      </c>
      <c r="BD2104" s="3">
        <v>0</v>
      </c>
      <c r="BE2104" s="3">
        <v>0</v>
      </c>
      <c r="BF2104" s="3">
        <v>0</v>
      </c>
      <c r="BG2104" s="3">
        <v>0</v>
      </c>
      <c r="BH2104" s="3">
        <v>1</v>
      </c>
      <c r="BI2104" s="3">
        <v>6</v>
      </c>
      <c r="BJ2104" s="3">
        <v>4.0999999999999996</v>
      </c>
      <c r="BK2104" s="3">
        <v>6</v>
      </c>
      <c r="BL2104" s="3">
        <v>46.08</v>
      </c>
      <c r="BM2104" s="3">
        <v>6.91</v>
      </c>
      <c r="BN2104" s="3">
        <v>52.99</v>
      </c>
      <c r="BO2104" s="3">
        <v>52.99</v>
      </c>
      <c r="BQ2104" s="3" t="s">
        <v>89</v>
      </c>
      <c r="BR2104" s="3" t="s">
        <v>84</v>
      </c>
      <c r="BS2104" s="4">
        <v>44587</v>
      </c>
      <c r="BT2104" s="5">
        <v>0.39583333333333331</v>
      </c>
      <c r="BU2104" s="3" t="s">
        <v>2224</v>
      </c>
      <c r="BV2104" s="3" t="s">
        <v>105</v>
      </c>
      <c r="BY2104" s="3">
        <v>20358</v>
      </c>
      <c r="BZ2104" s="3" t="s">
        <v>165</v>
      </c>
      <c r="CA2104" s="3" t="s">
        <v>1051</v>
      </c>
      <c r="CC2104" s="3" t="s">
        <v>163</v>
      </c>
      <c r="CD2104" s="3">
        <v>1401</v>
      </c>
      <c r="CE2104" s="3" t="s">
        <v>86</v>
      </c>
      <c r="CF2104" s="4">
        <v>44588</v>
      </c>
      <c r="CI2104" s="3">
        <v>1</v>
      </c>
      <c r="CJ2104" s="3">
        <v>1</v>
      </c>
      <c r="CK2104" s="3">
        <v>22</v>
      </c>
      <c r="CL2104" s="3" t="s">
        <v>87</v>
      </c>
    </row>
    <row r="2105" spans="1:90" x14ac:dyDescent="0.2">
      <c r="A2105" s="3" t="s">
        <v>72</v>
      </c>
      <c r="B2105" s="3" t="s">
        <v>73</v>
      </c>
      <c r="C2105" s="3" t="s">
        <v>74</v>
      </c>
      <c r="E2105" s="3" t="str">
        <f>"FES1162846687"</f>
        <v>FES1162846687</v>
      </c>
      <c r="F2105" s="4">
        <v>44586</v>
      </c>
      <c r="G2105" s="3">
        <v>202207</v>
      </c>
      <c r="H2105" s="3" t="s">
        <v>75</v>
      </c>
      <c r="I2105" s="3" t="s">
        <v>76</v>
      </c>
      <c r="J2105" s="3" t="s">
        <v>77</v>
      </c>
      <c r="K2105" s="3" t="s">
        <v>78</v>
      </c>
      <c r="L2105" s="3" t="s">
        <v>101</v>
      </c>
      <c r="M2105" s="3" t="s">
        <v>102</v>
      </c>
      <c r="N2105" s="3" t="s">
        <v>103</v>
      </c>
      <c r="O2105" s="3" t="s">
        <v>82</v>
      </c>
      <c r="P2105" s="3" t="str">
        <f>"2170816294                    "</f>
        <v xml:space="preserve">2170816294                    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15.46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3">
        <v>0</v>
      </c>
      <c r="AY2105" s="3">
        <v>0</v>
      </c>
      <c r="AZ2105" s="3">
        <v>0</v>
      </c>
      <c r="BA2105" s="3">
        <v>0</v>
      </c>
      <c r="BB2105" s="3">
        <v>0</v>
      </c>
      <c r="BC2105" s="3">
        <v>0</v>
      </c>
      <c r="BD2105" s="3">
        <v>0</v>
      </c>
      <c r="BE2105" s="3">
        <v>0</v>
      </c>
      <c r="BF2105" s="3">
        <v>0</v>
      </c>
      <c r="BG2105" s="3">
        <v>0</v>
      </c>
      <c r="BH2105" s="3">
        <v>1</v>
      </c>
      <c r="BI2105" s="3">
        <v>1</v>
      </c>
      <c r="BJ2105" s="3">
        <v>0.2</v>
      </c>
      <c r="BK2105" s="3">
        <v>1</v>
      </c>
      <c r="BL2105" s="3">
        <v>59</v>
      </c>
      <c r="BM2105" s="3">
        <v>8.85</v>
      </c>
      <c r="BN2105" s="3">
        <v>67.849999999999994</v>
      </c>
      <c r="BO2105" s="3">
        <v>67.849999999999994</v>
      </c>
      <c r="BQ2105" s="3" t="s">
        <v>83</v>
      </c>
      <c r="BR2105" s="3" t="s">
        <v>84</v>
      </c>
      <c r="BS2105" s="4">
        <v>44587</v>
      </c>
      <c r="BT2105" s="5">
        <v>0.31944444444444448</v>
      </c>
      <c r="BU2105" s="3" t="s">
        <v>463</v>
      </c>
      <c r="BV2105" s="3" t="s">
        <v>105</v>
      </c>
      <c r="BY2105" s="3">
        <v>1200</v>
      </c>
      <c r="BZ2105" s="3" t="s">
        <v>165</v>
      </c>
      <c r="CA2105" s="3" t="s">
        <v>334</v>
      </c>
      <c r="CC2105" s="3" t="s">
        <v>102</v>
      </c>
      <c r="CD2105" s="3">
        <v>4001</v>
      </c>
      <c r="CE2105" s="3" t="s">
        <v>93</v>
      </c>
      <c r="CF2105" s="4">
        <v>44588</v>
      </c>
      <c r="CI2105" s="3">
        <v>1</v>
      </c>
      <c r="CJ2105" s="3">
        <v>1</v>
      </c>
      <c r="CK2105" s="3">
        <v>21</v>
      </c>
      <c r="CL2105" s="3" t="s">
        <v>87</v>
      </c>
    </row>
    <row r="2106" spans="1:90" x14ac:dyDescent="0.2">
      <c r="A2106" s="3" t="s">
        <v>72</v>
      </c>
      <c r="B2106" s="3" t="s">
        <v>73</v>
      </c>
      <c r="C2106" s="3" t="s">
        <v>74</v>
      </c>
      <c r="E2106" s="3" t="str">
        <f>"FES1162846591"</f>
        <v>FES1162846591</v>
      </c>
      <c r="F2106" s="4">
        <v>44586</v>
      </c>
      <c r="G2106" s="3">
        <v>202207</v>
      </c>
      <c r="H2106" s="3" t="s">
        <v>75</v>
      </c>
      <c r="I2106" s="3" t="s">
        <v>76</v>
      </c>
      <c r="J2106" s="3" t="s">
        <v>77</v>
      </c>
      <c r="K2106" s="3" t="s">
        <v>78</v>
      </c>
      <c r="L2106" s="3" t="s">
        <v>101</v>
      </c>
      <c r="M2106" s="3" t="s">
        <v>102</v>
      </c>
      <c r="N2106" s="3" t="s">
        <v>526</v>
      </c>
      <c r="O2106" s="3" t="s">
        <v>82</v>
      </c>
      <c r="P2106" s="3" t="str">
        <f>"2170817992                    "</f>
        <v xml:space="preserve">2170817992                    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15.46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0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3">
        <v>0</v>
      </c>
      <c r="AY2106" s="3">
        <v>0</v>
      </c>
      <c r="AZ2106" s="3">
        <v>0</v>
      </c>
      <c r="BA2106" s="3">
        <v>0</v>
      </c>
      <c r="BB2106" s="3">
        <v>0</v>
      </c>
      <c r="BC2106" s="3">
        <v>0</v>
      </c>
      <c r="BD2106" s="3">
        <v>0</v>
      </c>
      <c r="BE2106" s="3">
        <v>0</v>
      </c>
      <c r="BF2106" s="3">
        <v>0</v>
      </c>
      <c r="BG2106" s="3">
        <v>0</v>
      </c>
      <c r="BH2106" s="3">
        <v>1</v>
      </c>
      <c r="BI2106" s="3">
        <v>1</v>
      </c>
      <c r="BJ2106" s="3">
        <v>0.2</v>
      </c>
      <c r="BK2106" s="3">
        <v>1</v>
      </c>
      <c r="BL2106" s="3">
        <v>59</v>
      </c>
      <c r="BM2106" s="3">
        <v>8.85</v>
      </c>
      <c r="BN2106" s="3">
        <v>67.849999999999994</v>
      </c>
      <c r="BO2106" s="3">
        <v>67.849999999999994</v>
      </c>
      <c r="BQ2106" s="3" t="s">
        <v>89</v>
      </c>
      <c r="BR2106" s="3" t="s">
        <v>84</v>
      </c>
      <c r="BS2106" s="4">
        <v>44587</v>
      </c>
      <c r="BT2106" s="5">
        <v>0.40486111111111112</v>
      </c>
      <c r="BU2106" s="3" t="s">
        <v>527</v>
      </c>
      <c r="BV2106" s="3" t="s">
        <v>105</v>
      </c>
      <c r="BY2106" s="3">
        <v>1200</v>
      </c>
      <c r="BZ2106" s="3" t="s">
        <v>165</v>
      </c>
      <c r="CA2106" s="3" t="s">
        <v>528</v>
      </c>
      <c r="CC2106" s="3" t="s">
        <v>102</v>
      </c>
      <c r="CD2106" s="3">
        <v>4001</v>
      </c>
      <c r="CE2106" s="3" t="s">
        <v>93</v>
      </c>
      <c r="CF2106" s="4">
        <v>44588</v>
      </c>
      <c r="CI2106" s="3">
        <v>1</v>
      </c>
      <c r="CJ2106" s="3">
        <v>1</v>
      </c>
      <c r="CK2106" s="3">
        <v>21</v>
      </c>
      <c r="CL2106" s="3" t="s">
        <v>87</v>
      </c>
    </row>
    <row r="2107" spans="1:90" x14ac:dyDescent="0.2">
      <c r="A2107" s="3" t="s">
        <v>72</v>
      </c>
      <c r="B2107" s="3" t="s">
        <v>73</v>
      </c>
      <c r="C2107" s="3" t="s">
        <v>74</v>
      </c>
      <c r="E2107" s="3" t="str">
        <f>"FES1162846490"</f>
        <v>FES1162846490</v>
      </c>
      <c r="F2107" s="4">
        <v>44586</v>
      </c>
      <c r="G2107" s="3">
        <v>202207</v>
      </c>
      <c r="H2107" s="3" t="s">
        <v>75</v>
      </c>
      <c r="I2107" s="3" t="s">
        <v>76</v>
      </c>
      <c r="J2107" s="3" t="s">
        <v>77</v>
      </c>
      <c r="K2107" s="3" t="s">
        <v>78</v>
      </c>
      <c r="L2107" s="3" t="s">
        <v>79</v>
      </c>
      <c r="M2107" s="3" t="s">
        <v>80</v>
      </c>
      <c r="N2107" s="3" t="s">
        <v>81</v>
      </c>
      <c r="O2107" s="3" t="s">
        <v>82</v>
      </c>
      <c r="P2107" s="3" t="str">
        <f>"2170815834                    "</f>
        <v xml:space="preserve">2170815834                    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15.46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3">
        <v>0</v>
      </c>
      <c r="AY2107" s="3">
        <v>0</v>
      </c>
      <c r="AZ2107" s="3">
        <v>0</v>
      </c>
      <c r="BA2107" s="3">
        <v>0</v>
      </c>
      <c r="BB2107" s="3">
        <v>0</v>
      </c>
      <c r="BC2107" s="3">
        <v>0</v>
      </c>
      <c r="BD2107" s="3">
        <v>0</v>
      </c>
      <c r="BE2107" s="3">
        <v>0</v>
      </c>
      <c r="BF2107" s="3">
        <v>0</v>
      </c>
      <c r="BG2107" s="3">
        <v>0</v>
      </c>
      <c r="BH2107" s="3">
        <v>1</v>
      </c>
      <c r="BI2107" s="3">
        <v>1</v>
      </c>
      <c r="BJ2107" s="3">
        <v>0.2</v>
      </c>
      <c r="BK2107" s="3">
        <v>1</v>
      </c>
      <c r="BL2107" s="3">
        <v>59</v>
      </c>
      <c r="BM2107" s="3">
        <v>8.85</v>
      </c>
      <c r="BN2107" s="3">
        <v>67.849999999999994</v>
      </c>
      <c r="BO2107" s="3">
        <v>67.849999999999994</v>
      </c>
      <c r="BQ2107" s="3" t="s">
        <v>83</v>
      </c>
      <c r="BR2107" s="3" t="s">
        <v>84</v>
      </c>
      <c r="BS2107" s="4">
        <v>44587</v>
      </c>
      <c r="BT2107" s="5">
        <v>0.40972222222222227</v>
      </c>
      <c r="BU2107" s="3" t="s">
        <v>2225</v>
      </c>
      <c r="BV2107" s="3" t="s">
        <v>105</v>
      </c>
      <c r="BY2107" s="3">
        <v>1200</v>
      </c>
      <c r="BZ2107" s="3" t="s">
        <v>165</v>
      </c>
      <c r="CA2107" s="3" t="s">
        <v>366</v>
      </c>
      <c r="CC2107" s="3" t="s">
        <v>80</v>
      </c>
      <c r="CD2107" s="3">
        <v>200</v>
      </c>
      <c r="CE2107" s="3" t="s">
        <v>93</v>
      </c>
      <c r="CF2107" s="4">
        <v>44588</v>
      </c>
      <c r="CI2107" s="3">
        <v>1</v>
      </c>
      <c r="CJ2107" s="3">
        <v>1</v>
      </c>
      <c r="CK2107" s="3">
        <v>21</v>
      </c>
      <c r="CL2107" s="3" t="s">
        <v>87</v>
      </c>
    </row>
    <row r="2108" spans="1:90" x14ac:dyDescent="0.2">
      <c r="A2108" s="3" t="s">
        <v>72</v>
      </c>
      <c r="B2108" s="3" t="s">
        <v>73</v>
      </c>
      <c r="C2108" s="3" t="s">
        <v>74</v>
      </c>
      <c r="E2108" s="3" t="str">
        <f>"FES1162846622"</f>
        <v>FES1162846622</v>
      </c>
      <c r="F2108" s="4">
        <v>44586</v>
      </c>
      <c r="G2108" s="3">
        <v>202207</v>
      </c>
      <c r="H2108" s="3" t="s">
        <v>75</v>
      </c>
      <c r="I2108" s="3" t="s">
        <v>76</v>
      </c>
      <c r="J2108" s="3" t="s">
        <v>77</v>
      </c>
      <c r="K2108" s="3" t="s">
        <v>78</v>
      </c>
      <c r="L2108" s="3" t="s">
        <v>90</v>
      </c>
      <c r="M2108" s="3" t="s">
        <v>91</v>
      </c>
      <c r="N2108" s="3" t="s">
        <v>735</v>
      </c>
      <c r="O2108" s="3" t="s">
        <v>82</v>
      </c>
      <c r="P2108" s="3" t="str">
        <f>"2170814889                    "</f>
        <v xml:space="preserve">2170814889                    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15.46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3">
        <v>0</v>
      </c>
      <c r="AY2108" s="3">
        <v>0</v>
      </c>
      <c r="AZ2108" s="3">
        <v>0</v>
      </c>
      <c r="BA2108" s="3">
        <v>0</v>
      </c>
      <c r="BB2108" s="3">
        <v>0</v>
      </c>
      <c r="BC2108" s="3">
        <v>0</v>
      </c>
      <c r="BD2108" s="3">
        <v>0</v>
      </c>
      <c r="BE2108" s="3">
        <v>0</v>
      </c>
      <c r="BF2108" s="3">
        <v>0</v>
      </c>
      <c r="BG2108" s="3">
        <v>0</v>
      </c>
      <c r="BH2108" s="3">
        <v>1</v>
      </c>
      <c r="BI2108" s="3">
        <v>2</v>
      </c>
      <c r="BJ2108" s="3">
        <v>2</v>
      </c>
      <c r="BK2108" s="3">
        <v>2</v>
      </c>
      <c r="BL2108" s="3">
        <v>59</v>
      </c>
      <c r="BM2108" s="3">
        <v>8.85</v>
      </c>
      <c r="BN2108" s="3">
        <v>67.849999999999994</v>
      </c>
      <c r="BO2108" s="3">
        <v>67.849999999999994</v>
      </c>
      <c r="BQ2108" s="3" t="s">
        <v>273</v>
      </c>
      <c r="BR2108" s="3" t="s">
        <v>84</v>
      </c>
      <c r="BS2108" s="4">
        <v>44587</v>
      </c>
      <c r="BT2108" s="5">
        <v>0.32500000000000001</v>
      </c>
      <c r="BU2108" s="3" t="s">
        <v>1804</v>
      </c>
      <c r="BV2108" s="3" t="s">
        <v>105</v>
      </c>
      <c r="BY2108" s="3">
        <v>9918</v>
      </c>
      <c r="BZ2108" s="3" t="s">
        <v>165</v>
      </c>
      <c r="CA2108" s="3" t="s">
        <v>566</v>
      </c>
      <c r="CC2108" s="3" t="s">
        <v>91</v>
      </c>
      <c r="CD2108" s="3">
        <v>7460</v>
      </c>
      <c r="CE2108" s="3" t="s">
        <v>86</v>
      </c>
      <c r="CF2108" s="4">
        <v>44588</v>
      </c>
      <c r="CI2108" s="3">
        <v>1</v>
      </c>
      <c r="CJ2108" s="3">
        <v>1</v>
      </c>
      <c r="CK2108" s="3">
        <v>21</v>
      </c>
      <c r="CL2108" s="3" t="s">
        <v>87</v>
      </c>
    </row>
    <row r="2109" spans="1:90" x14ac:dyDescent="0.2">
      <c r="A2109" s="3" t="s">
        <v>72</v>
      </c>
      <c r="B2109" s="3" t="s">
        <v>73</v>
      </c>
      <c r="C2109" s="3" t="s">
        <v>74</v>
      </c>
      <c r="E2109" s="3" t="str">
        <f>"FES1162846738"</f>
        <v>FES1162846738</v>
      </c>
      <c r="F2109" s="4">
        <v>44586</v>
      </c>
      <c r="G2109" s="3">
        <v>202207</v>
      </c>
      <c r="H2109" s="3" t="s">
        <v>75</v>
      </c>
      <c r="I2109" s="3" t="s">
        <v>76</v>
      </c>
      <c r="J2109" s="3" t="s">
        <v>77</v>
      </c>
      <c r="K2109" s="3" t="s">
        <v>78</v>
      </c>
      <c r="L2109" s="3" t="s">
        <v>90</v>
      </c>
      <c r="M2109" s="3" t="s">
        <v>91</v>
      </c>
      <c r="N2109" s="3" t="s">
        <v>584</v>
      </c>
      <c r="O2109" s="3" t="s">
        <v>82</v>
      </c>
      <c r="P2109" s="3" t="str">
        <f>"2170815665                    "</f>
        <v xml:space="preserve">2170815665                    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15.46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3">
        <v>0</v>
      </c>
      <c r="AY2109" s="3">
        <v>0</v>
      </c>
      <c r="AZ2109" s="3">
        <v>0</v>
      </c>
      <c r="BA2109" s="3">
        <v>0</v>
      </c>
      <c r="BB2109" s="3">
        <v>0</v>
      </c>
      <c r="BC2109" s="3">
        <v>0</v>
      </c>
      <c r="BD2109" s="3">
        <v>0</v>
      </c>
      <c r="BE2109" s="3">
        <v>0</v>
      </c>
      <c r="BF2109" s="3">
        <v>0</v>
      </c>
      <c r="BG2109" s="3">
        <v>0</v>
      </c>
      <c r="BH2109" s="3">
        <v>1</v>
      </c>
      <c r="BI2109" s="3">
        <v>1</v>
      </c>
      <c r="BJ2109" s="3">
        <v>0.2</v>
      </c>
      <c r="BK2109" s="3">
        <v>1</v>
      </c>
      <c r="BL2109" s="3">
        <v>59</v>
      </c>
      <c r="BM2109" s="3">
        <v>8.85</v>
      </c>
      <c r="BN2109" s="3">
        <v>67.849999999999994</v>
      </c>
      <c r="BO2109" s="3">
        <v>67.849999999999994</v>
      </c>
      <c r="BQ2109" s="3" t="s">
        <v>83</v>
      </c>
      <c r="BR2109" s="3" t="s">
        <v>84</v>
      </c>
      <c r="BS2109" s="4">
        <v>44587</v>
      </c>
      <c r="BT2109" s="5">
        <v>0.32847222222222222</v>
      </c>
      <c r="BU2109" s="3" t="s">
        <v>959</v>
      </c>
      <c r="BV2109" s="3" t="s">
        <v>105</v>
      </c>
      <c r="BY2109" s="3">
        <v>1200</v>
      </c>
      <c r="BZ2109" s="3" t="s">
        <v>165</v>
      </c>
      <c r="CA2109" s="3" t="s">
        <v>543</v>
      </c>
      <c r="CC2109" s="3" t="s">
        <v>91</v>
      </c>
      <c r="CD2109" s="3">
        <v>7530</v>
      </c>
      <c r="CE2109" s="3" t="s">
        <v>93</v>
      </c>
      <c r="CF2109" s="4">
        <v>44588</v>
      </c>
      <c r="CI2109" s="3">
        <v>1</v>
      </c>
      <c r="CJ2109" s="3">
        <v>1</v>
      </c>
      <c r="CK2109" s="3">
        <v>21</v>
      </c>
      <c r="CL2109" s="3" t="s">
        <v>87</v>
      </c>
    </row>
    <row r="2110" spans="1:90" x14ac:dyDescent="0.2">
      <c r="A2110" s="3" t="s">
        <v>72</v>
      </c>
      <c r="B2110" s="3" t="s">
        <v>73</v>
      </c>
      <c r="C2110" s="3" t="s">
        <v>74</v>
      </c>
      <c r="E2110" s="3" t="str">
        <f>"FES1162846624"</f>
        <v>FES1162846624</v>
      </c>
      <c r="F2110" s="4">
        <v>44586</v>
      </c>
      <c r="G2110" s="3">
        <v>202207</v>
      </c>
      <c r="H2110" s="3" t="s">
        <v>75</v>
      </c>
      <c r="I2110" s="3" t="s">
        <v>76</v>
      </c>
      <c r="J2110" s="3" t="s">
        <v>77</v>
      </c>
      <c r="K2110" s="3" t="s">
        <v>78</v>
      </c>
      <c r="L2110" s="3" t="s">
        <v>171</v>
      </c>
      <c r="M2110" s="3" t="s">
        <v>172</v>
      </c>
      <c r="N2110" s="3" t="s">
        <v>200</v>
      </c>
      <c r="O2110" s="3" t="s">
        <v>82</v>
      </c>
      <c r="P2110" s="3" t="str">
        <f>"2170815950                    "</f>
        <v xml:space="preserve">2170815950                    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100.43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3">
        <v>0</v>
      </c>
      <c r="AY2110" s="3">
        <v>0</v>
      </c>
      <c r="AZ2110" s="3">
        <v>0</v>
      </c>
      <c r="BA2110" s="3">
        <v>0</v>
      </c>
      <c r="BB2110" s="3">
        <v>0</v>
      </c>
      <c r="BC2110" s="3">
        <v>0</v>
      </c>
      <c r="BD2110" s="3">
        <v>0</v>
      </c>
      <c r="BE2110" s="3">
        <v>0</v>
      </c>
      <c r="BF2110" s="3">
        <v>0</v>
      </c>
      <c r="BG2110" s="3">
        <v>0</v>
      </c>
      <c r="BH2110" s="3">
        <v>1</v>
      </c>
      <c r="BI2110" s="3">
        <v>11</v>
      </c>
      <c r="BJ2110" s="3">
        <v>13</v>
      </c>
      <c r="BK2110" s="3">
        <v>13</v>
      </c>
      <c r="BL2110" s="3">
        <v>383.33</v>
      </c>
      <c r="BM2110" s="3">
        <v>57.5</v>
      </c>
      <c r="BN2110" s="3">
        <v>440.83</v>
      </c>
      <c r="BO2110" s="3">
        <v>440.83</v>
      </c>
      <c r="BQ2110" s="3" t="s">
        <v>89</v>
      </c>
      <c r="BR2110" s="3" t="s">
        <v>84</v>
      </c>
      <c r="BS2110" s="4">
        <v>44587</v>
      </c>
      <c r="BT2110" s="5">
        <v>0.4201388888888889</v>
      </c>
      <c r="BU2110" s="3" t="s">
        <v>908</v>
      </c>
      <c r="BV2110" s="3" t="s">
        <v>105</v>
      </c>
      <c r="BY2110" s="3">
        <v>64827</v>
      </c>
      <c r="BZ2110" s="3" t="s">
        <v>165</v>
      </c>
      <c r="CA2110" s="3" t="s">
        <v>814</v>
      </c>
      <c r="CC2110" s="3" t="s">
        <v>172</v>
      </c>
      <c r="CD2110" s="3">
        <v>6001</v>
      </c>
      <c r="CE2110" s="3" t="s">
        <v>86</v>
      </c>
      <c r="CF2110" s="4">
        <v>44587</v>
      </c>
      <c r="CI2110" s="3">
        <v>1</v>
      </c>
      <c r="CJ2110" s="3">
        <v>1</v>
      </c>
      <c r="CK2110" s="3">
        <v>21</v>
      </c>
      <c r="CL2110" s="3" t="s">
        <v>87</v>
      </c>
    </row>
    <row r="2111" spans="1:90" x14ac:dyDescent="0.2">
      <c r="A2111" s="3" t="s">
        <v>72</v>
      </c>
      <c r="B2111" s="3" t="s">
        <v>73</v>
      </c>
      <c r="C2111" s="3" t="s">
        <v>74</v>
      </c>
      <c r="E2111" s="3" t="str">
        <f>"FES1162846878"</f>
        <v>FES1162846878</v>
      </c>
      <c r="F2111" s="4">
        <v>44586</v>
      </c>
      <c r="G2111" s="3">
        <v>202207</v>
      </c>
      <c r="H2111" s="3" t="s">
        <v>75</v>
      </c>
      <c r="I2111" s="3" t="s">
        <v>76</v>
      </c>
      <c r="J2111" s="3" t="s">
        <v>77</v>
      </c>
      <c r="K2111" s="3" t="s">
        <v>78</v>
      </c>
      <c r="L2111" s="3" t="s">
        <v>79</v>
      </c>
      <c r="M2111" s="3" t="s">
        <v>80</v>
      </c>
      <c r="N2111" s="3" t="s">
        <v>1619</v>
      </c>
      <c r="O2111" s="3" t="s">
        <v>82</v>
      </c>
      <c r="P2111" s="3" t="str">
        <f>"2170816365                    "</f>
        <v xml:space="preserve">2170816365                    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15.46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3">
        <v>0</v>
      </c>
      <c r="AY2111" s="3">
        <v>0</v>
      </c>
      <c r="AZ2111" s="3">
        <v>0</v>
      </c>
      <c r="BA2111" s="3">
        <v>0</v>
      </c>
      <c r="BB2111" s="3">
        <v>0</v>
      </c>
      <c r="BC2111" s="3">
        <v>0</v>
      </c>
      <c r="BD2111" s="3">
        <v>0</v>
      </c>
      <c r="BE2111" s="3">
        <v>0</v>
      </c>
      <c r="BF2111" s="3">
        <v>0</v>
      </c>
      <c r="BG2111" s="3">
        <v>0</v>
      </c>
      <c r="BH2111" s="3">
        <v>1</v>
      </c>
      <c r="BI2111" s="3">
        <v>2</v>
      </c>
      <c r="BJ2111" s="3">
        <v>2</v>
      </c>
      <c r="BK2111" s="3">
        <v>2</v>
      </c>
      <c r="BL2111" s="3">
        <v>59</v>
      </c>
      <c r="BM2111" s="3">
        <v>8.85</v>
      </c>
      <c r="BN2111" s="3">
        <v>67.849999999999994</v>
      </c>
      <c r="BO2111" s="3">
        <v>67.849999999999994</v>
      </c>
      <c r="BQ2111" s="3" t="s">
        <v>1620</v>
      </c>
      <c r="BR2111" s="3" t="s">
        <v>84</v>
      </c>
      <c r="BS2111" s="4">
        <v>44587</v>
      </c>
      <c r="BT2111" s="5">
        <v>0.41388888888888892</v>
      </c>
      <c r="BU2111" s="3" t="s">
        <v>2226</v>
      </c>
      <c r="BV2111" s="3" t="s">
        <v>105</v>
      </c>
      <c r="BY2111" s="3">
        <v>9900</v>
      </c>
      <c r="BZ2111" s="3" t="s">
        <v>165</v>
      </c>
      <c r="CA2111" s="3" t="s">
        <v>1622</v>
      </c>
      <c r="CC2111" s="3" t="s">
        <v>80</v>
      </c>
      <c r="CD2111" s="3">
        <v>182</v>
      </c>
      <c r="CE2111" s="3" t="s">
        <v>86</v>
      </c>
      <c r="CF2111" s="4">
        <v>44588</v>
      </c>
      <c r="CI2111" s="3">
        <v>1</v>
      </c>
      <c r="CJ2111" s="3">
        <v>1</v>
      </c>
      <c r="CK2111" s="3">
        <v>21</v>
      </c>
      <c r="CL2111" s="3" t="s">
        <v>87</v>
      </c>
    </row>
    <row r="2112" spans="1:90" x14ac:dyDescent="0.2">
      <c r="A2112" s="3" t="s">
        <v>72</v>
      </c>
      <c r="B2112" s="3" t="s">
        <v>73</v>
      </c>
      <c r="C2112" s="3" t="s">
        <v>74</v>
      </c>
      <c r="E2112" s="3" t="str">
        <f>"FES1162846797"</f>
        <v>FES1162846797</v>
      </c>
      <c r="F2112" s="4">
        <v>44586</v>
      </c>
      <c r="G2112" s="3">
        <v>202207</v>
      </c>
      <c r="H2112" s="3" t="s">
        <v>75</v>
      </c>
      <c r="I2112" s="3" t="s">
        <v>76</v>
      </c>
      <c r="J2112" s="3" t="s">
        <v>77</v>
      </c>
      <c r="K2112" s="3" t="s">
        <v>78</v>
      </c>
      <c r="L2112" s="3" t="s">
        <v>75</v>
      </c>
      <c r="M2112" s="3" t="s">
        <v>76</v>
      </c>
      <c r="N2112" s="3" t="s">
        <v>147</v>
      </c>
      <c r="O2112" s="3" t="s">
        <v>82</v>
      </c>
      <c r="P2112" s="3" t="str">
        <f>"2170818082                    "</f>
        <v xml:space="preserve">2170818082                    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12.07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3">
        <v>0</v>
      </c>
      <c r="AY2112" s="3">
        <v>0</v>
      </c>
      <c r="AZ2112" s="3">
        <v>0</v>
      </c>
      <c r="BA2112" s="3">
        <v>0</v>
      </c>
      <c r="BB2112" s="3">
        <v>0</v>
      </c>
      <c r="BC2112" s="3">
        <v>0</v>
      </c>
      <c r="BD2112" s="3">
        <v>0</v>
      </c>
      <c r="BE2112" s="3">
        <v>0</v>
      </c>
      <c r="BF2112" s="3">
        <v>0</v>
      </c>
      <c r="BG2112" s="3">
        <v>0</v>
      </c>
      <c r="BH2112" s="3">
        <v>1</v>
      </c>
      <c r="BI2112" s="3">
        <v>1</v>
      </c>
      <c r="BJ2112" s="3">
        <v>0.2</v>
      </c>
      <c r="BK2112" s="3">
        <v>1</v>
      </c>
      <c r="BL2112" s="3">
        <v>46.08</v>
      </c>
      <c r="BM2112" s="3">
        <v>6.91</v>
      </c>
      <c r="BN2112" s="3">
        <v>52.99</v>
      </c>
      <c r="BO2112" s="3">
        <v>52.99</v>
      </c>
      <c r="BQ2112" s="3" t="s">
        <v>89</v>
      </c>
      <c r="BR2112" s="3" t="s">
        <v>84</v>
      </c>
      <c r="BS2112" s="4">
        <v>44587</v>
      </c>
      <c r="BT2112" s="5">
        <v>0.4152777777777778</v>
      </c>
      <c r="BU2112" s="3" t="s">
        <v>476</v>
      </c>
      <c r="BV2112" s="3" t="s">
        <v>105</v>
      </c>
      <c r="BY2112" s="3">
        <v>1200</v>
      </c>
      <c r="BZ2112" s="3" t="s">
        <v>165</v>
      </c>
      <c r="CA2112" s="3" t="s">
        <v>477</v>
      </c>
      <c r="CC2112" s="3" t="s">
        <v>76</v>
      </c>
      <c r="CD2112" s="3">
        <v>1645</v>
      </c>
      <c r="CE2112" s="3" t="s">
        <v>86</v>
      </c>
      <c r="CF2112" s="4">
        <v>44588</v>
      </c>
      <c r="CI2112" s="3">
        <v>1</v>
      </c>
      <c r="CJ2112" s="3">
        <v>1</v>
      </c>
      <c r="CK2112" s="3">
        <v>22</v>
      </c>
      <c r="CL2112" s="3" t="s">
        <v>87</v>
      </c>
    </row>
    <row r="2113" spans="1:90" x14ac:dyDescent="0.2">
      <c r="A2113" s="3" t="s">
        <v>72</v>
      </c>
      <c r="B2113" s="3" t="s">
        <v>73</v>
      </c>
      <c r="C2113" s="3" t="s">
        <v>74</v>
      </c>
      <c r="E2113" s="3" t="str">
        <f>"FES1162846629"</f>
        <v>FES1162846629</v>
      </c>
      <c r="F2113" s="4">
        <v>44586</v>
      </c>
      <c r="G2113" s="3">
        <v>202207</v>
      </c>
      <c r="H2113" s="3" t="s">
        <v>75</v>
      </c>
      <c r="I2113" s="3" t="s">
        <v>76</v>
      </c>
      <c r="J2113" s="3" t="s">
        <v>77</v>
      </c>
      <c r="K2113" s="3" t="s">
        <v>78</v>
      </c>
      <c r="L2113" s="3" t="s">
        <v>162</v>
      </c>
      <c r="M2113" s="3" t="s">
        <v>163</v>
      </c>
      <c r="N2113" s="3" t="s">
        <v>1393</v>
      </c>
      <c r="O2113" s="3" t="s">
        <v>82</v>
      </c>
      <c r="P2113" s="3" t="str">
        <f>"2170816800                    "</f>
        <v xml:space="preserve">2170816800                    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12.07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3">
        <v>0</v>
      </c>
      <c r="AY2113" s="3">
        <v>0</v>
      </c>
      <c r="AZ2113" s="3">
        <v>0</v>
      </c>
      <c r="BA2113" s="3">
        <v>0</v>
      </c>
      <c r="BB2113" s="3">
        <v>0</v>
      </c>
      <c r="BC2113" s="3">
        <v>0</v>
      </c>
      <c r="BD2113" s="3">
        <v>0</v>
      </c>
      <c r="BE2113" s="3">
        <v>0</v>
      </c>
      <c r="BF2113" s="3">
        <v>0</v>
      </c>
      <c r="BG2113" s="3">
        <v>0</v>
      </c>
      <c r="BH2113" s="3">
        <v>1</v>
      </c>
      <c r="BI2113" s="3">
        <v>1</v>
      </c>
      <c r="BJ2113" s="3">
        <v>0.2</v>
      </c>
      <c r="BK2113" s="3">
        <v>1</v>
      </c>
      <c r="BL2113" s="3">
        <v>46.08</v>
      </c>
      <c r="BM2113" s="3">
        <v>6.91</v>
      </c>
      <c r="BN2113" s="3">
        <v>52.99</v>
      </c>
      <c r="BO2113" s="3">
        <v>52.99</v>
      </c>
      <c r="BQ2113" s="3" t="s">
        <v>1645</v>
      </c>
      <c r="BR2113" s="3" t="s">
        <v>84</v>
      </c>
      <c r="BS2113" s="4">
        <v>44587</v>
      </c>
      <c r="BT2113" s="5">
        <v>0.29652777777777778</v>
      </c>
      <c r="BU2113" s="3" t="s">
        <v>2227</v>
      </c>
      <c r="BV2113" s="3" t="s">
        <v>105</v>
      </c>
      <c r="BY2113" s="3">
        <v>1200</v>
      </c>
      <c r="BZ2113" s="3" t="s">
        <v>165</v>
      </c>
      <c r="CA2113" s="3" t="s">
        <v>293</v>
      </c>
      <c r="CC2113" s="3" t="s">
        <v>163</v>
      </c>
      <c r="CD2113" s="3">
        <v>1422</v>
      </c>
      <c r="CE2113" s="3" t="s">
        <v>86</v>
      </c>
      <c r="CF2113" s="4">
        <v>44587</v>
      </c>
      <c r="CI2113" s="3">
        <v>1</v>
      </c>
      <c r="CJ2113" s="3">
        <v>1</v>
      </c>
      <c r="CK2113" s="3">
        <v>22</v>
      </c>
      <c r="CL2113" s="3" t="s">
        <v>87</v>
      </c>
    </row>
    <row r="2114" spans="1:90" x14ac:dyDescent="0.2">
      <c r="A2114" s="3" t="s">
        <v>72</v>
      </c>
      <c r="B2114" s="3" t="s">
        <v>73</v>
      </c>
      <c r="C2114" s="3" t="s">
        <v>74</v>
      </c>
      <c r="E2114" s="3" t="str">
        <f>"FES1162846542"</f>
        <v>FES1162846542</v>
      </c>
      <c r="F2114" s="4">
        <v>44586</v>
      </c>
      <c r="G2114" s="3">
        <v>202207</v>
      </c>
      <c r="H2114" s="3" t="s">
        <v>75</v>
      </c>
      <c r="I2114" s="3" t="s">
        <v>76</v>
      </c>
      <c r="J2114" s="3" t="s">
        <v>77</v>
      </c>
      <c r="K2114" s="3" t="s">
        <v>78</v>
      </c>
      <c r="L2114" s="3" t="s">
        <v>786</v>
      </c>
      <c r="M2114" s="3" t="s">
        <v>787</v>
      </c>
      <c r="N2114" s="3" t="s">
        <v>788</v>
      </c>
      <c r="O2114" s="3" t="s">
        <v>148</v>
      </c>
      <c r="P2114" s="3" t="str">
        <f>"2170814874                    "</f>
        <v xml:space="preserve">2170814874                    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39.03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3">
        <v>0</v>
      </c>
      <c r="AY2114" s="3">
        <v>0</v>
      </c>
      <c r="AZ2114" s="3">
        <v>0</v>
      </c>
      <c r="BA2114" s="3">
        <v>0</v>
      </c>
      <c r="BB2114" s="3">
        <v>0</v>
      </c>
      <c r="BC2114" s="3">
        <v>0</v>
      </c>
      <c r="BD2114" s="3">
        <v>0</v>
      </c>
      <c r="BE2114" s="3">
        <v>0</v>
      </c>
      <c r="BF2114" s="3">
        <v>0</v>
      </c>
      <c r="BG2114" s="3">
        <v>0</v>
      </c>
      <c r="BH2114" s="3">
        <v>1</v>
      </c>
      <c r="BI2114" s="3">
        <v>22</v>
      </c>
      <c r="BJ2114" s="3">
        <v>11.3</v>
      </c>
      <c r="BK2114" s="3">
        <v>22</v>
      </c>
      <c r="BL2114" s="3">
        <v>154.21</v>
      </c>
      <c r="BM2114" s="3">
        <v>23.13</v>
      </c>
      <c r="BN2114" s="3">
        <v>177.34</v>
      </c>
      <c r="BO2114" s="3">
        <v>177.34</v>
      </c>
      <c r="BQ2114" s="3" t="s">
        <v>83</v>
      </c>
      <c r="BR2114" s="3" t="s">
        <v>84</v>
      </c>
      <c r="BS2114" s="4">
        <v>44588</v>
      </c>
      <c r="BT2114" s="5">
        <v>0.6645833333333333</v>
      </c>
      <c r="BU2114" s="3" t="s">
        <v>1534</v>
      </c>
      <c r="BV2114" s="3" t="s">
        <v>87</v>
      </c>
      <c r="BW2114" s="3" t="s">
        <v>376</v>
      </c>
      <c r="BX2114" s="3" t="s">
        <v>377</v>
      </c>
      <c r="BY2114" s="3">
        <v>56355</v>
      </c>
      <c r="BZ2114" s="3" t="s">
        <v>327</v>
      </c>
      <c r="CA2114" s="3" t="s">
        <v>2049</v>
      </c>
      <c r="CC2114" s="3" t="s">
        <v>787</v>
      </c>
      <c r="CD2114" s="3">
        <v>2410</v>
      </c>
      <c r="CE2114" s="3" t="s">
        <v>86</v>
      </c>
      <c r="CF2114" s="4">
        <v>44588</v>
      </c>
      <c r="CI2114" s="3">
        <v>1</v>
      </c>
      <c r="CJ2114" s="3">
        <v>2</v>
      </c>
      <c r="CK2114" s="3">
        <v>44</v>
      </c>
      <c r="CL2114" s="3" t="s">
        <v>87</v>
      </c>
    </row>
    <row r="2115" spans="1:90" x14ac:dyDescent="0.2">
      <c r="A2115" s="3" t="s">
        <v>72</v>
      </c>
      <c r="B2115" s="3" t="s">
        <v>73</v>
      </c>
      <c r="C2115" s="3" t="s">
        <v>74</v>
      </c>
      <c r="E2115" s="3" t="str">
        <f>"FES1162846649"</f>
        <v>FES1162846649</v>
      </c>
      <c r="F2115" s="4">
        <v>44586</v>
      </c>
      <c r="G2115" s="3">
        <v>202207</v>
      </c>
      <c r="H2115" s="3" t="s">
        <v>75</v>
      </c>
      <c r="I2115" s="3" t="s">
        <v>76</v>
      </c>
      <c r="J2115" s="3" t="s">
        <v>77</v>
      </c>
      <c r="K2115" s="3" t="s">
        <v>78</v>
      </c>
      <c r="L2115" s="3" t="s">
        <v>218</v>
      </c>
      <c r="M2115" s="3" t="s">
        <v>219</v>
      </c>
      <c r="N2115" s="3" t="s">
        <v>727</v>
      </c>
      <c r="O2115" s="3" t="s">
        <v>82</v>
      </c>
      <c r="P2115" s="3" t="str">
        <f>"2170818034                    "</f>
        <v xml:space="preserve">2170818034                    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15.46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3">
        <v>0</v>
      </c>
      <c r="AY2115" s="3">
        <v>0</v>
      </c>
      <c r="AZ2115" s="3">
        <v>0</v>
      </c>
      <c r="BA2115" s="3">
        <v>0</v>
      </c>
      <c r="BB2115" s="3">
        <v>0</v>
      </c>
      <c r="BC2115" s="3">
        <v>0</v>
      </c>
      <c r="BD2115" s="3">
        <v>0</v>
      </c>
      <c r="BE2115" s="3">
        <v>0</v>
      </c>
      <c r="BF2115" s="3">
        <v>0</v>
      </c>
      <c r="BG2115" s="3">
        <v>0</v>
      </c>
      <c r="BH2115" s="3">
        <v>1</v>
      </c>
      <c r="BI2115" s="3">
        <v>1</v>
      </c>
      <c r="BJ2115" s="3">
        <v>0.2</v>
      </c>
      <c r="BK2115" s="3">
        <v>1</v>
      </c>
      <c r="BL2115" s="3">
        <v>59</v>
      </c>
      <c r="BM2115" s="3">
        <v>8.85</v>
      </c>
      <c r="BN2115" s="3">
        <v>67.849999999999994</v>
      </c>
      <c r="BO2115" s="3">
        <v>67.849999999999994</v>
      </c>
      <c r="BQ2115" s="3" t="s">
        <v>89</v>
      </c>
      <c r="BR2115" s="3" t="s">
        <v>84</v>
      </c>
      <c r="BS2115" s="4">
        <v>44587</v>
      </c>
      <c r="BT2115" s="5">
        <v>0.43124999999999997</v>
      </c>
      <c r="BU2115" s="3" t="s">
        <v>728</v>
      </c>
      <c r="BV2115" s="3" t="s">
        <v>105</v>
      </c>
      <c r="BY2115" s="3">
        <v>1200</v>
      </c>
      <c r="BZ2115" s="3" t="s">
        <v>165</v>
      </c>
      <c r="CA2115" s="3" t="s">
        <v>362</v>
      </c>
      <c r="CC2115" s="3" t="s">
        <v>219</v>
      </c>
      <c r="CD2115" s="3">
        <v>157</v>
      </c>
      <c r="CE2115" s="3" t="s">
        <v>93</v>
      </c>
      <c r="CF2115" s="4">
        <v>44588</v>
      </c>
      <c r="CI2115" s="3">
        <v>1</v>
      </c>
      <c r="CJ2115" s="3">
        <v>1</v>
      </c>
      <c r="CK2115" s="3">
        <v>21</v>
      </c>
      <c r="CL2115" s="3" t="s">
        <v>87</v>
      </c>
    </row>
    <row r="2116" spans="1:90" x14ac:dyDescent="0.2">
      <c r="A2116" s="3" t="s">
        <v>72</v>
      </c>
      <c r="B2116" s="3" t="s">
        <v>73</v>
      </c>
      <c r="C2116" s="3" t="s">
        <v>74</v>
      </c>
      <c r="E2116" s="3" t="str">
        <f>"FES1162846313"</f>
        <v>FES1162846313</v>
      </c>
      <c r="F2116" s="4">
        <v>44586</v>
      </c>
      <c r="G2116" s="3">
        <v>202207</v>
      </c>
      <c r="H2116" s="3" t="s">
        <v>75</v>
      </c>
      <c r="I2116" s="3" t="s">
        <v>76</v>
      </c>
      <c r="J2116" s="3" t="s">
        <v>77</v>
      </c>
      <c r="K2116" s="3" t="s">
        <v>78</v>
      </c>
      <c r="L2116" s="3" t="s">
        <v>75</v>
      </c>
      <c r="M2116" s="3" t="s">
        <v>76</v>
      </c>
      <c r="N2116" s="3" t="s">
        <v>2143</v>
      </c>
      <c r="O2116" s="3" t="s">
        <v>82</v>
      </c>
      <c r="P2116" s="3" t="str">
        <f>"2170814190                    "</f>
        <v xml:space="preserve">2170814190                    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12.07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0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3">
        <v>0</v>
      </c>
      <c r="AY2116" s="3">
        <v>0</v>
      </c>
      <c r="AZ2116" s="3">
        <v>0</v>
      </c>
      <c r="BA2116" s="3">
        <v>0</v>
      </c>
      <c r="BB2116" s="3">
        <v>0</v>
      </c>
      <c r="BC2116" s="3">
        <v>0</v>
      </c>
      <c r="BD2116" s="3">
        <v>0</v>
      </c>
      <c r="BE2116" s="3">
        <v>0</v>
      </c>
      <c r="BF2116" s="3">
        <v>0</v>
      </c>
      <c r="BG2116" s="3">
        <v>0</v>
      </c>
      <c r="BH2116" s="3">
        <v>1</v>
      </c>
      <c r="BI2116" s="3">
        <v>2</v>
      </c>
      <c r="BJ2116" s="3">
        <v>1.5</v>
      </c>
      <c r="BK2116" s="3">
        <v>2</v>
      </c>
      <c r="BL2116" s="3">
        <v>46.08</v>
      </c>
      <c r="BM2116" s="3">
        <v>6.91</v>
      </c>
      <c r="BN2116" s="3">
        <v>52.99</v>
      </c>
      <c r="BO2116" s="3">
        <v>52.99</v>
      </c>
      <c r="BQ2116" s="3" t="s">
        <v>89</v>
      </c>
      <c r="BR2116" s="3" t="s">
        <v>84</v>
      </c>
      <c r="BS2116" s="4">
        <v>44587</v>
      </c>
      <c r="BT2116" s="5">
        <v>0.39444444444444443</v>
      </c>
      <c r="BU2116" s="3" t="s">
        <v>2024</v>
      </c>
      <c r="BV2116" s="3" t="s">
        <v>105</v>
      </c>
      <c r="BY2116" s="3">
        <v>7540</v>
      </c>
      <c r="BZ2116" s="3" t="s">
        <v>165</v>
      </c>
      <c r="CA2116" s="3" t="s">
        <v>378</v>
      </c>
      <c r="CC2116" s="3" t="s">
        <v>76</v>
      </c>
      <c r="CD2116" s="3">
        <v>1601</v>
      </c>
      <c r="CE2116" s="3" t="s">
        <v>86</v>
      </c>
      <c r="CF2116" s="4">
        <v>44587</v>
      </c>
      <c r="CI2116" s="3">
        <v>1</v>
      </c>
      <c r="CJ2116" s="3">
        <v>1</v>
      </c>
      <c r="CK2116" s="3">
        <v>22</v>
      </c>
      <c r="CL2116" s="3" t="s">
        <v>87</v>
      </c>
    </row>
    <row r="2117" spans="1:90" x14ac:dyDescent="0.2">
      <c r="A2117" s="3" t="s">
        <v>72</v>
      </c>
      <c r="B2117" s="3" t="s">
        <v>73</v>
      </c>
      <c r="C2117" s="3" t="s">
        <v>74</v>
      </c>
      <c r="E2117" s="3" t="str">
        <f>"FES1162847017"</f>
        <v>FES1162847017</v>
      </c>
      <c r="F2117" s="4">
        <v>44587</v>
      </c>
      <c r="G2117" s="3">
        <v>202207</v>
      </c>
      <c r="H2117" s="3" t="s">
        <v>75</v>
      </c>
      <c r="I2117" s="3" t="s">
        <v>76</v>
      </c>
      <c r="J2117" s="3" t="s">
        <v>77</v>
      </c>
      <c r="K2117" s="3" t="s">
        <v>78</v>
      </c>
      <c r="L2117" s="3" t="s">
        <v>171</v>
      </c>
      <c r="M2117" s="3" t="s">
        <v>172</v>
      </c>
      <c r="N2117" s="3" t="s">
        <v>454</v>
      </c>
      <c r="O2117" s="3" t="s">
        <v>82</v>
      </c>
      <c r="P2117" s="3" t="str">
        <f>"2170818305                    "</f>
        <v xml:space="preserve">2170818305                    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19.32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3">
        <v>0</v>
      </c>
      <c r="AY2117" s="3">
        <v>0</v>
      </c>
      <c r="AZ2117" s="3">
        <v>0</v>
      </c>
      <c r="BA2117" s="3">
        <v>0</v>
      </c>
      <c r="BB2117" s="3">
        <v>0</v>
      </c>
      <c r="BC2117" s="3">
        <v>0</v>
      </c>
      <c r="BD2117" s="3">
        <v>0</v>
      </c>
      <c r="BE2117" s="3">
        <v>0</v>
      </c>
      <c r="BF2117" s="3">
        <v>0</v>
      </c>
      <c r="BG2117" s="3">
        <v>0</v>
      </c>
      <c r="BH2117" s="3">
        <v>1</v>
      </c>
      <c r="BI2117" s="3">
        <v>2</v>
      </c>
      <c r="BJ2117" s="3">
        <v>2.5</v>
      </c>
      <c r="BK2117" s="3">
        <v>2.5</v>
      </c>
      <c r="BL2117" s="3">
        <v>73.739999999999995</v>
      </c>
      <c r="BM2117" s="3">
        <v>11.06</v>
      </c>
      <c r="BN2117" s="3">
        <v>84.8</v>
      </c>
      <c r="BO2117" s="3">
        <v>84.8</v>
      </c>
      <c r="BQ2117" s="3" t="s">
        <v>89</v>
      </c>
      <c r="BR2117" s="3" t="s">
        <v>84</v>
      </c>
      <c r="BS2117" s="4">
        <v>44588</v>
      </c>
      <c r="BT2117" s="5">
        <v>0.38194444444444442</v>
      </c>
      <c r="BU2117" s="3" t="s">
        <v>1155</v>
      </c>
      <c r="BV2117" s="3" t="s">
        <v>105</v>
      </c>
      <c r="BY2117" s="3">
        <v>12288</v>
      </c>
      <c r="BZ2117" s="3" t="s">
        <v>165</v>
      </c>
      <c r="CA2117" s="3" t="s">
        <v>509</v>
      </c>
      <c r="CC2117" s="3" t="s">
        <v>172</v>
      </c>
      <c r="CD2117" s="3">
        <v>6001</v>
      </c>
      <c r="CE2117" s="3" t="s">
        <v>221</v>
      </c>
      <c r="CF2117" s="4">
        <v>44588</v>
      </c>
      <c r="CI2117" s="3">
        <v>1</v>
      </c>
      <c r="CJ2117" s="3">
        <v>1</v>
      </c>
      <c r="CK2117" s="3">
        <v>21</v>
      </c>
      <c r="CL2117" s="3" t="s">
        <v>87</v>
      </c>
    </row>
    <row r="2118" spans="1:90" x14ac:dyDescent="0.2">
      <c r="A2118" s="3" t="s">
        <v>72</v>
      </c>
      <c r="B2118" s="3" t="s">
        <v>73</v>
      </c>
      <c r="C2118" s="3" t="s">
        <v>74</v>
      </c>
      <c r="E2118" s="3" t="str">
        <f>"FES1162847013"</f>
        <v>FES1162847013</v>
      </c>
      <c r="F2118" s="4">
        <v>44587</v>
      </c>
      <c r="G2118" s="3">
        <v>202207</v>
      </c>
      <c r="H2118" s="3" t="s">
        <v>75</v>
      </c>
      <c r="I2118" s="3" t="s">
        <v>76</v>
      </c>
      <c r="J2118" s="3" t="s">
        <v>77</v>
      </c>
      <c r="K2118" s="3" t="s">
        <v>78</v>
      </c>
      <c r="L2118" s="3" t="s">
        <v>110</v>
      </c>
      <c r="M2118" s="3" t="s">
        <v>110</v>
      </c>
      <c r="N2118" s="3" t="s">
        <v>2228</v>
      </c>
      <c r="O2118" s="3" t="s">
        <v>82</v>
      </c>
      <c r="P2118" s="3" t="str">
        <f>"2170818302                    "</f>
        <v xml:space="preserve">2170818302                    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29.95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3">
        <v>0</v>
      </c>
      <c r="AY2118" s="3">
        <v>0</v>
      </c>
      <c r="AZ2118" s="3">
        <v>0</v>
      </c>
      <c r="BA2118" s="3">
        <v>0</v>
      </c>
      <c r="BB2118" s="3">
        <v>0</v>
      </c>
      <c r="BC2118" s="3">
        <v>0</v>
      </c>
      <c r="BD2118" s="3">
        <v>0</v>
      </c>
      <c r="BE2118" s="3">
        <v>0</v>
      </c>
      <c r="BF2118" s="3">
        <v>0</v>
      </c>
      <c r="BG2118" s="3">
        <v>0</v>
      </c>
      <c r="BH2118" s="3">
        <v>1</v>
      </c>
      <c r="BI2118" s="3">
        <v>1</v>
      </c>
      <c r="BJ2118" s="3">
        <v>0.2</v>
      </c>
      <c r="BK2118" s="3">
        <v>1</v>
      </c>
      <c r="BL2118" s="3">
        <v>114.31</v>
      </c>
      <c r="BM2118" s="3">
        <v>17.149999999999999</v>
      </c>
      <c r="BN2118" s="3">
        <v>131.46</v>
      </c>
      <c r="BO2118" s="3">
        <v>131.46</v>
      </c>
      <c r="BQ2118" s="3" t="s">
        <v>83</v>
      </c>
      <c r="BR2118" s="3" t="s">
        <v>84</v>
      </c>
      <c r="BS2118" s="4">
        <v>44588</v>
      </c>
      <c r="BT2118" s="5">
        <v>0.56041666666666667</v>
      </c>
      <c r="BU2118" s="3" t="s">
        <v>2229</v>
      </c>
      <c r="BV2118" s="3" t="s">
        <v>87</v>
      </c>
      <c r="BW2118" s="3" t="s">
        <v>353</v>
      </c>
      <c r="BX2118" s="3" t="s">
        <v>354</v>
      </c>
      <c r="BY2118" s="3">
        <v>1200</v>
      </c>
      <c r="BZ2118" s="3" t="s">
        <v>165</v>
      </c>
      <c r="CA2118" s="3" t="s">
        <v>563</v>
      </c>
      <c r="CC2118" s="3" t="s">
        <v>110</v>
      </c>
      <c r="CD2118" s="3">
        <v>7646</v>
      </c>
      <c r="CE2118" s="3" t="s">
        <v>1513</v>
      </c>
      <c r="CF2118" s="4">
        <v>44589</v>
      </c>
      <c r="CI2118" s="3">
        <v>1</v>
      </c>
      <c r="CJ2118" s="3">
        <v>1</v>
      </c>
      <c r="CK2118" s="3">
        <v>23</v>
      </c>
      <c r="CL2118" s="3" t="s">
        <v>87</v>
      </c>
    </row>
    <row r="2119" spans="1:90" x14ac:dyDescent="0.2">
      <c r="A2119" s="3" t="s">
        <v>72</v>
      </c>
      <c r="B2119" s="3" t="s">
        <v>73</v>
      </c>
      <c r="C2119" s="3" t="s">
        <v>74</v>
      </c>
      <c r="E2119" s="3" t="str">
        <f>"FES1162846827"</f>
        <v>FES1162846827</v>
      </c>
      <c r="F2119" s="4">
        <v>44587</v>
      </c>
      <c r="G2119" s="3">
        <v>202207</v>
      </c>
      <c r="H2119" s="3" t="s">
        <v>75</v>
      </c>
      <c r="I2119" s="3" t="s">
        <v>76</v>
      </c>
      <c r="J2119" s="3" t="s">
        <v>77</v>
      </c>
      <c r="K2119" s="3" t="s">
        <v>78</v>
      </c>
      <c r="L2119" s="3" t="s">
        <v>162</v>
      </c>
      <c r="M2119" s="3" t="s">
        <v>163</v>
      </c>
      <c r="N2119" s="3" t="s">
        <v>2192</v>
      </c>
      <c r="O2119" s="3" t="s">
        <v>82</v>
      </c>
      <c r="P2119" s="3" t="str">
        <f>"2170818107                    "</f>
        <v xml:space="preserve">2170818107                    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12.07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3">
        <v>0</v>
      </c>
      <c r="AY2119" s="3">
        <v>0</v>
      </c>
      <c r="AZ2119" s="3">
        <v>0</v>
      </c>
      <c r="BA2119" s="3">
        <v>0</v>
      </c>
      <c r="BB2119" s="3">
        <v>0</v>
      </c>
      <c r="BC2119" s="3">
        <v>0</v>
      </c>
      <c r="BD2119" s="3">
        <v>0</v>
      </c>
      <c r="BE2119" s="3">
        <v>0</v>
      </c>
      <c r="BF2119" s="3">
        <v>0</v>
      </c>
      <c r="BG2119" s="3">
        <v>0</v>
      </c>
      <c r="BH2119" s="3">
        <v>1</v>
      </c>
      <c r="BI2119" s="3">
        <v>1</v>
      </c>
      <c r="BJ2119" s="3">
        <v>0.2</v>
      </c>
      <c r="BK2119" s="3">
        <v>1</v>
      </c>
      <c r="BL2119" s="3">
        <v>46.08</v>
      </c>
      <c r="BM2119" s="3">
        <v>6.91</v>
      </c>
      <c r="BN2119" s="3">
        <v>52.99</v>
      </c>
      <c r="BO2119" s="3">
        <v>52.99</v>
      </c>
      <c r="BQ2119" s="3" t="s">
        <v>83</v>
      </c>
      <c r="BR2119" s="3" t="s">
        <v>84</v>
      </c>
      <c r="BS2119" s="4">
        <v>44588</v>
      </c>
      <c r="BT2119" s="5">
        <v>0.4055555555555555</v>
      </c>
      <c r="BU2119" s="3" t="s">
        <v>2193</v>
      </c>
      <c r="BV2119" s="3" t="s">
        <v>105</v>
      </c>
      <c r="BY2119" s="3">
        <v>1200</v>
      </c>
      <c r="BZ2119" s="3" t="s">
        <v>165</v>
      </c>
      <c r="CA2119" s="3" t="s">
        <v>1051</v>
      </c>
      <c r="CC2119" s="3" t="s">
        <v>163</v>
      </c>
      <c r="CD2119" s="3">
        <v>1406</v>
      </c>
      <c r="CE2119" s="3" t="s">
        <v>93</v>
      </c>
      <c r="CF2119" s="4">
        <v>44589</v>
      </c>
      <c r="CI2119" s="3">
        <v>1</v>
      </c>
      <c r="CJ2119" s="3">
        <v>1</v>
      </c>
      <c r="CK2119" s="3">
        <v>22</v>
      </c>
      <c r="CL2119" s="3" t="s">
        <v>87</v>
      </c>
    </row>
    <row r="2120" spans="1:90" x14ac:dyDescent="0.2">
      <c r="A2120" s="3" t="s">
        <v>72</v>
      </c>
      <c r="B2120" s="3" t="s">
        <v>73</v>
      </c>
      <c r="C2120" s="3" t="s">
        <v>74</v>
      </c>
      <c r="E2120" s="3" t="str">
        <f>"FES1162847058"</f>
        <v>FES1162847058</v>
      </c>
      <c r="F2120" s="4">
        <v>44587</v>
      </c>
      <c r="G2120" s="3">
        <v>202207</v>
      </c>
      <c r="H2120" s="3" t="s">
        <v>75</v>
      </c>
      <c r="I2120" s="3" t="s">
        <v>76</v>
      </c>
      <c r="J2120" s="3" t="s">
        <v>77</v>
      </c>
      <c r="K2120" s="3" t="s">
        <v>78</v>
      </c>
      <c r="L2120" s="3" t="s">
        <v>90</v>
      </c>
      <c r="M2120" s="3" t="s">
        <v>91</v>
      </c>
      <c r="N2120" s="3" t="s">
        <v>600</v>
      </c>
      <c r="O2120" s="3" t="s">
        <v>82</v>
      </c>
      <c r="P2120" s="3" t="str">
        <f>"2170818343                    "</f>
        <v xml:space="preserve">2170818343                    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54.08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3">
        <v>0</v>
      </c>
      <c r="AY2120" s="3">
        <v>0</v>
      </c>
      <c r="AZ2120" s="3">
        <v>0</v>
      </c>
      <c r="BA2120" s="3">
        <v>0</v>
      </c>
      <c r="BB2120" s="3">
        <v>0</v>
      </c>
      <c r="BC2120" s="3">
        <v>0</v>
      </c>
      <c r="BD2120" s="3">
        <v>0</v>
      </c>
      <c r="BE2120" s="3">
        <v>0</v>
      </c>
      <c r="BF2120" s="3">
        <v>0</v>
      </c>
      <c r="BG2120" s="3">
        <v>0</v>
      </c>
      <c r="BH2120" s="3">
        <v>1</v>
      </c>
      <c r="BI2120" s="3">
        <v>4</v>
      </c>
      <c r="BJ2120" s="3">
        <v>6.9</v>
      </c>
      <c r="BK2120" s="3">
        <v>7</v>
      </c>
      <c r="BL2120" s="3">
        <v>206.42</v>
      </c>
      <c r="BM2120" s="3">
        <v>30.96</v>
      </c>
      <c r="BN2120" s="3">
        <v>237.38</v>
      </c>
      <c r="BO2120" s="3">
        <v>237.38</v>
      </c>
      <c r="BQ2120" s="3" t="s">
        <v>89</v>
      </c>
      <c r="BR2120" s="3" t="s">
        <v>84</v>
      </c>
      <c r="BS2120" s="4">
        <v>44588</v>
      </c>
      <c r="BT2120" s="5">
        <v>0.35555555555555557</v>
      </c>
      <c r="BU2120" s="3" t="s">
        <v>1698</v>
      </c>
      <c r="BV2120" s="3" t="s">
        <v>105</v>
      </c>
      <c r="BY2120" s="3">
        <v>34656</v>
      </c>
      <c r="BZ2120" s="3" t="s">
        <v>165</v>
      </c>
      <c r="CA2120" s="3" t="s">
        <v>603</v>
      </c>
      <c r="CC2120" s="3" t="s">
        <v>91</v>
      </c>
      <c r="CD2120" s="3">
        <v>7945</v>
      </c>
      <c r="CE2120" s="3" t="s">
        <v>221</v>
      </c>
      <c r="CF2120" s="4">
        <v>44589</v>
      </c>
      <c r="CI2120" s="3">
        <v>1</v>
      </c>
      <c r="CJ2120" s="3">
        <v>1</v>
      </c>
      <c r="CK2120" s="3">
        <v>21</v>
      </c>
      <c r="CL2120" s="3" t="s">
        <v>87</v>
      </c>
    </row>
    <row r="2121" spans="1:90" x14ac:dyDescent="0.2">
      <c r="A2121" s="3" t="s">
        <v>72</v>
      </c>
      <c r="B2121" s="3" t="s">
        <v>73</v>
      </c>
      <c r="C2121" s="3" t="s">
        <v>74</v>
      </c>
      <c r="E2121" s="3" t="str">
        <f>"FES1162846817"</f>
        <v>FES1162846817</v>
      </c>
      <c r="F2121" s="4">
        <v>44587</v>
      </c>
      <c r="G2121" s="3">
        <v>202207</v>
      </c>
      <c r="H2121" s="3" t="s">
        <v>75</v>
      </c>
      <c r="I2121" s="3" t="s">
        <v>76</v>
      </c>
      <c r="J2121" s="3" t="s">
        <v>77</v>
      </c>
      <c r="K2121" s="3" t="s">
        <v>78</v>
      </c>
      <c r="L2121" s="3" t="s">
        <v>206</v>
      </c>
      <c r="M2121" s="3" t="s">
        <v>207</v>
      </c>
      <c r="N2121" s="3" t="s">
        <v>985</v>
      </c>
      <c r="O2121" s="3" t="s">
        <v>82</v>
      </c>
      <c r="P2121" s="3" t="str">
        <f>"2170818093                    "</f>
        <v xml:space="preserve">2170818093                    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21.74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3">
        <v>0</v>
      </c>
      <c r="AY2121" s="3">
        <v>0</v>
      </c>
      <c r="AZ2121" s="3">
        <v>0</v>
      </c>
      <c r="BA2121" s="3">
        <v>0</v>
      </c>
      <c r="BB2121" s="3">
        <v>0</v>
      </c>
      <c r="BC2121" s="3">
        <v>0</v>
      </c>
      <c r="BD2121" s="3">
        <v>0</v>
      </c>
      <c r="BE2121" s="3">
        <v>0</v>
      </c>
      <c r="BF2121" s="3">
        <v>0</v>
      </c>
      <c r="BG2121" s="3">
        <v>0</v>
      </c>
      <c r="BH2121" s="3">
        <v>1</v>
      </c>
      <c r="BI2121" s="3">
        <v>1</v>
      </c>
      <c r="BJ2121" s="3">
        <v>0.2</v>
      </c>
      <c r="BK2121" s="3">
        <v>1</v>
      </c>
      <c r="BL2121" s="3">
        <v>82.98</v>
      </c>
      <c r="BM2121" s="3">
        <v>12.45</v>
      </c>
      <c r="BN2121" s="3">
        <v>95.43</v>
      </c>
      <c r="BO2121" s="3">
        <v>95.43</v>
      </c>
      <c r="BR2121" s="3" t="s">
        <v>84</v>
      </c>
      <c r="BS2121" s="4">
        <v>44588</v>
      </c>
      <c r="BT2121" s="5">
        <v>0.38958333333333334</v>
      </c>
      <c r="BU2121" s="3" t="s">
        <v>1880</v>
      </c>
      <c r="BV2121" s="3" t="s">
        <v>105</v>
      </c>
      <c r="BY2121" s="3">
        <v>1200</v>
      </c>
      <c r="BZ2121" s="3" t="s">
        <v>165</v>
      </c>
      <c r="CA2121" s="3" t="s">
        <v>345</v>
      </c>
      <c r="CC2121" s="3" t="s">
        <v>207</v>
      </c>
      <c r="CD2121" s="3">
        <v>1748</v>
      </c>
      <c r="CE2121" s="3" t="s">
        <v>93</v>
      </c>
      <c r="CF2121" s="4">
        <v>44588</v>
      </c>
      <c r="CI2121" s="3">
        <v>1</v>
      </c>
      <c r="CJ2121" s="3">
        <v>1</v>
      </c>
      <c r="CK2121" s="3">
        <v>24</v>
      </c>
      <c r="CL2121" s="3" t="s">
        <v>87</v>
      </c>
    </row>
    <row r="2122" spans="1:90" x14ac:dyDescent="0.2">
      <c r="A2122" s="3" t="s">
        <v>72</v>
      </c>
      <c r="B2122" s="3" t="s">
        <v>73</v>
      </c>
      <c r="C2122" s="3" t="s">
        <v>74</v>
      </c>
      <c r="E2122" s="3" t="str">
        <f>"FES1162847082"</f>
        <v>FES1162847082</v>
      </c>
      <c r="F2122" s="4">
        <v>44587</v>
      </c>
      <c r="G2122" s="3">
        <v>202207</v>
      </c>
      <c r="H2122" s="3" t="s">
        <v>75</v>
      </c>
      <c r="I2122" s="3" t="s">
        <v>76</v>
      </c>
      <c r="J2122" s="3" t="s">
        <v>77</v>
      </c>
      <c r="K2122" s="3" t="s">
        <v>78</v>
      </c>
      <c r="L2122" s="3" t="s">
        <v>101</v>
      </c>
      <c r="M2122" s="3" t="s">
        <v>102</v>
      </c>
      <c r="N2122" s="3" t="s">
        <v>1463</v>
      </c>
      <c r="O2122" s="3" t="s">
        <v>82</v>
      </c>
      <c r="P2122" s="3" t="str">
        <f>"2170793354                    "</f>
        <v xml:space="preserve">2170793354                    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34.770000000000003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3">
        <v>0</v>
      </c>
      <c r="AY2122" s="3">
        <v>0</v>
      </c>
      <c r="AZ2122" s="3">
        <v>0</v>
      </c>
      <c r="BA2122" s="3">
        <v>0</v>
      </c>
      <c r="BB2122" s="3">
        <v>0</v>
      </c>
      <c r="BC2122" s="3">
        <v>0</v>
      </c>
      <c r="BD2122" s="3">
        <v>0</v>
      </c>
      <c r="BE2122" s="3">
        <v>0</v>
      </c>
      <c r="BF2122" s="3">
        <v>0</v>
      </c>
      <c r="BG2122" s="3">
        <v>0</v>
      </c>
      <c r="BH2122" s="3">
        <v>1</v>
      </c>
      <c r="BI2122" s="3">
        <v>3</v>
      </c>
      <c r="BJ2122" s="3">
        <v>4.0999999999999996</v>
      </c>
      <c r="BK2122" s="3">
        <v>4.5</v>
      </c>
      <c r="BL2122" s="3">
        <v>132.71</v>
      </c>
      <c r="BM2122" s="3">
        <v>19.91</v>
      </c>
      <c r="BN2122" s="3">
        <v>152.62</v>
      </c>
      <c r="BO2122" s="3">
        <v>152.62</v>
      </c>
      <c r="BQ2122" s="3" t="s">
        <v>1464</v>
      </c>
      <c r="BR2122" s="3" t="s">
        <v>84</v>
      </c>
      <c r="BS2122" s="4">
        <v>44588</v>
      </c>
      <c r="BT2122" s="5">
        <v>0.38263888888888892</v>
      </c>
      <c r="BU2122" s="3" t="s">
        <v>2230</v>
      </c>
      <c r="BV2122" s="3" t="s">
        <v>105</v>
      </c>
      <c r="BY2122" s="3">
        <v>20358</v>
      </c>
      <c r="BZ2122" s="3" t="s">
        <v>165</v>
      </c>
      <c r="CA2122" s="3" t="s">
        <v>240</v>
      </c>
      <c r="CC2122" s="3" t="s">
        <v>102</v>
      </c>
      <c r="CD2122" s="3">
        <v>4001</v>
      </c>
      <c r="CE2122" s="3" t="s">
        <v>221</v>
      </c>
      <c r="CF2122" s="4">
        <v>44589</v>
      </c>
      <c r="CI2122" s="3">
        <v>1</v>
      </c>
      <c r="CJ2122" s="3">
        <v>1</v>
      </c>
      <c r="CK2122" s="3">
        <v>21</v>
      </c>
      <c r="CL2122" s="3" t="s">
        <v>87</v>
      </c>
    </row>
    <row r="2123" spans="1:90" x14ac:dyDescent="0.2">
      <c r="A2123" s="3" t="s">
        <v>72</v>
      </c>
      <c r="B2123" s="3" t="s">
        <v>73</v>
      </c>
      <c r="C2123" s="3" t="s">
        <v>74</v>
      </c>
      <c r="E2123" s="3" t="str">
        <f>"FES1162846955"</f>
        <v>FES1162846955</v>
      </c>
      <c r="F2123" s="4">
        <v>44587</v>
      </c>
      <c r="G2123" s="3">
        <v>202207</v>
      </c>
      <c r="H2123" s="3" t="s">
        <v>75</v>
      </c>
      <c r="I2123" s="3" t="s">
        <v>76</v>
      </c>
      <c r="J2123" s="3" t="s">
        <v>77</v>
      </c>
      <c r="K2123" s="3" t="s">
        <v>78</v>
      </c>
      <c r="L2123" s="3" t="s">
        <v>211</v>
      </c>
      <c r="M2123" s="3" t="s">
        <v>212</v>
      </c>
      <c r="N2123" s="3" t="s">
        <v>642</v>
      </c>
      <c r="O2123" s="3" t="s">
        <v>82</v>
      </c>
      <c r="P2123" s="3" t="str">
        <f>"2170818246                    "</f>
        <v xml:space="preserve">2170818246                    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12.07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3">
        <v>0</v>
      </c>
      <c r="AY2123" s="3">
        <v>0</v>
      </c>
      <c r="AZ2123" s="3">
        <v>0</v>
      </c>
      <c r="BA2123" s="3">
        <v>0</v>
      </c>
      <c r="BB2123" s="3">
        <v>0</v>
      </c>
      <c r="BC2123" s="3">
        <v>0</v>
      </c>
      <c r="BD2123" s="3">
        <v>0</v>
      </c>
      <c r="BE2123" s="3">
        <v>0</v>
      </c>
      <c r="BF2123" s="3">
        <v>0</v>
      </c>
      <c r="BG2123" s="3">
        <v>0</v>
      </c>
      <c r="BH2123" s="3">
        <v>1</v>
      </c>
      <c r="BI2123" s="3">
        <v>1</v>
      </c>
      <c r="BJ2123" s="3">
        <v>0.2</v>
      </c>
      <c r="BK2123" s="3">
        <v>1</v>
      </c>
      <c r="BL2123" s="3">
        <v>46.08</v>
      </c>
      <c r="BM2123" s="3">
        <v>6.91</v>
      </c>
      <c r="BN2123" s="3">
        <v>52.99</v>
      </c>
      <c r="BO2123" s="3">
        <v>52.99</v>
      </c>
      <c r="BQ2123" s="3" t="s">
        <v>89</v>
      </c>
      <c r="BR2123" s="3" t="s">
        <v>84</v>
      </c>
      <c r="BS2123" s="4">
        <v>44588</v>
      </c>
      <c r="BT2123" s="5">
        <v>0.38958333333333334</v>
      </c>
      <c r="BU2123" s="3" t="s">
        <v>2231</v>
      </c>
      <c r="BV2123" s="3" t="s">
        <v>105</v>
      </c>
      <c r="BY2123" s="3">
        <v>1200</v>
      </c>
      <c r="BZ2123" s="3" t="s">
        <v>165</v>
      </c>
      <c r="CA2123" s="3" t="s">
        <v>345</v>
      </c>
      <c r="CC2123" s="3" t="s">
        <v>212</v>
      </c>
      <c r="CD2123" s="3">
        <v>2163</v>
      </c>
      <c r="CE2123" s="3" t="s">
        <v>93</v>
      </c>
      <c r="CF2123" s="4">
        <v>44588</v>
      </c>
      <c r="CI2123" s="3">
        <v>1</v>
      </c>
      <c r="CJ2123" s="3">
        <v>1</v>
      </c>
      <c r="CK2123" s="3">
        <v>22</v>
      </c>
      <c r="CL2123" s="3" t="s">
        <v>87</v>
      </c>
    </row>
    <row r="2124" spans="1:90" x14ac:dyDescent="0.2">
      <c r="A2124" s="3" t="s">
        <v>72</v>
      </c>
      <c r="B2124" s="3" t="s">
        <v>73</v>
      </c>
      <c r="C2124" s="3" t="s">
        <v>74</v>
      </c>
      <c r="E2124" s="3" t="str">
        <f>"FES1162847033"</f>
        <v>FES1162847033</v>
      </c>
      <c r="F2124" s="4">
        <v>44587</v>
      </c>
      <c r="G2124" s="3">
        <v>202207</v>
      </c>
      <c r="H2124" s="3" t="s">
        <v>75</v>
      </c>
      <c r="I2124" s="3" t="s">
        <v>76</v>
      </c>
      <c r="J2124" s="3" t="s">
        <v>77</v>
      </c>
      <c r="K2124" s="3" t="s">
        <v>78</v>
      </c>
      <c r="L2124" s="3" t="s">
        <v>171</v>
      </c>
      <c r="M2124" s="3" t="s">
        <v>172</v>
      </c>
      <c r="N2124" s="3" t="s">
        <v>200</v>
      </c>
      <c r="O2124" s="3" t="s">
        <v>82</v>
      </c>
      <c r="P2124" s="3" t="str">
        <f>"2170818318                    "</f>
        <v xml:space="preserve">2170818318                    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15.46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3">
        <v>0</v>
      </c>
      <c r="AY2124" s="3">
        <v>0</v>
      </c>
      <c r="AZ2124" s="3">
        <v>0</v>
      </c>
      <c r="BA2124" s="3">
        <v>0</v>
      </c>
      <c r="BB2124" s="3">
        <v>0</v>
      </c>
      <c r="BC2124" s="3">
        <v>0</v>
      </c>
      <c r="BD2124" s="3">
        <v>0</v>
      </c>
      <c r="BE2124" s="3">
        <v>0</v>
      </c>
      <c r="BF2124" s="3">
        <v>0</v>
      </c>
      <c r="BG2124" s="3">
        <v>0</v>
      </c>
      <c r="BH2124" s="3">
        <v>1</v>
      </c>
      <c r="BI2124" s="3">
        <v>1</v>
      </c>
      <c r="BJ2124" s="3">
        <v>0.2</v>
      </c>
      <c r="BK2124" s="3">
        <v>1</v>
      </c>
      <c r="BL2124" s="3">
        <v>59</v>
      </c>
      <c r="BM2124" s="3">
        <v>8.85</v>
      </c>
      <c r="BN2124" s="3">
        <v>67.849999999999994</v>
      </c>
      <c r="BO2124" s="3">
        <v>67.849999999999994</v>
      </c>
      <c r="BQ2124" s="3" t="s">
        <v>89</v>
      </c>
      <c r="BR2124" s="3" t="s">
        <v>84</v>
      </c>
      <c r="BS2124" s="4">
        <v>44588</v>
      </c>
      <c r="BT2124" s="5">
        <v>0.3659722222222222</v>
      </c>
      <c r="BU2124" s="3" t="s">
        <v>908</v>
      </c>
      <c r="BV2124" s="3" t="s">
        <v>105</v>
      </c>
      <c r="BY2124" s="3">
        <v>1200</v>
      </c>
      <c r="BZ2124" s="3" t="s">
        <v>165</v>
      </c>
      <c r="CA2124" s="3" t="s">
        <v>814</v>
      </c>
      <c r="CC2124" s="3" t="s">
        <v>172</v>
      </c>
      <c r="CD2124" s="3">
        <v>6001</v>
      </c>
      <c r="CE2124" s="3" t="s">
        <v>1513</v>
      </c>
      <c r="CF2124" s="4">
        <v>44588</v>
      </c>
      <c r="CI2124" s="3">
        <v>1</v>
      </c>
      <c r="CJ2124" s="3">
        <v>1</v>
      </c>
      <c r="CK2124" s="3">
        <v>21</v>
      </c>
      <c r="CL2124" s="3" t="s">
        <v>87</v>
      </c>
    </row>
    <row r="2125" spans="1:90" x14ac:dyDescent="0.2">
      <c r="A2125" s="3" t="s">
        <v>72</v>
      </c>
      <c r="B2125" s="3" t="s">
        <v>73</v>
      </c>
      <c r="C2125" s="3" t="s">
        <v>74</v>
      </c>
      <c r="E2125" s="3" t="str">
        <f>"FES1162846966"</f>
        <v>FES1162846966</v>
      </c>
      <c r="F2125" s="4">
        <v>44587</v>
      </c>
      <c r="G2125" s="3">
        <v>202207</v>
      </c>
      <c r="H2125" s="3" t="s">
        <v>75</v>
      </c>
      <c r="I2125" s="3" t="s">
        <v>76</v>
      </c>
      <c r="J2125" s="3" t="s">
        <v>77</v>
      </c>
      <c r="K2125" s="3" t="s">
        <v>78</v>
      </c>
      <c r="L2125" s="3" t="s">
        <v>167</v>
      </c>
      <c r="M2125" s="3" t="s">
        <v>168</v>
      </c>
      <c r="N2125" s="3" t="s">
        <v>194</v>
      </c>
      <c r="O2125" s="3" t="s">
        <v>82</v>
      </c>
      <c r="P2125" s="3" t="str">
        <f>"2170818266                    "</f>
        <v xml:space="preserve">2170818266                    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15.46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3">
        <v>0</v>
      </c>
      <c r="AY2125" s="3">
        <v>0</v>
      </c>
      <c r="AZ2125" s="3">
        <v>0</v>
      </c>
      <c r="BA2125" s="3">
        <v>0</v>
      </c>
      <c r="BB2125" s="3">
        <v>0</v>
      </c>
      <c r="BC2125" s="3">
        <v>0</v>
      </c>
      <c r="BD2125" s="3">
        <v>0</v>
      </c>
      <c r="BE2125" s="3">
        <v>0</v>
      </c>
      <c r="BF2125" s="3">
        <v>0</v>
      </c>
      <c r="BG2125" s="3">
        <v>0</v>
      </c>
      <c r="BH2125" s="3">
        <v>1</v>
      </c>
      <c r="BI2125" s="3">
        <v>1</v>
      </c>
      <c r="BJ2125" s="3">
        <v>0.2</v>
      </c>
      <c r="BK2125" s="3">
        <v>1</v>
      </c>
      <c r="BL2125" s="3">
        <v>59</v>
      </c>
      <c r="BM2125" s="3">
        <v>8.85</v>
      </c>
      <c r="BN2125" s="3">
        <v>67.849999999999994</v>
      </c>
      <c r="BO2125" s="3">
        <v>67.849999999999994</v>
      </c>
      <c r="BQ2125" s="3" t="s">
        <v>89</v>
      </c>
      <c r="BR2125" s="3" t="s">
        <v>84</v>
      </c>
      <c r="BS2125" s="4">
        <v>44588</v>
      </c>
      <c r="BT2125" s="5">
        <v>0.34097222222222223</v>
      </c>
      <c r="BU2125" s="3" t="s">
        <v>2199</v>
      </c>
      <c r="BV2125" s="3" t="s">
        <v>105</v>
      </c>
      <c r="BY2125" s="3">
        <v>1200</v>
      </c>
      <c r="BZ2125" s="3" t="s">
        <v>165</v>
      </c>
      <c r="CA2125" s="3" t="s">
        <v>553</v>
      </c>
      <c r="CC2125" s="3" t="s">
        <v>168</v>
      </c>
      <c r="CD2125" s="3">
        <v>6229</v>
      </c>
      <c r="CE2125" s="3" t="s">
        <v>1513</v>
      </c>
      <c r="CF2125" s="4">
        <v>44588</v>
      </c>
      <c r="CI2125" s="3">
        <v>1</v>
      </c>
      <c r="CJ2125" s="3">
        <v>1</v>
      </c>
      <c r="CK2125" s="3">
        <v>21</v>
      </c>
      <c r="CL2125" s="3" t="s">
        <v>87</v>
      </c>
    </row>
    <row r="2126" spans="1:90" x14ac:dyDescent="0.2">
      <c r="A2126" s="3" t="s">
        <v>72</v>
      </c>
      <c r="B2126" s="3" t="s">
        <v>73</v>
      </c>
      <c r="C2126" s="3" t="s">
        <v>74</v>
      </c>
      <c r="E2126" s="3" t="str">
        <f>"FES1162847077"</f>
        <v>FES1162847077</v>
      </c>
      <c r="F2126" s="4">
        <v>44587</v>
      </c>
      <c r="G2126" s="3">
        <v>202207</v>
      </c>
      <c r="H2126" s="3" t="s">
        <v>75</v>
      </c>
      <c r="I2126" s="3" t="s">
        <v>76</v>
      </c>
      <c r="J2126" s="3" t="s">
        <v>77</v>
      </c>
      <c r="K2126" s="3" t="s">
        <v>78</v>
      </c>
      <c r="L2126" s="3" t="s">
        <v>154</v>
      </c>
      <c r="M2126" s="3" t="s">
        <v>155</v>
      </c>
      <c r="N2126" s="3" t="s">
        <v>521</v>
      </c>
      <c r="O2126" s="3" t="s">
        <v>82</v>
      </c>
      <c r="P2126" s="3" t="str">
        <f>"2170818383                    "</f>
        <v xml:space="preserve">2170818383                    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12.07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3">
        <v>0</v>
      </c>
      <c r="AY2126" s="3">
        <v>0</v>
      </c>
      <c r="AZ2126" s="3">
        <v>0</v>
      </c>
      <c r="BA2126" s="3">
        <v>0</v>
      </c>
      <c r="BB2126" s="3">
        <v>0</v>
      </c>
      <c r="BC2126" s="3">
        <v>0</v>
      </c>
      <c r="BD2126" s="3">
        <v>0</v>
      </c>
      <c r="BE2126" s="3">
        <v>0</v>
      </c>
      <c r="BF2126" s="3">
        <v>0</v>
      </c>
      <c r="BG2126" s="3">
        <v>0</v>
      </c>
      <c r="BH2126" s="3">
        <v>1</v>
      </c>
      <c r="BI2126" s="3">
        <v>1</v>
      </c>
      <c r="BJ2126" s="3">
        <v>0.2</v>
      </c>
      <c r="BK2126" s="3">
        <v>1</v>
      </c>
      <c r="BL2126" s="3">
        <v>46.08</v>
      </c>
      <c r="BM2126" s="3">
        <v>6.91</v>
      </c>
      <c r="BN2126" s="3">
        <v>52.99</v>
      </c>
      <c r="BO2126" s="3">
        <v>52.99</v>
      </c>
      <c r="BR2126" s="3" t="s">
        <v>84</v>
      </c>
      <c r="BS2126" s="4">
        <v>44588</v>
      </c>
      <c r="BT2126" s="5">
        <v>0.3430555555555555</v>
      </c>
      <c r="BU2126" s="3" t="s">
        <v>522</v>
      </c>
      <c r="BV2126" s="3" t="s">
        <v>105</v>
      </c>
      <c r="BY2126" s="3">
        <v>1200</v>
      </c>
      <c r="BZ2126" s="3" t="s">
        <v>165</v>
      </c>
      <c r="CA2126" s="3" t="s">
        <v>523</v>
      </c>
      <c r="CC2126" s="3" t="s">
        <v>155</v>
      </c>
      <c r="CD2126" s="3">
        <v>1682</v>
      </c>
      <c r="CE2126" s="3" t="s">
        <v>93</v>
      </c>
      <c r="CF2126" s="4">
        <v>44588</v>
      </c>
      <c r="CI2126" s="3">
        <v>1</v>
      </c>
      <c r="CJ2126" s="3">
        <v>1</v>
      </c>
      <c r="CK2126" s="3">
        <v>22</v>
      </c>
      <c r="CL2126" s="3" t="s">
        <v>87</v>
      </c>
    </row>
    <row r="2127" spans="1:90" x14ac:dyDescent="0.2">
      <c r="A2127" s="3" t="s">
        <v>72</v>
      </c>
      <c r="B2127" s="3" t="s">
        <v>73</v>
      </c>
      <c r="C2127" s="3" t="s">
        <v>74</v>
      </c>
      <c r="E2127" s="3" t="str">
        <f>"FES1162846913"</f>
        <v>FES1162846913</v>
      </c>
      <c r="F2127" s="4">
        <v>44587</v>
      </c>
      <c r="G2127" s="3">
        <v>202207</v>
      </c>
      <c r="H2127" s="3" t="s">
        <v>75</v>
      </c>
      <c r="I2127" s="3" t="s">
        <v>76</v>
      </c>
      <c r="J2127" s="3" t="s">
        <v>77</v>
      </c>
      <c r="K2127" s="3" t="s">
        <v>78</v>
      </c>
      <c r="L2127" s="3" t="s">
        <v>138</v>
      </c>
      <c r="M2127" s="3" t="s">
        <v>139</v>
      </c>
      <c r="N2127" s="3" t="s">
        <v>140</v>
      </c>
      <c r="O2127" s="3" t="s">
        <v>82</v>
      </c>
      <c r="P2127" s="3" t="str">
        <f>"2170817983                    "</f>
        <v xml:space="preserve">2170817983                    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46.36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3">
        <v>0</v>
      </c>
      <c r="AY2127" s="3">
        <v>0</v>
      </c>
      <c r="AZ2127" s="3">
        <v>0</v>
      </c>
      <c r="BA2127" s="3">
        <v>0</v>
      </c>
      <c r="BB2127" s="3">
        <v>0</v>
      </c>
      <c r="BC2127" s="3">
        <v>0</v>
      </c>
      <c r="BD2127" s="3">
        <v>0</v>
      </c>
      <c r="BE2127" s="3">
        <v>0</v>
      </c>
      <c r="BF2127" s="3">
        <v>0</v>
      </c>
      <c r="BG2127" s="3">
        <v>0</v>
      </c>
      <c r="BH2127" s="3">
        <v>1</v>
      </c>
      <c r="BI2127" s="3">
        <v>6</v>
      </c>
      <c r="BJ2127" s="3">
        <v>2.7</v>
      </c>
      <c r="BK2127" s="3">
        <v>6</v>
      </c>
      <c r="BL2127" s="3">
        <v>176.94</v>
      </c>
      <c r="BM2127" s="3">
        <v>26.54</v>
      </c>
      <c r="BN2127" s="3">
        <v>203.48</v>
      </c>
      <c r="BO2127" s="3">
        <v>203.48</v>
      </c>
      <c r="BQ2127" s="3" t="s">
        <v>126</v>
      </c>
      <c r="BR2127" s="3" t="s">
        <v>84</v>
      </c>
      <c r="BS2127" s="4">
        <v>44588</v>
      </c>
      <c r="BT2127" s="5">
        <v>0.36874999999999997</v>
      </c>
      <c r="BU2127" s="3" t="s">
        <v>819</v>
      </c>
      <c r="BV2127" s="3" t="s">
        <v>105</v>
      </c>
      <c r="BY2127" s="3">
        <v>13585</v>
      </c>
      <c r="BZ2127" s="3" t="s">
        <v>165</v>
      </c>
      <c r="CA2127" s="3" t="s">
        <v>334</v>
      </c>
      <c r="CC2127" s="3" t="s">
        <v>139</v>
      </c>
      <c r="CD2127" s="3">
        <v>3610</v>
      </c>
      <c r="CE2127" s="3" t="s">
        <v>221</v>
      </c>
      <c r="CF2127" s="4">
        <v>44589</v>
      </c>
      <c r="CI2127" s="3">
        <v>1</v>
      </c>
      <c r="CJ2127" s="3">
        <v>1</v>
      </c>
      <c r="CK2127" s="3">
        <v>21</v>
      </c>
      <c r="CL2127" s="3" t="s">
        <v>87</v>
      </c>
    </row>
    <row r="2128" spans="1:90" x14ac:dyDescent="0.2">
      <c r="A2128" s="3" t="s">
        <v>72</v>
      </c>
      <c r="B2128" s="3" t="s">
        <v>73</v>
      </c>
      <c r="C2128" s="3" t="s">
        <v>74</v>
      </c>
      <c r="E2128" s="3" t="str">
        <f>"FES1162847060"</f>
        <v>FES1162847060</v>
      </c>
      <c r="F2128" s="4">
        <v>44587</v>
      </c>
      <c r="G2128" s="3">
        <v>202207</v>
      </c>
      <c r="H2128" s="3" t="s">
        <v>75</v>
      </c>
      <c r="I2128" s="3" t="s">
        <v>76</v>
      </c>
      <c r="J2128" s="3" t="s">
        <v>77</v>
      </c>
      <c r="K2128" s="3" t="s">
        <v>78</v>
      </c>
      <c r="L2128" s="3" t="s">
        <v>79</v>
      </c>
      <c r="M2128" s="3" t="s">
        <v>80</v>
      </c>
      <c r="N2128" s="3" t="s">
        <v>248</v>
      </c>
      <c r="O2128" s="3" t="s">
        <v>82</v>
      </c>
      <c r="P2128" s="3" t="str">
        <f>"2170818336                    "</f>
        <v xml:space="preserve">2170818336                    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15.46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0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3">
        <v>0</v>
      </c>
      <c r="AY2128" s="3">
        <v>0</v>
      </c>
      <c r="AZ2128" s="3">
        <v>0</v>
      </c>
      <c r="BA2128" s="3">
        <v>0</v>
      </c>
      <c r="BB2128" s="3">
        <v>0</v>
      </c>
      <c r="BC2128" s="3">
        <v>0</v>
      </c>
      <c r="BD2128" s="3">
        <v>0</v>
      </c>
      <c r="BE2128" s="3">
        <v>0</v>
      </c>
      <c r="BF2128" s="3">
        <v>0</v>
      </c>
      <c r="BG2128" s="3">
        <v>0</v>
      </c>
      <c r="BH2128" s="3">
        <v>1</v>
      </c>
      <c r="BI2128" s="3">
        <v>2</v>
      </c>
      <c r="BJ2128" s="3">
        <v>2</v>
      </c>
      <c r="BK2128" s="3">
        <v>2</v>
      </c>
      <c r="BL2128" s="3">
        <v>59</v>
      </c>
      <c r="BM2128" s="3">
        <v>8.85</v>
      </c>
      <c r="BN2128" s="3">
        <v>67.849999999999994</v>
      </c>
      <c r="BO2128" s="3">
        <v>67.849999999999994</v>
      </c>
      <c r="BQ2128" s="3" t="s">
        <v>83</v>
      </c>
      <c r="BR2128" s="3" t="s">
        <v>84</v>
      </c>
      <c r="BS2128" s="4">
        <v>44588</v>
      </c>
      <c r="BT2128" s="5">
        <v>0.36527777777777781</v>
      </c>
      <c r="BU2128" s="3" t="s">
        <v>1023</v>
      </c>
      <c r="BV2128" s="3" t="s">
        <v>105</v>
      </c>
      <c r="BY2128" s="3">
        <v>10192</v>
      </c>
      <c r="BZ2128" s="3" t="s">
        <v>165</v>
      </c>
      <c r="CA2128" s="3" t="s">
        <v>2232</v>
      </c>
      <c r="CC2128" s="3" t="s">
        <v>80</v>
      </c>
      <c r="CD2128" s="3">
        <v>1</v>
      </c>
      <c r="CE2128" s="3" t="s">
        <v>221</v>
      </c>
      <c r="CF2128" s="4">
        <v>44588</v>
      </c>
      <c r="CI2128" s="3">
        <v>1</v>
      </c>
      <c r="CJ2128" s="3">
        <v>1</v>
      </c>
      <c r="CK2128" s="3">
        <v>21</v>
      </c>
      <c r="CL2128" s="3" t="s">
        <v>87</v>
      </c>
    </row>
    <row r="2129" spans="1:90" x14ac:dyDescent="0.2">
      <c r="A2129" s="3" t="s">
        <v>72</v>
      </c>
      <c r="B2129" s="3" t="s">
        <v>73</v>
      </c>
      <c r="C2129" s="3" t="s">
        <v>74</v>
      </c>
      <c r="E2129" s="3" t="str">
        <f>"FES1162846998"</f>
        <v>FES1162846998</v>
      </c>
      <c r="F2129" s="4">
        <v>44587</v>
      </c>
      <c r="G2129" s="3">
        <v>202207</v>
      </c>
      <c r="H2129" s="3" t="s">
        <v>75</v>
      </c>
      <c r="I2129" s="3" t="s">
        <v>76</v>
      </c>
      <c r="J2129" s="3" t="s">
        <v>77</v>
      </c>
      <c r="K2129" s="3" t="s">
        <v>78</v>
      </c>
      <c r="L2129" s="3" t="s">
        <v>75</v>
      </c>
      <c r="M2129" s="3" t="s">
        <v>76</v>
      </c>
      <c r="N2129" s="3" t="s">
        <v>560</v>
      </c>
      <c r="O2129" s="3" t="s">
        <v>82</v>
      </c>
      <c r="P2129" s="3" t="str">
        <f>"2170818267                    "</f>
        <v xml:space="preserve">2170818267                    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12.07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0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3">
        <v>0</v>
      </c>
      <c r="AY2129" s="3">
        <v>0</v>
      </c>
      <c r="AZ2129" s="3">
        <v>0</v>
      </c>
      <c r="BA2129" s="3">
        <v>0</v>
      </c>
      <c r="BB2129" s="3">
        <v>0</v>
      </c>
      <c r="BC2129" s="3">
        <v>0</v>
      </c>
      <c r="BD2129" s="3">
        <v>0</v>
      </c>
      <c r="BE2129" s="3">
        <v>0</v>
      </c>
      <c r="BF2129" s="3">
        <v>0</v>
      </c>
      <c r="BG2129" s="3">
        <v>0</v>
      </c>
      <c r="BH2129" s="3">
        <v>1</v>
      </c>
      <c r="BI2129" s="3">
        <v>1</v>
      </c>
      <c r="BJ2129" s="3">
        <v>0.2</v>
      </c>
      <c r="BK2129" s="3">
        <v>1</v>
      </c>
      <c r="BL2129" s="3">
        <v>46.08</v>
      </c>
      <c r="BM2129" s="3">
        <v>6.91</v>
      </c>
      <c r="BN2129" s="3">
        <v>52.99</v>
      </c>
      <c r="BO2129" s="3">
        <v>52.99</v>
      </c>
      <c r="BQ2129" s="3" t="s">
        <v>83</v>
      </c>
      <c r="BR2129" s="3" t="s">
        <v>84</v>
      </c>
      <c r="BS2129" s="4">
        <v>44588</v>
      </c>
      <c r="BT2129" s="5">
        <v>0.34791666666666665</v>
      </c>
      <c r="BU2129" s="3" t="s">
        <v>1123</v>
      </c>
      <c r="BV2129" s="3" t="s">
        <v>105</v>
      </c>
      <c r="BY2129" s="3">
        <v>1008</v>
      </c>
      <c r="BZ2129" s="3" t="s">
        <v>165</v>
      </c>
      <c r="CA2129" s="3" t="s">
        <v>378</v>
      </c>
      <c r="CC2129" s="3" t="s">
        <v>76</v>
      </c>
      <c r="CD2129" s="3">
        <v>1601</v>
      </c>
      <c r="CE2129" s="3" t="s">
        <v>86</v>
      </c>
      <c r="CF2129" s="4">
        <v>44588</v>
      </c>
      <c r="CI2129" s="3">
        <v>1</v>
      </c>
      <c r="CJ2129" s="3">
        <v>1</v>
      </c>
      <c r="CK2129" s="3">
        <v>22</v>
      </c>
      <c r="CL2129" s="3" t="s">
        <v>87</v>
      </c>
    </row>
    <row r="2130" spans="1:90" x14ac:dyDescent="0.2">
      <c r="A2130" s="3" t="s">
        <v>72</v>
      </c>
      <c r="B2130" s="3" t="s">
        <v>73</v>
      </c>
      <c r="C2130" s="3" t="s">
        <v>74</v>
      </c>
      <c r="E2130" s="3" t="str">
        <f>"FES1162847057"</f>
        <v>FES1162847057</v>
      </c>
      <c r="F2130" s="4">
        <v>44587</v>
      </c>
      <c r="G2130" s="3">
        <v>202207</v>
      </c>
      <c r="H2130" s="3" t="s">
        <v>75</v>
      </c>
      <c r="I2130" s="3" t="s">
        <v>76</v>
      </c>
      <c r="J2130" s="3" t="s">
        <v>77</v>
      </c>
      <c r="K2130" s="3" t="s">
        <v>78</v>
      </c>
      <c r="L2130" s="3" t="s">
        <v>218</v>
      </c>
      <c r="M2130" s="3" t="s">
        <v>219</v>
      </c>
      <c r="N2130" s="3" t="s">
        <v>766</v>
      </c>
      <c r="O2130" s="3" t="s">
        <v>82</v>
      </c>
      <c r="P2130" s="3" t="str">
        <f>"2170814813                    "</f>
        <v xml:space="preserve">2170814813                    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23.18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0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3">
        <v>0</v>
      </c>
      <c r="AY2130" s="3">
        <v>0</v>
      </c>
      <c r="AZ2130" s="3">
        <v>0</v>
      </c>
      <c r="BA2130" s="3">
        <v>0</v>
      </c>
      <c r="BB2130" s="3">
        <v>0</v>
      </c>
      <c r="BC2130" s="3">
        <v>0</v>
      </c>
      <c r="BD2130" s="3">
        <v>0</v>
      </c>
      <c r="BE2130" s="3">
        <v>0</v>
      </c>
      <c r="BF2130" s="3">
        <v>0</v>
      </c>
      <c r="BG2130" s="3">
        <v>0</v>
      </c>
      <c r="BH2130" s="3">
        <v>1</v>
      </c>
      <c r="BI2130" s="3">
        <v>3</v>
      </c>
      <c r="BJ2130" s="3">
        <v>1.1000000000000001</v>
      </c>
      <c r="BK2130" s="3">
        <v>3</v>
      </c>
      <c r="BL2130" s="3">
        <v>88.48</v>
      </c>
      <c r="BM2130" s="3">
        <v>13.27</v>
      </c>
      <c r="BN2130" s="3">
        <v>101.75</v>
      </c>
      <c r="BO2130" s="3">
        <v>101.75</v>
      </c>
      <c r="BQ2130" s="3" t="s">
        <v>89</v>
      </c>
      <c r="BR2130" s="3" t="s">
        <v>84</v>
      </c>
      <c r="BS2130" s="4">
        <v>44588</v>
      </c>
      <c r="BT2130" s="5">
        <v>0.43194444444444446</v>
      </c>
      <c r="BU2130" s="3" t="s">
        <v>1007</v>
      </c>
      <c r="BV2130" s="3" t="s">
        <v>105</v>
      </c>
      <c r="BY2130" s="3">
        <v>5320</v>
      </c>
      <c r="BZ2130" s="3" t="s">
        <v>165</v>
      </c>
      <c r="CA2130" s="3" t="s">
        <v>362</v>
      </c>
      <c r="CC2130" s="3" t="s">
        <v>219</v>
      </c>
      <c r="CD2130" s="3">
        <v>157</v>
      </c>
      <c r="CE2130" s="3" t="s">
        <v>221</v>
      </c>
      <c r="CF2130" s="4">
        <v>44588</v>
      </c>
      <c r="CI2130" s="3">
        <v>1</v>
      </c>
      <c r="CJ2130" s="3">
        <v>1</v>
      </c>
      <c r="CK2130" s="3">
        <v>21</v>
      </c>
      <c r="CL2130" s="3" t="s">
        <v>87</v>
      </c>
    </row>
    <row r="2131" spans="1:90" x14ac:dyDescent="0.2">
      <c r="A2131" s="3" t="s">
        <v>72</v>
      </c>
      <c r="B2131" s="3" t="s">
        <v>73</v>
      </c>
      <c r="C2131" s="3" t="s">
        <v>74</v>
      </c>
      <c r="E2131" s="3" t="str">
        <f>"FES1162846915"</f>
        <v>FES1162846915</v>
      </c>
      <c r="F2131" s="4">
        <v>44587</v>
      </c>
      <c r="G2131" s="3">
        <v>202207</v>
      </c>
      <c r="H2131" s="3" t="s">
        <v>75</v>
      </c>
      <c r="I2131" s="3" t="s">
        <v>76</v>
      </c>
      <c r="J2131" s="3" t="s">
        <v>77</v>
      </c>
      <c r="K2131" s="3" t="s">
        <v>78</v>
      </c>
      <c r="L2131" s="3" t="s">
        <v>206</v>
      </c>
      <c r="M2131" s="3" t="s">
        <v>207</v>
      </c>
      <c r="N2131" s="3" t="s">
        <v>2233</v>
      </c>
      <c r="O2131" s="3" t="s">
        <v>82</v>
      </c>
      <c r="P2131" s="3" t="str">
        <f>"2170818047                    "</f>
        <v xml:space="preserve">2170818047                    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21.74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0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3">
        <v>0</v>
      </c>
      <c r="AY2131" s="3">
        <v>0</v>
      </c>
      <c r="AZ2131" s="3">
        <v>0</v>
      </c>
      <c r="BA2131" s="3">
        <v>0</v>
      </c>
      <c r="BB2131" s="3">
        <v>0</v>
      </c>
      <c r="BC2131" s="3">
        <v>0</v>
      </c>
      <c r="BD2131" s="3">
        <v>0</v>
      </c>
      <c r="BE2131" s="3">
        <v>0</v>
      </c>
      <c r="BF2131" s="3">
        <v>0</v>
      </c>
      <c r="BG2131" s="3">
        <v>0</v>
      </c>
      <c r="BH2131" s="3">
        <v>1</v>
      </c>
      <c r="BI2131" s="3">
        <v>2</v>
      </c>
      <c r="BJ2131" s="3">
        <v>2</v>
      </c>
      <c r="BK2131" s="3">
        <v>2</v>
      </c>
      <c r="BL2131" s="3">
        <v>82.98</v>
      </c>
      <c r="BM2131" s="3">
        <v>12.45</v>
      </c>
      <c r="BN2131" s="3">
        <v>95.43</v>
      </c>
      <c r="BO2131" s="3">
        <v>95.43</v>
      </c>
      <c r="BQ2131" s="3" t="s">
        <v>2234</v>
      </c>
      <c r="BR2131" s="3" t="s">
        <v>84</v>
      </c>
      <c r="BS2131" s="4">
        <v>44588</v>
      </c>
      <c r="BT2131" s="5">
        <v>0.47638888888888892</v>
      </c>
      <c r="BU2131" s="3" t="s">
        <v>2235</v>
      </c>
      <c r="BV2131" s="3" t="s">
        <v>105</v>
      </c>
      <c r="BY2131" s="3">
        <v>9918</v>
      </c>
      <c r="BZ2131" s="3" t="s">
        <v>165</v>
      </c>
      <c r="CA2131" s="3" t="s">
        <v>619</v>
      </c>
      <c r="CC2131" s="3" t="s">
        <v>207</v>
      </c>
      <c r="CD2131" s="3">
        <v>1739</v>
      </c>
      <c r="CE2131" s="3" t="s">
        <v>86</v>
      </c>
      <c r="CF2131" s="4">
        <v>44589</v>
      </c>
      <c r="CI2131" s="3">
        <v>1</v>
      </c>
      <c r="CJ2131" s="3">
        <v>1</v>
      </c>
      <c r="CK2131" s="3">
        <v>24</v>
      </c>
      <c r="CL2131" s="3" t="s">
        <v>87</v>
      </c>
    </row>
    <row r="2132" spans="1:90" x14ac:dyDescent="0.2">
      <c r="A2132" s="3" t="s">
        <v>72</v>
      </c>
      <c r="B2132" s="3" t="s">
        <v>73</v>
      </c>
      <c r="C2132" s="3" t="s">
        <v>74</v>
      </c>
      <c r="E2132" s="3" t="str">
        <f>"FES1162847056"</f>
        <v>FES1162847056</v>
      </c>
      <c r="F2132" s="4">
        <v>44587</v>
      </c>
      <c r="G2132" s="3">
        <v>202207</v>
      </c>
      <c r="H2132" s="3" t="s">
        <v>75</v>
      </c>
      <c r="I2132" s="3" t="s">
        <v>76</v>
      </c>
      <c r="J2132" s="3" t="s">
        <v>77</v>
      </c>
      <c r="K2132" s="3" t="s">
        <v>78</v>
      </c>
      <c r="L2132" s="3" t="s">
        <v>75</v>
      </c>
      <c r="M2132" s="3" t="s">
        <v>76</v>
      </c>
      <c r="N2132" s="3" t="s">
        <v>224</v>
      </c>
      <c r="O2132" s="3" t="s">
        <v>82</v>
      </c>
      <c r="P2132" s="3" t="str">
        <f>"2170818340                    "</f>
        <v xml:space="preserve">2170818340                    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12.07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0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3">
        <v>0</v>
      </c>
      <c r="AY2132" s="3">
        <v>0</v>
      </c>
      <c r="AZ2132" s="3">
        <v>0</v>
      </c>
      <c r="BA2132" s="3">
        <v>0</v>
      </c>
      <c r="BB2132" s="3">
        <v>0</v>
      </c>
      <c r="BC2132" s="3">
        <v>0</v>
      </c>
      <c r="BD2132" s="3">
        <v>0</v>
      </c>
      <c r="BE2132" s="3">
        <v>0</v>
      </c>
      <c r="BF2132" s="3">
        <v>0</v>
      </c>
      <c r="BG2132" s="3">
        <v>0</v>
      </c>
      <c r="BH2132" s="3">
        <v>1</v>
      </c>
      <c r="BI2132" s="3">
        <v>3</v>
      </c>
      <c r="BJ2132" s="3">
        <v>0.9</v>
      </c>
      <c r="BK2132" s="3">
        <v>3</v>
      </c>
      <c r="BL2132" s="3">
        <v>46.08</v>
      </c>
      <c r="BM2132" s="3">
        <v>6.91</v>
      </c>
      <c r="BN2132" s="3">
        <v>52.99</v>
      </c>
      <c r="BO2132" s="3">
        <v>52.99</v>
      </c>
      <c r="BQ2132" s="3" t="s">
        <v>83</v>
      </c>
      <c r="BR2132" s="3" t="s">
        <v>84</v>
      </c>
      <c r="BS2132" s="4">
        <v>44588</v>
      </c>
      <c r="BT2132" s="5">
        <v>0.36805555555555558</v>
      </c>
      <c r="BU2132" s="3" t="s">
        <v>2236</v>
      </c>
      <c r="BV2132" s="3" t="s">
        <v>105</v>
      </c>
      <c r="BY2132" s="3">
        <v>4275</v>
      </c>
      <c r="BZ2132" s="3" t="s">
        <v>165</v>
      </c>
      <c r="CA2132" s="3" t="s">
        <v>227</v>
      </c>
      <c r="CC2132" s="3" t="s">
        <v>76</v>
      </c>
      <c r="CD2132" s="3">
        <v>1600</v>
      </c>
      <c r="CE2132" s="3" t="s">
        <v>86</v>
      </c>
      <c r="CF2132" s="4">
        <v>44588</v>
      </c>
      <c r="CI2132" s="3">
        <v>1</v>
      </c>
      <c r="CJ2132" s="3">
        <v>1</v>
      </c>
      <c r="CK2132" s="3">
        <v>22</v>
      </c>
      <c r="CL2132" s="3" t="s">
        <v>87</v>
      </c>
    </row>
    <row r="2133" spans="1:90" x14ac:dyDescent="0.2">
      <c r="A2133" s="3" t="s">
        <v>72</v>
      </c>
      <c r="B2133" s="3" t="s">
        <v>73</v>
      </c>
      <c r="C2133" s="3" t="s">
        <v>74</v>
      </c>
      <c r="E2133" s="3" t="str">
        <f>"FES1162846858"</f>
        <v>FES1162846858</v>
      </c>
      <c r="F2133" s="4">
        <v>44587</v>
      </c>
      <c r="G2133" s="3">
        <v>202207</v>
      </c>
      <c r="H2133" s="3" t="s">
        <v>75</v>
      </c>
      <c r="I2133" s="3" t="s">
        <v>76</v>
      </c>
      <c r="J2133" s="3" t="s">
        <v>77</v>
      </c>
      <c r="K2133" s="3" t="s">
        <v>78</v>
      </c>
      <c r="L2133" s="3" t="s">
        <v>79</v>
      </c>
      <c r="M2133" s="3" t="s">
        <v>80</v>
      </c>
      <c r="N2133" s="3" t="s">
        <v>337</v>
      </c>
      <c r="O2133" s="3" t="s">
        <v>82</v>
      </c>
      <c r="P2133" s="3" t="str">
        <f>"2170818084                    "</f>
        <v xml:space="preserve">2170818084                    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15.46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0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3">
        <v>0</v>
      </c>
      <c r="AY2133" s="3">
        <v>0</v>
      </c>
      <c r="AZ2133" s="3">
        <v>0</v>
      </c>
      <c r="BA2133" s="3">
        <v>0</v>
      </c>
      <c r="BB2133" s="3">
        <v>0</v>
      </c>
      <c r="BC2133" s="3">
        <v>0</v>
      </c>
      <c r="BD2133" s="3">
        <v>0</v>
      </c>
      <c r="BE2133" s="3">
        <v>0</v>
      </c>
      <c r="BF2133" s="3">
        <v>0</v>
      </c>
      <c r="BG2133" s="3">
        <v>0</v>
      </c>
      <c r="BH2133" s="3">
        <v>1</v>
      </c>
      <c r="BI2133" s="3">
        <v>1</v>
      </c>
      <c r="BJ2133" s="3">
        <v>0.2</v>
      </c>
      <c r="BK2133" s="3">
        <v>1</v>
      </c>
      <c r="BL2133" s="3">
        <v>59</v>
      </c>
      <c r="BM2133" s="3">
        <v>8.85</v>
      </c>
      <c r="BN2133" s="3">
        <v>67.849999999999994</v>
      </c>
      <c r="BO2133" s="3">
        <v>67.849999999999994</v>
      </c>
      <c r="BQ2133" s="3" t="s">
        <v>89</v>
      </c>
      <c r="BR2133" s="3" t="s">
        <v>84</v>
      </c>
      <c r="BS2133" s="4">
        <v>44588</v>
      </c>
      <c r="BT2133" s="5">
        <v>0.3888888888888889</v>
      </c>
      <c r="BU2133" s="3" t="s">
        <v>1236</v>
      </c>
      <c r="BV2133" s="3" t="s">
        <v>105</v>
      </c>
      <c r="BY2133" s="3">
        <v>1200</v>
      </c>
      <c r="BZ2133" s="3" t="s">
        <v>165</v>
      </c>
      <c r="CA2133" s="3" t="s">
        <v>366</v>
      </c>
      <c r="CC2133" s="3" t="s">
        <v>80</v>
      </c>
      <c r="CD2133" s="3">
        <v>200</v>
      </c>
      <c r="CE2133" s="3" t="s">
        <v>1513</v>
      </c>
      <c r="CF2133" s="4">
        <v>44588</v>
      </c>
      <c r="CI2133" s="3">
        <v>1</v>
      </c>
      <c r="CJ2133" s="3">
        <v>1</v>
      </c>
      <c r="CK2133" s="3">
        <v>21</v>
      </c>
      <c r="CL2133" s="3" t="s">
        <v>87</v>
      </c>
    </row>
    <row r="2134" spans="1:90" x14ac:dyDescent="0.2">
      <c r="A2134" s="3" t="s">
        <v>72</v>
      </c>
      <c r="B2134" s="3" t="s">
        <v>73</v>
      </c>
      <c r="C2134" s="3" t="s">
        <v>74</v>
      </c>
      <c r="E2134" s="3" t="str">
        <f>"FES1162846762"</f>
        <v>FES1162846762</v>
      </c>
      <c r="F2134" s="4">
        <v>44587</v>
      </c>
      <c r="G2134" s="3">
        <v>202207</v>
      </c>
      <c r="H2134" s="3" t="s">
        <v>75</v>
      </c>
      <c r="I2134" s="3" t="s">
        <v>76</v>
      </c>
      <c r="J2134" s="3" t="s">
        <v>77</v>
      </c>
      <c r="K2134" s="3" t="s">
        <v>78</v>
      </c>
      <c r="L2134" s="3" t="s">
        <v>167</v>
      </c>
      <c r="M2134" s="3" t="s">
        <v>168</v>
      </c>
      <c r="N2134" s="3" t="s">
        <v>337</v>
      </c>
      <c r="O2134" s="3" t="s">
        <v>82</v>
      </c>
      <c r="P2134" s="3" t="str">
        <f>"2170816155                    "</f>
        <v xml:space="preserve">2170816155                    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23.18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3">
        <v>0</v>
      </c>
      <c r="AY2134" s="3">
        <v>0</v>
      </c>
      <c r="AZ2134" s="3">
        <v>0</v>
      </c>
      <c r="BA2134" s="3">
        <v>0</v>
      </c>
      <c r="BB2134" s="3">
        <v>0</v>
      </c>
      <c r="BC2134" s="3">
        <v>0</v>
      </c>
      <c r="BD2134" s="3">
        <v>0</v>
      </c>
      <c r="BE2134" s="3">
        <v>0</v>
      </c>
      <c r="BF2134" s="3">
        <v>0</v>
      </c>
      <c r="BG2134" s="3">
        <v>0</v>
      </c>
      <c r="BH2134" s="3">
        <v>1</v>
      </c>
      <c r="BI2134" s="3">
        <v>3</v>
      </c>
      <c r="BJ2134" s="3">
        <v>1.5</v>
      </c>
      <c r="BK2134" s="3">
        <v>3</v>
      </c>
      <c r="BL2134" s="3">
        <v>88.48</v>
      </c>
      <c r="BM2134" s="3">
        <v>13.27</v>
      </c>
      <c r="BN2134" s="3">
        <v>101.75</v>
      </c>
      <c r="BO2134" s="3">
        <v>101.75</v>
      </c>
      <c r="BQ2134" s="3" t="s">
        <v>89</v>
      </c>
      <c r="BR2134" s="3" t="s">
        <v>84</v>
      </c>
      <c r="BS2134" s="4">
        <v>44588</v>
      </c>
      <c r="BT2134" s="5">
        <v>0.375</v>
      </c>
      <c r="BU2134" s="3" t="s">
        <v>2237</v>
      </c>
      <c r="BV2134" s="3" t="s">
        <v>105</v>
      </c>
      <c r="BY2134" s="3">
        <v>7540</v>
      </c>
      <c r="BZ2134" s="3" t="s">
        <v>165</v>
      </c>
      <c r="CA2134" s="3" t="s">
        <v>1580</v>
      </c>
      <c r="CC2134" s="3" t="s">
        <v>168</v>
      </c>
      <c r="CD2134" s="3">
        <v>6220</v>
      </c>
      <c r="CE2134" s="3" t="s">
        <v>221</v>
      </c>
      <c r="CF2134" s="4">
        <v>44588</v>
      </c>
      <c r="CI2134" s="3">
        <v>1</v>
      </c>
      <c r="CJ2134" s="3">
        <v>1</v>
      </c>
      <c r="CK2134" s="3">
        <v>21</v>
      </c>
      <c r="CL2134" s="3" t="s">
        <v>87</v>
      </c>
    </row>
    <row r="2135" spans="1:90" x14ac:dyDescent="0.2">
      <c r="A2135" s="3" t="s">
        <v>72</v>
      </c>
      <c r="B2135" s="3" t="s">
        <v>73</v>
      </c>
      <c r="C2135" s="3" t="s">
        <v>74</v>
      </c>
      <c r="E2135" s="3" t="str">
        <f>"FES1162846832"</f>
        <v>FES1162846832</v>
      </c>
      <c r="F2135" s="4">
        <v>44587</v>
      </c>
      <c r="G2135" s="3">
        <v>202207</v>
      </c>
      <c r="H2135" s="3" t="s">
        <v>75</v>
      </c>
      <c r="I2135" s="3" t="s">
        <v>76</v>
      </c>
      <c r="J2135" s="3" t="s">
        <v>77</v>
      </c>
      <c r="K2135" s="3" t="s">
        <v>78</v>
      </c>
      <c r="L2135" s="3" t="s">
        <v>187</v>
      </c>
      <c r="M2135" s="3" t="s">
        <v>188</v>
      </c>
      <c r="N2135" s="3" t="s">
        <v>189</v>
      </c>
      <c r="O2135" s="3" t="s">
        <v>82</v>
      </c>
      <c r="P2135" s="3" t="str">
        <f>"2170818116                    "</f>
        <v xml:space="preserve">2170818116                    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29.95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0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3">
        <v>0</v>
      </c>
      <c r="AY2135" s="3">
        <v>0</v>
      </c>
      <c r="AZ2135" s="3">
        <v>0</v>
      </c>
      <c r="BA2135" s="3">
        <v>0</v>
      </c>
      <c r="BB2135" s="3">
        <v>0</v>
      </c>
      <c r="BC2135" s="3">
        <v>0</v>
      </c>
      <c r="BD2135" s="3">
        <v>0</v>
      </c>
      <c r="BE2135" s="3">
        <v>0</v>
      </c>
      <c r="BF2135" s="3">
        <v>0</v>
      </c>
      <c r="BG2135" s="3">
        <v>0</v>
      </c>
      <c r="BH2135" s="3">
        <v>1</v>
      </c>
      <c r="BI2135" s="3">
        <v>1</v>
      </c>
      <c r="BJ2135" s="3">
        <v>0.2</v>
      </c>
      <c r="BK2135" s="3">
        <v>1</v>
      </c>
      <c r="BL2135" s="3">
        <v>114.31</v>
      </c>
      <c r="BM2135" s="3">
        <v>17.149999999999999</v>
      </c>
      <c r="BN2135" s="3">
        <v>131.46</v>
      </c>
      <c r="BO2135" s="3">
        <v>131.46</v>
      </c>
      <c r="BQ2135" s="3" t="s">
        <v>83</v>
      </c>
      <c r="BR2135" s="3" t="s">
        <v>84</v>
      </c>
      <c r="BS2135" s="4">
        <v>44588</v>
      </c>
      <c r="BT2135" s="5">
        <v>0.57152777777777775</v>
      </c>
      <c r="BU2135" s="3" t="s">
        <v>267</v>
      </c>
      <c r="BV2135" s="3" t="s">
        <v>87</v>
      </c>
      <c r="BW2135" s="3" t="s">
        <v>353</v>
      </c>
      <c r="BX2135" s="3" t="s">
        <v>354</v>
      </c>
      <c r="BY2135" s="3">
        <v>1200</v>
      </c>
      <c r="BZ2135" s="3" t="s">
        <v>165</v>
      </c>
      <c r="CA2135" s="3" t="s">
        <v>268</v>
      </c>
      <c r="CC2135" s="3" t="s">
        <v>188</v>
      </c>
      <c r="CD2135" s="3">
        <v>7300</v>
      </c>
      <c r="CE2135" s="3" t="s">
        <v>1513</v>
      </c>
      <c r="CF2135" s="4">
        <v>44589</v>
      </c>
      <c r="CI2135" s="3">
        <v>1</v>
      </c>
      <c r="CJ2135" s="3">
        <v>1</v>
      </c>
      <c r="CK2135" s="3">
        <v>23</v>
      </c>
      <c r="CL2135" s="3" t="s">
        <v>87</v>
      </c>
    </row>
    <row r="2136" spans="1:90" x14ac:dyDescent="0.2">
      <c r="A2136" s="3" t="s">
        <v>72</v>
      </c>
      <c r="B2136" s="3" t="s">
        <v>73</v>
      </c>
      <c r="C2136" s="3" t="s">
        <v>74</v>
      </c>
      <c r="E2136" s="3" t="str">
        <f>"FES1162846831"</f>
        <v>FES1162846831</v>
      </c>
      <c r="F2136" s="4">
        <v>44587</v>
      </c>
      <c r="G2136" s="3">
        <v>202207</v>
      </c>
      <c r="H2136" s="3" t="s">
        <v>75</v>
      </c>
      <c r="I2136" s="3" t="s">
        <v>76</v>
      </c>
      <c r="J2136" s="3" t="s">
        <v>77</v>
      </c>
      <c r="K2136" s="3" t="s">
        <v>78</v>
      </c>
      <c r="L2136" s="3" t="s">
        <v>184</v>
      </c>
      <c r="M2136" s="3" t="s">
        <v>185</v>
      </c>
      <c r="N2136" s="3" t="s">
        <v>503</v>
      </c>
      <c r="O2136" s="3" t="s">
        <v>82</v>
      </c>
      <c r="P2136" s="3" t="str">
        <f>"2170818115                    "</f>
        <v xml:space="preserve">2170818115                    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30.91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3">
        <v>0</v>
      </c>
      <c r="AY2136" s="3">
        <v>0</v>
      </c>
      <c r="AZ2136" s="3">
        <v>0</v>
      </c>
      <c r="BA2136" s="3">
        <v>0</v>
      </c>
      <c r="BB2136" s="3">
        <v>0</v>
      </c>
      <c r="BC2136" s="3">
        <v>0</v>
      </c>
      <c r="BD2136" s="3">
        <v>0</v>
      </c>
      <c r="BE2136" s="3">
        <v>0</v>
      </c>
      <c r="BF2136" s="3">
        <v>0</v>
      </c>
      <c r="BG2136" s="3">
        <v>0</v>
      </c>
      <c r="BH2136" s="3">
        <v>1</v>
      </c>
      <c r="BI2136" s="3">
        <v>4</v>
      </c>
      <c r="BJ2136" s="3">
        <v>2</v>
      </c>
      <c r="BK2136" s="3">
        <v>4</v>
      </c>
      <c r="BL2136" s="3">
        <v>117.97</v>
      </c>
      <c r="BM2136" s="3">
        <v>17.7</v>
      </c>
      <c r="BN2136" s="3">
        <v>135.66999999999999</v>
      </c>
      <c r="BO2136" s="3">
        <v>135.66999999999999</v>
      </c>
      <c r="BQ2136" s="3" t="s">
        <v>89</v>
      </c>
      <c r="BR2136" s="3" t="s">
        <v>84</v>
      </c>
      <c r="BS2136" s="4">
        <v>44588</v>
      </c>
      <c r="BT2136" s="5">
        <v>0.56180555555555556</v>
      </c>
      <c r="BU2136" s="3" t="s">
        <v>2130</v>
      </c>
      <c r="BV2136" s="3" t="s">
        <v>87</v>
      </c>
      <c r="BW2136" s="3" t="s">
        <v>617</v>
      </c>
      <c r="BX2136" s="3" t="s">
        <v>605</v>
      </c>
      <c r="BY2136" s="3">
        <v>9918</v>
      </c>
      <c r="BZ2136" s="3" t="s">
        <v>165</v>
      </c>
      <c r="CA2136" s="3" t="s">
        <v>1681</v>
      </c>
      <c r="CC2136" s="3" t="s">
        <v>185</v>
      </c>
      <c r="CD2136" s="3">
        <v>5201</v>
      </c>
      <c r="CE2136" s="3" t="s">
        <v>221</v>
      </c>
      <c r="CF2136" s="4">
        <v>44588</v>
      </c>
      <c r="CI2136" s="3">
        <v>1</v>
      </c>
      <c r="CJ2136" s="3">
        <v>1</v>
      </c>
      <c r="CK2136" s="3">
        <v>21</v>
      </c>
      <c r="CL2136" s="3" t="s">
        <v>87</v>
      </c>
    </row>
    <row r="2137" spans="1:90" x14ac:dyDescent="0.2">
      <c r="A2137" s="3" t="s">
        <v>72</v>
      </c>
      <c r="B2137" s="3" t="s">
        <v>73</v>
      </c>
      <c r="C2137" s="3" t="s">
        <v>74</v>
      </c>
      <c r="E2137" s="3" t="str">
        <f>"FES1162847012"</f>
        <v>FES1162847012</v>
      </c>
      <c r="F2137" s="4">
        <v>44587</v>
      </c>
      <c r="G2137" s="3">
        <v>202207</v>
      </c>
      <c r="H2137" s="3" t="s">
        <v>75</v>
      </c>
      <c r="I2137" s="3" t="s">
        <v>76</v>
      </c>
      <c r="J2137" s="3" t="s">
        <v>77</v>
      </c>
      <c r="K2137" s="3" t="s">
        <v>78</v>
      </c>
      <c r="L2137" s="3" t="s">
        <v>90</v>
      </c>
      <c r="M2137" s="3" t="s">
        <v>91</v>
      </c>
      <c r="N2137" s="3" t="s">
        <v>584</v>
      </c>
      <c r="O2137" s="3" t="s">
        <v>148</v>
      </c>
      <c r="P2137" s="3" t="str">
        <f>"2170818301                    "</f>
        <v xml:space="preserve">2170818301                    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29.89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3">
        <v>0</v>
      </c>
      <c r="AY2137" s="3">
        <v>0</v>
      </c>
      <c r="AZ2137" s="3">
        <v>0</v>
      </c>
      <c r="BA2137" s="3">
        <v>0</v>
      </c>
      <c r="BB2137" s="3">
        <v>0</v>
      </c>
      <c r="BC2137" s="3">
        <v>0</v>
      </c>
      <c r="BD2137" s="3">
        <v>0</v>
      </c>
      <c r="BE2137" s="3">
        <v>0</v>
      </c>
      <c r="BF2137" s="3">
        <v>0</v>
      </c>
      <c r="BG2137" s="3">
        <v>0</v>
      </c>
      <c r="BH2137" s="3">
        <v>1</v>
      </c>
      <c r="BI2137" s="3">
        <v>5</v>
      </c>
      <c r="BJ2137" s="3">
        <v>2</v>
      </c>
      <c r="BK2137" s="3">
        <v>5</v>
      </c>
      <c r="BL2137" s="3">
        <v>119.34</v>
      </c>
      <c r="BM2137" s="3">
        <v>17.899999999999999</v>
      </c>
      <c r="BN2137" s="3">
        <v>137.24</v>
      </c>
      <c r="BO2137" s="3">
        <v>137.24</v>
      </c>
      <c r="BQ2137" s="3" t="s">
        <v>83</v>
      </c>
      <c r="BR2137" s="3" t="s">
        <v>84</v>
      </c>
      <c r="BS2137" s="4">
        <v>44589</v>
      </c>
      <c r="BT2137" s="5">
        <v>0.33124999999999999</v>
      </c>
      <c r="BU2137" s="3" t="s">
        <v>1656</v>
      </c>
      <c r="BV2137" s="3" t="s">
        <v>105</v>
      </c>
      <c r="BY2137" s="3">
        <v>9918</v>
      </c>
      <c r="BZ2137" s="3" t="s">
        <v>327</v>
      </c>
      <c r="CA2137" s="3" t="s">
        <v>543</v>
      </c>
      <c r="CC2137" s="3" t="s">
        <v>91</v>
      </c>
      <c r="CD2137" s="3">
        <v>7530</v>
      </c>
      <c r="CE2137" s="3" t="s">
        <v>221</v>
      </c>
      <c r="CI2137" s="3">
        <v>2</v>
      </c>
      <c r="CJ2137" s="3">
        <v>2</v>
      </c>
      <c r="CK2137" s="3">
        <v>41</v>
      </c>
      <c r="CL2137" s="3" t="s">
        <v>87</v>
      </c>
    </row>
    <row r="2138" spans="1:90" x14ac:dyDescent="0.2">
      <c r="A2138" s="3" t="s">
        <v>72</v>
      </c>
      <c r="B2138" s="3" t="s">
        <v>73</v>
      </c>
      <c r="C2138" s="3" t="s">
        <v>74</v>
      </c>
      <c r="E2138" s="3" t="str">
        <f>"FES1162846839"</f>
        <v>FES1162846839</v>
      </c>
      <c r="F2138" s="4">
        <v>44587</v>
      </c>
      <c r="G2138" s="3">
        <v>202207</v>
      </c>
      <c r="H2138" s="3" t="s">
        <v>75</v>
      </c>
      <c r="I2138" s="3" t="s">
        <v>76</v>
      </c>
      <c r="J2138" s="3" t="s">
        <v>77</v>
      </c>
      <c r="K2138" s="3" t="s">
        <v>78</v>
      </c>
      <c r="L2138" s="3" t="s">
        <v>138</v>
      </c>
      <c r="M2138" s="3" t="s">
        <v>139</v>
      </c>
      <c r="N2138" s="3" t="s">
        <v>140</v>
      </c>
      <c r="O2138" s="3" t="s">
        <v>82</v>
      </c>
      <c r="P2138" s="3" t="str">
        <f>"2170818131                    "</f>
        <v xml:space="preserve">2170818131                    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15.46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0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3">
        <v>0</v>
      </c>
      <c r="AY2138" s="3">
        <v>0</v>
      </c>
      <c r="AZ2138" s="3">
        <v>0</v>
      </c>
      <c r="BA2138" s="3">
        <v>0</v>
      </c>
      <c r="BB2138" s="3">
        <v>0</v>
      </c>
      <c r="BC2138" s="3">
        <v>0</v>
      </c>
      <c r="BD2138" s="3">
        <v>0</v>
      </c>
      <c r="BE2138" s="3">
        <v>0</v>
      </c>
      <c r="BF2138" s="3">
        <v>0</v>
      </c>
      <c r="BG2138" s="3">
        <v>0</v>
      </c>
      <c r="BH2138" s="3">
        <v>1</v>
      </c>
      <c r="BI2138" s="3">
        <v>1</v>
      </c>
      <c r="BJ2138" s="3">
        <v>0.6</v>
      </c>
      <c r="BK2138" s="3">
        <v>1</v>
      </c>
      <c r="BL2138" s="3">
        <v>59</v>
      </c>
      <c r="BM2138" s="3">
        <v>8.85</v>
      </c>
      <c r="BN2138" s="3">
        <v>67.849999999999994</v>
      </c>
      <c r="BO2138" s="3">
        <v>67.849999999999994</v>
      </c>
      <c r="BQ2138" s="3" t="s">
        <v>126</v>
      </c>
      <c r="BR2138" s="3" t="s">
        <v>84</v>
      </c>
      <c r="BS2138" s="4">
        <v>44588</v>
      </c>
      <c r="BT2138" s="5">
        <v>0.36874999999999997</v>
      </c>
      <c r="BU2138" s="3" t="s">
        <v>819</v>
      </c>
      <c r="BV2138" s="3" t="s">
        <v>105</v>
      </c>
      <c r="BY2138" s="3">
        <v>3159</v>
      </c>
      <c r="BZ2138" s="3" t="s">
        <v>165</v>
      </c>
      <c r="CA2138" s="3" t="s">
        <v>334</v>
      </c>
      <c r="CC2138" s="3" t="s">
        <v>139</v>
      </c>
      <c r="CD2138" s="3">
        <v>3610</v>
      </c>
      <c r="CE2138" s="3" t="s">
        <v>221</v>
      </c>
      <c r="CF2138" s="4">
        <v>44589</v>
      </c>
      <c r="CI2138" s="3">
        <v>1</v>
      </c>
      <c r="CJ2138" s="3">
        <v>1</v>
      </c>
      <c r="CK2138" s="3">
        <v>21</v>
      </c>
      <c r="CL2138" s="3" t="s">
        <v>87</v>
      </c>
    </row>
    <row r="2139" spans="1:90" x14ac:dyDescent="0.2">
      <c r="A2139" s="3" t="s">
        <v>72</v>
      </c>
      <c r="B2139" s="3" t="s">
        <v>73</v>
      </c>
      <c r="C2139" s="3" t="s">
        <v>74</v>
      </c>
      <c r="E2139" s="3" t="str">
        <f>"FES1162846972"</f>
        <v>FES1162846972</v>
      </c>
      <c r="F2139" s="4">
        <v>44587</v>
      </c>
      <c r="G2139" s="3">
        <v>202207</v>
      </c>
      <c r="H2139" s="3" t="s">
        <v>75</v>
      </c>
      <c r="I2139" s="3" t="s">
        <v>76</v>
      </c>
      <c r="J2139" s="3" t="s">
        <v>77</v>
      </c>
      <c r="K2139" s="3" t="s">
        <v>78</v>
      </c>
      <c r="L2139" s="3" t="s">
        <v>79</v>
      </c>
      <c r="M2139" s="3" t="s">
        <v>80</v>
      </c>
      <c r="N2139" s="3" t="s">
        <v>81</v>
      </c>
      <c r="O2139" s="3" t="s">
        <v>82</v>
      </c>
      <c r="P2139" s="3" t="str">
        <f>"2170817932                    "</f>
        <v xml:space="preserve">2170817932                    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15.46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0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3">
        <v>0</v>
      </c>
      <c r="AY2139" s="3">
        <v>0</v>
      </c>
      <c r="AZ2139" s="3">
        <v>0</v>
      </c>
      <c r="BA2139" s="3">
        <v>0</v>
      </c>
      <c r="BB2139" s="3">
        <v>0</v>
      </c>
      <c r="BC2139" s="3">
        <v>0</v>
      </c>
      <c r="BD2139" s="3">
        <v>0</v>
      </c>
      <c r="BE2139" s="3">
        <v>0</v>
      </c>
      <c r="BF2139" s="3">
        <v>0</v>
      </c>
      <c r="BG2139" s="3">
        <v>0</v>
      </c>
      <c r="BH2139" s="3">
        <v>1</v>
      </c>
      <c r="BI2139" s="3">
        <v>1</v>
      </c>
      <c r="BJ2139" s="3">
        <v>0.2</v>
      </c>
      <c r="BK2139" s="3">
        <v>1</v>
      </c>
      <c r="BL2139" s="3">
        <v>59</v>
      </c>
      <c r="BM2139" s="3">
        <v>8.85</v>
      </c>
      <c r="BN2139" s="3">
        <v>67.849999999999994</v>
      </c>
      <c r="BO2139" s="3">
        <v>67.849999999999994</v>
      </c>
      <c r="BQ2139" s="3" t="s">
        <v>83</v>
      </c>
      <c r="BR2139" s="3" t="s">
        <v>84</v>
      </c>
      <c r="BS2139" s="4">
        <v>44588</v>
      </c>
      <c r="BT2139" s="5">
        <v>0.39583333333333331</v>
      </c>
      <c r="BU2139" s="3" t="s">
        <v>893</v>
      </c>
      <c r="BV2139" s="3" t="s">
        <v>105</v>
      </c>
      <c r="BY2139" s="3">
        <v>1200</v>
      </c>
      <c r="BZ2139" s="3" t="s">
        <v>165</v>
      </c>
      <c r="CA2139" s="3" t="s">
        <v>366</v>
      </c>
      <c r="CC2139" s="3" t="s">
        <v>80</v>
      </c>
      <c r="CD2139" s="3">
        <v>200</v>
      </c>
      <c r="CE2139" s="3" t="s">
        <v>1513</v>
      </c>
      <c r="CF2139" s="4">
        <v>44588</v>
      </c>
      <c r="CI2139" s="3">
        <v>1</v>
      </c>
      <c r="CJ2139" s="3">
        <v>1</v>
      </c>
      <c r="CK2139" s="3">
        <v>21</v>
      </c>
      <c r="CL2139" s="3" t="s">
        <v>87</v>
      </c>
    </row>
    <row r="2140" spans="1:90" x14ac:dyDescent="0.2">
      <c r="A2140" s="3" t="s">
        <v>72</v>
      </c>
      <c r="B2140" s="3" t="s">
        <v>73</v>
      </c>
      <c r="C2140" s="3" t="s">
        <v>74</v>
      </c>
      <c r="E2140" s="3" t="str">
        <f>"FES1162846883"</f>
        <v>FES1162846883</v>
      </c>
      <c r="F2140" s="4">
        <v>44587</v>
      </c>
      <c r="G2140" s="3">
        <v>202207</v>
      </c>
      <c r="H2140" s="3" t="s">
        <v>75</v>
      </c>
      <c r="I2140" s="3" t="s">
        <v>76</v>
      </c>
      <c r="J2140" s="3" t="s">
        <v>77</v>
      </c>
      <c r="K2140" s="3" t="s">
        <v>78</v>
      </c>
      <c r="L2140" s="3" t="s">
        <v>90</v>
      </c>
      <c r="M2140" s="3" t="s">
        <v>91</v>
      </c>
      <c r="N2140" s="3" t="s">
        <v>791</v>
      </c>
      <c r="O2140" s="3" t="s">
        <v>82</v>
      </c>
      <c r="P2140" s="3" t="str">
        <f>"2170818164                    "</f>
        <v xml:space="preserve">2170818164                    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15.46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3">
        <v>0</v>
      </c>
      <c r="AY2140" s="3">
        <v>0</v>
      </c>
      <c r="AZ2140" s="3">
        <v>0</v>
      </c>
      <c r="BA2140" s="3">
        <v>0</v>
      </c>
      <c r="BB2140" s="3">
        <v>0</v>
      </c>
      <c r="BC2140" s="3">
        <v>0</v>
      </c>
      <c r="BD2140" s="3">
        <v>0</v>
      </c>
      <c r="BE2140" s="3">
        <v>0</v>
      </c>
      <c r="BF2140" s="3">
        <v>0</v>
      </c>
      <c r="BG2140" s="3">
        <v>0</v>
      </c>
      <c r="BH2140" s="3">
        <v>1</v>
      </c>
      <c r="BI2140" s="3">
        <v>1</v>
      </c>
      <c r="BJ2140" s="3">
        <v>0.2</v>
      </c>
      <c r="BK2140" s="3">
        <v>1</v>
      </c>
      <c r="BL2140" s="3">
        <v>59</v>
      </c>
      <c r="BM2140" s="3">
        <v>8.85</v>
      </c>
      <c r="BN2140" s="3">
        <v>67.849999999999994</v>
      </c>
      <c r="BO2140" s="3">
        <v>67.849999999999994</v>
      </c>
      <c r="BQ2140" s="3" t="s">
        <v>145</v>
      </c>
      <c r="BR2140" s="3" t="s">
        <v>84</v>
      </c>
      <c r="BS2140" s="4">
        <v>44589</v>
      </c>
      <c r="BT2140" s="5">
        <v>0.7104166666666667</v>
      </c>
      <c r="BU2140" s="3" t="s">
        <v>792</v>
      </c>
      <c r="BV2140" s="3" t="s">
        <v>87</v>
      </c>
      <c r="BW2140" s="3" t="s">
        <v>376</v>
      </c>
      <c r="BX2140" s="3" t="s">
        <v>602</v>
      </c>
      <c r="BY2140" s="3">
        <v>1200</v>
      </c>
      <c r="BZ2140" s="3" t="s">
        <v>165</v>
      </c>
      <c r="CA2140" s="3" t="s">
        <v>623</v>
      </c>
      <c r="CC2140" s="3" t="s">
        <v>91</v>
      </c>
      <c r="CD2140" s="3">
        <v>7945</v>
      </c>
      <c r="CE2140" s="3" t="s">
        <v>1513</v>
      </c>
      <c r="CI2140" s="3">
        <v>1</v>
      </c>
      <c r="CJ2140" s="3">
        <v>2</v>
      </c>
      <c r="CK2140" s="3">
        <v>21</v>
      </c>
      <c r="CL2140" s="3" t="s">
        <v>87</v>
      </c>
    </row>
    <row r="2141" spans="1:90" x14ac:dyDescent="0.2">
      <c r="A2141" s="3" t="s">
        <v>72</v>
      </c>
      <c r="B2141" s="3" t="s">
        <v>73</v>
      </c>
      <c r="C2141" s="3" t="s">
        <v>74</v>
      </c>
      <c r="E2141" s="3" t="str">
        <f>"FES1162846852"</f>
        <v>FES1162846852</v>
      </c>
      <c r="F2141" s="4">
        <v>44587</v>
      </c>
      <c r="G2141" s="3">
        <v>202207</v>
      </c>
      <c r="H2141" s="3" t="s">
        <v>75</v>
      </c>
      <c r="I2141" s="3" t="s">
        <v>76</v>
      </c>
      <c r="J2141" s="3" t="s">
        <v>77</v>
      </c>
      <c r="K2141" s="3" t="s">
        <v>78</v>
      </c>
      <c r="L2141" s="3" t="s">
        <v>948</v>
      </c>
      <c r="M2141" s="3" t="s">
        <v>949</v>
      </c>
      <c r="N2141" s="3" t="s">
        <v>2238</v>
      </c>
      <c r="O2141" s="3" t="s">
        <v>82</v>
      </c>
      <c r="P2141" s="3" t="str">
        <f>"2170818029                    "</f>
        <v xml:space="preserve">2170818029                    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95.84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0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3">
        <v>0</v>
      </c>
      <c r="AY2141" s="3">
        <v>0</v>
      </c>
      <c r="AZ2141" s="3">
        <v>0</v>
      </c>
      <c r="BA2141" s="3">
        <v>0</v>
      </c>
      <c r="BB2141" s="3">
        <v>0</v>
      </c>
      <c r="BC2141" s="3">
        <v>0</v>
      </c>
      <c r="BD2141" s="3">
        <v>0</v>
      </c>
      <c r="BE2141" s="3">
        <v>0</v>
      </c>
      <c r="BF2141" s="3">
        <v>0</v>
      </c>
      <c r="BG2141" s="3">
        <v>0</v>
      </c>
      <c r="BH2141" s="3">
        <v>1</v>
      </c>
      <c r="BI2141" s="3">
        <v>9</v>
      </c>
      <c r="BJ2141" s="3">
        <v>2</v>
      </c>
      <c r="BK2141" s="3">
        <v>9</v>
      </c>
      <c r="BL2141" s="3">
        <v>365.82</v>
      </c>
      <c r="BM2141" s="3">
        <v>54.87</v>
      </c>
      <c r="BN2141" s="3">
        <v>420.69</v>
      </c>
      <c r="BO2141" s="3">
        <v>420.69</v>
      </c>
      <c r="BQ2141" s="3" t="s">
        <v>83</v>
      </c>
      <c r="BR2141" s="3" t="s">
        <v>84</v>
      </c>
      <c r="BS2141" s="4">
        <v>44588</v>
      </c>
      <c r="BT2141" s="5">
        <v>0.33333333333333331</v>
      </c>
      <c r="BU2141" s="3" t="s">
        <v>2239</v>
      </c>
      <c r="BV2141" s="3" t="s">
        <v>105</v>
      </c>
      <c r="BY2141" s="3">
        <v>9918</v>
      </c>
      <c r="BZ2141" s="3" t="s">
        <v>165</v>
      </c>
      <c r="CA2141" s="3" t="s">
        <v>952</v>
      </c>
      <c r="CC2141" s="3" t="s">
        <v>949</v>
      </c>
      <c r="CD2141" s="3">
        <v>1759</v>
      </c>
      <c r="CE2141" s="3" t="s">
        <v>86</v>
      </c>
      <c r="CF2141" s="4">
        <v>44588</v>
      </c>
      <c r="CI2141" s="3">
        <v>1</v>
      </c>
      <c r="CJ2141" s="3">
        <v>1</v>
      </c>
      <c r="CK2141" s="3">
        <v>24</v>
      </c>
      <c r="CL2141" s="3" t="s">
        <v>87</v>
      </c>
    </row>
    <row r="2142" spans="1:90" x14ac:dyDescent="0.2">
      <c r="A2142" s="3" t="s">
        <v>72</v>
      </c>
      <c r="B2142" s="3" t="s">
        <v>73</v>
      </c>
      <c r="C2142" s="3" t="s">
        <v>74</v>
      </c>
      <c r="E2142" s="3" t="str">
        <f>"FES1162846840"</f>
        <v>FES1162846840</v>
      </c>
      <c r="F2142" s="4">
        <v>44587</v>
      </c>
      <c r="G2142" s="3">
        <v>202207</v>
      </c>
      <c r="H2142" s="3" t="s">
        <v>75</v>
      </c>
      <c r="I2142" s="3" t="s">
        <v>76</v>
      </c>
      <c r="J2142" s="3" t="s">
        <v>77</v>
      </c>
      <c r="K2142" s="3" t="s">
        <v>78</v>
      </c>
      <c r="L2142" s="3" t="s">
        <v>162</v>
      </c>
      <c r="M2142" s="3" t="s">
        <v>163</v>
      </c>
      <c r="N2142" s="3" t="s">
        <v>589</v>
      </c>
      <c r="O2142" s="3" t="s">
        <v>82</v>
      </c>
      <c r="P2142" s="3" t="str">
        <f>"2170818132                    "</f>
        <v xml:space="preserve">2170818132                    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12.07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3">
        <v>0</v>
      </c>
      <c r="AY2142" s="3">
        <v>0</v>
      </c>
      <c r="AZ2142" s="3">
        <v>0</v>
      </c>
      <c r="BA2142" s="3">
        <v>0</v>
      </c>
      <c r="BB2142" s="3">
        <v>0</v>
      </c>
      <c r="BC2142" s="3">
        <v>0</v>
      </c>
      <c r="BD2142" s="3">
        <v>0</v>
      </c>
      <c r="BE2142" s="3">
        <v>0</v>
      </c>
      <c r="BF2142" s="3">
        <v>0</v>
      </c>
      <c r="BG2142" s="3">
        <v>0</v>
      </c>
      <c r="BH2142" s="3">
        <v>1</v>
      </c>
      <c r="BI2142" s="3">
        <v>2</v>
      </c>
      <c r="BJ2142" s="3">
        <v>0.6</v>
      </c>
      <c r="BK2142" s="3">
        <v>2</v>
      </c>
      <c r="BL2142" s="3">
        <v>46.08</v>
      </c>
      <c r="BM2142" s="3">
        <v>6.91</v>
      </c>
      <c r="BN2142" s="3">
        <v>52.99</v>
      </c>
      <c r="BO2142" s="3">
        <v>52.99</v>
      </c>
      <c r="BR2142" s="3" t="s">
        <v>84</v>
      </c>
      <c r="BS2142" s="4">
        <v>44588</v>
      </c>
      <c r="BT2142" s="5">
        <v>0.30763888888888891</v>
      </c>
      <c r="BU2142" s="3" t="s">
        <v>2240</v>
      </c>
      <c r="BV2142" s="3" t="s">
        <v>105</v>
      </c>
      <c r="BY2142" s="3">
        <v>3159</v>
      </c>
      <c r="BZ2142" s="3" t="s">
        <v>165</v>
      </c>
      <c r="CA2142" s="3" t="s">
        <v>591</v>
      </c>
      <c r="CC2142" s="3" t="s">
        <v>163</v>
      </c>
      <c r="CD2142" s="3">
        <v>1422</v>
      </c>
      <c r="CE2142" s="3" t="s">
        <v>86</v>
      </c>
      <c r="CF2142" s="4">
        <v>44588</v>
      </c>
      <c r="CI2142" s="3">
        <v>1</v>
      </c>
      <c r="CJ2142" s="3">
        <v>1</v>
      </c>
      <c r="CK2142" s="3">
        <v>22</v>
      </c>
      <c r="CL2142" s="3" t="s">
        <v>87</v>
      </c>
    </row>
    <row r="2143" spans="1:90" x14ac:dyDescent="0.2">
      <c r="A2143" s="3" t="s">
        <v>72</v>
      </c>
      <c r="B2143" s="3" t="s">
        <v>73</v>
      </c>
      <c r="C2143" s="3" t="s">
        <v>74</v>
      </c>
      <c r="E2143" s="3" t="str">
        <f>"FES1162847001"</f>
        <v>FES1162847001</v>
      </c>
      <c r="F2143" s="4">
        <v>44587</v>
      </c>
      <c r="G2143" s="3">
        <v>202207</v>
      </c>
      <c r="H2143" s="3" t="s">
        <v>75</v>
      </c>
      <c r="I2143" s="3" t="s">
        <v>76</v>
      </c>
      <c r="J2143" s="3" t="s">
        <v>77</v>
      </c>
      <c r="K2143" s="3" t="s">
        <v>78</v>
      </c>
      <c r="L2143" s="3" t="s">
        <v>250</v>
      </c>
      <c r="M2143" s="3" t="s">
        <v>251</v>
      </c>
      <c r="N2143" s="3" t="s">
        <v>252</v>
      </c>
      <c r="O2143" s="3" t="s">
        <v>82</v>
      </c>
      <c r="P2143" s="3" t="str">
        <f>"2170818280                    "</f>
        <v xml:space="preserve">2170818280                    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29.95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0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3">
        <v>0</v>
      </c>
      <c r="AY2143" s="3">
        <v>0</v>
      </c>
      <c r="AZ2143" s="3">
        <v>0</v>
      </c>
      <c r="BA2143" s="3">
        <v>0</v>
      </c>
      <c r="BB2143" s="3">
        <v>0</v>
      </c>
      <c r="BC2143" s="3">
        <v>0</v>
      </c>
      <c r="BD2143" s="3">
        <v>0</v>
      </c>
      <c r="BE2143" s="3">
        <v>0</v>
      </c>
      <c r="BF2143" s="3">
        <v>0</v>
      </c>
      <c r="BG2143" s="3">
        <v>0</v>
      </c>
      <c r="BH2143" s="3">
        <v>1</v>
      </c>
      <c r="BI2143" s="3">
        <v>1</v>
      </c>
      <c r="BJ2143" s="3">
        <v>0.2</v>
      </c>
      <c r="BK2143" s="3">
        <v>1</v>
      </c>
      <c r="BL2143" s="3">
        <v>114.31</v>
      </c>
      <c r="BM2143" s="3">
        <v>17.149999999999999</v>
      </c>
      <c r="BN2143" s="3">
        <v>131.46</v>
      </c>
      <c r="BO2143" s="3">
        <v>131.46</v>
      </c>
      <c r="BQ2143" s="3" t="s">
        <v>253</v>
      </c>
      <c r="BR2143" s="3" t="s">
        <v>84</v>
      </c>
      <c r="BS2143" s="4">
        <v>44588</v>
      </c>
      <c r="BT2143" s="5">
        <v>0.55347222222222225</v>
      </c>
      <c r="BU2143" s="3" t="s">
        <v>2041</v>
      </c>
      <c r="BV2143" s="3" t="s">
        <v>105</v>
      </c>
      <c r="BY2143" s="3">
        <v>1200</v>
      </c>
      <c r="BZ2143" s="3" t="s">
        <v>165</v>
      </c>
      <c r="CA2143" s="3" t="s">
        <v>368</v>
      </c>
      <c r="CC2143" s="3" t="s">
        <v>251</v>
      </c>
      <c r="CD2143" s="3">
        <v>6300</v>
      </c>
      <c r="CE2143" s="3" t="s">
        <v>1513</v>
      </c>
      <c r="CF2143" s="4">
        <v>44588</v>
      </c>
      <c r="CI2143" s="3">
        <v>2</v>
      </c>
      <c r="CJ2143" s="3">
        <v>1</v>
      </c>
      <c r="CK2143" s="3">
        <v>23</v>
      </c>
      <c r="CL2143" s="3" t="s">
        <v>87</v>
      </c>
    </row>
    <row r="2144" spans="1:90" x14ac:dyDescent="0.2">
      <c r="A2144" s="3" t="s">
        <v>72</v>
      </c>
      <c r="B2144" s="3" t="s">
        <v>73</v>
      </c>
      <c r="C2144" s="3" t="s">
        <v>74</v>
      </c>
      <c r="E2144" s="3" t="str">
        <f>"FES1162846881"</f>
        <v>FES1162846881</v>
      </c>
      <c r="F2144" s="4">
        <v>44587</v>
      </c>
      <c r="G2144" s="3">
        <v>202207</v>
      </c>
      <c r="H2144" s="3" t="s">
        <v>75</v>
      </c>
      <c r="I2144" s="3" t="s">
        <v>76</v>
      </c>
      <c r="J2144" s="3" t="s">
        <v>77</v>
      </c>
      <c r="K2144" s="3" t="s">
        <v>78</v>
      </c>
      <c r="L2144" s="3" t="s">
        <v>427</v>
      </c>
      <c r="M2144" s="3" t="s">
        <v>428</v>
      </c>
      <c r="N2144" s="3" t="s">
        <v>429</v>
      </c>
      <c r="O2144" s="3" t="s">
        <v>82</v>
      </c>
      <c r="P2144" s="3" t="str">
        <f>"2170818160                    "</f>
        <v xml:space="preserve">2170818160                    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29.95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0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3">
        <v>0</v>
      </c>
      <c r="AY2144" s="3">
        <v>0</v>
      </c>
      <c r="AZ2144" s="3">
        <v>0</v>
      </c>
      <c r="BA2144" s="3">
        <v>0</v>
      </c>
      <c r="BB2144" s="3">
        <v>0</v>
      </c>
      <c r="BC2144" s="3">
        <v>0</v>
      </c>
      <c r="BD2144" s="3">
        <v>0</v>
      </c>
      <c r="BE2144" s="3">
        <v>0</v>
      </c>
      <c r="BF2144" s="3">
        <v>0</v>
      </c>
      <c r="BG2144" s="3">
        <v>0</v>
      </c>
      <c r="BH2144" s="3">
        <v>1</v>
      </c>
      <c r="BI2144" s="3">
        <v>1</v>
      </c>
      <c r="BJ2144" s="3">
        <v>0.2</v>
      </c>
      <c r="BK2144" s="3">
        <v>1</v>
      </c>
      <c r="BL2144" s="3">
        <v>114.31</v>
      </c>
      <c r="BM2144" s="3">
        <v>17.149999999999999</v>
      </c>
      <c r="BN2144" s="3">
        <v>131.46</v>
      </c>
      <c r="BO2144" s="3">
        <v>131.46</v>
      </c>
      <c r="BQ2144" s="3" t="s">
        <v>83</v>
      </c>
      <c r="BR2144" s="3" t="s">
        <v>84</v>
      </c>
      <c r="BS2144" s="4">
        <v>44588</v>
      </c>
      <c r="BT2144" s="5">
        <v>0.65416666666666667</v>
      </c>
      <c r="BU2144" s="3" t="s">
        <v>2241</v>
      </c>
      <c r="BV2144" s="3" t="s">
        <v>87</v>
      </c>
      <c r="BW2144" s="3" t="s">
        <v>353</v>
      </c>
      <c r="BX2144" s="3" t="s">
        <v>354</v>
      </c>
      <c r="BY2144" s="3">
        <v>1200</v>
      </c>
      <c r="BZ2144" s="3" t="s">
        <v>165</v>
      </c>
      <c r="CA2144" s="3" t="s">
        <v>488</v>
      </c>
      <c r="CC2144" s="3" t="s">
        <v>428</v>
      </c>
      <c r="CD2144" s="3">
        <v>7130</v>
      </c>
      <c r="CE2144" s="3" t="s">
        <v>1513</v>
      </c>
      <c r="CF2144" s="4">
        <v>44589</v>
      </c>
      <c r="CI2144" s="3">
        <v>1</v>
      </c>
      <c r="CJ2144" s="3">
        <v>1</v>
      </c>
      <c r="CK2144" s="3">
        <v>23</v>
      </c>
      <c r="CL2144" s="3" t="s">
        <v>87</v>
      </c>
    </row>
    <row r="2145" spans="1:90" x14ac:dyDescent="0.2">
      <c r="A2145" s="3" t="s">
        <v>72</v>
      </c>
      <c r="B2145" s="3" t="s">
        <v>73</v>
      </c>
      <c r="C2145" s="3" t="s">
        <v>74</v>
      </c>
      <c r="E2145" s="3" t="str">
        <f>"FES1162847113"</f>
        <v>FES1162847113</v>
      </c>
      <c r="F2145" s="4">
        <v>44587</v>
      </c>
      <c r="G2145" s="3">
        <v>202207</v>
      </c>
      <c r="H2145" s="3" t="s">
        <v>75</v>
      </c>
      <c r="I2145" s="3" t="s">
        <v>76</v>
      </c>
      <c r="J2145" s="3" t="s">
        <v>77</v>
      </c>
      <c r="K2145" s="3" t="s">
        <v>78</v>
      </c>
      <c r="L2145" s="3" t="s">
        <v>115</v>
      </c>
      <c r="M2145" s="3" t="s">
        <v>116</v>
      </c>
      <c r="N2145" s="3" t="s">
        <v>2210</v>
      </c>
      <c r="O2145" s="3" t="s">
        <v>82</v>
      </c>
      <c r="P2145" s="3" t="str">
        <f>"2170818424                    "</f>
        <v xml:space="preserve">2170818424                    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12.07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3">
        <v>0</v>
      </c>
      <c r="AY2145" s="3">
        <v>0</v>
      </c>
      <c r="AZ2145" s="3">
        <v>0</v>
      </c>
      <c r="BA2145" s="3">
        <v>0</v>
      </c>
      <c r="BB2145" s="3">
        <v>0</v>
      </c>
      <c r="BC2145" s="3">
        <v>0</v>
      </c>
      <c r="BD2145" s="3">
        <v>0</v>
      </c>
      <c r="BE2145" s="3">
        <v>0</v>
      </c>
      <c r="BF2145" s="3">
        <v>0</v>
      </c>
      <c r="BG2145" s="3">
        <v>0</v>
      </c>
      <c r="BH2145" s="3">
        <v>1</v>
      </c>
      <c r="BI2145" s="3">
        <v>1</v>
      </c>
      <c r="BJ2145" s="3">
        <v>0.2</v>
      </c>
      <c r="BK2145" s="3">
        <v>1</v>
      </c>
      <c r="BL2145" s="3">
        <v>46.08</v>
      </c>
      <c r="BM2145" s="3">
        <v>6.91</v>
      </c>
      <c r="BN2145" s="3">
        <v>52.99</v>
      </c>
      <c r="BO2145" s="3">
        <v>52.99</v>
      </c>
      <c r="BQ2145" s="3" t="s">
        <v>2211</v>
      </c>
      <c r="BR2145" s="3" t="s">
        <v>84</v>
      </c>
      <c r="BS2145" s="4">
        <v>44588</v>
      </c>
      <c r="BT2145" s="5">
        <v>0.41388888888888892</v>
      </c>
      <c r="BU2145" s="3" t="s">
        <v>1066</v>
      </c>
      <c r="BV2145" s="3" t="s">
        <v>105</v>
      </c>
      <c r="BY2145" s="3">
        <v>1200</v>
      </c>
      <c r="BZ2145" s="3" t="s">
        <v>165</v>
      </c>
      <c r="CA2145" s="3" t="s">
        <v>119</v>
      </c>
      <c r="CC2145" s="3" t="s">
        <v>116</v>
      </c>
      <c r="CD2145" s="3">
        <v>1559</v>
      </c>
      <c r="CE2145" s="3" t="s">
        <v>93</v>
      </c>
      <c r="CF2145" s="4">
        <v>44588</v>
      </c>
      <c r="CI2145" s="3">
        <v>1</v>
      </c>
      <c r="CJ2145" s="3">
        <v>1</v>
      </c>
      <c r="CK2145" s="3">
        <v>22</v>
      </c>
      <c r="CL2145" s="3" t="s">
        <v>87</v>
      </c>
    </row>
    <row r="2146" spans="1:90" x14ac:dyDescent="0.2">
      <c r="A2146" s="3" t="s">
        <v>72</v>
      </c>
      <c r="B2146" s="3" t="s">
        <v>73</v>
      </c>
      <c r="C2146" s="3" t="s">
        <v>74</v>
      </c>
      <c r="E2146" s="3" t="str">
        <f>"FES1162846897"</f>
        <v>FES1162846897</v>
      </c>
      <c r="F2146" s="4">
        <v>44587</v>
      </c>
      <c r="G2146" s="3">
        <v>202207</v>
      </c>
      <c r="H2146" s="3" t="s">
        <v>75</v>
      </c>
      <c r="I2146" s="3" t="s">
        <v>76</v>
      </c>
      <c r="J2146" s="3" t="s">
        <v>77</v>
      </c>
      <c r="K2146" s="3" t="s">
        <v>78</v>
      </c>
      <c r="L2146" s="3" t="s">
        <v>79</v>
      </c>
      <c r="M2146" s="3" t="s">
        <v>80</v>
      </c>
      <c r="N2146" s="3" t="s">
        <v>1295</v>
      </c>
      <c r="O2146" s="3" t="s">
        <v>82</v>
      </c>
      <c r="P2146" s="3" t="str">
        <f>"2170818180                    "</f>
        <v xml:space="preserve">2170818180                    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15.46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0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3">
        <v>0</v>
      </c>
      <c r="AY2146" s="3">
        <v>0</v>
      </c>
      <c r="AZ2146" s="3">
        <v>0</v>
      </c>
      <c r="BA2146" s="3">
        <v>0</v>
      </c>
      <c r="BB2146" s="3">
        <v>0</v>
      </c>
      <c r="BC2146" s="3">
        <v>0</v>
      </c>
      <c r="BD2146" s="3">
        <v>0</v>
      </c>
      <c r="BE2146" s="3">
        <v>0</v>
      </c>
      <c r="BF2146" s="3">
        <v>0</v>
      </c>
      <c r="BG2146" s="3">
        <v>0</v>
      </c>
      <c r="BH2146" s="3">
        <v>1</v>
      </c>
      <c r="BI2146" s="3">
        <v>1</v>
      </c>
      <c r="BJ2146" s="3">
        <v>2</v>
      </c>
      <c r="BK2146" s="3">
        <v>2</v>
      </c>
      <c r="BL2146" s="3">
        <v>59</v>
      </c>
      <c r="BM2146" s="3">
        <v>8.85</v>
      </c>
      <c r="BN2146" s="3">
        <v>67.849999999999994</v>
      </c>
      <c r="BO2146" s="3">
        <v>67.849999999999994</v>
      </c>
      <c r="BQ2146" s="3" t="s">
        <v>83</v>
      </c>
      <c r="BR2146" s="3" t="s">
        <v>84</v>
      </c>
      <c r="BS2146" s="4">
        <v>44588</v>
      </c>
      <c r="BT2146" s="5">
        <v>0.41597222222222219</v>
      </c>
      <c r="BU2146" s="3" t="s">
        <v>2242</v>
      </c>
      <c r="BV2146" s="3" t="s">
        <v>105</v>
      </c>
      <c r="BY2146" s="3">
        <v>10092</v>
      </c>
      <c r="BZ2146" s="3" t="s">
        <v>165</v>
      </c>
      <c r="CA2146" s="3" t="s">
        <v>287</v>
      </c>
      <c r="CC2146" s="3" t="s">
        <v>80</v>
      </c>
      <c r="CD2146" s="3">
        <v>181</v>
      </c>
      <c r="CE2146" s="3" t="s">
        <v>221</v>
      </c>
      <c r="CF2146" s="4">
        <v>44588</v>
      </c>
      <c r="CI2146" s="3">
        <v>1</v>
      </c>
      <c r="CJ2146" s="3">
        <v>1</v>
      </c>
      <c r="CK2146" s="3">
        <v>21</v>
      </c>
      <c r="CL2146" s="3" t="s">
        <v>87</v>
      </c>
    </row>
    <row r="2147" spans="1:90" x14ac:dyDescent="0.2">
      <c r="A2147" s="3" t="s">
        <v>72</v>
      </c>
      <c r="B2147" s="3" t="s">
        <v>73</v>
      </c>
      <c r="C2147" s="3" t="s">
        <v>74</v>
      </c>
      <c r="E2147" s="3" t="str">
        <f>"FES1162846967"</f>
        <v>FES1162846967</v>
      </c>
      <c r="F2147" s="4">
        <v>44587</v>
      </c>
      <c r="G2147" s="3">
        <v>202207</v>
      </c>
      <c r="H2147" s="3" t="s">
        <v>75</v>
      </c>
      <c r="I2147" s="3" t="s">
        <v>76</v>
      </c>
      <c r="J2147" s="3" t="s">
        <v>77</v>
      </c>
      <c r="K2147" s="3" t="s">
        <v>78</v>
      </c>
      <c r="L2147" s="3" t="s">
        <v>171</v>
      </c>
      <c r="M2147" s="3" t="s">
        <v>172</v>
      </c>
      <c r="N2147" s="3" t="s">
        <v>249</v>
      </c>
      <c r="O2147" s="3" t="s">
        <v>82</v>
      </c>
      <c r="P2147" s="3" t="str">
        <f>"2170817599                    "</f>
        <v xml:space="preserve">2170817599                    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15.46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3">
        <v>0</v>
      </c>
      <c r="AY2147" s="3">
        <v>0</v>
      </c>
      <c r="AZ2147" s="3">
        <v>0</v>
      </c>
      <c r="BA2147" s="3">
        <v>0</v>
      </c>
      <c r="BB2147" s="3">
        <v>0</v>
      </c>
      <c r="BC2147" s="3">
        <v>0</v>
      </c>
      <c r="BD2147" s="3">
        <v>0</v>
      </c>
      <c r="BE2147" s="3">
        <v>0</v>
      </c>
      <c r="BF2147" s="3">
        <v>0</v>
      </c>
      <c r="BG2147" s="3">
        <v>0</v>
      </c>
      <c r="BH2147" s="3">
        <v>1</v>
      </c>
      <c r="BI2147" s="3">
        <v>2</v>
      </c>
      <c r="BJ2147" s="3">
        <v>0.8</v>
      </c>
      <c r="BK2147" s="3">
        <v>2</v>
      </c>
      <c r="BL2147" s="3">
        <v>59</v>
      </c>
      <c r="BM2147" s="3">
        <v>8.85</v>
      </c>
      <c r="BN2147" s="3">
        <v>67.849999999999994</v>
      </c>
      <c r="BO2147" s="3">
        <v>67.849999999999994</v>
      </c>
      <c r="BQ2147" s="3" t="s">
        <v>89</v>
      </c>
      <c r="BR2147" s="3" t="s">
        <v>84</v>
      </c>
      <c r="BS2147" s="4">
        <v>44588</v>
      </c>
      <c r="BT2147" s="5">
        <v>0.3888888888888889</v>
      </c>
      <c r="BU2147" s="3" t="s">
        <v>2243</v>
      </c>
      <c r="BV2147" s="3" t="s">
        <v>105</v>
      </c>
      <c r="BY2147" s="3">
        <v>4212</v>
      </c>
      <c r="BZ2147" s="3" t="s">
        <v>165</v>
      </c>
      <c r="CC2147" s="3" t="s">
        <v>172</v>
      </c>
      <c r="CD2147" s="3">
        <v>6001</v>
      </c>
      <c r="CE2147" s="3" t="s">
        <v>221</v>
      </c>
      <c r="CF2147" s="4">
        <v>44588</v>
      </c>
      <c r="CI2147" s="3">
        <v>1</v>
      </c>
      <c r="CJ2147" s="3">
        <v>1</v>
      </c>
      <c r="CK2147" s="3">
        <v>21</v>
      </c>
      <c r="CL2147" s="3" t="s">
        <v>87</v>
      </c>
    </row>
    <row r="2148" spans="1:90" x14ac:dyDescent="0.2">
      <c r="A2148" s="3" t="s">
        <v>72</v>
      </c>
      <c r="B2148" s="3" t="s">
        <v>73</v>
      </c>
      <c r="C2148" s="3" t="s">
        <v>74</v>
      </c>
      <c r="E2148" s="3" t="str">
        <f>"FES1162846923"</f>
        <v>FES1162846923</v>
      </c>
      <c r="F2148" s="4">
        <v>44587</v>
      </c>
      <c r="G2148" s="3">
        <v>202207</v>
      </c>
      <c r="H2148" s="3" t="s">
        <v>75</v>
      </c>
      <c r="I2148" s="3" t="s">
        <v>76</v>
      </c>
      <c r="J2148" s="3" t="s">
        <v>77</v>
      </c>
      <c r="K2148" s="3" t="s">
        <v>78</v>
      </c>
      <c r="L2148" s="3" t="s">
        <v>75</v>
      </c>
      <c r="M2148" s="3" t="s">
        <v>76</v>
      </c>
      <c r="N2148" s="3" t="s">
        <v>1221</v>
      </c>
      <c r="O2148" s="3" t="s">
        <v>82</v>
      </c>
      <c r="P2148" s="3" t="str">
        <f>"2170818185                    "</f>
        <v xml:space="preserve">2170818185                    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12.07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3">
        <v>0</v>
      </c>
      <c r="AY2148" s="3">
        <v>0</v>
      </c>
      <c r="AZ2148" s="3">
        <v>0</v>
      </c>
      <c r="BA2148" s="3">
        <v>0</v>
      </c>
      <c r="BB2148" s="3">
        <v>0</v>
      </c>
      <c r="BC2148" s="3">
        <v>0</v>
      </c>
      <c r="BD2148" s="3">
        <v>0</v>
      </c>
      <c r="BE2148" s="3">
        <v>0</v>
      </c>
      <c r="BF2148" s="3">
        <v>0</v>
      </c>
      <c r="BG2148" s="3">
        <v>0</v>
      </c>
      <c r="BH2148" s="3">
        <v>1</v>
      </c>
      <c r="BI2148" s="3">
        <v>1</v>
      </c>
      <c r="BJ2148" s="3">
        <v>0.2</v>
      </c>
      <c r="BK2148" s="3">
        <v>1</v>
      </c>
      <c r="BL2148" s="3">
        <v>46.08</v>
      </c>
      <c r="BM2148" s="3">
        <v>6.91</v>
      </c>
      <c r="BN2148" s="3">
        <v>52.99</v>
      </c>
      <c r="BO2148" s="3">
        <v>52.99</v>
      </c>
      <c r="BQ2148" s="3" t="s">
        <v>89</v>
      </c>
      <c r="BR2148" s="3" t="s">
        <v>84</v>
      </c>
      <c r="BS2148" s="4">
        <v>44588</v>
      </c>
      <c r="BT2148" s="5">
        <v>0.31180555555555556</v>
      </c>
      <c r="BU2148" s="3" t="s">
        <v>2055</v>
      </c>
      <c r="BV2148" s="3" t="s">
        <v>105</v>
      </c>
      <c r="BY2148" s="3">
        <v>1200</v>
      </c>
      <c r="BZ2148" s="3" t="s">
        <v>165</v>
      </c>
      <c r="CA2148" s="3" t="s">
        <v>378</v>
      </c>
      <c r="CC2148" s="3" t="s">
        <v>76</v>
      </c>
      <c r="CD2148" s="3">
        <v>1601</v>
      </c>
      <c r="CE2148" s="3" t="s">
        <v>93</v>
      </c>
      <c r="CF2148" s="4">
        <v>44588</v>
      </c>
      <c r="CI2148" s="3">
        <v>1</v>
      </c>
      <c r="CJ2148" s="3">
        <v>1</v>
      </c>
      <c r="CK2148" s="3">
        <v>22</v>
      </c>
      <c r="CL2148" s="3" t="s">
        <v>87</v>
      </c>
    </row>
    <row r="2149" spans="1:90" x14ac:dyDescent="0.2">
      <c r="A2149" s="3" t="s">
        <v>72</v>
      </c>
      <c r="B2149" s="3" t="s">
        <v>73</v>
      </c>
      <c r="C2149" s="3" t="s">
        <v>74</v>
      </c>
      <c r="E2149" s="3" t="str">
        <f>"FES1162846693"</f>
        <v>FES1162846693</v>
      </c>
      <c r="F2149" s="4">
        <v>44586</v>
      </c>
      <c r="G2149" s="3">
        <v>202207</v>
      </c>
      <c r="H2149" s="3" t="s">
        <v>75</v>
      </c>
      <c r="I2149" s="3" t="s">
        <v>76</v>
      </c>
      <c r="J2149" s="3" t="s">
        <v>77</v>
      </c>
      <c r="K2149" s="3" t="s">
        <v>78</v>
      </c>
      <c r="L2149" s="3" t="s">
        <v>510</v>
      </c>
      <c r="M2149" s="3" t="s">
        <v>511</v>
      </c>
      <c r="N2149" s="3" t="s">
        <v>2244</v>
      </c>
      <c r="O2149" s="3" t="s">
        <v>82</v>
      </c>
      <c r="P2149" s="3" t="str">
        <f>"2170816327                    "</f>
        <v xml:space="preserve">2170816327                    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12.07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3">
        <v>0</v>
      </c>
      <c r="AY2149" s="3">
        <v>0</v>
      </c>
      <c r="AZ2149" s="3">
        <v>0</v>
      </c>
      <c r="BA2149" s="3">
        <v>0</v>
      </c>
      <c r="BB2149" s="3">
        <v>0</v>
      </c>
      <c r="BC2149" s="3">
        <v>0</v>
      </c>
      <c r="BD2149" s="3">
        <v>0</v>
      </c>
      <c r="BE2149" s="3">
        <v>0</v>
      </c>
      <c r="BF2149" s="3">
        <v>0</v>
      </c>
      <c r="BG2149" s="3">
        <v>0</v>
      </c>
      <c r="BH2149" s="3">
        <v>1</v>
      </c>
      <c r="BI2149" s="3">
        <v>1</v>
      </c>
      <c r="BJ2149" s="3">
        <v>0.2</v>
      </c>
      <c r="BK2149" s="3">
        <v>1</v>
      </c>
      <c r="BL2149" s="3">
        <v>46.08</v>
      </c>
      <c r="BM2149" s="3">
        <v>6.91</v>
      </c>
      <c r="BN2149" s="3">
        <v>52.99</v>
      </c>
      <c r="BO2149" s="3">
        <v>52.99</v>
      </c>
      <c r="BQ2149" s="3" t="s">
        <v>83</v>
      </c>
      <c r="BR2149" s="3" t="s">
        <v>84</v>
      </c>
      <c r="BS2149" s="4">
        <v>44587</v>
      </c>
      <c r="BT2149" s="5">
        <v>0.31458333333333333</v>
      </c>
      <c r="BU2149" s="3" t="s">
        <v>2245</v>
      </c>
      <c r="BV2149" s="3" t="s">
        <v>105</v>
      </c>
      <c r="BY2149" s="3">
        <v>1200</v>
      </c>
      <c r="BZ2149" s="3" t="s">
        <v>165</v>
      </c>
      <c r="CA2149" s="3" t="s">
        <v>1684</v>
      </c>
      <c r="CC2149" s="3" t="s">
        <v>511</v>
      </c>
      <c r="CD2149" s="3">
        <v>1540</v>
      </c>
      <c r="CE2149" s="3" t="s">
        <v>86</v>
      </c>
      <c r="CF2149" s="4">
        <v>44588</v>
      </c>
      <c r="CI2149" s="3">
        <v>1</v>
      </c>
      <c r="CJ2149" s="3">
        <v>1</v>
      </c>
      <c r="CK2149" s="3">
        <v>22</v>
      </c>
      <c r="CL2149" s="3" t="s">
        <v>87</v>
      </c>
    </row>
    <row r="2150" spans="1:90" x14ac:dyDescent="0.2">
      <c r="A2150" s="3" t="s">
        <v>72</v>
      </c>
      <c r="B2150" s="3" t="s">
        <v>73</v>
      </c>
      <c r="C2150" s="3" t="s">
        <v>74</v>
      </c>
      <c r="E2150" s="3" t="str">
        <f>"FES1162837494"</f>
        <v>FES1162837494</v>
      </c>
      <c r="F2150" s="4">
        <v>44586</v>
      </c>
      <c r="G2150" s="3">
        <v>202207</v>
      </c>
      <c r="H2150" s="3" t="s">
        <v>75</v>
      </c>
      <c r="I2150" s="3" t="s">
        <v>76</v>
      </c>
      <c r="J2150" s="3" t="s">
        <v>77</v>
      </c>
      <c r="K2150" s="3" t="s">
        <v>78</v>
      </c>
      <c r="L2150" s="3" t="s">
        <v>90</v>
      </c>
      <c r="M2150" s="3" t="s">
        <v>91</v>
      </c>
      <c r="N2150" s="3" t="s">
        <v>2116</v>
      </c>
      <c r="O2150" s="3" t="s">
        <v>82</v>
      </c>
      <c r="P2150" s="3" t="str">
        <f>"2170809792                    "</f>
        <v xml:space="preserve">2170809792                    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15.46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0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0</v>
      </c>
      <c r="AX2150" s="3">
        <v>0</v>
      </c>
      <c r="AY2150" s="3">
        <v>0</v>
      </c>
      <c r="AZ2150" s="3">
        <v>0</v>
      </c>
      <c r="BA2150" s="3">
        <v>0</v>
      </c>
      <c r="BB2150" s="3">
        <v>0</v>
      </c>
      <c r="BC2150" s="3">
        <v>0</v>
      </c>
      <c r="BD2150" s="3">
        <v>0</v>
      </c>
      <c r="BE2150" s="3">
        <v>0</v>
      </c>
      <c r="BF2150" s="3">
        <v>0</v>
      </c>
      <c r="BG2150" s="3">
        <v>0</v>
      </c>
      <c r="BH2150" s="3">
        <v>1</v>
      </c>
      <c r="BI2150" s="3">
        <v>1</v>
      </c>
      <c r="BJ2150" s="3">
        <v>0.2</v>
      </c>
      <c r="BK2150" s="3">
        <v>1</v>
      </c>
      <c r="BL2150" s="3">
        <v>59</v>
      </c>
      <c r="BM2150" s="3">
        <v>8.85</v>
      </c>
      <c r="BN2150" s="3">
        <v>67.849999999999994</v>
      </c>
      <c r="BO2150" s="3">
        <v>67.849999999999994</v>
      </c>
      <c r="BQ2150" s="3" t="s">
        <v>2117</v>
      </c>
      <c r="BR2150" s="3" t="s">
        <v>84</v>
      </c>
      <c r="BS2150" s="4">
        <v>44587</v>
      </c>
      <c r="BT2150" s="5">
        <v>0.36180555555555555</v>
      </c>
      <c r="BU2150" s="3" t="s">
        <v>925</v>
      </c>
      <c r="BV2150" s="3" t="s">
        <v>105</v>
      </c>
      <c r="BY2150" s="3">
        <v>1200</v>
      </c>
      <c r="BZ2150" s="3" t="s">
        <v>165</v>
      </c>
      <c r="CA2150" s="3" t="s">
        <v>289</v>
      </c>
      <c r="CC2150" s="3" t="s">
        <v>91</v>
      </c>
      <c r="CD2150" s="3">
        <v>7405</v>
      </c>
      <c r="CE2150" s="3" t="s">
        <v>93</v>
      </c>
      <c r="CF2150" s="4">
        <v>44588</v>
      </c>
      <c r="CI2150" s="3">
        <v>1</v>
      </c>
      <c r="CJ2150" s="3">
        <v>1</v>
      </c>
      <c r="CK2150" s="3">
        <v>21</v>
      </c>
      <c r="CL2150" s="3" t="s">
        <v>87</v>
      </c>
    </row>
    <row r="2151" spans="1:90" x14ac:dyDescent="0.2">
      <c r="A2151" s="3" t="s">
        <v>72</v>
      </c>
      <c r="B2151" s="3" t="s">
        <v>73</v>
      </c>
      <c r="C2151" s="3" t="s">
        <v>74</v>
      </c>
      <c r="E2151" s="3" t="str">
        <f>"FES1162846745"</f>
        <v>FES1162846745</v>
      </c>
      <c r="F2151" s="4">
        <v>44586</v>
      </c>
      <c r="G2151" s="3">
        <v>202207</v>
      </c>
      <c r="H2151" s="3" t="s">
        <v>75</v>
      </c>
      <c r="I2151" s="3" t="s">
        <v>76</v>
      </c>
      <c r="J2151" s="3" t="s">
        <v>77</v>
      </c>
      <c r="K2151" s="3" t="s">
        <v>78</v>
      </c>
      <c r="L2151" s="3" t="s">
        <v>75</v>
      </c>
      <c r="M2151" s="3" t="s">
        <v>76</v>
      </c>
      <c r="N2151" s="3" t="s">
        <v>147</v>
      </c>
      <c r="O2151" s="3" t="s">
        <v>82</v>
      </c>
      <c r="P2151" s="3" t="str">
        <f>"2170815967                    "</f>
        <v xml:space="preserve">2170815967                    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12.07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Q2151" s="3">
        <v>0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3">
        <v>0</v>
      </c>
      <c r="AY2151" s="3">
        <v>0</v>
      </c>
      <c r="AZ2151" s="3">
        <v>0</v>
      </c>
      <c r="BA2151" s="3">
        <v>0</v>
      </c>
      <c r="BB2151" s="3">
        <v>0</v>
      </c>
      <c r="BC2151" s="3">
        <v>0</v>
      </c>
      <c r="BD2151" s="3">
        <v>0</v>
      </c>
      <c r="BE2151" s="3">
        <v>0</v>
      </c>
      <c r="BF2151" s="3">
        <v>0</v>
      </c>
      <c r="BG2151" s="3">
        <v>0</v>
      </c>
      <c r="BH2151" s="3">
        <v>1</v>
      </c>
      <c r="BI2151" s="3">
        <v>1</v>
      </c>
      <c r="BJ2151" s="3">
        <v>0.2</v>
      </c>
      <c r="BK2151" s="3">
        <v>1</v>
      </c>
      <c r="BL2151" s="3">
        <v>46.08</v>
      </c>
      <c r="BM2151" s="3">
        <v>6.91</v>
      </c>
      <c r="BN2151" s="3">
        <v>52.99</v>
      </c>
      <c r="BO2151" s="3">
        <v>52.99</v>
      </c>
      <c r="BQ2151" s="3" t="s">
        <v>89</v>
      </c>
      <c r="BR2151" s="3" t="s">
        <v>84</v>
      </c>
      <c r="BS2151" s="4">
        <v>44587</v>
      </c>
      <c r="BT2151" s="5">
        <v>0.4152777777777778</v>
      </c>
      <c r="BU2151" s="3" t="s">
        <v>476</v>
      </c>
      <c r="BV2151" s="3" t="s">
        <v>105</v>
      </c>
      <c r="BY2151" s="3">
        <v>1200</v>
      </c>
      <c r="BZ2151" s="3" t="s">
        <v>165</v>
      </c>
      <c r="CA2151" s="3" t="s">
        <v>477</v>
      </c>
      <c r="CC2151" s="3" t="s">
        <v>76</v>
      </c>
      <c r="CD2151" s="3">
        <v>1645</v>
      </c>
      <c r="CE2151" s="3" t="s">
        <v>93</v>
      </c>
      <c r="CF2151" s="4">
        <v>44588</v>
      </c>
      <c r="CI2151" s="3">
        <v>1</v>
      </c>
      <c r="CJ2151" s="3">
        <v>1</v>
      </c>
      <c r="CK2151" s="3">
        <v>22</v>
      </c>
      <c r="CL2151" s="3" t="s">
        <v>87</v>
      </c>
    </row>
    <row r="2152" spans="1:90" x14ac:dyDescent="0.2">
      <c r="A2152" s="3" t="s">
        <v>72</v>
      </c>
      <c r="B2152" s="3" t="s">
        <v>73</v>
      </c>
      <c r="C2152" s="3" t="s">
        <v>74</v>
      </c>
      <c r="E2152" s="3" t="str">
        <f>"FES1162846807"</f>
        <v>FES1162846807</v>
      </c>
      <c r="F2152" s="4">
        <v>44587</v>
      </c>
      <c r="G2152" s="3">
        <v>202207</v>
      </c>
      <c r="H2152" s="3" t="s">
        <v>75</v>
      </c>
      <c r="I2152" s="3" t="s">
        <v>76</v>
      </c>
      <c r="J2152" s="3" t="s">
        <v>77</v>
      </c>
      <c r="K2152" s="3" t="s">
        <v>78</v>
      </c>
      <c r="L2152" s="3" t="s">
        <v>138</v>
      </c>
      <c r="M2152" s="3" t="s">
        <v>139</v>
      </c>
      <c r="N2152" s="3" t="s">
        <v>304</v>
      </c>
      <c r="O2152" s="3" t="s">
        <v>82</v>
      </c>
      <c r="P2152" s="3" t="str">
        <f>"2170816024                    "</f>
        <v xml:space="preserve">2170816024                    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15.46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0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3">
        <v>0</v>
      </c>
      <c r="AY2152" s="3">
        <v>0</v>
      </c>
      <c r="AZ2152" s="3">
        <v>0</v>
      </c>
      <c r="BA2152" s="3">
        <v>0</v>
      </c>
      <c r="BB2152" s="3">
        <v>0</v>
      </c>
      <c r="BC2152" s="3">
        <v>0</v>
      </c>
      <c r="BD2152" s="3">
        <v>0</v>
      </c>
      <c r="BE2152" s="3">
        <v>0</v>
      </c>
      <c r="BF2152" s="3">
        <v>0</v>
      </c>
      <c r="BG2152" s="3">
        <v>0</v>
      </c>
      <c r="BH2152" s="3">
        <v>1</v>
      </c>
      <c r="BI2152" s="3">
        <v>1</v>
      </c>
      <c r="BJ2152" s="3">
        <v>0.2</v>
      </c>
      <c r="BK2152" s="3">
        <v>1</v>
      </c>
      <c r="BL2152" s="3">
        <v>59</v>
      </c>
      <c r="BM2152" s="3">
        <v>8.85</v>
      </c>
      <c r="BN2152" s="3">
        <v>67.849999999999994</v>
      </c>
      <c r="BO2152" s="3">
        <v>67.849999999999994</v>
      </c>
      <c r="BR2152" s="3" t="s">
        <v>84</v>
      </c>
      <c r="BS2152" s="4">
        <v>44588</v>
      </c>
      <c r="BT2152" s="5">
        <v>0.37708333333333338</v>
      </c>
      <c r="BU2152" s="3" t="s">
        <v>2246</v>
      </c>
      <c r="BV2152" s="3" t="s">
        <v>105</v>
      </c>
      <c r="BY2152" s="3">
        <v>1200</v>
      </c>
      <c r="BZ2152" s="3" t="s">
        <v>165</v>
      </c>
      <c r="CA2152" s="3" t="s">
        <v>240</v>
      </c>
      <c r="CC2152" s="3" t="s">
        <v>139</v>
      </c>
      <c r="CD2152" s="3">
        <v>3610</v>
      </c>
      <c r="CE2152" s="3" t="s">
        <v>1513</v>
      </c>
      <c r="CF2152" s="4">
        <v>44589</v>
      </c>
      <c r="CI2152" s="3">
        <v>1</v>
      </c>
      <c r="CJ2152" s="3">
        <v>1</v>
      </c>
      <c r="CK2152" s="3">
        <v>21</v>
      </c>
      <c r="CL2152" s="3" t="s">
        <v>87</v>
      </c>
    </row>
    <row r="2153" spans="1:90" x14ac:dyDescent="0.2">
      <c r="A2153" s="3" t="s">
        <v>72</v>
      </c>
      <c r="B2153" s="3" t="s">
        <v>73</v>
      </c>
      <c r="C2153" s="3" t="s">
        <v>74</v>
      </c>
      <c r="E2153" s="3" t="str">
        <f>"FES1162846725"</f>
        <v>FES1162846725</v>
      </c>
      <c r="F2153" s="4">
        <v>44586</v>
      </c>
      <c r="G2153" s="3">
        <v>202207</v>
      </c>
      <c r="H2153" s="3" t="s">
        <v>75</v>
      </c>
      <c r="I2153" s="3" t="s">
        <v>76</v>
      </c>
      <c r="J2153" s="3" t="s">
        <v>77</v>
      </c>
      <c r="K2153" s="3" t="s">
        <v>78</v>
      </c>
      <c r="L2153" s="3" t="s">
        <v>94</v>
      </c>
      <c r="M2153" s="3" t="s">
        <v>95</v>
      </c>
      <c r="N2153" s="3" t="s">
        <v>2247</v>
      </c>
      <c r="O2153" s="3" t="s">
        <v>82</v>
      </c>
      <c r="P2153" s="3" t="str">
        <f>"2170811074                    "</f>
        <v xml:space="preserve">2170811074                    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15.46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3">
        <v>0</v>
      </c>
      <c r="AY2153" s="3">
        <v>0</v>
      </c>
      <c r="AZ2153" s="3">
        <v>0</v>
      </c>
      <c r="BA2153" s="3">
        <v>0</v>
      </c>
      <c r="BB2153" s="3">
        <v>0</v>
      </c>
      <c r="BC2153" s="3">
        <v>0</v>
      </c>
      <c r="BD2153" s="3">
        <v>0</v>
      </c>
      <c r="BE2153" s="3">
        <v>0</v>
      </c>
      <c r="BF2153" s="3">
        <v>0</v>
      </c>
      <c r="BG2153" s="3">
        <v>0</v>
      </c>
      <c r="BH2153" s="3">
        <v>1</v>
      </c>
      <c r="BI2153" s="3">
        <v>1</v>
      </c>
      <c r="BJ2153" s="3">
        <v>1.8</v>
      </c>
      <c r="BK2153" s="3">
        <v>2</v>
      </c>
      <c r="BL2153" s="3">
        <v>59</v>
      </c>
      <c r="BM2153" s="3">
        <v>8.85</v>
      </c>
      <c r="BN2153" s="3">
        <v>67.849999999999994</v>
      </c>
      <c r="BO2153" s="3">
        <v>67.849999999999994</v>
      </c>
      <c r="BQ2153" s="3" t="s">
        <v>89</v>
      </c>
      <c r="BR2153" s="3" t="s">
        <v>84</v>
      </c>
      <c r="BS2153" s="3" t="s">
        <v>85</v>
      </c>
      <c r="BY2153" s="3">
        <v>8775</v>
      </c>
      <c r="BZ2153" s="3" t="s">
        <v>165</v>
      </c>
      <c r="CC2153" s="3" t="s">
        <v>95</v>
      </c>
      <c r="CD2153" s="3">
        <v>3201</v>
      </c>
      <c r="CE2153" s="3" t="s">
        <v>86</v>
      </c>
      <c r="CI2153" s="3">
        <v>1</v>
      </c>
      <c r="CJ2153" s="3" t="s">
        <v>85</v>
      </c>
      <c r="CK2153" s="3">
        <v>21</v>
      </c>
      <c r="CL2153" s="3" t="s">
        <v>87</v>
      </c>
    </row>
    <row r="2154" spans="1:90" x14ac:dyDescent="0.2">
      <c r="A2154" s="3" t="s">
        <v>72</v>
      </c>
      <c r="B2154" s="3" t="s">
        <v>73</v>
      </c>
      <c r="C2154" s="3" t="s">
        <v>74</v>
      </c>
      <c r="E2154" s="3" t="str">
        <f>"FES1162846952"</f>
        <v>FES1162846952</v>
      </c>
      <c r="F2154" s="4">
        <v>44586</v>
      </c>
      <c r="G2154" s="3">
        <v>202207</v>
      </c>
      <c r="H2154" s="3" t="s">
        <v>75</v>
      </c>
      <c r="I2154" s="3" t="s">
        <v>76</v>
      </c>
      <c r="J2154" s="3" t="s">
        <v>77</v>
      </c>
      <c r="K2154" s="3" t="s">
        <v>78</v>
      </c>
      <c r="L2154" s="3" t="s">
        <v>94</v>
      </c>
      <c r="M2154" s="3" t="s">
        <v>95</v>
      </c>
      <c r="N2154" s="3" t="s">
        <v>96</v>
      </c>
      <c r="O2154" s="3" t="s">
        <v>82</v>
      </c>
      <c r="P2154" s="3" t="str">
        <f>"2170818224                    "</f>
        <v xml:space="preserve">2170818224                    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15.46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3">
        <v>0</v>
      </c>
      <c r="AY2154" s="3">
        <v>0</v>
      </c>
      <c r="AZ2154" s="3">
        <v>0</v>
      </c>
      <c r="BA2154" s="3">
        <v>0</v>
      </c>
      <c r="BB2154" s="3">
        <v>0</v>
      </c>
      <c r="BC2154" s="3">
        <v>0</v>
      </c>
      <c r="BD2154" s="3">
        <v>0</v>
      </c>
      <c r="BE2154" s="3">
        <v>0</v>
      </c>
      <c r="BF2154" s="3">
        <v>0</v>
      </c>
      <c r="BG2154" s="3">
        <v>0</v>
      </c>
      <c r="BH2154" s="3">
        <v>1</v>
      </c>
      <c r="BI2154" s="3">
        <v>1</v>
      </c>
      <c r="BJ2154" s="3">
        <v>0.2</v>
      </c>
      <c r="BK2154" s="3">
        <v>1</v>
      </c>
      <c r="BL2154" s="3">
        <v>59</v>
      </c>
      <c r="BM2154" s="3">
        <v>8.85</v>
      </c>
      <c r="BN2154" s="3">
        <v>67.849999999999994</v>
      </c>
      <c r="BO2154" s="3">
        <v>67.849999999999994</v>
      </c>
      <c r="BQ2154" s="3" t="s">
        <v>89</v>
      </c>
      <c r="BR2154" s="3" t="s">
        <v>84</v>
      </c>
      <c r="BS2154" s="4">
        <v>44587</v>
      </c>
      <c r="BT2154" s="5">
        <v>0.36944444444444446</v>
      </c>
      <c r="BU2154" s="3" t="s">
        <v>2248</v>
      </c>
      <c r="BV2154" s="3" t="s">
        <v>105</v>
      </c>
      <c r="BY2154" s="3">
        <v>1200</v>
      </c>
      <c r="BZ2154" s="3" t="s">
        <v>165</v>
      </c>
      <c r="CC2154" s="3" t="s">
        <v>95</v>
      </c>
      <c r="CD2154" s="3">
        <v>3201</v>
      </c>
      <c r="CE2154" s="3" t="s">
        <v>93</v>
      </c>
      <c r="CF2154" s="4">
        <v>44589</v>
      </c>
      <c r="CI2154" s="3">
        <v>1</v>
      </c>
      <c r="CJ2154" s="3">
        <v>1</v>
      </c>
      <c r="CK2154" s="3">
        <v>21</v>
      </c>
      <c r="CL2154" s="3" t="s">
        <v>87</v>
      </c>
    </row>
    <row r="2155" spans="1:90" x14ac:dyDescent="0.2">
      <c r="A2155" s="3" t="s">
        <v>72</v>
      </c>
      <c r="B2155" s="3" t="s">
        <v>73</v>
      </c>
      <c r="C2155" s="3" t="s">
        <v>74</v>
      </c>
      <c r="E2155" s="3" t="str">
        <f>"FES1162846702"</f>
        <v>FES1162846702</v>
      </c>
      <c r="F2155" s="4">
        <v>44586</v>
      </c>
      <c r="G2155" s="3">
        <v>202207</v>
      </c>
      <c r="H2155" s="3" t="s">
        <v>75</v>
      </c>
      <c r="I2155" s="3" t="s">
        <v>76</v>
      </c>
      <c r="J2155" s="3" t="s">
        <v>77</v>
      </c>
      <c r="K2155" s="3" t="s">
        <v>78</v>
      </c>
      <c r="L2155" s="3" t="s">
        <v>75</v>
      </c>
      <c r="M2155" s="3" t="s">
        <v>76</v>
      </c>
      <c r="N2155" s="3" t="s">
        <v>147</v>
      </c>
      <c r="O2155" s="3" t="s">
        <v>1237</v>
      </c>
      <c r="P2155" s="3" t="str">
        <f>"2170818079                    "</f>
        <v xml:space="preserve">2170818079                    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12.08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0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3">
        <v>0</v>
      </c>
      <c r="AY2155" s="3">
        <v>0</v>
      </c>
      <c r="AZ2155" s="3">
        <v>0</v>
      </c>
      <c r="BA2155" s="3">
        <v>0</v>
      </c>
      <c r="BB2155" s="3">
        <v>0</v>
      </c>
      <c r="BC2155" s="3">
        <v>0</v>
      </c>
      <c r="BD2155" s="3">
        <v>0</v>
      </c>
      <c r="BE2155" s="3">
        <v>0</v>
      </c>
      <c r="BF2155" s="3">
        <v>0</v>
      </c>
      <c r="BG2155" s="3">
        <v>0</v>
      </c>
      <c r="BH2155" s="3">
        <v>1</v>
      </c>
      <c r="BI2155" s="3">
        <v>3</v>
      </c>
      <c r="BJ2155" s="3">
        <v>0.9</v>
      </c>
      <c r="BK2155" s="3">
        <v>3</v>
      </c>
      <c r="BL2155" s="3">
        <v>46.1</v>
      </c>
      <c r="BM2155" s="3">
        <v>6.92</v>
      </c>
      <c r="BN2155" s="3">
        <v>53.02</v>
      </c>
      <c r="BO2155" s="3">
        <v>53.02</v>
      </c>
      <c r="BQ2155" s="3" t="s">
        <v>89</v>
      </c>
      <c r="BR2155" s="3" t="s">
        <v>84</v>
      </c>
      <c r="BS2155" s="4">
        <v>44587</v>
      </c>
      <c r="BT2155" s="5">
        <v>0.4152777777777778</v>
      </c>
      <c r="BU2155" s="3" t="s">
        <v>476</v>
      </c>
      <c r="BV2155" s="3" t="s">
        <v>105</v>
      </c>
      <c r="BY2155" s="3">
        <v>4275</v>
      </c>
      <c r="BZ2155" s="3" t="s">
        <v>327</v>
      </c>
      <c r="CA2155" s="3" t="s">
        <v>477</v>
      </c>
      <c r="CC2155" s="3" t="s">
        <v>76</v>
      </c>
      <c r="CD2155" s="3">
        <v>1645</v>
      </c>
      <c r="CE2155" s="3" t="s">
        <v>86</v>
      </c>
      <c r="CF2155" s="4">
        <v>44588</v>
      </c>
      <c r="CI2155" s="3">
        <v>1</v>
      </c>
      <c r="CJ2155" s="3">
        <v>1</v>
      </c>
      <c r="CK2155" s="3">
        <v>32</v>
      </c>
      <c r="CL2155" s="3" t="s">
        <v>87</v>
      </c>
    </row>
    <row r="2156" spans="1:90" x14ac:dyDescent="0.2">
      <c r="A2156" s="3" t="s">
        <v>72</v>
      </c>
      <c r="B2156" s="3" t="s">
        <v>73</v>
      </c>
      <c r="C2156" s="3" t="s">
        <v>74</v>
      </c>
      <c r="E2156" s="3" t="str">
        <f>"FES1162846592"</f>
        <v>FES1162846592</v>
      </c>
      <c r="F2156" s="4">
        <v>44586</v>
      </c>
      <c r="G2156" s="3">
        <v>202207</v>
      </c>
      <c r="H2156" s="3" t="s">
        <v>75</v>
      </c>
      <c r="I2156" s="3" t="s">
        <v>76</v>
      </c>
      <c r="J2156" s="3" t="s">
        <v>77</v>
      </c>
      <c r="K2156" s="3" t="s">
        <v>78</v>
      </c>
      <c r="L2156" s="3" t="s">
        <v>97</v>
      </c>
      <c r="M2156" s="3" t="s">
        <v>98</v>
      </c>
      <c r="N2156" s="3" t="s">
        <v>2249</v>
      </c>
      <c r="O2156" s="3" t="s">
        <v>82</v>
      </c>
      <c r="P2156" s="3" t="str">
        <f>"2170817994                    "</f>
        <v xml:space="preserve">2170817994                    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12.07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0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3">
        <v>0</v>
      </c>
      <c r="AY2156" s="3">
        <v>0</v>
      </c>
      <c r="AZ2156" s="3">
        <v>0</v>
      </c>
      <c r="BA2156" s="3">
        <v>0</v>
      </c>
      <c r="BB2156" s="3">
        <v>0</v>
      </c>
      <c r="BC2156" s="3">
        <v>0</v>
      </c>
      <c r="BD2156" s="3">
        <v>0</v>
      </c>
      <c r="BE2156" s="3">
        <v>0</v>
      </c>
      <c r="BF2156" s="3">
        <v>0</v>
      </c>
      <c r="BG2156" s="3">
        <v>0</v>
      </c>
      <c r="BH2156" s="3">
        <v>1</v>
      </c>
      <c r="BI2156" s="3">
        <v>1</v>
      </c>
      <c r="BJ2156" s="3">
        <v>0.2</v>
      </c>
      <c r="BK2156" s="3">
        <v>1</v>
      </c>
      <c r="BL2156" s="3">
        <v>46.08</v>
      </c>
      <c r="BM2156" s="3">
        <v>6.91</v>
      </c>
      <c r="BN2156" s="3">
        <v>52.99</v>
      </c>
      <c r="BO2156" s="3">
        <v>52.99</v>
      </c>
      <c r="BQ2156" s="3" t="s">
        <v>83</v>
      </c>
      <c r="BR2156" s="3" t="s">
        <v>84</v>
      </c>
      <c r="BS2156" s="4">
        <v>44587</v>
      </c>
      <c r="BT2156" s="5">
        <v>0.37708333333333338</v>
      </c>
      <c r="BU2156" s="3" t="s">
        <v>2250</v>
      </c>
      <c r="BV2156" s="3" t="s">
        <v>105</v>
      </c>
      <c r="BY2156" s="3">
        <v>1200</v>
      </c>
      <c r="BZ2156" s="3" t="s">
        <v>165</v>
      </c>
      <c r="CA2156" s="3" t="s">
        <v>1057</v>
      </c>
      <c r="CC2156" s="3" t="s">
        <v>98</v>
      </c>
      <c r="CD2156" s="3">
        <v>2090</v>
      </c>
      <c r="CE2156" s="3" t="s">
        <v>86</v>
      </c>
      <c r="CF2156" s="4">
        <v>44588</v>
      </c>
      <c r="CI2156" s="3">
        <v>1</v>
      </c>
      <c r="CJ2156" s="3">
        <v>1</v>
      </c>
      <c r="CK2156" s="3">
        <v>22</v>
      </c>
      <c r="CL2156" s="3" t="s">
        <v>87</v>
      </c>
    </row>
    <row r="2157" spans="1:90" x14ac:dyDescent="0.2">
      <c r="A2157" s="3" t="s">
        <v>72</v>
      </c>
      <c r="B2157" s="3" t="s">
        <v>73</v>
      </c>
      <c r="C2157" s="3" t="s">
        <v>74</v>
      </c>
      <c r="E2157" s="3" t="str">
        <f>"FES1162846855"</f>
        <v>FES1162846855</v>
      </c>
      <c r="F2157" s="4">
        <v>44586</v>
      </c>
      <c r="G2157" s="3">
        <v>202207</v>
      </c>
      <c r="H2157" s="3" t="s">
        <v>75</v>
      </c>
      <c r="I2157" s="3" t="s">
        <v>76</v>
      </c>
      <c r="J2157" s="3" t="s">
        <v>77</v>
      </c>
      <c r="K2157" s="3" t="s">
        <v>78</v>
      </c>
      <c r="L2157" s="3" t="s">
        <v>120</v>
      </c>
      <c r="M2157" s="3" t="s">
        <v>121</v>
      </c>
      <c r="N2157" s="3" t="s">
        <v>122</v>
      </c>
      <c r="O2157" s="3" t="s">
        <v>82</v>
      </c>
      <c r="P2157" s="3" t="str">
        <f>"2170818048                    "</f>
        <v xml:space="preserve">2170818048                    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15.46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0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3">
        <v>0</v>
      </c>
      <c r="AY2157" s="3">
        <v>0</v>
      </c>
      <c r="AZ2157" s="3">
        <v>0</v>
      </c>
      <c r="BA2157" s="3">
        <v>0</v>
      </c>
      <c r="BB2157" s="3">
        <v>0</v>
      </c>
      <c r="BC2157" s="3">
        <v>0</v>
      </c>
      <c r="BD2157" s="3">
        <v>0</v>
      </c>
      <c r="BE2157" s="3">
        <v>0</v>
      </c>
      <c r="BF2157" s="3">
        <v>0</v>
      </c>
      <c r="BG2157" s="3">
        <v>0</v>
      </c>
      <c r="BH2157" s="3">
        <v>1</v>
      </c>
      <c r="BI2157" s="3">
        <v>1</v>
      </c>
      <c r="BJ2157" s="3">
        <v>0.2</v>
      </c>
      <c r="BK2157" s="3">
        <v>1</v>
      </c>
      <c r="BL2157" s="3">
        <v>59</v>
      </c>
      <c r="BM2157" s="3">
        <v>8.85</v>
      </c>
      <c r="BN2157" s="3">
        <v>67.849999999999994</v>
      </c>
      <c r="BO2157" s="3">
        <v>67.849999999999994</v>
      </c>
      <c r="BQ2157" s="3" t="s">
        <v>89</v>
      </c>
      <c r="BR2157" s="3" t="s">
        <v>84</v>
      </c>
      <c r="BS2157" s="4">
        <v>44587</v>
      </c>
      <c r="BT2157" s="5">
        <v>0.69374999999999998</v>
      </c>
      <c r="BU2157" s="3" t="s">
        <v>2251</v>
      </c>
      <c r="BV2157" s="3" t="s">
        <v>87</v>
      </c>
      <c r="BW2157" s="3" t="s">
        <v>457</v>
      </c>
      <c r="BX2157" s="3" t="s">
        <v>458</v>
      </c>
      <c r="BY2157" s="3">
        <v>1200</v>
      </c>
      <c r="BZ2157" s="3" t="s">
        <v>165</v>
      </c>
      <c r="CA2157" s="3" t="s">
        <v>553</v>
      </c>
      <c r="CC2157" s="3" t="s">
        <v>121</v>
      </c>
      <c r="CD2157" s="3">
        <v>6230</v>
      </c>
      <c r="CE2157" s="3" t="s">
        <v>93</v>
      </c>
      <c r="CF2157" s="4">
        <v>44587</v>
      </c>
      <c r="CI2157" s="3">
        <v>1</v>
      </c>
      <c r="CJ2157" s="3">
        <v>1</v>
      </c>
      <c r="CK2157" s="3">
        <v>21</v>
      </c>
      <c r="CL2157" s="3" t="s">
        <v>87</v>
      </c>
    </row>
    <row r="2158" spans="1:90" x14ac:dyDescent="0.2">
      <c r="A2158" s="3" t="s">
        <v>72</v>
      </c>
      <c r="B2158" s="3" t="s">
        <v>73</v>
      </c>
      <c r="C2158" s="3" t="s">
        <v>74</v>
      </c>
      <c r="E2158" s="3" t="str">
        <f>"FES1162846957"</f>
        <v>FES1162846957</v>
      </c>
      <c r="F2158" s="4">
        <v>44586</v>
      </c>
      <c r="G2158" s="3">
        <v>202207</v>
      </c>
      <c r="H2158" s="3" t="s">
        <v>75</v>
      </c>
      <c r="I2158" s="3" t="s">
        <v>76</v>
      </c>
      <c r="J2158" s="3" t="s">
        <v>77</v>
      </c>
      <c r="K2158" s="3" t="s">
        <v>78</v>
      </c>
      <c r="L2158" s="3" t="s">
        <v>171</v>
      </c>
      <c r="M2158" s="3" t="s">
        <v>172</v>
      </c>
      <c r="N2158" s="3" t="s">
        <v>539</v>
      </c>
      <c r="O2158" s="3" t="s">
        <v>82</v>
      </c>
      <c r="P2158" s="3" t="str">
        <f>"2170818248                    "</f>
        <v xml:space="preserve">2170818248                    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15.46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0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3">
        <v>0</v>
      </c>
      <c r="AY2158" s="3">
        <v>0</v>
      </c>
      <c r="AZ2158" s="3">
        <v>0</v>
      </c>
      <c r="BA2158" s="3">
        <v>0</v>
      </c>
      <c r="BB2158" s="3">
        <v>0</v>
      </c>
      <c r="BC2158" s="3">
        <v>0</v>
      </c>
      <c r="BD2158" s="3">
        <v>0</v>
      </c>
      <c r="BE2158" s="3">
        <v>0</v>
      </c>
      <c r="BF2158" s="3">
        <v>0</v>
      </c>
      <c r="BG2158" s="3">
        <v>0</v>
      </c>
      <c r="BH2158" s="3">
        <v>1</v>
      </c>
      <c r="BI2158" s="3">
        <v>1</v>
      </c>
      <c r="BJ2158" s="3">
        <v>0.2</v>
      </c>
      <c r="BK2158" s="3">
        <v>1</v>
      </c>
      <c r="BL2158" s="3">
        <v>59</v>
      </c>
      <c r="BM2158" s="3">
        <v>8.85</v>
      </c>
      <c r="BN2158" s="3">
        <v>67.849999999999994</v>
      </c>
      <c r="BO2158" s="3">
        <v>67.849999999999994</v>
      </c>
      <c r="BQ2158" s="3" t="s">
        <v>83</v>
      </c>
      <c r="BR2158" s="3" t="s">
        <v>84</v>
      </c>
      <c r="BS2158" s="4">
        <v>44587</v>
      </c>
      <c r="BT2158" s="5">
        <v>0.39583333333333331</v>
      </c>
      <c r="BU2158" s="3" t="s">
        <v>2252</v>
      </c>
      <c r="BV2158" s="3" t="s">
        <v>105</v>
      </c>
      <c r="BY2158" s="3">
        <v>1200</v>
      </c>
      <c r="BZ2158" s="3" t="s">
        <v>165</v>
      </c>
      <c r="CA2158" s="3" t="s">
        <v>1580</v>
      </c>
      <c r="CC2158" s="3" t="s">
        <v>172</v>
      </c>
      <c r="CD2158" s="3">
        <v>6012</v>
      </c>
      <c r="CE2158" s="3" t="s">
        <v>93</v>
      </c>
      <c r="CF2158" s="4">
        <v>44587</v>
      </c>
      <c r="CI2158" s="3">
        <v>1</v>
      </c>
      <c r="CJ2158" s="3">
        <v>1</v>
      </c>
      <c r="CK2158" s="3">
        <v>21</v>
      </c>
      <c r="CL2158" s="3" t="s">
        <v>87</v>
      </c>
    </row>
    <row r="2159" spans="1:90" x14ac:dyDescent="0.2">
      <c r="A2159" s="3" t="s">
        <v>72</v>
      </c>
      <c r="B2159" s="3" t="s">
        <v>73</v>
      </c>
      <c r="C2159" s="3" t="s">
        <v>74</v>
      </c>
      <c r="E2159" s="3" t="str">
        <f>"FES1162846728"</f>
        <v>FES1162846728</v>
      </c>
      <c r="F2159" s="4">
        <v>44586</v>
      </c>
      <c r="G2159" s="3">
        <v>202207</v>
      </c>
      <c r="H2159" s="3" t="s">
        <v>75</v>
      </c>
      <c r="I2159" s="3" t="s">
        <v>76</v>
      </c>
      <c r="J2159" s="3" t="s">
        <v>77</v>
      </c>
      <c r="K2159" s="3" t="s">
        <v>78</v>
      </c>
      <c r="L2159" s="3" t="s">
        <v>158</v>
      </c>
      <c r="M2159" s="3" t="s">
        <v>159</v>
      </c>
      <c r="N2159" s="3" t="s">
        <v>753</v>
      </c>
      <c r="O2159" s="3" t="s">
        <v>82</v>
      </c>
      <c r="P2159" s="3" t="str">
        <f>"2170813565                    "</f>
        <v xml:space="preserve">2170813565                    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12.07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0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0</v>
      </c>
      <c r="AX2159" s="3">
        <v>0</v>
      </c>
      <c r="AY2159" s="3">
        <v>0</v>
      </c>
      <c r="AZ2159" s="3">
        <v>0</v>
      </c>
      <c r="BA2159" s="3">
        <v>0</v>
      </c>
      <c r="BB2159" s="3">
        <v>0</v>
      </c>
      <c r="BC2159" s="3">
        <v>0</v>
      </c>
      <c r="BD2159" s="3">
        <v>0</v>
      </c>
      <c r="BE2159" s="3">
        <v>0</v>
      </c>
      <c r="BF2159" s="3">
        <v>0</v>
      </c>
      <c r="BG2159" s="3">
        <v>0</v>
      </c>
      <c r="BH2159" s="3">
        <v>1</v>
      </c>
      <c r="BI2159" s="3">
        <v>1</v>
      </c>
      <c r="BJ2159" s="3">
        <v>0.9</v>
      </c>
      <c r="BK2159" s="3">
        <v>1</v>
      </c>
      <c r="BL2159" s="3">
        <v>46.08</v>
      </c>
      <c r="BM2159" s="3">
        <v>6.91</v>
      </c>
      <c r="BN2159" s="3">
        <v>52.99</v>
      </c>
      <c r="BO2159" s="3">
        <v>52.99</v>
      </c>
      <c r="BR2159" s="3" t="s">
        <v>84</v>
      </c>
      <c r="BS2159" s="4">
        <v>44587</v>
      </c>
      <c r="BT2159" s="5">
        <v>0.3430555555555555</v>
      </c>
      <c r="BU2159" s="3" t="s">
        <v>2253</v>
      </c>
      <c r="BV2159" s="3" t="s">
        <v>105</v>
      </c>
      <c r="BY2159" s="3">
        <v>4275</v>
      </c>
      <c r="BZ2159" s="3" t="s">
        <v>165</v>
      </c>
      <c r="CA2159" s="3" t="s">
        <v>653</v>
      </c>
      <c r="CC2159" s="3" t="s">
        <v>159</v>
      </c>
      <c r="CD2159" s="3">
        <v>1459</v>
      </c>
      <c r="CE2159" s="3" t="s">
        <v>86</v>
      </c>
      <c r="CF2159" s="4">
        <v>44588</v>
      </c>
      <c r="CI2159" s="3">
        <v>1</v>
      </c>
      <c r="CJ2159" s="3">
        <v>1</v>
      </c>
      <c r="CK2159" s="3">
        <v>22</v>
      </c>
      <c r="CL2159" s="3" t="s">
        <v>87</v>
      </c>
    </row>
    <row r="2160" spans="1:90" x14ac:dyDescent="0.2">
      <c r="A2160" s="3" t="s">
        <v>72</v>
      </c>
      <c r="B2160" s="3" t="s">
        <v>73</v>
      </c>
      <c r="C2160" s="3" t="s">
        <v>74</v>
      </c>
      <c r="E2160" s="3" t="str">
        <f>"FES1162846605"</f>
        <v>FES1162846605</v>
      </c>
      <c r="F2160" s="4">
        <v>44586</v>
      </c>
      <c r="G2160" s="3">
        <v>202207</v>
      </c>
      <c r="H2160" s="3" t="s">
        <v>75</v>
      </c>
      <c r="I2160" s="3" t="s">
        <v>76</v>
      </c>
      <c r="J2160" s="3" t="s">
        <v>77</v>
      </c>
      <c r="K2160" s="3" t="s">
        <v>78</v>
      </c>
      <c r="L2160" s="3" t="s">
        <v>138</v>
      </c>
      <c r="M2160" s="3" t="s">
        <v>139</v>
      </c>
      <c r="N2160" s="3" t="s">
        <v>214</v>
      </c>
      <c r="O2160" s="3" t="s">
        <v>82</v>
      </c>
      <c r="P2160" s="3" t="str">
        <f>"2170818003                    "</f>
        <v xml:space="preserve">2170818003                    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15.46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0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3">
        <v>0</v>
      </c>
      <c r="AY2160" s="3">
        <v>0</v>
      </c>
      <c r="AZ2160" s="3">
        <v>0</v>
      </c>
      <c r="BA2160" s="3">
        <v>0</v>
      </c>
      <c r="BB2160" s="3">
        <v>0</v>
      </c>
      <c r="BC2160" s="3">
        <v>0</v>
      </c>
      <c r="BD2160" s="3">
        <v>0</v>
      </c>
      <c r="BE2160" s="3">
        <v>0</v>
      </c>
      <c r="BF2160" s="3">
        <v>0</v>
      </c>
      <c r="BG2160" s="3">
        <v>0</v>
      </c>
      <c r="BH2160" s="3">
        <v>1</v>
      </c>
      <c r="BI2160" s="3">
        <v>1</v>
      </c>
      <c r="BJ2160" s="3">
        <v>0.2</v>
      </c>
      <c r="BK2160" s="3">
        <v>1</v>
      </c>
      <c r="BL2160" s="3">
        <v>59</v>
      </c>
      <c r="BM2160" s="3">
        <v>8.85</v>
      </c>
      <c r="BN2160" s="3">
        <v>67.849999999999994</v>
      </c>
      <c r="BO2160" s="3">
        <v>67.849999999999994</v>
      </c>
      <c r="BQ2160" s="3" t="s">
        <v>126</v>
      </c>
      <c r="BR2160" s="3" t="s">
        <v>84</v>
      </c>
      <c r="BS2160" s="4">
        <v>44587</v>
      </c>
      <c r="BT2160" s="5">
        <v>0.45347222222222222</v>
      </c>
      <c r="BU2160" s="3" t="s">
        <v>770</v>
      </c>
      <c r="BV2160" s="3" t="s">
        <v>105</v>
      </c>
      <c r="BY2160" s="3">
        <v>1200</v>
      </c>
      <c r="BZ2160" s="3" t="s">
        <v>165</v>
      </c>
      <c r="CA2160" s="3" t="s">
        <v>303</v>
      </c>
      <c r="CC2160" s="3" t="s">
        <v>139</v>
      </c>
      <c r="CD2160" s="3">
        <v>3610</v>
      </c>
      <c r="CE2160" s="3" t="s">
        <v>93</v>
      </c>
      <c r="CF2160" s="4">
        <v>44588</v>
      </c>
      <c r="CI2160" s="3">
        <v>1</v>
      </c>
      <c r="CJ2160" s="3">
        <v>1</v>
      </c>
      <c r="CK2160" s="3">
        <v>21</v>
      </c>
      <c r="CL2160" s="3" t="s">
        <v>87</v>
      </c>
    </row>
    <row r="2161" spans="1:90" x14ac:dyDescent="0.2">
      <c r="A2161" s="3" t="s">
        <v>72</v>
      </c>
      <c r="B2161" s="3" t="s">
        <v>73</v>
      </c>
      <c r="C2161" s="3" t="s">
        <v>74</v>
      </c>
      <c r="E2161" s="3" t="str">
        <f>"FES1162846726"</f>
        <v>FES1162846726</v>
      </c>
      <c r="F2161" s="4">
        <v>44586</v>
      </c>
      <c r="G2161" s="3">
        <v>202207</v>
      </c>
      <c r="H2161" s="3" t="s">
        <v>75</v>
      </c>
      <c r="I2161" s="3" t="s">
        <v>76</v>
      </c>
      <c r="J2161" s="3" t="s">
        <v>77</v>
      </c>
      <c r="K2161" s="3" t="s">
        <v>78</v>
      </c>
      <c r="L2161" s="3" t="s">
        <v>90</v>
      </c>
      <c r="M2161" s="3" t="s">
        <v>91</v>
      </c>
      <c r="N2161" s="3" t="s">
        <v>600</v>
      </c>
      <c r="O2161" s="3" t="s">
        <v>82</v>
      </c>
      <c r="P2161" s="3" t="str">
        <f>"2170811750                    "</f>
        <v xml:space="preserve">2170811750                    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15.46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0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3">
        <v>0</v>
      </c>
      <c r="AY2161" s="3">
        <v>0</v>
      </c>
      <c r="AZ2161" s="3">
        <v>0</v>
      </c>
      <c r="BA2161" s="3">
        <v>0</v>
      </c>
      <c r="BB2161" s="3">
        <v>0</v>
      </c>
      <c r="BC2161" s="3">
        <v>0</v>
      </c>
      <c r="BD2161" s="3">
        <v>0</v>
      </c>
      <c r="BE2161" s="3">
        <v>0</v>
      </c>
      <c r="BF2161" s="3">
        <v>0</v>
      </c>
      <c r="BG2161" s="3">
        <v>0</v>
      </c>
      <c r="BH2161" s="3">
        <v>1</v>
      </c>
      <c r="BI2161" s="3">
        <v>1</v>
      </c>
      <c r="BJ2161" s="3">
        <v>2</v>
      </c>
      <c r="BK2161" s="3">
        <v>2</v>
      </c>
      <c r="BL2161" s="3">
        <v>59</v>
      </c>
      <c r="BM2161" s="3">
        <v>8.85</v>
      </c>
      <c r="BN2161" s="3">
        <v>67.849999999999994</v>
      </c>
      <c r="BO2161" s="3">
        <v>67.849999999999994</v>
      </c>
      <c r="BQ2161" s="3" t="s">
        <v>89</v>
      </c>
      <c r="BR2161" s="3" t="s">
        <v>84</v>
      </c>
      <c r="BS2161" s="4">
        <v>44587</v>
      </c>
      <c r="BT2161" s="5">
        <v>0.36874999999999997</v>
      </c>
      <c r="BU2161" s="3" t="s">
        <v>1191</v>
      </c>
      <c r="BV2161" s="3" t="s">
        <v>105</v>
      </c>
      <c r="BY2161" s="3">
        <v>9918</v>
      </c>
      <c r="BZ2161" s="3" t="s">
        <v>165</v>
      </c>
      <c r="CA2161" s="3" t="s">
        <v>603</v>
      </c>
      <c r="CC2161" s="3" t="s">
        <v>91</v>
      </c>
      <c r="CD2161" s="3">
        <v>7945</v>
      </c>
      <c r="CE2161" s="3" t="s">
        <v>86</v>
      </c>
      <c r="CF2161" s="4">
        <v>44588</v>
      </c>
      <c r="CI2161" s="3">
        <v>1</v>
      </c>
      <c r="CJ2161" s="3">
        <v>1</v>
      </c>
      <c r="CK2161" s="3">
        <v>21</v>
      </c>
      <c r="CL2161" s="3" t="s">
        <v>87</v>
      </c>
    </row>
    <row r="2162" spans="1:90" x14ac:dyDescent="0.2">
      <c r="A2162" s="3" t="s">
        <v>72</v>
      </c>
      <c r="B2162" s="3" t="s">
        <v>73</v>
      </c>
      <c r="C2162" s="3" t="s">
        <v>74</v>
      </c>
      <c r="E2162" s="3" t="str">
        <f>"FES1162846939"</f>
        <v>FES1162846939</v>
      </c>
      <c r="F2162" s="4">
        <v>44586</v>
      </c>
      <c r="G2162" s="3">
        <v>202207</v>
      </c>
      <c r="H2162" s="3" t="s">
        <v>75</v>
      </c>
      <c r="I2162" s="3" t="s">
        <v>76</v>
      </c>
      <c r="J2162" s="3" t="s">
        <v>77</v>
      </c>
      <c r="K2162" s="3" t="s">
        <v>78</v>
      </c>
      <c r="L2162" s="3" t="s">
        <v>90</v>
      </c>
      <c r="M2162" s="3" t="s">
        <v>91</v>
      </c>
      <c r="N2162" s="3" t="s">
        <v>210</v>
      </c>
      <c r="O2162" s="3" t="s">
        <v>82</v>
      </c>
      <c r="P2162" s="3" t="str">
        <f>"2170818234                    "</f>
        <v xml:space="preserve">2170818234                    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15.46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Q2162" s="3">
        <v>0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3">
        <v>0</v>
      </c>
      <c r="AY2162" s="3">
        <v>0</v>
      </c>
      <c r="AZ2162" s="3">
        <v>0</v>
      </c>
      <c r="BA2162" s="3">
        <v>0</v>
      </c>
      <c r="BB2162" s="3">
        <v>0</v>
      </c>
      <c r="BC2162" s="3">
        <v>0</v>
      </c>
      <c r="BD2162" s="3">
        <v>0</v>
      </c>
      <c r="BE2162" s="3">
        <v>0</v>
      </c>
      <c r="BF2162" s="3">
        <v>0</v>
      </c>
      <c r="BG2162" s="3">
        <v>0</v>
      </c>
      <c r="BH2162" s="3">
        <v>1</v>
      </c>
      <c r="BI2162" s="3">
        <v>1</v>
      </c>
      <c r="BJ2162" s="3">
        <v>0.2</v>
      </c>
      <c r="BK2162" s="3">
        <v>1</v>
      </c>
      <c r="BL2162" s="3">
        <v>59</v>
      </c>
      <c r="BM2162" s="3">
        <v>8.85</v>
      </c>
      <c r="BN2162" s="3">
        <v>67.849999999999994</v>
      </c>
      <c r="BO2162" s="3">
        <v>67.849999999999994</v>
      </c>
      <c r="BQ2162" s="3" t="s">
        <v>89</v>
      </c>
      <c r="BR2162" s="3" t="s">
        <v>84</v>
      </c>
      <c r="BS2162" s="4">
        <v>44587</v>
      </c>
      <c r="BT2162" s="5">
        <v>0.47430555555555554</v>
      </c>
      <c r="BU2162" s="3" t="s">
        <v>1579</v>
      </c>
      <c r="BV2162" s="3" t="s">
        <v>87</v>
      </c>
      <c r="BW2162" s="3" t="s">
        <v>457</v>
      </c>
      <c r="BX2162" s="3" t="s">
        <v>602</v>
      </c>
      <c r="BY2162" s="3">
        <v>1200</v>
      </c>
      <c r="BZ2162" s="3" t="s">
        <v>165</v>
      </c>
      <c r="CA2162" s="3" t="s">
        <v>289</v>
      </c>
      <c r="CC2162" s="3" t="s">
        <v>91</v>
      </c>
      <c r="CD2162" s="3">
        <v>7441</v>
      </c>
      <c r="CE2162" s="3" t="s">
        <v>93</v>
      </c>
      <c r="CF2162" s="4">
        <v>44588</v>
      </c>
      <c r="CI2162" s="3">
        <v>1</v>
      </c>
      <c r="CJ2162" s="3">
        <v>1</v>
      </c>
      <c r="CK2162" s="3">
        <v>21</v>
      </c>
      <c r="CL2162" s="3" t="s">
        <v>87</v>
      </c>
    </row>
    <row r="2163" spans="1:90" x14ac:dyDescent="0.2">
      <c r="A2163" s="3" t="s">
        <v>72</v>
      </c>
      <c r="B2163" s="3" t="s">
        <v>73</v>
      </c>
      <c r="C2163" s="3" t="s">
        <v>74</v>
      </c>
      <c r="E2163" s="3" t="str">
        <f>"FES1162846632"</f>
        <v>FES1162846632</v>
      </c>
      <c r="F2163" s="4">
        <v>44586</v>
      </c>
      <c r="G2163" s="3">
        <v>202207</v>
      </c>
      <c r="H2163" s="3" t="s">
        <v>75</v>
      </c>
      <c r="I2163" s="3" t="s">
        <v>76</v>
      </c>
      <c r="J2163" s="3" t="s">
        <v>77</v>
      </c>
      <c r="K2163" s="3" t="s">
        <v>78</v>
      </c>
      <c r="L2163" s="3" t="s">
        <v>90</v>
      </c>
      <c r="M2163" s="3" t="s">
        <v>91</v>
      </c>
      <c r="N2163" s="3" t="s">
        <v>2254</v>
      </c>
      <c r="O2163" s="3" t="s">
        <v>82</v>
      </c>
      <c r="P2163" s="3" t="str">
        <f>"2170816969                    "</f>
        <v xml:space="preserve">2170816969                    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15.46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0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3">
        <v>0</v>
      </c>
      <c r="AY2163" s="3">
        <v>0</v>
      </c>
      <c r="AZ2163" s="3">
        <v>0</v>
      </c>
      <c r="BA2163" s="3">
        <v>0</v>
      </c>
      <c r="BB2163" s="3">
        <v>0</v>
      </c>
      <c r="BC2163" s="3">
        <v>0</v>
      </c>
      <c r="BD2163" s="3">
        <v>0</v>
      </c>
      <c r="BE2163" s="3">
        <v>0</v>
      </c>
      <c r="BF2163" s="3">
        <v>0</v>
      </c>
      <c r="BG2163" s="3">
        <v>0</v>
      </c>
      <c r="BH2163" s="3">
        <v>1</v>
      </c>
      <c r="BI2163" s="3">
        <v>1</v>
      </c>
      <c r="BJ2163" s="3">
        <v>0.2</v>
      </c>
      <c r="BK2163" s="3">
        <v>1</v>
      </c>
      <c r="BL2163" s="3">
        <v>59</v>
      </c>
      <c r="BM2163" s="3">
        <v>8.85</v>
      </c>
      <c r="BN2163" s="3">
        <v>67.849999999999994</v>
      </c>
      <c r="BO2163" s="3">
        <v>67.849999999999994</v>
      </c>
      <c r="BQ2163" s="3" t="s">
        <v>83</v>
      </c>
      <c r="BR2163" s="3" t="s">
        <v>84</v>
      </c>
      <c r="BS2163" s="4">
        <v>44587</v>
      </c>
      <c r="BT2163" s="5">
        <v>0.31805555555555554</v>
      </c>
      <c r="BU2163" s="3" t="s">
        <v>2255</v>
      </c>
      <c r="BV2163" s="3" t="s">
        <v>105</v>
      </c>
      <c r="BY2163" s="3">
        <v>1200</v>
      </c>
      <c r="BZ2163" s="3" t="s">
        <v>165</v>
      </c>
      <c r="CA2163" s="3" t="s">
        <v>2141</v>
      </c>
      <c r="CC2163" s="3" t="s">
        <v>91</v>
      </c>
      <c r="CD2163" s="3">
        <v>7493</v>
      </c>
      <c r="CE2163" s="3" t="s">
        <v>93</v>
      </c>
      <c r="CF2163" s="4">
        <v>44588</v>
      </c>
      <c r="CI2163" s="3">
        <v>1</v>
      </c>
      <c r="CJ2163" s="3">
        <v>1</v>
      </c>
      <c r="CK2163" s="3">
        <v>21</v>
      </c>
      <c r="CL2163" s="3" t="s">
        <v>87</v>
      </c>
    </row>
    <row r="2164" spans="1:90" x14ac:dyDescent="0.2">
      <c r="A2164" s="3" t="s">
        <v>72</v>
      </c>
      <c r="B2164" s="3" t="s">
        <v>73</v>
      </c>
      <c r="C2164" s="3" t="s">
        <v>74</v>
      </c>
      <c r="E2164" s="3" t="str">
        <f>"FES1162846950"</f>
        <v>FES1162846950</v>
      </c>
      <c r="F2164" s="4">
        <v>44586</v>
      </c>
      <c r="G2164" s="3">
        <v>202207</v>
      </c>
      <c r="H2164" s="3" t="s">
        <v>75</v>
      </c>
      <c r="I2164" s="3" t="s">
        <v>76</v>
      </c>
      <c r="J2164" s="3" t="s">
        <v>77</v>
      </c>
      <c r="K2164" s="3" t="s">
        <v>78</v>
      </c>
      <c r="L2164" s="3" t="s">
        <v>101</v>
      </c>
      <c r="M2164" s="3" t="s">
        <v>102</v>
      </c>
      <c r="N2164" s="3" t="s">
        <v>276</v>
      </c>
      <c r="O2164" s="3" t="s">
        <v>82</v>
      </c>
      <c r="P2164" s="3" t="str">
        <f>"2170818214                    "</f>
        <v xml:space="preserve">2170818214                    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15.46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Q2164" s="3">
        <v>0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3">
        <v>0</v>
      </c>
      <c r="AY2164" s="3">
        <v>0</v>
      </c>
      <c r="AZ2164" s="3">
        <v>0</v>
      </c>
      <c r="BA2164" s="3">
        <v>0</v>
      </c>
      <c r="BB2164" s="3">
        <v>0</v>
      </c>
      <c r="BC2164" s="3">
        <v>0</v>
      </c>
      <c r="BD2164" s="3">
        <v>0</v>
      </c>
      <c r="BE2164" s="3">
        <v>0</v>
      </c>
      <c r="BF2164" s="3">
        <v>0</v>
      </c>
      <c r="BG2164" s="3">
        <v>0</v>
      </c>
      <c r="BH2164" s="3">
        <v>1</v>
      </c>
      <c r="BI2164" s="3">
        <v>1</v>
      </c>
      <c r="BJ2164" s="3">
        <v>0.2</v>
      </c>
      <c r="BK2164" s="3">
        <v>1</v>
      </c>
      <c r="BL2164" s="3">
        <v>59</v>
      </c>
      <c r="BM2164" s="3">
        <v>8.85</v>
      </c>
      <c r="BN2164" s="3">
        <v>67.849999999999994</v>
      </c>
      <c r="BO2164" s="3">
        <v>67.849999999999994</v>
      </c>
      <c r="BQ2164" s="3" t="s">
        <v>89</v>
      </c>
      <c r="BR2164" s="3" t="s">
        <v>84</v>
      </c>
      <c r="BS2164" s="4">
        <v>44587</v>
      </c>
      <c r="BT2164" s="5">
        <v>0.61875000000000002</v>
      </c>
      <c r="BU2164" s="3" t="s">
        <v>1940</v>
      </c>
      <c r="BV2164" s="3" t="s">
        <v>87</v>
      </c>
      <c r="BW2164" s="3" t="s">
        <v>353</v>
      </c>
      <c r="BX2164" s="3" t="s">
        <v>1878</v>
      </c>
      <c r="BY2164" s="3">
        <v>1200</v>
      </c>
      <c r="BZ2164" s="3" t="s">
        <v>165</v>
      </c>
      <c r="CA2164" s="3" t="s">
        <v>280</v>
      </c>
      <c r="CC2164" s="3" t="s">
        <v>102</v>
      </c>
      <c r="CD2164" s="3">
        <v>4001</v>
      </c>
      <c r="CE2164" s="3" t="s">
        <v>93</v>
      </c>
      <c r="CF2164" s="4">
        <v>44588</v>
      </c>
      <c r="CI2164" s="3">
        <v>1</v>
      </c>
      <c r="CJ2164" s="3">
        <v>1</v>
      </c>
      <c r="CK2164" s="3">
        <v>21</v>
      </c>
      <c r="CL2164" s="3" t="s">
        <v>87</v>
      </c>
    </row>
    <row r="2165" spans="1:90" x14ac:dyDescent="0.2">
      <c r="A2165" s="3" t="s">
        <v>72</v>
      </c>
      <c r="B2165" s="3" t="s">
        <v>73</v>
      </c>
      <c r="C2165" s="3" t="s">
        <v>74</v>
      </c>
      <c r="E2165" s="3" t="str">
        <f>"FES1162846818"</f>
        <v>FES1162846818</v>
      </c>
      <c r="F2165" s="4">
        <v>44586</v>
      </c>
      <c r="G2165" s="3">
        <v>202207</v>
      </c>
      <c r="H2165" s="3" t="s">
        <v>75</v>
      </c>
      <c r="I2165" s="3" t="s">
        <v>76</v>
      </c>
      <c r="J2165" s="3" t="s">
        <v>77</v>
      </c>
      <c r="K2165" s="3" t="s">
        <v>78</v>
      </c>
      <c r="L2165" s="3" t="s">
        <v>90</v>
      </c>
      <c r="M2165" s="3" t="s">
        <v>91</v>
      </c>
      <c r="N2165" s="3" t="s">
        <v>776</v>
      </c>
      <c r="O2165" s="3" t="s">
        <v>148</v>
      </c>
      <c r="P2165" s="3" t="str">
        <f>"2170818095                    "</f>
        <v xml:space="preserve">2170818095                    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34.82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0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3">
        <v>0</v>
      </c>
      <c r="AY2165" s="3">
        <v>0</v>
      </c>
      <c r="AZ2165" s="3">
        <v>0</v>
      </c>
      <c r="BA2165" s="3">
        <v>0</v>
      </c>
      <c r="BB2165" s="3">
        <v>0</v>
      </c>
      <c r="BC2165" s="3">
        <v>0</v>
      </c>
      <c r="BD2165" s="3">
        <v>0</v>
      </c>
      <c r="BE2165" s="3">
        <v>0</v>
      </c>
      <c r="BF2165" s="3">
        <v>0</v>
      </c>
      <c r="BG2165" s="3">
        <v>0</v>
      </c>
      <c r="BH2165" s="3">
        <v>1</v>
      </c>
      <c r="BI2165" s="3">
        <v>15</v>
      </c>
      <c r="BJ2165" s="3">
        <v>18.3</v>
      </c>
      <c r="BK2165" s="3">
        <v>19</v>
      </c>
      <c r="BL2165" s="3">
        <v>138.15</v>
      </c>
      <c r="BM2165" s="3">
        <v>20.72</v>
      </c>
      <c r="BN2165" s="3">
        <v>158.87</v>
      </c>
      <c r="BO2165" s="3">
        <v>158.87</v>
      </c>
      <c r="BQ2165" s="3" t="s">
        <v>83</v>
      </c>
      <c r="BR2165" s="3" t="s">
        <v>84</v>
      </c>
      <c r="BS2165" s="4">
        <v>44589</v>
      </c>
      <c r="BT2165" s="5">
        <v>0.52222222222222225</v>
      </c>
      <c r="BU2165" s="3" t="s">
        <v>1788</v>
      </c>
      <c r="BV2165" s="3" t="s">
        <v>87</v>
      </c>
      <c r="BW2165" s="3" t="s">
        <v>353</v>
      </c>
      <c r="BX2165" s="3" t="s">
        <v>602</v>
      </c>
      <c r="BY2165" s="3">
        <v>91264</v>
      </c>
      <c r="BZ2165" s="3" t="s">
        <v>327</v>
      </c>
      <c r="CA2165" s="3" t="s">
        <v>603</v>
      </c>
      <c r="CC2165" s="3" t="s">
        <v>91</v>
      </c>
      <c r="CD2165" s="3">
        <v>7975</v>
      </c>
      <c r="CE2165" s="3" t="s">
        <v>86</v>
      </c>
      <c r="CI2165" s="3">
        <v>2</v>
      </c>
      <c r="CJ2165" s="3">
        <v>3</v>
      </c>
      <c r="CK2165" s="3">
        <v>41</v>
      </c>
      <c r="CL2165" s="3" t="s">
        <v>87</v>
      </c>
    </row>
    <row r="2166" spans="1:90" x14ac:dyDescent="0.2">
      <c r="A2166" s="3" t="s">
        <v>72</v>
      </c>
      <c r="B2166" s="3" t="s">
        <v>73</v>
      </c>
      <c r="C2166" s="3" t="s">
        <v>74</v>
      </c>
      <c r="E2166" s="3" t="str">
        <f>"FES1162846961"</f>
        <v>FES1162846961</v>
      </c>
      <c r="F2166" s="4">
        <v>44586</v>
      </c>
      <c r="G2166" s="3">
        <v>202207</v>
      </c>
      <c r="H2166" s="3" t="s">
        <v>75</v>
      </c>
      <c r="I2166" s="3" t="s">
        <v>76</v>
      </c>
      <c r="J2166" s="3" t="s">
        <v>77</v>
      </c>
      <c r="K2166" s="3" t="s">
        <v>78</v>
      </c>
      <c r="L2166" s="3" t="s">
        <v>101</v>
      </c>
      <c r="M2166" s="3" t="s">
        <v>102</v>
      </c>
      <c r="N2166" s="3" t="s">
        <v>170</v>
      </c>
      <c r="O2166" s="3" t="s">
        <v>82</v>
      </c>
      <c r="P2166" s="3" t="str">
        <f>"2170818258                    "</f>
        <v xml:space="preserve">2170818258                    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15.46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Q2166" s="3">
        <v>0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3">
        <v>0</v>
      </c>
      <c r="AY2166" s="3">
        <v>0</v>
      </c>
      <c r="AZ2166" s="3">
        <v>0</v>
      </c>
      <c r="BA2166" s="3">
        <v>0</v>
      </c>
      <c r="BB2166" s="3">
        <v>0</v>
      </c>
      <c r="BC2166" s="3">
        <v>0</v>
      </c>
      <c r="BD2166" s="3">
        <v>0</v>
      </c>
      <c r="BE2166" s="3">
        <v>0</v>
      </c>
      <c r="BF2166" s="3">
        <v>0</v>
      </c>
      <c r="BG2166" s="3">
        <v>0</v>
      </c>
      <c r="BH2166" s="3">
        <v>1</v>
      </c>
      <c r="BI2166" s="3">
        <v>1</v>
      </c>
      <c r="BJ2166" s="3">
        <v>0.2</v>
      </c>
      <c r="BK2166" s="3">
        <v>1</v>
      </c>
      <c r="BL2166" s="3">
        <v>59</v>
      </c>
      <c r="BM2166" s="3">
        <v>8.85</v>
      </c>
      <c r="BN2166" s="3">
        <v>67.849999999999994</v>
      </c>
      <c r="BO2166" s="3">
        <v>67.849999999999994</v>
      </c>
      <c r="BQ2166" s="3" t="s">
        <v>89</v>
      </c>
      <c r="BR2166" s="3" t="s">
        <v>84</v>
      </c>
      <c r="BS2166" s="4">
        <v>44587</v>
      </c>
      <c r="BT2166" s="5">
        <v>0.59166666666666667</v>
      </c>
      <c r="BU2166" s="3" t="s">
        <v>369</v>
      </c>
      <c r="BV2166" s="3" t="s">
        <v>87</v>
      </c>
      <c r="BW2166" s="3" t="s">
        <v>353</v>
      </c>
      <c r="BX2166" s="3" t="s">
        <v>1878</v>
      </c>
      <c r="BY2166" s="3">
        <v>1200</v>
      </c>
      <c r="BZ2166" s="3" t="s">
        <v>165</v>
      </c>
      <c r="CA2166" s="3" t="s">
        <v>280</v>
      </c>
      <c r="CC2166" s="3" t="s">
        <v>102</v>
      </c>
      <c r="CD2166" s="3">
        <v>4001</v>
      </c>
      <c r="CE2166" s="3" t="s">
        <v>93</v>
      </c>
      <c r="CF2166" s="4">
        <v>44588</v>
      </c>
      <c r="CI2166" s="3">
        <v>1</v>
      </c>
      <c r="CJ2166" s="3">
        <v>1</v>
      </c>
      <c r="CK2166" s="3">
        <v>21</v>
      </c>
      <c r="CL2166" s="3" t="s">
        <v>87</v>
      </c>
    </row>
    <row r="2167" spans="1:90" x14ac:dyDescent="0.2">
      <c r="A2167" s="3" t="s">
        <v>72</v>
      </c>
      <c r="B2167" s="3" t="s">
        <v>73</v>
      </c>
      <c r="C2167" s="3" t="s">
        <v>74</v>
      </c>
      <c r="E2167" s="3" t="str">
        <f>"FES1162846653"</f>
        <v>FES1162846653</v>
      </c>
      <c r="F2167" s="4">
        <v>44586</v>
      </c>
      <c r="G2167" s="3">
        <v>202207</v>
      </c>
      <c r="H2167" s="3" t="s">
        <v>75</v>
      </c>
      <c r="I2167" s="3" t="s">
        <v>76</v>
      </c>
      <c r="J2167" s="3" t="s">
        <v>77</v>
      </c>
      <c r="K2167" s="3" t="s">
        <v>78</v>
      </c>
      <c r="L2167" s="3" t="s">
        <v>162</v>
      </c>
      <c r="M2167" s="3" t="s">
        <v>163</v>
      </c>
      <c r="N2167" s="3" t="s">
        <v>2256</v>
      </c>
      <c r="O2167" s="3" t="s">
        <v>82</v>
      </c>
      <c r="P2167" s="3" t="str">
        <f>"2170818042                    "</f>
        <v xml:space="preserve">2170818042                    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12.07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Q2167" s="3">
        <v>0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3">
        <v>0</v>
      </c>
      <c r="AY2167" s="3">
        <v>0</v>
      </c>
      <c r="AZ2167" s="3">
        <v>0</v>
      </c>
      <c r="BA2167" s="3">
        <v>0</v>
      </c>
      <c r="BB2167" s="3">
        <v>0</v>
      </c>
      <c r="BC2167" s="3">
        <v>0</v>
      </c>
      <c r="BD2167" s="3">
        <v>0</v>
      </c>
      <c r="BE2167" s="3">
        <v>0</v>
      </c>
      <c r="BF2167" s="3">
        <v>0</v>
      </c>
      <c r="BG2167" s="3">
        <v>0</v>
      </c>
      <c r="BH2167" s="3">
        <v>1</v>
      </c>
      <c r="BI2167" s="3">
        <v>1</v>
      </c>
      <c r="BJ2167" s="3">
        <v>0.6</v>
      </c>
      <c r="BK2167" s="3">
        <v>1</v>
      </c>
      <c r="BL2167" s="3">
        <v>46.08</v>
      </c>
      <c r="BM2167" s="3">
        <v>6.91</v>
      </c>
      <c r="BN2167" s="3">
        <v>52.99</v>
      </c>
      <c r="BO2167" s="3">
        <v>52.99</v>
      </c>
      <c r="BQ2167" s="3" t="s">
        <v>89</v>
      </c>
      <c r="BR2167" s="3" t="s">
        <v>84</v>
      </c>
      <c r="BS2167" s="4">
        <v>44587</v>
      </c>
      <c r="BT2167" s="5">
        <v>0.37638888888888888</v>
      </c>
      <c r="BU2167" s="3" t="s">
        <v>2257</v>
      </c>
      <c r="BV2167" s="3" t="s">
        <v>105</v>
      </c>
      <c r="BY2167" s="3">
        <v>2997</v>
      </c>
      <c r="BZ2167" s="3" t="s">
        <v>165</v>
      </c>
      <c r="CA2167" s="3" t="s">
        <v>1080</v>
      </c>
      <c r="CC2167" s="3" t="s">
        <v>163</v>
      </c>
      <c r="CD2167" s="3">
        <v>1428</v>
      </c>
      <c r="CE2167" s="3" t="s">
        <v>86</v>
      </c>
      <c r="CF2167" s="4">
        <v>44587</v>
      </c>
      <c r="CI2167" s="3">
        <v>1</v>
      </c>
      <c r="CJ2167" s="3">
        <v>1</v>
      </c>
      <c r="CK2167" s="3">
        <v>22</v>
      </c>
      <c r="CL2167" s="3" t="s">
        <v>87</v>
      </c>
    </row>
    <row r="2168" spans="1:90" x14ac:dyDescent="0.2">
      <c r="A2168" s="3" t="s">
        <v>72</v>
      </c>
      <c r="B2168" s="3" t="s">
        <v>73</v>
      </c>
      <c r="C2168" s="3" t="s">
        <v>74</v>
      </c>
      <c r="E2168" s="3" t="str">
        <f>"FES1162846729"</f>
        <v>FES1162846729</v>
      </c>
      <c r="F2168" s="4">
        <v>44586</v>
      </c>
      <c r="G2168" s="3">
        <v>202207</v>
      </c>
      <c r="H2168" s="3" t="s">
        <v>75</v>
      </c>
      <c r="I2168" s="3" t="s">
        <v>76</v>
      </c>
      <c r="J2168" s="3" t="s">
        <v>77</v>
      </c>
      <c r="K2168" s="3" t="s">
        <v>78</v>
      </c>
      <c r="L2168" s="3" t="s">
        <v>171</v>
      </c>
      <c r="M2168" s="3" t="s">
        <v>172</v>
      </c>
      <c r="N2168" s="3" t="s">
        <v>329</v>
      </c>
      <c r="O2168" s="3" t="s">
        <v>82</v>
      </c>
      <c r="P2168" s="3" t="str">
        <f>"2170814320                    "</f>
        <v xml:space="preserve">2170814320                    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15.46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0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3">
        <v>0</v>
      </c>
      <c r="AY2168" s="3">
        <v>0</v>
      </c>
      <c r="AZ2168" s="3">
        <v>0</v>
      </c>
      <c r="BA2168" s="3">
        <v>0</v>
      </c>
      <c r="BB2168" s="3">
        <v>0</v>
      </c>
      <c r="BC2168" s="3">
        <v>0</v>
      </c>
      <c r="BD2168" s="3">
        <v>0</v>
      </c>
      <c r="BE2168" s="3">
        <v>0</v>
      </c>
      <c r="BF2168" s="3">
        <v>0</v>
      </c>
      <c r="BG2168" s="3">
        <v>0</v>
      </c>
      <c r="BH2168" s="3">
        <v>1</v>
      </c>
      <c r="BI2168" s="3">
        <v>1</v>
      </c>
      <c r="BJ2168" s="3">
        <v>0.2</v>
      </c>
      <c r="BK2168" s="3">
        <v>1</v>
      </c>
      <c r="BL2168" s="3">
        <v>59</v>
      </c>
      <c r="BM2168" s="3">
        <v>8.85</v>
      </c>
      <c r="BN2168" s="3">
        <v>67.849999999999994</v>
      </c>
      <c r="BO2168" s="3">
        <v>67.849999999999994</v>
      </c>
      <c r="BQ2168" s="3" t="s">
        <v>83</v>
      </c>
      <c r="BR2168" s="3" t="s">
        <v>84</v>
      </c>
      <c r="BS2168" s="4">
        <v>44587</v>
      </c>
      <c r="BT2168" s="5">
        <v>0.32361111111111113</v>
      </c>
      <c r="BU2168" s="3" t="s">
        <v>330</v>
      </c>
      <c r="BV2168" s="3" t="s">
        <v>105</v>
      </c>
      <c r="BY2168" s="3">
        <v>1200</v>
      </c>
      <c r="BZ2168" s="3" t="s">
        <v>165</v>
      </c>
      <c r="CA2168" s="3" t="s">
        <v>331</v>
      </c>
      <c r="CC2168" s="3" t="s">
        <v>172</v>
      </c>
      <c r="CD2168" s="3">
        <v>6001</v>
      </c>
      <c r="CE2168" s="3" t="s">
        <v>93</v>
      </c>
      <c r="CF2168" s="4">
        <v>44587</v>
      </c>
      <c r="CI2168" s="3">
        <v>1</v>
      </c>
      <c r="CJ2168" s="3">
        <v>1</v>
      </c>
      <c r="CK2168" s="3">
        <v>21</v>
      </c>
      <c r="CL2168" s="3" t="s">
        <v>87</v>
      </c>
    </row>
    <row r="2169" spans="1:90" x14ac:dyDescent="0.2">
      <c r="A2169" s="3" t="s">
        <v>72</v>
      </c>
      <c r="B2169" s="3" t="s">
        <v>73</v>
      </c>
      <c r="C2169" s="3" t="s">
        <v>74</v>
      </c>
      <c r="E2169" s="3" t="str">
        <f>"FES1162846785"</f>
        <v>FES1162846785</v>
      </c>
      <c r="F2169" s="4">
        <v>44586</v>
      </c>
      <c r="G2169" s="3">
        <v>202207</v>
      </c>
      <c r="H2169" s="3" t="s">
        <v>75</v>
      </c>
      <c r="I2169" s="3" t="s">
        <v>76</v>
      </c>
      <c r="J2169" s="3" t="s">
        <v>77</v>
      </c>
      <c r="K2169" s="3" t="s">
        <v>78</v>
      </c>
      <c r="L2169" s="3" t="s">
        <v>171</v>
      </c>
      <c r="M2169" s="3" t="s">
        <v>172</v>
      </c>
      <c r="N2169" s="3" t="s">
        <v>200</v>
      </c>
      <c r="O2169" s="3" t="s">
        <v>82</v>
      </c>
      <c r="P2169" s="3" t="str">
        <f>"2170816594                    "</f>
        <v xml:space="preserve">2170816594                    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15.46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0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3">
        <v>0</v>
      </c>
      <c r="AY2169" s="3">
        <v>0</v>
      </c>
      <c r="AZ2169" s="3">
        <v>0</v>
      </c>
      <c r="BA2169" s="3">
        <v>0</v>
      </c>
      <c r="BB2169" s="3">
        <v>0</v>
      </c>
      <c r="BC2169" s="3">
        <v>0</v>
      </c>
      <c r="BD2169" s="3">
        <v>0</v>
      </c>
      <c r="BE2169" s="3">
        <v>0</v>
      </c>
      <c r="BF2169" s="3">
        <v>0</v>
      </c>
      <c r="BG2169" s="3">
        <v>0</v>
      </c>
      <c r="BH2169" s="3">
        <v>1</v>
      </c>
      <c r="BI2169" s="3">
        <v>1</v>
      </c>
      <c r="BJ2169" s="3">
        <v>0.2</v>
      </c>
      <c r="BK2169" s="3">
        <v>1</v>
      </c>
      <c r="BL2169" s="3">
        <v>59</v>
      </c>
      <c r="BM2169" s="3">
        <v>8.85</v>
      </c>
      <c r="BN2169" s="3">
        <v>67.849999999999994</v>
      </c>
      <c r="BO2169" s="3">
        <v>67.849999999999994</v>
      </c>
      <c r="BQ2169" s="3" t="s">
        <v>89</v>
      </c>
      <c r="BR2169" s="3" t="s">
        <v>84</v>
      </c>
      <c r="BS2169" s="4">
        <v>44587</v>
      </c>
      <c r="BT2169" s="5">
        <v>0.42083333333333334</v>
      </c>
      <c r="BU2169" s="3" t="s">
        <v>908</v>
      </c>
      <c r="BV2169" s="3" t="s">
        <v>105</v>
      </c>
      <c r="BY2169" s="3">
        <v>1200</v>
      </c>
      <c r="BZ2169" s="3" t="s">
        <v>165</v>
      </c>
      <c r="CA2169" s="3" t="s">
        <v>814</v>
      </c>
      <c r="CC2169" s="3" t="s">
        <v>172</v>
      </c>
      <c r="CD2169" s="3">
        <v>6001</v>
      </c>
      <c r="CE2169" s="3" t="s">
        <v>93</v>
      </c>
      <c r="CF2169" s="4">
        <v>44587</v>
      </c>
      <c r="CI2169" s="3">
        <v>1</v>
      </c>
      <c r="CJ2169" s="3">
        <v>1</v>
      </c>
      <c r="CK2169" s="3">
        <v>21</v>
      </c>
      <c r="CL2169" s="3" t="s">
        <v>87</v>
      </c>
    </row>
    <row r="2170" spans="1:90" x14ac:dyDescent="0.2">
      <c r="A2170" s="3" t="s">
        <v>72</v>
      </c>
      <c r="B2170" s="3" t="s">
        <v>73</v>
      </c>
      <c r="C2170" s="3" t="s">
        <v>74</v>
      </c>
      <c r="E2170" s="3" t="str">
        <f>"FES1162846741"</f>
        <v>FES1162846741</v>
      </c>
      <c r="F2170" s="4">
        <v>44586</v>
      </c>
      <c r="G2170" s="3">
        <v>202207</v>
      </c>
      <c r="H2170" s="3" t="s">
        <v>75</v>
      </c>
      <c r="I2170" s="3" t="s">
        <v>76</v>
      </c>
      <c r="J2170" s="3" t="s">
        <v>77</v>
      </c>
      <c r="K2170" s="3" t="s">
        <v>78</v>
      </c>
      <c r="L2170" s="3" t="s">
        <v>184</v>
      </c>
      <c r="M2170" s="3" t="s">
        <v>185</v>
      </c>
      <c r="N2170" s="3" t="s">
        <v>503</v>
      </c>
      <c r="O2170" s="3" t="s">
        <v>82</v>
      </c>
      <c r="P2170" s="3" t="str">
        <f>"2170815871                    "</f>
        <v xml:space="preserve">2170815871                    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15.46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0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3">
        <v>0</v>
      </c>
      <c r="AY2170" s="3">
        <v>0</v>
      </c>
      <c r="AZ2170" s="3">
        <v>0</v>
      </c>
      <c r="BA2170" s="3">
        <v>0</v>
      </c>
      <c r="BB2170" s="3">
        <v>0</v>
      </c>
      <c r="BC2170" s="3">
        <v>0</v>
      </c>
      <c r="BD2170" s="3">
        <v>0</v>
      </c>
      <c r="BE2170" s="3">
        <v>0</v>
      </c>
      <c r="BF2170" s="3">
        <v>0</v>
      </c>
      <c r="BG2170" s="3">
        <v>0</v>
      </c>
      <c r="BH2170" s="3">
        <v>1</v>
      </c>
      <c r="BI2170" s="3">
        <v>1</v>
      </c>
      <c r="BJ2170" s="3">
        <v>0.2</v>
      </c>
      <c r="BK2170" s="3">
        <v>1</v>
      </c>
      <c r="BL2170" s="3">
        <v>59</v>
      </c>
      <c r="BM2170" s="3">
        <v>8.85</v>
      </c>
      <c r="BN2170" s="3">
        <v>67.849999999999994</v>
      </c>
      <c r="BO2170" s="3">
        <v>67.849999999999994</v>
      </c>
      <c r="BQ2170" s="3" t="s">
        <v>89</v>
      </c>
      <c r="BR2170" s="3" t="s">
        <v>84</v>
      </c>
      <c r="BS2170" s="4">
        <v>44588</v>
      </c>
      <c r="BT2170" s="5">
        <v>0.56041666666666667</v>
      </c>
      <c r="BU2170" s="3" t="s">
        <v>2130</v>
      </c>
      <c r="BV2170" s="3" t="s">
        <v>87</v>
      </c>
      <c r="BW2170" s="3" t="s">
        <v>353</v>
      </c>
      <c r="BX2170" s="3" t="s">
        <v>605</v>
      </c>
      <c r="BY2170" s="3">
        <v>1200</v>
      </c>
      <c r="BZ2170" s="3" t="s">
        <v>165</v>
      </c>
      <c r="CA2170" s="3" t="s">
        <v>1681</v>
      </c>
      <c r="CC2170" s="3" t="s">
        <v>185</v>
      </c>
      <c r="CD2170" s="3">
        <v>5201</v>
      </c>
      <c r="CE2170" s="3" t="s">
        <v>93</v>
      </c>
      <c r="CF2170" s="4">
        <v>44588</v>
      </c>
      <c r="CI2170" s="3">
        <v>1</v>
      </c>
      <c r="CJ2170" s="3">
        <v>2</v>
      </c>
      <c r="CK2170" s="3">
        <v>21</v>
      </c>
      <c r="CL2170" s="3" t="s">
        <v>87</v>
      </c>
    </row>
    <row r="2171" spans="1:90" x14ac:dyDescent="0.2">
      <c r="A2171" s="3" t="s">
        <v>72</v>
      </c>
      <c r="B2171" s="3" t="s">
        <v>73</v>
      </c>
      <c r="C2171" s="3" t="s">
        <v>74</v>
      </c>
      <c r="E2171" s="3" t="str">
        <f>"FES1162846671"</f>
        <v>FES1162846671</v>
      </c>
      <c r="F2171" s="4">
        <v>44586</v>
      </c>
      <c r="G2171" s="3">
        <v>202207</v>
      </c>
      <c r="H2171" s="3" t="s">
        <v>75</v>
      </c>
      <c r="I2171" s="3" t="s">
        <v>76</v>
      </c>
      <c r="J2171" s="3" t="s">
        <v>77</v>
      </c>
      <c r="K2171" s="3" t="s">
        <v>78</v>
      </c>
      <c r="L2171" s="3" t="s">
        <v>138</v>
      </c>
      <c r="M2171" s="3" t="s">
        <v>139</v>
      </c>
      <c r="N2171" s="3" t="s">
        <v>2258</v>
      </c>
      <c r="O2171" s="3" t="s">
        <v>82</v>
      </c>
      <c r="P2171" s="3" t="str">
        <f>"2170818064                    "</f>
        <v xml:space="preserve">2170818064                    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23.18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0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3">
        <v>0</v>
      </c>
      <c r="AY2171" s="3">
        <v>0</v>
      </c>
      <c r="AZ2171" s="3">
        <v>0</v>
      </c>
      <c r="BA2171" s="3">
        <v>0</v>
      </c>
      <c r="BB2171" s="3">
        <v>0</v>
      </c>
      <c r="BC2171" s="3">
        <v>0</v>
      </c>
      <c r="BD2171" s="3">
        <v>0</v>
      </c>
      <c r="BE2171" s="3">
        <v>0</v>
      </c>
      <c r="BF2171" s="3">
        <v>0</v>
      </c>
      <c r="BG2171" s="3">
        <v>0</v>
      </c>
      <c r="BH2171" s="3">
        <v>1</v>
      </c>
      <c r="BI2171" s="3">
        <v>3</v>
      </c>
      <c r="BJ2171" s="3">
        <v>2</v>
      </c>
      <c r="BK2171" s="3">
        <v>3</v>
      </c>
      <c r="BL2171" s="3">
        <v>88.48</v>
      </c>
      <c r="BM2171" s="3">
        <v>13.27</v>
      </c>
      <c r="BN2171" s="3">
        <v>101.75</v>
      </c>
      <c r="BO2171" s="3">
        <v>101.75</v>
      </c>
      <c r="BR2171" s="3" t="s">
        <v>84</v>
      </c>
      <c r="BS2171" s="4">
        <v>44587</v>
      </c>
      <c r="BT2171" s="5">
        <v>0.45416666666666666</v>
      </c>
      <c r="BU2171" s="3" t="s">
        <v>2259</v>
      </c>
      <c r="BV2171" s="3" t="s">
        <v>105</v>
      </c>
      <c r="BY2171" s="3">
        <v>9918</v>
      </c>
      <c r="BZ2171" s="3" t="s">
        <v>165</v>
      </c>
      <c r="CA2171" s="3" t="s">
        <v>303</v>
      </c>
      <c r="CC2171" s="3" t="s">
        <v>139</v>
      </c>
      <c r="CD2171" s="3">
        <v>3610</v>
      </c>
      <c r="CE2171" s="3" t="s">
        <v>86</v>
      </c>
      <c r="CF2171" s="4">
        <v>44588</v>
      </c>
      <c r="CI2171" s="3">
        <v>1</v>
      </c>
      <c r="CJ2171" s="3">
        <v>1</v>
      </c>
      <c r="CK2171" s="3">
        <v>21</v>
      </c>
      <c r="CL2171" s="3" t="s">
        <v>87</v>
      </c>
    </row>
    <row r="2172" spans="1:90" x14ac:dyDescent="0.2">
      <c r="A2172" s="3" t="s">
        <v>72</v>
      </c>
      <c r="B2172" s="3" t="s">
        <v>73</v>
      </c>
      <c r="C2172" s="3" t="s">
        <v>74</v>
      </c>
      <c r="E2172" s="3" t="str">
        <f>"FES1162846893"</f>
        <v>FES1162846893</v>
      </c>
      <c r="F2172" s="4">
        <v>44586</v>
      </c>
      <c r="G2172" s="3">
        <v>202207</v>
      </c>
      <c r="H2172" s="3" t="s">
        <v>75</v>
      </c>
      <c r="I2172" s="3" t="s">
        <v>76</v>
      </c>
      <c r="J2172" s="3" t="s">
        <v>77</v>
      </c>
      <c r="K2172" s="3" t="s">
        <v>78</v>
      </c>
      <c r="L2172" s="3" t="s">
        <v>97</v>
      </c>
      <c r="M2172" s="3" t="s">
        <v>98</v>
      </c>
      <c r="N2172" s="3" t="s">
        <v>2260</v>
      </c>
      <c r="O2172" s="3" t="s">
        <v>82</v>
      </c>
      <c r="P2172" s="3" t="str">
        <f>"2170818175                    "</f>
        <v xml:space="preserve">2170818175                    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13.52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0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3">
        <v>0</v>
      </c>
      <c r="AY2172" s="3">
        <v>0</v>
      </c>
      <c r="AZ2172" s="3">
        <v>0</v>
      </c>
      <c r="BA2172" s="3">
        <v>0</v>
      </c>
      <c r="BB2172" s="3">
        <v>0</v>
      </c>
      <c r="BC2172" s="3">
        <v>0</v>
      </c>
      <c r="BD2172" s="3">
        <v>0</v>
      </c>
      <c r="BE2172" s="3">
        <v>0</v>
      </c>
      <c r="BF2172" s="3">
        <v>0</v>
      </c>
      <c r="BG2172" s="3">
        <v>0</v>
      </c>
      <c r="BH2172" s="3">
        <v>1</v>
      </c>
      <c r="BI2172" s="3">
        <v>7</v>
      </c>
      <c r="BJ2172" s="3">
        <v>8.3000000000000007</v>
      </c>
      <c r="BK2172" s="3">
        <v>8.5</v>
      </c>
      <c r="BL2172" s="3">
        <v>51.61</v>
      </c>
      <c r="BM2172" s="3">
        <v>7.74</v>
      </c>
      <c r="BN2172" s="3">
        <v>59.35</v>
      </c>
      <c r="BO2172" s="3">
        <v>59.35</v>
      </c>
      <c r="BQ2172" s="3" t="s">
        <v>89</v>
      </c>
      <c r="BR2172" s="3" t="s">
        <v>84</v>
      </c>
      <c r="BS2172" s="4">
        <v>44587</v>
      </c>
      <c r="BT2172" s="5">
        <v>0.39652777777777781</v>
      </c>
      <c r="BU2172" s="3" t="s">
        <v>2261</v>
      </c>
      <c r="BV2172" s="3" t="s">
        <v>105</v>
      </c>
      <c r="BY2172" s="3">
        <v>41616</v>
      </c>
      <c r="BZ2172" s="3" t="s">
        <v>165</v>
      </c>
      <c r="CA2172" s="3" t="s">
        <v>297</v>
      </c>
      <c r="CC2172" s="3" t="s">
        <v>98</v>
      </c>
      <c r="CD2172" s="3">
        <v>2091</v>
      </c>
      <c r="CE2172" s="3" t="s">
        <v>86</v>
      </c>
      <c r="CF2172" s="4">
        <v>44588</v>
      </c>
      <c r="CI2172" s="3">
        <v>1</v>
      </c>
      <c r="CJ2172" s="3">
        <v>1</v>
      </c>
      <c r="CK2172" s="3">
        <v>22</v>
      </c>
      <c r="CL2172" s="3" t="s">
        <v>87</v>
      </c>
    </row>
    <row r="2173" spans="1:90" x14ac:dyDescent="0.2">
      <c r="A2173" s="3" t="s">
        <v>72</v>
      </c>
      <c r="B2173" s="3" t="s">
        <v>73</v>
      </c>
      <c r="C2173" s="3" t="s">
        <v>74</v>
      </c>
      <c r="E2173" s="3" t="str">
        <f>"FES1162846723"</f>
        <v>FES1162846723</v>
      </c>
      <c r="F2173" s="4">
        <v>44586</v>
      </c>
      <c r="G2173" s="3">
        <v>202207</v>
      </c>
      <c r="H2173" s="3" t="s">
        <v>75</v>
      </c>
      <c r="I2173" s="3" t="s">
        <v>76</v>
      </c>
      <c r="J2173" s="3" t="s">
        <v>77</v>
      </c>
      <c r="K2173" s="3" t="s">
        <v>78</v>
      </c>
      <c r="L2173" s="3" t="s">
        <v>90</v>
      </c>
      <c r="M2173" s="3" t="s">
        <v>91</v>
      </c>
      <c r="N2173" s="3" t="s">
        <v>600</v>
      </c>
      <c r="O2173" s="3" t="s">
        <v>82</v>
      </c>
      <c r="P2173" s="3" t="str">
        <f>"2170810558                    "</f>
        <v xml:space="preserve">2170810558                    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15.46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0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3">
        <v>0</v>
      </c>
      <c r="AY2173" s="3">
        <v>0</v>
      </c>
      <c r="AZ2173" s="3">
        <v>0</v>
      </c>
      <c r="BA2173" s="3">
        <v>0</v>
      </c>
      <c r="BB2173" s="3">
        <v>0</v>
      </c>
      <c r="BC2173" s="3">
        <v>0</v>
      </c>
      <c r="BD2173" s="3">
        <v>0</v>
      </c>
      <c r="BE2173" s="3">
        <v>0</v>
      </c>
      <c r="BF2173" s="3">
        <v>0</v>
      </c>
      <c r="BG2173" s="3">
        <v>0</v>
      </c>
      <c r="BH2173" s="3">
        <v>1</v>
      </c>
      <c r="BI2173" s="3">
        <v>1</v>
      </c>
      <c r="BJ2173" s="3">
        <v>2</v>
      </c>
      <c r="BK2173" s="3">
        <v>2</v>
      </c>
      <c r="BL2173" s="3">
        <v>59</v>
      </c>
      <c r="BM2173" s="3">
        <v>8.85</v>
      </c>
      <c r="BN2173" s="3">
        <v>67.849999999999994</v>
      </c>
      <c r="BO2173" s="3">
        <v>67.849999999999994</v>
      </c>
      <c r="BQ2173" s="3" t="s">
        <v>89</v>
      </c>
      <c r="BR2173" s="3" t="s">
        <v>84</v>
      </c>
      <c r="BS2173" s="4">
        <v>44587</v>
      </c>
      <c r="BT2173" s="5">
        <v>0.61388888888888882</v>
      </c>
      <c r="BU2173" s="3" t="s">
        <v>1698</v>
      </c>
      <c r="BV2173" s="3" t="s">
        <v>87</v>
      </c>
      <c r="BW2173" s="3" t="s">
        <v>457</v>
      </c>
      <c r="BX2173" s="3" t="s">
        <v>354</v>
      </c>
      <c r="BY2173" s="3">
        <v>9918</v>
      </c>
      <c r="BZ2173" s="3" t="s">
        <v>165</v>
      </c>
      <c r="CA2173" s="3" t="s">
        <v>603</v>
      </c>
      <c r="CC2173" s="3" t="s">
        <v>91</v>
      </c>
      <c r="CD2173" s="3">
        <v>7945</v>
      </c>
      <c r="CE2173" s="3" t="s">
        <v>86</v>
      </c>
      <c r="CF2173" s="4">
        <v>44588</v>
      </c>
      <c r="CI2173" s="3">
        <v>1</v>
      </c>
      <c r="CJ2173" s="3">
        <v>1</v>
      </c>
      <c r="CK2173" s="3">
        <v>21</v>
      </c>
      <c r="CL2173" s="3" t="s">
        <v>87</v>
      </c>
    </row>
    <row r="2174" spans="1:90" x14ac:dyDescent="0.2">
      <c r="A2174" s="3" t="s">
        <v>72</v>
      </c>
      <c r="B2174" s="3" t="s">
        <v>73</v>
      </c>
      <c r="C2174" s="3" t="s">
        <v>74</v>
      </c>
      <c r="E2174" s="3" t="str">
        <f>"FES1162846933"</f>
        <v>FES1162846933</v>
      </c>
      <c r="F2174" s="4">
        <v>44586</v>
      </c>
      <c r="G2174" s="3">
        <v>202207</v>
      </c>
      <c r="H2174" s="3" t="s">
        <v>75</v>
      </c>
      <c r="I2174" s="3" t="s">
        <v>76</v>
      </c>
      <c r="J2174" s="3" t="s">
        <v>77</v>
      </c>
      <c r="K2174" s="3" t="s">
        <v>78</v>
      </c>
      <c r="L2174" s="3" t="s">
        <v>335</v>
      </c>
      <c r="M2174" s="3" t="s">
        <v>336</v>
      </c>
      <c r="N2174" s="3" t="s">
        <v>2262</v>
      </c>
      <c r="O2174" s="3" t="s">
        <v>148</v>
      </c>
      <c r="P2174" s="3" t="str">
        <f>"2170818217                    "</f>
        <v xml:space="preserve">2170818217                    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34.82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0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3">
        <v>0</v>
      </c>
      <c r="AY2174" s="3">
        <v>0</v>
      </c>
      <c r="AZ2174" s="3">
        <v>0</v>
      </c>
      <c r="BA2174" s="3">
        <v>0</v>
      </c>
      <c r="BB2174" s="3">
        <v>0</v>
      </c>
      <c r="BC2174" s="3">
        <v>0</v>
      </c>
      <c r="BD2174" s="3">
        <v>0</v>
      </c>
      <c r="BE2174" s="3">
        <v>0</v>
      </c>
      <c r="BF2174" s="3">
        <v>0</v>
      </c>
      <c r="BG2174" s="3">
        <v>0</v>
      </c>
      <c r="BH2174" s="3">
        <v>1</v>
      </c>
      <c r="BI2174" s="3">
        <v>6</v>
      </c>
      <c r="BJ2174" s="3">
        <v>18.3</v>
      </c>
      <c r="BK2174" s="3">
        <v>19</v>
      </c>
      <c r="BL2174" s="3">
        <v>138.15</v>
      </c>
      <c r="BM2174" s="3">
        <v>20.72</v>
      </c>
      <c r="BN2174" s="3">
        <v>158.87</v>
      </c>
      <c r="BO2174" s="3">
        <v>158.87</v>
      </c>
      <c r="BQ2174" s="3" t="s">
        <v>89</v>
      </c>
      <c r="BR2174" s="3" t="s">
        <v>84</v>
      </c>
      <c r="BS2174" s="4">
        <v>44588</v>
      </c>
      <c r="BT2174" s="5">
        <v>0.39930555555555558</v>
      </c>
      <c r="BU2174" s="3" t="s">
        <v>1549</v>
      </c>
      <c r="BV2174" s="3" t="s">
        <v>87</v>
      </c>
      <c r="BW2174" s="3" t="s">
        <v>453</v>
      </c>
      <c r="BX2174" s="3" t="s">
        <v>1878</v>
      </c>
      <c r="BY2174" s="3">
        <v>91264</v>
      </c>
      <c r="BZ2174" s="3" t="s">
        <v>327</v>
      </c>
      <c r="CA2174" s="3" t="s">
        <v>528</v>
      </c>
      <c r="CC2174" s="3" t="s">
        <v>336</v>
      </c>
      <c r="CD2174" s="3">
        <v>4113</v>
      </c>
      <c r="CE2174" s="3" t="s">
        <v>86</v>
      </c>
      <c r="CF2174" s="4">
        <v>44589</v>
      </c>
      <c r="CI2174" s="3">
        <v>1</v>
      </c>
      <c r="CJ2174" s="3">
        <v>2</v>
      </c>
      <c r="CK2174" s="3">
        <v>41</v>
      </c>
      <c r="CL2174" s="3" t="s">
        <v>87</v>
      </c>
    </row>
    <row r="2175" spans="1:90" x14ac:dyDescent="0.2">
      <c r="A2175" s="3" t="s">
        <v>72</v>
      </c>
      <c r="B2175" s="3" t="s">
        <v>73</v>
      </c>
      <c r="C2175" s="3" t="s">
        <v>74</v>
      </c>
      <c r="E2175" s="3" t="str">
        <f>"FES1162846657"</f>
        <v>FES1162846657</v>
      </c>
      <c r="F2175" s="4">
        <v>44586</v>
      </c>
      <c r="G2175" s="3">
        <v>202207</v>
      </c>
      <c r="H2175" s="3" t="s">
        <v>75</v>
      </c>
      <c r="I2175" s="3" t="s">
        <v>76</v>
      </c>
      <c r="J2175" s="3" t="s">
        <v>77</v>
      </c>
      <c r="K2175" s="3" t="s">
        <v>78</v>
      </c>
      <c r="L2175" s="3" t="s">
        <v>75</v>
      </c>
      <c r="M2175" s="3" t="s">
        <v>76</v>
      </c>
      <c r="N2175" s="3" t="s">
        <v>147</v>
      </c>
      <c r="O2175" s="3" t="s">
        <v>82</v>
      </c>
      <c r="P2175" s="3" t="str">
        <f>"2170817844                    "</f>
        <v xml:space="preserve">2170817844                    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12.07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0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3">
        <v>0</v>
      </c>
      <c r="AY2175" s="3">
        <v>0</v>
      </c>
      <c r="AZ2175" s="3">
        <v>0</v>
      </c>
      <c r="BA2175" s="3">
        <v>0</v>
      </c>
      <c r="BB2175" s="3">
        <v>0</v>
      </c>
      <c r="BC2175" s="3">
        <v>0</v>
      </c>
      <c r="BD2175" s="3">
        <v>0</v>
      </c>
      <c r="BE2175" s="3">
        <v>0</v>
      </c>
      <c r="BF2175" s="3">
        <v>0</v>
      </c>
      <c r="BG2175" s="3">
        <v>0</v>
      </c>
      <c r="BH2175" s="3">
        <v>1</v>
      </c>
      <c r="BI2175" s="3">
        <v>5</v>
      </c>
      <c r="BJ2175" s="3">
        <v>0.9</v>
      </c>
      <c r="BK2175" s="3">
        <v>5</v>
      </c>
      <c r="BL2175" s="3">
        <v>46.08</v>
      </c>
      <c r="BM2175" s="3">
        <v>6.91</v>
      </c>
      <c r="BN2175" s="3">
        <v>52.99</v>
      </c>
      <c r="BO2175" s="3">
        <v>52.99</v>
      </c>
      <c r="BQ2175" s="3" t="s">
        <v>89</v>
      </c>
      <c r="BR2175" s="3" t="s">
        <v>84</v>
      </c>
      <c r="BS2175" s="4">
        <v>44587</v>
      </c>
      <c r="BT2175" s="5">
        <v>0.4152777777777778</v>
      </c>
      <c r="BU2175" s="3" t="s">
        <v>476</v>
      </c>
      <c r="BV2175" s="3" t="s">
        <v>105</v>
      </c>
      <c r="BY2175" s="3">
        <v>4293</v>
      </c>
      <c r="BZ2175" s="3" t="s">
        <v>165</v>
      </c>
      <c r="CA2175" s="3" t="s">
        <v>477</v>
      </c>
      <c r="CC2175" s="3" t="s">
        <v>76</v>
      </c>
      <c r="CD2175" s="3">
        <v>1645</v>
      </c>
      <c r="CE2175" s="3" t="s">
        <v>86</v>
      </c>
      <c r="CF2175" s="4">
        <v>44588</v>
      </c>
      <c r="CI2175" s="3">
        <v>1</v>
      </c>
      <c r="CJ2175" s="3">
        <v>1</v>
      </c>
      <c r="CK2175" s="3">
        <v>22</v>
      </c>
      <c r="CL2175" s="3" t="s">
        <v>87</v>
      </c>
    </row>
    <row r="2176" spans="1:90" x14ac:dyDescent="0.2">
      <c r="A2176" s="3" t="s">
        <v>72</v>
      </c>
      <c r="B2176" s="3" t="s">
        <v>73</v>
      </c>
      <c r="C2176" s="3" t="s">
        <v>74</v>
      </c>
      <c r="E2176" s="3" t="str">
        <f>"009941218703"</f>
        <v>009941218703</v>
      </c>
      <c r="F2176" s="4">
        <v>44586</v>
      </c>
      <c r="G2176" s="3">
        <v>202207</v>
      </c>
      <c r="H2176" s="3" t="s">
        <v>90</v>
      </c>
      <c r="I2176" s="3" t="s">
        <v>91</v>
      </c>
      <c r="J2176" s="3" t="s">
        <v>966</v>
      </c>
      <c r="K2176" s="3" t="s">
        <v>78</v>
      </c>
      <c r="L2176" s="3" t="s">
        <v>75</v>
      </c>
      <c r="M2176" s="3" t="s">
        <v>76</v>
      </c>
      <c r="N2176" s="3" t="s">
        <v>1515</v>
      </c>
      <c r="O2176" s="3" t="s">
        <v>1237</v>
      </c>
      <c r="P2176" s="3" t="str">
        <f t="shared" ref="P2176:P2181" si="0">"1703                          "</f>
        <v xml:space="preserve">1703                          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28.98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0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3">
        <v>0</v>
      </c>
      <c r="AY2176" s="3">
        <v>0</v>
      </c>
      <c r="AZ2176" s="3">
        <v>0</v>
      </c>
      <c r="BA2176" s="3">
        <v>0</v>
      </c>
      <c r="BB2176" s="3">
        <v>0</v>
      </c>
      <c r="BC2176" s="3">
        <v>0</v>
      </c>
      <c r="BD2176" s="3">
        <v>0</v>
      </c>
      <c r="BE2176" s="3">
        <v>0</v>
      </c>
      <c r="BF2176" s="3">
        <v>0</v>
      </c>
      <c r="BG2176" s="3">
        <v>0</v>
      </c>
      <c r="BH2176" s="3">
        <v>1</v>
      </c>
      <c r="BI2176" s="3">
        <v>0.2</v>
      </c>
      <c r="BJ2176" s="3">
        <v>3.6</v>
      </c>
      <c r="BK2176" s="3">
        <v>4</v>
      </c>
      <c r="BL2176" s="3">
        <v>110.62</v>
      </c>
      <c r="BM2176" s="3">
        <v>16.59</v>
      </c>
      <c r="BN2176" s="3">
        <v>127.21</v>
      </c>
      <c r="BO2176" s="3">
        <v>127.21</v>
      </c>
      <c r="BP2176" s="3" t="s">
        <v>2263</v>
      </c>
      <c r="BQ2176" s="3" t="s">
        <v>1516</v>
      </c>
      <c r="BR2176" s="3" t="s">
        <v>141</v>
      </c>
      <c r="BS2176" s="4">
        <v>44587</v>
      </c>
      <c r="BT2176" s="5">
        <v>0.35347222222222219</v>
      </c>
      <c r="BU2176" s="3" t="s">
        <v>1517</v>
      </c>
      <c r="BV2176" s="3" t="s">
        <v>105</v>
      </c>
      <c r="BY2176" s="3">
        <v>17829.18</v>
      </c>
      <c r="BZ2176" s="3" t="s">
        <v>327</v>
      </c>
      <c r="CA2176" s="3" t="s">
        <v>378</v>
      </c>
      <c r="CC2176" s="3" t="s">
        <v>76</v>
      </c>
      <c r="CD2176" s="3">
        <v>1619</v>
      </c>
      <c r="CE2176" s="3" t="s">
        <v>86</v>
      </c>
      <c r="CF2176" s="4">
        <v>44587</v>
      </c>
      <c r="CI2176" s="3">
        <v>1</v>
      </c>
      <c r="CJ2176" s="3">
        <v>1</v>
      </c>
      <c r="CK2176" s="3">
        <v>31</v>
      </c>
      <c r="CL2176" s="3" t="s">
        <v>87</v>
      </c>
    </row>
    <row r="2177" spans="1:90" x14ac:dyDescent="0.2">
      <c r="A2177" s="3" t="s">
        <v>72</v>
      </c>
      <c r="B2177" s="3" t="s">
        <v>73</v>
      </c>
      <c r="C2177" s="3" t="s">
        <v>74</v>
      </c>
      <c r="E2177" s="3" t="str">
        <f>"009941218695"</f>
        <v>009941218695</v>
      </c>
      <c r="F2177" s="4">
        <v>44586</v>
      </c>
      <c r="G2177" s="3">
        <v>202207</v>
      </c>
      <c r="H2177" s="3" t="s">
        <v>90</v>
      </c>
      <c r="I2177" s="3" t="s">
        <v>91</v>
      </c>
      <c r="J2177" s="3" t="s">
        <v>966</v>
      </c>
      <c r="K2177" s="3" t="s">
        <v>78</v>
      </c>
      <c r="L2177" s="3" t="s">
        <v>75</v>
      </c>
      <c r="M2177" s="3" t="s">
        <v>76</v>
      </c>
      <c r="N2177" s="3" t="s">
        <v>1515</v>
      </c>
      <c r="O2177" s="3" t="s">
        <v>1237</v>
      </c>
      <c r="P2177" s="3" t="str">
        <f t="shared" si="0"/>
        <v xml:space="preserve">1703                          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144.91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0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3">
        <v>0</v>
      </c>
      <c r="AY2177" s="3">
        <v>0</v>
      </c>
      <c r="AZ2177" s="3">
        <v>0</v>
      </c>
      <c r="BA2177" s="3">
        <v>0</v>
      </c>
      <c r="BB2177" s="3">
        <v>0</v>
      </c>
      <c r="BC2177" s="3">
        <v>0</v>
      </c>
      <c r="BD2177" s="3">
        <v>0</v>
      </c>
      <c r="BE2177" s="3">
        <v>0</v>
      </c>
      <c r="BF2177" s="3">
        <v>0</v>
      </c>
      <c r="BG2177" s="3">
        <v>0</v>
      </c>
      <c r="BH2177" s="3">
        <v>1</v>
      </c>
      <c r="BI2177" s="3">
        <v>4</v>
      </c>
      <c r="BJ2177" s="3">
        <v>19.5</v>
      </c>
      <c r="BK2177" s="3">
        <v>20</v>
      </c>
      <c r="BL2177" s="3">
        <v>553.11</v>
      </c>
      <c r="BM2177" s="3">
        <v>82.97</v>
      </c>
      <c r="BN2177" s="3">
        <v>636.08000000000004</v>
      </c>
      <c r="BO2177" s="3">
        <v>636.08000000000004</v>
      </c>
      <c r="BP2177" s="3" t="s">
        <v>2264</v>
      </c>
      <c r="BQ2177" s="3" t="s">
        <v>1516</v>
      </c>
      <c r="BR2177" s="3" t="s">
        <v>141</v>
      </c>
      <c r="BS2177" s="4">
        <v>44587</v>
      </c>
      <c r="BT2177" s="5">
        <v>0.35347222222222219</v>
      </c>
      <c r="BU2177" s="3" t="s">
        <v>1517</v>
      </c>
      <c r="BV2177" s="3" t="s">
        <v>105</v>
      </c>
      <c r="BY2177" s="3">
        <v>97484.58</v>
      </c>
      <c r="BZ2177" s="3" t="s">
        <v>327</v>
      </c>
      <c r="CA2177" s="3" t="s">
        <v>378</v>
      </c>
      <c r="CC2177" s="3" t="s">
        <v>76</v>
      </c>
      <c r="CD2177" s="3">
        <v>1619</v>
      </c>
      <c r="CE2177" s="3" t="s">
        <v>86</v>
      </c>
      <c r="CF2177" s="4">
        <v>44587</v>
      </c>
      <c r="CI2177" s="3">
        <v>1</v>
      </c>
      <c r="CJ2177" s="3">
        <v>1</v>
      </c>
      <c r="CK2177" s="3">
        <v>31</v>
      </c>
      <c r="CL2177" s="3" t="s">
        <v>87</v>
      </c>
    </row>
    <row r="2178" spans="1:90" x14ac:dyDescent="0.2">
      <c r="A2178" s="3" t="s">
        <v>72</v>
      </c>
      <c r="B2178" s="3" t="s">
        <v>73</v>
      </c>
      <c r="C2178" s="3" t="s">
        <v>74</v>
      </c>
      <c r="E2178" s="3" t="str">
        <f>"009941218698"</f>
        <v>009941218698</v>
      </c>
      <c r="F2178" s="4">
        <v>44586</v>
      </c>
      <c r="G2178" s="3">
        <v>202207</v>
      </c>
      <c r="H2178" s="3" t="s">
        <v>90</v>
      </c>
      <c r="I2178" s="3" t="s">
        <v>91</v>
      </c>
      <c r="J2178" s="3" t="s">
        <v>966</v>
      </c>
      <c r="K2178" s="3" t="s">
        <v>78</v>
      </c>
      <c r="L2178" s="3" t="s">
        <v>75</v>
      </c>
      <c r="M2178" s="3" t="s">
        <v>76</v>
      </c>
      <c r="N2178" s="3" t="s">
        <v>1515</v>
      </c>
      <c r="O2178" s="3" t="s">
        <v>1237</v>
      </c>
      <c r="P2178" s="3" t="str">
        <f t="shared" si="0"/>
        <v xml:space="preserve">1703                          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28.98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0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3">
        <v>0</v>
      </c>
      <c r="AY2178" s="3">
        <v>0</v>
      </c>
      <c r="AZ2178" s="3">
        <v>0</v>
      </c>
      <c r="BA2178" s="3">
        <v>0</v>
      </c>
      <c r="BB2178" s="3">
        <v>0</v>
      </c>
      <c r="BC2178" s="3">
        <v>0</v>
      </c>
      <c r="BD2178" s="3">
        <v>0</v>
      </c>
      <c r="BE2178" s="3">
        <v>0</v>
      </c>
      <c r="BF2178" s="3">
        <v>0</v>
      </c>
      <c r="BG2178" s="3">
        <v>0</v>
      </c>
      <c r="BH2178" s="3">
        <v>1</v>
      </c>
      <c r="BI2178" s="3">
        <v>0.4</v>
      </c>
      <c r="BJ2178" s="3">
        <v>2.5</v>
      </c>
      <c r="BK2178" s="3">
        <v>3</v>
      </c>
      <c r="BL2178" s="3">
        <v>110.62</v>
      </c>
      <c r="BM2178" s="3">
        <v>16.59</v>
      </c>
      <c r="BN2178" s="3">
        <v>127.21</v>
      </c>
      <c r="BO2178" s="3">
        <v>127.21</v>
      </c>
      <c r="BP2178" s="3" t="s">
        <v>2265</v>
      </c>
      <c r="BQ2178" s="3" t="s">
        <v>1516</v>
      </c>
      <c r="BR2178" s="3" t="s">
        <v>141</v>
      </c>
      <c r="BS2178" s="4">
        <v>44587</v>
      </c>
      <c r="BT2178" s="5">
        <v>0.35347222222222219</v>
      </c>
      <c r="BU2178" s="3" t="s">
        <v>1517</v>
      </c>
      <c r="BV2178" s="3" t="s">
        <v>105</v>
      </c>
      <c r="BY2178" s="3">
        <v>12325.78</v>
      </c>
      <c r="BZ2178" s="3" t="s">
        <v>327</v>
      </c>
      <c r="CA2178" s="3" t="s">
        <v>378</v>
      </c>
      <c r="CC2178" s="3" t="s">
        <v>76</v>
      </c>
      <c r="CD2178" s="3">
        <v>1619</v>
      </c>
      <c r="CE2178" s="3" t="s">
        <v>86</v>
      </c>
      <c r="CF2178" s="4">
        <v>44587</v>
      </c>
      <c r="CI2178" s="3">
        <v>1</v>
      </c>
      <c r="CJ2178" s="3">
        <v>1</v>
      </c>
      <c r="CK2178" s="3">
        <v>31</v>
      </c>
      <c r="CL2178" s="3" t="s">
        <v>87</v>
      </c>
    </row>
    <row r="2179" spans="1:90" x14ac:dyDescent="0.2">
      <c r="A2179" s="3" t="s">
        <v>72</v>
      </c>
      <c r="B2179" s="3" t="s">
        <v>73</v>
      </c>
      <c r="C2179" s="3" t="s">
        <v>74</v>
      </c>
      <c r="E2179" s="3" t="str">
        <f>"009941218699"</f>
        <v>009941218699</v>
      </c>
      <c r="F2179" s="4">
        <v>44586</v>
      </c>
      <c r="G2179" s="3">
        <v>202207</v>
      </c>
      <c r="H2179" s="3" t="s">
        <v>90</v>
      </c>
      <c r="I2179" s="3" t="s">
        <v>91</v>
      </c>
      <c r="J2179" s="3" t="s">
        <v>966</v>
      </c>
      <c r="K2179" s="3" t="s">
        <v>78</v>
      </c>
      <c r="L2179" s="3" t="s">
        <v>75</v>
      </c>
      <c r="M2179" s="3" t="s">
        <v>76</v>
      </c>
      <c r="N2179" s="3" t="s">
        <v>1515</v>
      </c>
      <c r="O2179" s="3" t="s">
        <v>1237</v>
      </c>
      <c r="P2179" s="3" t="str">
        <f t="shared" si="0"/>
        <v xml:space="preserve">1703                          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36.229999999999997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0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3">
        <v>0</v>
      </c>
      <c r="AY2179" s="3">
        <v>0</v>
      </c>
      <c r="AZ2179" s="3">
        <v>0</v>
      </c>
      <c r="BA2179" s="3">
        <v>0</v>
      </c>
      <c r="BB2179" s="3">
        <v>0</v>
      </c>
      <c r="BC2179" s="3">
        <v>0</v>
      </c>
      <c r="BD2179" s="3">
        <v>0</v>
      </c>
      <c r="BE2179" s="3">
        <v>0</v>
      </c>
      <c r="BF2179" s="3">
        <v>0</v>
      </c>
      <c r="BG2179" s="3">
        <v>0</v>
      </c>
      <c r="BH2179" s="3">
        <v>1</v>
      </c>
      <c r="BI2179" s="3">
        <v>4.8</v>
      </c>
      <c r="BJ2179" s="3">
        <v>3.3</v>
      </c>
      <c r="BK2179" s="3">
        <v>5</v>
      </c>
      <c r="BL2179" s="3">
        <v>138.28</v>
      </c>
      <c r="BM2179" s="3">
        <v>20.74</v>
      </c>
      <c r="BN2179" s="3">
        <v>159.02000000000001</v>
      </c>
      <c r="BO2179" s="3">
        <v>159.02000000000001</v>
      </c>
      <c r="BP2179" s="3" t="s">
        <v>2266</v>
      </c>
      <c r="BQ2179" s="3" t="s">
        <v>1516</v>
      </c>
      <c r="BR2179" s="3" t="s">
        <v>141</v>
      </c>
      <c r="BS2179" s="4">
        <v>44587</v>
      </c>
      <c r="BT2179" s="5">
        <v>0.35347222222222219</v>
      </c>
      <c r="BU2179" s="3" t="s">
        <v>1517</v>
      </c>
      <c r="BV2179" s="3" t="s">
        <v>105</v>
      </c>
      <c r="BY2179" s="3">
        <v>16336.32</v>
      </c>
      <c r="BZ2179" s="3" t="s">
        <v>327</v>
      </c>
      <c r="CA2179" s="3" t="s">
        <v>378</v>
      </c>
      <c r="CC2179" s="3" t="s">
        <v>76</v>
      </c>
      <c r="CD2179" s="3">
        <v>1619</v>
      </c>
      <c r="CE2179" s="3" t="s">
        <v>86</v>
      </c>
      <c r="CF2179" s="4">
        <v>44587</v>
      </c>
      <c r="CI2179" s="3">
        <v>1</v>
      </c>
      <c r="CJ2179" s="3">
        <v>1</v>
      </c>
      <c r="CK2179" s="3">
        <v>31</v>
      </c>
      <c r="CL2179" s="3" t="s">
        <v>87</v>
      </c>
    </row>
    <row r="2180" spans="1:90" x14ac:dyDescent="0.2">
      <c r="A2180" s="3" t="s">
        <v>72</v>
      </c>
      <c r="B2180" s="3" t="s">
        <v>73</v>
      </c>
      <c r="C2180" s="3" t="s">
        <v>74</v>
      </c>
      <c r="E2180" s="3" t="str">
        <f>"009941218697"</f>
        <v>009941218697</v>
      </c>
      <c r="F2180" s="4">
        <v>44586</v>
      </c>
      <c r="G2180" s="3">
        <v>202207</v>
      </c>
      <c r="H2180" s="3" t="s">
        <v>90</v>
      </c>
      <c r="I2180" s="3" t="s">
        <v>91</v>
      </c>
      <c r="J2180" s="3" t="s">
        <v>966</v>
      </c>
      <c r="K2180" s="3" t="s">
        <v>78</v>
      </c>
      <c r="L2180" s="3" t="s">
        <v>75</v>
      </c>
      <c r="M2180" s="3" t="s">
        <v>76</v>
      </c>
      <c r="N2180" s="3" t="s">
        <v>1515</v>
      </c>
      <c r="O2180" s="3" t="s">
        <v>1237</v>
      </c>
      <c r="P2180" s="3" t="str">
        <f t="shared" si="0"/>
        <v xml:space="preserve">1703                          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28.98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0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3">
        <v>0</v>
      </c>
      <c r="AY2180" s="3">
        <v>0</v>
      </c>
      <c r="AZ2180" s="3">
        <v>0</v>
      </c>
      <c r="BA2180" s="3">
        <v>0</v>
      </c>
      <c r="BB2180" s="3">
        <v>0</v>
      </c>
      <c r="BC2180" s="3">
        <v>0</v>
      </c>
      <c r="BD2180" s="3">
        <v>0</v>
      </c>
      <c r="BE2180" s="3">
        <v>0</v>
      </c>
      <c r="BF2180" s="3">
        <v>0</v>
      </c>
      <c r="BG2180" s="3">
        <v>0</v>
      </c>
      <c r="BH2180" s="3">
        <v>1</v>
      </c>
      <c r="BI2180" s="3">
        <v>1.7</v>
      </c>
      <c r="BJ2180" s="3">
        <v>2</v>
      </c>
      <c r="BK2180" s="3">
        <v>2</v>
      </c>
      <c r="BL2180" s="3">
        <v>110.62</v>
      </c>
      <c r="BM2180" s="3">
        <v>16.59</v>
      </c>
      <c r="BN2180" s="3">
        <v>127.21</v>
      </c>
      <c r="BO2180" s="3">
        <v>127.21</v>
      </c>
      <c r="BP2180" s="3" t="s">
        <v>2267</v>
      </c>
      <c r="BQ2180" s="3" t="s">
        <v>1516</v>
      </c>
      <c r="BR2180" s="3" t="s">
        <v>141</v>
      </c>
      <c r="BS2180" s="4">
        <v>44587</v>
      </c>
      <c r="BT2180" s="5">
        <v>0.35347222222222219</v>
      </c>
      <c r="BU2180" s="3" t="s">
        <v>1517</v>
      </c>
      <c r="BV2180" s="3" t="s">
        <v>105</v>
      </c>
      <c r="BY2180" s="3">
        <v>9996.3799999999992</v>
      </c>
      <c r="BZ2180" s="3" t="s">
        <v>327</v>
      </c>
      <c r="CA2180" s="3" t="s">
        <v>378</v>
      </c>
      <c r="CC2180" s="3" t="s">
        <v>76</v>
      </c>
      <c r="CD2180" s="3">
        <v>1619</v>
      </c>
      <c r="CE2180" s="3" t="s">
        <v>86</v>
      </c>
      <c r="CF2180" s="4">
        <v>44587</v>
      </c>
      <c r="CI2180" s="3">
        <v>1</v>
      </c>
      <c r="CJ2180" s="3">
        <v>1</v>
      </c>
      <c r="CK2180" s="3">
        <v>31</v>
      </c>
      <c r="CL2180" s="3" t="s">
        <v>87</v>
      </c>
    </row>
    <row r="2181" spans="1:90" x14ac:dyDescent="0.2">
      <c r="A2181" s="3" t="s">
        <v>72</v>
      </c>
      <c r="B2181" s="3" t="s">
        <v>73</v>
      </c>
      <c r="C2181" s="3" t="s">
        <v>74</v>
      </c>
      <c r="E2181" s="3" t="str">
        <f>"009941218696"</f>
        <v>009941218696</v>
      </c>
      <c r="F2181" s="4">
        <v>44586</v>
      </c>
      <c r="G2181" s="3">
        <v>202207</v>
      </c>
      <c r="H2181" s="3" t="s">
        <v>90</v>
      </c>
      <c r="I2181" s="3" t="s">
        <v>91</v>
      </c>
      <c r="J2181" s="3" t="s">
        <v>966</v>
      </c>
      <c r="K2181" s="3" t="s">
        <v>78</v>
      </c>
      <c r="L2181" s="3" t="s">
        <v>75</v>
      </c>
      <c r="M2181" s="3" t="s">
        <v>76</v>
      </c>
      <c r="N2181" s="3" t="s">
        <v>1515</v>
      </c>
      <c r="O2181" s="3" t="s">
        <v>1237</v>
      </c>
      <c r="P2181" s="3" t="str">
        <f t="shared" si="0"/>
        <v xml:space="preserve">1703                          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28.98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0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3">
        <v>0</v>
      </c>
      <c r="AY2181" s="3">
        <v>0</v>
      </c>
      <c r="AZ2181" s="3">
        <v>0</v>
      </c>
      <c r="BA2181" s="3">
        <v>0</v>
      </c>
      <c r="BB2181" s="3">
        <v>0</v>
      </c>
      <c r="BC2181" s="3">
        <v>0</v>
      </c>
      <c r="BD2181" s="3">
        <v>0</v>
      </c>
      <c r="BE2181" s="3">
        <v>0</v>
      </c>
      <c r="BF2181" s="3">
        <v>0</v>
      </c>
      <c r="BG2181" s="3">
        <v>0</v>
      </c>
      <c r="BH2181" s="3">
        <v>1</v>
      </c>
      <c r="BI2181" s="3">
        <v>0.1</v>
      </c>
      <c r="BJ2181" s="3">
        <v>3.1</v>
      </c>
      <c r="BK2181" s="3">
        <v>4</v>
      </c>
      <c r="BL2181" s="3">
        <v>110.62</v>
      </c>
      <c r="BM2181" s="3">
        <v>16.59</v>
      </c>
      <c r="BN2181" s="3">
        <v>127.21</v>
      </c>
      <c r="BO2181" s="3">
        <v>127.21</v>
      </c>
      <c r="BP2181" s="3" t="s">
        <v>2268</v>
      </c>
      <c r="BQ2181" s="3" t="s">
        <v>1516</v>
      </c>
      <c r="BR2181" s="3" t="s">
        <v>141</v>
      </c>
      <c r="BS2181" s="4">
        <v>44587</v>
      </c>
      <c r="BT2181" s="5">
        <v>0.35347222222222219</v>
      </c>
      <c r="BU2181" s="3" t="s">
        <v>1517</v>
      </c>
      <c r="BV2181" s="3" t="s">
        <v>105</v>
      </c>
      <c r="BY2181" s="3">
        <v>15424.2</v>
      </c>
      <c r="BZ2181" s="3" t="s">
        <v>327</v>
      </c>
      <c r="CA2181" s="3" t="s">
        <v>378</v>
      </c>
      <c r="CC2181" s="3" t="s">
        <v>76</v>
      </c>
      <c r="CD2181" s="3">
        <v>1619</v>
      </c>
      <c r="CE2181" s="3" t="s">
        <v>86</v>
      </c>
      <c r="CF2181" s="4">
        <v>44587</v>
      </c>
      <c r="CI2181" s="3">
        <v>1</v>
      </c>
      <c r="CJ2181" s="3">
        <v>1</v>
      </c>
      <c r="CK2181" s="3">
        <v>31</v>
      </c>
      <c r="CL2181" s="3" t="s">
        <v>87</v>
      </c>
    </row>
    <row r="2182" spans="1:90" x14ac:dyDescent="0.2">
      <c r="A2182" s="3" t="s">
        <v>72</v>
      </c>
      <c r="B2182" s="3" t="s">
        <v>73</v>
      </c>
      <c r="C2182" s="3" t="s">
        <v>74</v>
      </c>
      <c r="E2182" s="3" t="str">
        <f>"009941147068"</f>
        <v>009941147068</v>
      </c>
      <c r="F2182" s="4">
        <v>44586</v>
      </c>
      <c r="G2182" s="3">
        <v>202207</v>
      </c>
      <c r="H2182" s="3" t="s">
        <v>90</v>
      </c>
      <c r="I2182" s="3" t="s">
        <v>91</v>
      </c>
      <c r="J2182" s="3" t="s">
        <v>2269</v>
      </c>
      <c r="K2182" s="3" t="s">
        <v>78</v>
      </c>
      <c r="L2182" s="3" t="s">
        <v>75</v>
      </c>
      <c r="M2182" s="3" t="s">
        <v>76</v>
      </c>
      <c r="N2182" s="3" t="s">
        <v>966</v>
      </c>
      <c r="O2182" s="3" t="s">
        <v>1237</v>
      </c>
      <c r="P2182" s="3" t="str">
        <f>"                              "</f>
        <v xml:space="preserve">                              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28.98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0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3">
        <v>0</v>
      </c>
      <c r="AY2182" s="3">
        <v>0</v>
      </c>
      <c r="AZ2182" s="3">
        <v>0</v>
      </c>
      <c r="BA2182" s="3">
        <v>0</v>
      </c>
      <c r="BB2182" s="3">
        <v>0</v>
      </c>
      <c r="BC2182" s="3">
        <v>0</v>
      </c>
      <c r="BD2182" s="3">
        <v>0</v>
      </c>
      <c r="BE2182" s="3">
        <v>0</v>
      </c>
      <c r="BF2182" s="3">
        <v>0</v>
      </c>
      <c r="BG2182" s="3">
        <v>0</v>
      </c>
      <c r="BH2182" s="3">
        <v>1</v>
      </c>
      <c r="BI2182" s="3">
        <v>0.4</v>
      </c>
      <c r="BJ2182" s="3">
        <v>0.6</v>
      </c>
      <c r="BK2182" s="3">
        <v>1</v>
      </c>
      <c r="BL2182" s="3">
        <v>110.62</v>
      </c>
      <c r="BM2182" s="3">
        <v>16.59</v>
      </c>
      <c r="BN2182" s="3">
        <v>127.21</v>
      </c>
      <c r="BO2182" s="3">
        <v>127.21</v>
      </c>
      <c r="BQ2182" s="3" t="s">
        <v>141</v>
      </c>
      <c r="BR2182" s="3" t="s">
        <v>141</v>
      </c>
      <c r="BS2182" s="4">
        <v>44587</v>
      </c>
      <c r="BT2182" s="5">
        <v>0.35347222222222219</v>
      </c>
      <c r="BU2182" s="3" t="s">
        <v>1517</v>
      </c>
      <c r="BV2182" s="3" t="s">
        <v>105</v>
      </c>
      <c r="BY2182" s="3">
        <v>2766.12</v>
      </c>
      <c r="BZ2182" s="3" t="s">
        <v>327</v>
      </c>
      <c r="CA2182" s="3" t="s">
        <v>378</v>
      </c>
      <c r="CC2182" s="3" t="s">
        <v>76</v>
      </c>
      <c r="CD2182" s="3">
        <v>1600</v>
      </c>
      <c r="CE2182" s="3" t="s">
        <v>86</v>
      </c>
      <c r="CF2182" s="4">
        <v>44587</v>
      </c>
      <c r="CI2182" s="3">
        <v>1</v>
      </c>
      <c r="CJ2182" s="3">
        <v>1</v>
      </c>
      <c r="CK2182" s="3">
        <v>31</v>
      </c>
      <c r="CL2182" s="3" t="s">
        <v>87</v>
      </c>
    </row>
    <row r="2183" spans="1:90" x14ac:dyDescent="0.2">
      <c r="A2183" s="3" t="s">
        <v>72</v>
      </c>
      <c r="B2183" s="3" t="s">
        <v>73</v>
      </c>
      <c r="C2183" s="3" t="s">
        <v>74</v>
      </c>
      <c r="E2183" s="3" t="str">
        <f>"009942009258"</f>
        <v>009942009258</v>
      </c>
      <c r="F2183" s="4">
        <v>44587</v>
      </c>
      <c r="G2183" s="3">
        <v>202207</v>
      </c>
      <c r="H2183" s="3" t="s">
        <v>133</v>
      </c>
      <c r="I2183" s="3" t="s">
        <v>134</v>
      </c>
      <c r="J2183" s="3" t="s">
        <v>2270</v>
      </c>
      <c r="K2183" s="3" t="s">
        <v>78</v>
      </c>
      <c r="L2183" s="3" t="s">
        <v>75</v>
      </c>
      <c r="M2183" s="3" t="s">
        <v>76</v>
      </c>
      <c r="N2183" s="3" t="s">
        <v>966</v>
      </c>
      <c r="O2183" s="3" t="s">
        <v>148</v>
      </c>
      <c r="P2183" s="3" t="str">
        <f>"                              "</f>
        <v xml:space="preserve">                              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33.01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0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3">
        <v>0</v>
      </c>
      <c r="AY2183" s="3">
        <v>0</v>
      </c>
      <c r="AZ2183" s="3">
        <v>0</v>
      </c>
      <c r="BA2183" s="3">
        <v>0</v>
      </c>
      <c r="BB2183" s="3">
        <v>0</v>
      </c>
      <c r="BC2183" s="3">
        <v>0</v>
      </c>
      <c r="BD2183" s="3">
        <v>0</v>
      </c>
      <c r="BE2183" s="3">
        <v>0</v>
      </c>
      <c r="BF2183" s="3">
        <v>0</v>
      </c>
      <c r="BG2183" s="3">
        <v>0</v>
      </c>
      <c r="BH2183" s="3">
        <v>1</v>
      </c>
      <c r="BI2183" s="3">
        <v>1.7</v>
      </c>
      <c r="BJ2183" s="3">
        <v>1.9</v>
      </c>
      <c r="BK2183" s="3">
        <v>2</v>
      </c>
      <c r="BL2183" s="3">
        <v>131.25</v>
      </c>
      <c r="BM2183" s="3">
        <v>19.690000000000001</v>
      </c>
      <c r="BN2183" s="3">
        <v>150.94</v>
      </c>
      <c r="BO2183" s="3">
        <v>150.94</v>
      </c>
      <c r="BQ2183" s="3" t="s">
        <v>2271</v>
      </c>
      <c r="BR2183" s="3" t="s">
        <v>2272</v>
      </c>
      <c r="BS2183" s="4">
        <v>44588</v>
      </c>
      <c r="BT2183" s="5">
        <v>0.3833333333333333</v>
      </c>
      <c r="BU2183" s="3" t="s">
        <v>1517</v>
      </c>
      <c r="BV2183" s="3" t="s">
        <v>105</v>
      </c>
      <c r="BY2183" s="3">
        <v>9380.4500000000007</v>
      </c>
      <c r="BZ2183" s="3" t="s">
        <v>327</v>
      </c>
      <c r="CA2183" s="3" t="s">
        <v>378</v>
      </c>
      <c r="CC2183" s="3" t="s">
        <v>76</v>
      </c>
      <c r="CD2183" s="3">
        <v>1600</v>
      </c>
      <c r="CE2183" s="3" t="s">
        <v>86</v>
      </c>
      <c r="CF2183" s="4">
        <v>44588</v>
      </c>
      <c r="CI2183" s="3">
        <v>1</v>
      </c>
      <c r="CJ2183" s="3">
        <v>1</v>
      </c>
      <c r="CK2183" s="3">
        <v>44</v>
      </c>
      <c r="CL2183" s="3" t="s">
        <v>87</v>
      </c>
    </row>
    <row r="2184" spans="1:90" x14ac:dyDescent="0.2">
      <c r="A2184" s="3" t="s">
        <v>72</v>
      </c>
      <c r="B2184" s="3" t="s">
        <v>73</v>
      </c>
      <c r="C2184" s="3" t="s">
        <v>74</v>
      </c>
      <c r="E2184" s="3" t="str">
        <f>"FES1162847024"</f>
        <v>FES1162847024</v>
      </c>
      <c r="F2184" s="4">
        <v>44587</v>
      </c>
      <c r="G2184" s="3">
        <v>202207</v>
      </c>
      <c r="H2184" s="3" t="s">
        <v>75</v>
      </c>
      <c r="I2184" s="3" t="s">
        <v>76</v>
      </c>
      <c r="J2184" s="3" t="s">
        <v>77</v>
      </c>
      <c r="K2184" s="3" t="s">
        <v>78</v>
      </c>
      <c r="L2184" s="3" t="s">
        <v>171</v>
      </c>
      <c r="M2184" s="3" t="s">
        <v>172</v>
      </c>
      <c r="N2184" s="3" t="s">
        <v>174</v>
      </c>
      <c r="O2184" s="3" t="s">
        <v>82</v>
      </c>
      <c r="P2184" s="3" t="str">
        <f>"2170818314                    "</f>
        <v xml:space="preserve">2170818314                    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15.46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0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3">
        <v>0</v>
      </c>
      <c r="AY2184" s="3">
        <v>0</v>
      </c>
      <c r="AZ2184" s="3">
        <v>0</v>
      </c>
      <c r="BA2184" s="3">
        <v>0</v>
      </c>
      <c r="BB2184" s="3">
        <v>0</v>
      </c>
      <c r="BC2184" s="3">
        <v>0</v>
      </c>
      <c r="BD2184" s="3">
        <v>0</v>
      </c>
      <c r="BE2184" s="3">
        <v>0</v>
      </c>
      <c r="BF2184" s="3">
        <v>0</v>
      </c>
      <c r="BG2184" s="3">
        <v>0</v>
      </c>
      <c r="BH2184" s="3">
        <v>1</v>
      </c>
      <c r="BI2184" s="3">
        <v>1</v>
      </c>
      <c r="BJ2184" s="3">
        <v>0.2</v>
      </c>
      <c r="BK2184" s="3">
        <v>1</v>
      </c>
      <c r="BL2184" s="3">
        <v>59</v>
      </c>
      <c r="BM2184" s="3">
        <v>8.85</v>
      </c>
      <c r="BN2184" s="3">
        <v>67.849999999999994</v>
      </c>
      <c r="BO2184" s="3">
        <v>67.849999999999994</v>
      </c>
      <c r="BQ2184" s="3" t="s">
        <v>83</v>
      </c>
      <c r="BR2184" s="3" t="s">
        <v>84</v>
      </c>
      <c r="BS2184" s="4">
        <v>44588</v>
      </c>
      <c r="BT2184" s="5">
        <v>0.38263888888888892</v>
      </c>
      <c r="BU2184" s="3" t="s">
        <v>2273</v>
      </c>
      <c r="BV2184" s="3" t="s">
        <v>105</v>
      </c>
      <c r="BY2184" s="3">
        <v>1200</v>
      </c>
      <c r="BZ2184" s="3" t="s">
        <v>165</v>
      </c>
      <c r="CA2184" s="3" t="s">
        <v>1580</v>
      </c>
      <c r="CC2184" s="3" t="s">
        <v>172</v>
      </c>
      <c r="CD2184" s="3">
        <v>6001</v>
      </c>
      <c r="CE2184" s="3" t="s">
        <v>1513</v>
      </c>
      <c r="CF2184" s="4">
        <v>44588</v>
      </c>
      <c r="CI2184" s="3">
        <v>1</v>
      </c>
      <c r="CJ2184" s="3">
        <v>1</v>
      </c>
      <c r="CK2184" s="3">
        <v>21</v>
      </c>
      <c r="CL2184" s="3" t="s">
        <v>87</v>
      </c>
    </row>
    <row r="2185" spans="1:90" x14ac:dyDescent="0.2">
      <c r="A2185" s="3" t="s">
        <v>72</v>
      </c>
      <c r="B2185" s="3" t="s">
        <v>73</v>
      </c>
      <c r="C2185" s="3" t="s">
        <v>74</v>
      </c>
      <c r="E2185" s="3" t="str">
        <f>"FES1162846854"</f>
        <v>FES1162846854</v>
      </c>
      <c r="F2185" s="4">
        <v>44587</v>
      </c>
      <c r="G2185" s="3">
        <v>202207</v>
      </c>
      <c r="H2185" s="3" t="s">
        <v>75</v>
      </c>
      <c r="I2185" s="3" t="s">
        <v>76</v>
      </c>
      <c r="J2185" s="3" t="s">
        <v>77</v>
      </c>
      <c r="K2185" s="3" t="s">
        <v>78</v>
      </c>
      <c r="L2185" s="3" t="s">
        <v>171</v>
      </c>
      <c r="M2185" s="3" t="s">
        <v>172</v>
      </c>
      <c r="N2185" s="3" t="s">
        <v>725</v>
      </c>
      <c r="O2185" s="3" t="s">
        <v>82</v>
      </c>
      <c r="P2185" s="3" t="str">
        <f>"2170818032                    "</f>
        <v xml:space="preserve">2170818032                    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15.46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0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3">
        <v>0</v>
      </c>
      <c r="AY2185" s="3">
        <v>0</v>
      </c>
      <c r="AZ2185" s="3">
        <v>0</v>
      </c>
      <c r="BA2185" s="3">
        <v>0</v>
      </c>
      <c r="BB2185" s="3">
        <v>0</v>
      </c>
      <c r="BC2185" s="3">
        <v>0</v>
      </c>
      <c r="BD2185" s="3">
        <v>0</v>
      </c>
      <c r="BE2185" s="3">
        <v>0</v>
      </c>
      <c r="BF2185" s="3">
        <v>0</v>
      </c>
      <c r="BG2185" s="3">
        <v>0</v>
      </c>
      <c r="BH2185" s="3">
        <v>1</v>
      </c>
      <c r="BI2185" s="3">
        <v>1</v>
      </c>
      <c r="BJ2185" s="3">
        <v>0.2</v>
      </c>
      <c r="BK2185" s="3">
        <v>1</v>
      </c>
      <c r="BL2185" s="3">
        <v>59</v>
      </c>
      <c r="BM2185" s="3">
        <v>8.85</v>
      </c>
      <c r="BN2185" s="3">
        <v>67.849999999999994</v>
      </c>
      <c r="BO2185" s="3">
        <v>67.849999999999994</v>
      </c>
      <c r="BQ2185" s="3" t="s">
        <v>83</v>
      </c>
      <c r="BR2185" s="3" t="s">
        <v>84</v>
      </c>
      <c r="BS2185" s="4">
        <v>44588</v>
      </c>
      <c r="BT2185" s="5">
        <v>0.32847222222222222</v>
      </c>
      <c r="BU2185" s="3" t="s">
        <v>2061</v>
      </c>
      <c r="BV2185" s="3" t="s">
        <v>105</v>
      </c>
      <c r="BY2185" s="3">
        <v>1200</v>
      </c>
      <c r="BZ2185" s="3" t="s">
        <v>165</v>
      </c>
      <c r="CA2185" s="3" t="s">
        <v>408</v>
      </c>
      <c r="CC2185" s="3" t="s">
        <v>172</v>
      </c>
      <c r="CD2185" s="3">
        <v>6001</v>
      </c>
      <c r="CE2185" s="3" t="s">
        <v>1513</v>
      </c>
      <c r="CF2185" s="4">
        <v>44588</v>
      </c>
      <c r="CI2185" s="3">
        <v>1</v>
      </c>
      <c r="CJ2185" s="3">
        <v>1</v>
      </c>
      <c r="CK2185" s="3">
        <v>21</v>
      </c>
      <c r="CL2185" s="3" t="s">
        <v>87</v>
      </c>
    </row>
    <row r="2186" spans="1:90" x14ac:dyDescent="0.2">
      <c r="A2186" s="3" t="s">
        <v>72</v>
      </c>
      <c r="B2186" s="3" t="s">
        <v>73</v>
      </c>
      <c r="C2186" s="3" t="s">
        <v>74</v>
      </c>
      <c r="E2186" s="3" t="str">
        <f>"FES1162846767"</f>
        <v>FES1162846767</v>
      </c>
      <c r="F2186" s="4">
        <v>44587</v>
      </c>
      <c r="G2186" s="3">
        <v>202207</v>
      </c>
      <c r="H2186" s="3" t="s">
        <v>75</v>
      </c>
      <c r="I2186" s="3" t="s">
        <v>76</v>
      </c>
      <c r="J2186" s="3" t="s">
        <v>77</v>
      </c>
      <c r="K2186" s="3" t="s">
        <v>78</v>
      </c>
      <c r="L2186" s="3" t="s">
        <v>97</v>
      </c>
      <c r="M2186" s="3" t="s">
        <v>98</v>
      </c>
      <c r="N2186" s="3" t="s">
        <v>2274</v>
      </c>
      <c r="O2186" s="3" t="s">
        <v>82</v>
      </c>
      <c r="P2186" s="3" t="str">
        <f>"2170816201                    "</f>
        <v xml:space="preserve">2170816201                    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12.07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0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3">
        <v>0</v>
      </c>
      <c r="AY2186" s="3">
        <v>0</v>
      </c>
      <c r="AZ2186" s="3">
        <v>0</v>
      </c>
      <c r="BA2186" s="3">
        <v>0</v>
      </c>
      <c r="BB2186" s="3">
        <v>0</v>
      </c>
      <c r="BC2186" s="3">
        <v>0</v>
      </c>
      <c r="BD2186" s="3">
        <v>0</v>
      </c>
      <c r="BE2186" s="3">
        <v>0</v>
      </c>
      <c r="BF2186" s="3">
        <v>0</v>
      </c>
      <c r="BG2186" s="3">
        <v>0</v>
      </c>
      <c r="BH2186" s="3">
        <v>1</v>
      </c>
      <c r="BI2186" s="3">
        <v>1</v>
      </c>
      <c r="BJ2186" s="3">
        <v>0.2</v>
      </c>
      <c r="BK2186" s="3">
        <v>1</v>
      </c>
      <c r="BL2186" s="3">
        <v>46.08</v>
      </c>
      <c r="BM2186" s="3">
        <v>6.91</v>
      </c>
      <c r="BN2186" s="3">
        <v>52.99</v>
      </c>
      <c r="BO2186" s="3">
        <v>52.99</v>
      </c>
      <c r="BQ2186" s="3" t="s">
        <v>83</v>
      </c>
      <c r="BR2186" s="3" t="s">
        <v>84</v>
      </c>
      <c r="BS2186" s="4">
        <v>44588</v>
      </c>
      <c r="BT2186" s="5">
        <v>0.38680555555555557</v>
      </c>
      <c r="BU2186" s="3" t="s">
        <v>2275</v>
      </c>
      <c r="BV2186" s="3" t="s">
        <v>105</v>
      </c>
      <c r="BY2186" s="3">
        <v>1200</v>
      </c>
      <c r="BZ2186" s="3" t="s">
        <v>165</v>
      </c>
      <c r="CA2186" s="3" t="s">
        <v>665</v>
      </c>
      <c r="CC2186" s="3" t="s">
        <v>98</v>
      </c>
      <c r="CD2186" s="3">
        <v>2192</v>
      </c>
      <c r="CE2186" s="3" t="s">
        <v>93</v>
      </c>
      <c r="CF2186" s="4">
        <v>44588</v>
      </c>
      <c r="CI2186" s="3">
        <v>1</v>
      </c>
      <c r="CJ2186" s="3">
        <v>1</v>
      </c>
      <c r="CK2186" s="3">
        <v>22</v>
      </c>
      <c r="CL2186" s="3" t="s">
        <v>87</v>
      </c>
    </row>
    <row r="2187" spans="1:90" x14ac:dyDescent="0.2">
      <c r="A2187" s="3" t="s">
        <v>72</v>
      </c>
      <c r="B2187" s="3" t="s">
        <v>73</v>
      </c>
      <c r="C2187" s="3" t="s">
        <v>74</v>
      </c>
      <c r="E2187" s="3" t="str">
        <f>"FES1162846862"</f>
        <v>FES1162846862</v>
      </c>
      <c r="F2187" s="4">
        <v>44587</v>
      </c>
      <c r="G2187" s="3">
        <v>202207</v>
      </c>
      <c r="H2187" s="3" t="s">
        <v>75</v>
      </c>
      <c r="I2187" s="3" t="s">
        <v>76</v>
      </c>
      <c r="J2187" s="3" t="s">
        <v>77</v>
      </c>
      <c r="K2187" s="3" t="s">
        <v>78</v>
      </c>
      <c r="L2187" s="3" t="s">
        <v>75</v>
      </c>
      <c r="M2187" s="3" t="s">
        <v>76</v>
      </c>
      <c r="N2187" s="3" t="s">
        <v>1393</v>
      </c>
      <c r="O2187" s="3" t="s">
        <v>82</v>
      </c>
      <c r="P2187" s="3" t="str">
        <f>"2170818140                    "</f>
        <v xml:space="preserve">2170818140                    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12.07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0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3">
        <v>0</v>
      </c>
      <c r="AY2187" s="3">
        <v>0</v>
      </c>
      <c r="AZ2187" s="3">
        <v>0</v>
      </c>
      <c r="BA2187" s="3">
        <v>0</v>
      </c>
      <c r="BB2187" s="3">
        <v>0</v>
      </c>
      <c r="BC2187" s="3">
        <v>0</v>
      </c>
      <c r="BD2187" s="3">
        <v>0</v>
      </c>
      <c r="BE2187" s="3">
        <v>0</v>
      </c>
      <c r="BF2187" s="3">
        <v>0</v>
      </c>
      <c r="BG2187" s="3">
        <v>0</v>
      </c>
      <c r="BH2187" s="3">
        <v>1</v>
      </c>
      <c r="BI2187" s="3">
        <v>1</v>
      </c>
      <c r="BJ2187" s="3">
        <v>0.2</v>
      </c>
      <c r="BK2187" s="3">
        <v>1</v>
      </c>
      <c r="BL2187" s="3">
        <v>46.08</v>
      </c>
      <c r="BM2187" s="3">
        <v>6.91</v>
      </c>
      <c r="BN2187" s="3">
        <v>52.99</v>
      </c>
      <c r="BO2187" s="3">
        <v>52.99</v>
      </c>
      <c r="BQ2187" s="3" t="s">
        <v>83</v>
      </c>
      <c r="BR2187" s="3" t="s">
        <v>84</v>
      </c>
      <c r="BS2187" s="4">
        <v>44588</v>
      </c>
      <c r="BT2187" s="5">
        <v>0.37916666666666665</v>
      </c>
      <c r="BU2187" s="3" t="s">
        <v>2276</v>
      </c>
      <c r="BV2187" s="3" t="s">
        <v>105</v>
      </c>
      <c r="BY2187" s="3">
        <v>1200</v>
      </c>
      <c r="BZ2187" s="3" t="s">
        <v>165</v>
      </c>
      <c r="CA2187" s="3" t="s">
        <v>607</v>
      </c>
      <c r="CC2187" s="3" t="s">
        <v>76</v>
      </c>
      <c r="CD2187" s="3">
        <v>1665</v>
      </c>
      <c r="CE2187" s="3" t="s">
        <v>93</v>
      </c>
      <c r="CF2187" s="4">
        <v>44589</v>
      </c>
      <c r="CI2187" s="3">
        <v>1</v>
      </c>
      <c r="CJ2187" s="3">
        <v>1</v>
      </c>
      <c r="CK2187" s="3">
        <v>22</v>
      </c>
      <c r="CL2187" s="3" t="s">
        <v>87</v>
      </c>
    </row>
    <row r="2188" spans="1:90" x14ac:dyDescent="0.2">
      <c r="A2188" s="3" t="s">
        <v>72</v>
      </c>
      <c r="B2188" s="3" t="s">
        <v>73</v>
      </c>
      <c r="C2188" s="3" t="s">
        <v>74</v>
      </c>
      <c r="E2188" s="3" t="str">
        <f>"FES1162846973"</f>
        <v>FES1162846973</v>
      </c>
      <c r="F2188" s="4">
        <v>44587</v>
      </c>
      <c r="G2188" s="3">
        <v>202207</v>
      </c>
      <c r="H2188" s="3" t="s">
        <v>75</v>
      </c>
      <c r="I2188" s="3" t="s">
        <v>76</v>
      </c>
      <c r="J2188" s="3" t="s">
        <v>77</v>
      </c>
      <c r="K2188" s="3" t="s">
        <v>78</v>
      </c>
      <c r="L2188" s="3" t="s">
        <v>167</v>
      </c>
      <c r="M2188" s="3" t="s">
        <v>168</v>
      </c>
      <c r="N2188" s="3" t="s">
        <v>194</v>
      </c>
      <c r="O2188" s="3" t="s">
        <v>82</v>
      </c>
      <c r="P2188" s="3" t="str">
        <f>"2170818274                    "</f>
        <v xml:space="preserve">2170818274                    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15.46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Q2188" s="3">
        <v>0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3">
        <v>0</v>
      </c>
      <c r="AY2188" s="3">
        <v>0</v>
      </c>
      <c r="AZ2188" s="3">
        <v>0</v>
      </c>
      <c r="BA2188" s="3">
        <v>0</v>
      </c>
      <c r="BB2188" s="3">
        <v>0</v>
      </c>
      <c r="BC2188" s="3">
        <v>0</v>
      </c>
      <c r="BD2188" s="3">
        <v>0</v>
      </c>
      <c r="BE2188" s="3">
        <v>0</v>
      </c>
      <c r="BF2188" s="3">
        <v>0</v>
      </c>
      <c r="BG2188" s="3">
        <v>0</v>
      </c>
      <c r="BH2188" s="3">
        <v>1</v>
      </c>
      <c r="BI2188" s="3">
        <v>1</v>
      </c>
      <c r="BJ2188" s="3">
        <v>0.2</v>
      </c>
      <c r="BK2188" s="3">
        <v>1</v>
      </c>
      <c r="BL2188" s="3">
        <v>59</v>
      </c>
      <c r="BM2188" s="3">
        <v>8.85</v>
      </c>
      <c r="BN2188" s="3">
        <v>67.849999999999994</v>
      </c>
      <c r="BO2188" s="3">
        <v>67.849999999999994</v>
      </c>
      <c r="BQ2188" s="3" t="s">
        <v>89</v>
      </c>
      <c r="BR2188" s="3" t="s">
        <v>84</v>
      </c>
      <c r="BS2188" s="4">
        <v>44588</v>
      </c>
      <c r="BT2188" s="5">
        <v>0.34027777777777773</v>
      </c>
      <c r="BU2188" s="3" t="s">
        <v>2199</v>
      </c>
      <c r="BV2188" s="3" t="s">
        <v>105</v>
      </c>
      <c r="BY2188" s="3">
        <v>1200</v>
      </c>
      <c r="BZ2188" s="3" t="s">
        <v>165</v>
      </c>
      <c r="CA2188" s="3" t="s">
        <v>553</v>
      </c>
      <c r="CC2188" s="3" t="s">
        <v>168</v>
      </c>
      <c r="CD2188" s="3">
        <v>6229</v>
      </c>
      <c r="CE2188" s="3" t="s">
        <v>1513</v>
      </c>
      <c r="CF2188" s="4">
        <v>44588</v>
      </c>
      <c r="CI2188" s="3">
        <v>1</v>
      </c>
      <c r="CJ2188" s="3">
        <v>1</v>
      </c>
      <c r="CK2188" s="3">
        <v>21</v>
      </c>
      <c r="CL2188" s="3" t="s">
        <v>87</v>
      </c>
    </row>
    <row r="2189" spans="1:90" x14ac:dyDescent="0.2">
      <c r="A2189" s="3" t="s">
        <v>72</v>
      </c>
      <c r="B2189" s="3" t="s">
        <v>73</v>
      </c>
      <c r="C2189" s="3" t="s">
        <v>74</v>
      </c>
      <c r="E2189" s="3" t="str">
        <f>"FES1162846988"</f>
        <v>FES1162846988</v>
      </c>
      <c r="F2189" s="4">
        <v>44587</v>
      </c>
      <c r="G2189" s="3">
        <v>202207</v>
      </c>
      <c r="H2189" s="3" t="s">
        <v>75</v>
      </c>
      <c r="I2189" s="3" t="s">
        <v>76</v>
      </c>
      <c r="J2189" s="3" t="s">
        <v>77</v>
      </c>
      <c r="K2189" s="3" t="s">
        <v>78</v>
      </c>
      <c r="L2189" s="3" t="s">
        <v>171</v>
      </c>
      <c r="M2189" s="3" t="s">
        <v>172</v>
      </c>
      <c r="N2189" s="3" t="s">
        <v>2277</v>
      </c>
      <c r="O2189" s="3" t="s">
        <v>82</v>
      </c>
      <c r="P2189" s="3" t="str">
        <f>"2170817781                    "</f>
        <v xml:space="preserve">2170817781                    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15.46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Q2189" s="3">
        <v>0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3">
        <v>0</v>
      </c>
      <c r="AY2189" s="3">
        <v>0</v>
      </c>
      <c r="AZ2189" s="3">
        <v>0</v>
      </c>
      <c r="BA2189" s="3">
        <v>0</v>
      </c>
      <c r="BB2189" s="3">
        <v>0</v>
      </c>
      <c r="BC2189" s="3">
        <v>0</v>
      </c>
      <c r="BD2189" s="3">
        <v>0</v>
      </c>
      <c r="BE2189" s="3">
        <v>0</v>
      </c>
      <c r="BF2189" s="3">
        <v>0</v>
      </c>
      <c r="BG2189" s="3">
        <v>0</v>
      </c>
      <c r="BH2189" s="3">
        <v>1</v>
      </c>
      <c r="BI2189" s="3">
        <v>1</v>
      </c>
      <c r="BJ2189" s="3">
        <v>0.2</v>
      </c>
      <c r="BK2189" s="3">
        <v>1</v>
      </c>
      <c r="BL2189" s="3">
        <v>59</v>
      </c>
      <c r="BM2189" s="3">
        <v>8.85</v>
      </c>
      <c r="BN2189" s="3">
        <v>67.849999999999994</v>
      </c>
      <c r="BO2189" s="3">
        <v>67.849999999999994</v>
      </c>
      <c r="BQ2189" s="3" t="s">
        <v>83</v>
      </c>
      <c r="BR2189" s="3" t="s">
        <v>84</v>
      </c>
      <c r="BS2189" s="4">
        <v>44588</v>
      </c>
      <c r="BT2189" s="5">
        <v>0.41666666666666669</v>
      </c>
      <c r="BU2189" s="3" t="s">
        <v>2278</v>
      </c>
      <c r="BV2189" s="3" t="s">
        <v>105</v>
      </c>
      <c r="BY2189" s="3">
        <v>1200</v>
      </c>
      <c r="BZ2189" s="3" t="s">
        <v>165</v>
      </c>
      <c r="CA2189" s="3" t="s">
        <v>509</v>
      </c>
      <c r="CC2189" s="3" t="s">
        <v>172</v>
      </c>
      <c r="CD2189" s="3">
        <v>6001</v>
      </c>
      <c r="CE2189" s="3" t="s">
        <v>1513</v>
      </c>
      <c r="CF2189" s="4">
        <v>44588</v>
      </c>
      <c r="CI2189" s="3">
        <v>1</v>
      </c>
      <c r="CJ2189" s="3">
        <v>1</v>
      </c>
      <c r="CK2189" s="3">
        <v>21</v>
      </c>
      <c r="CL2189" s="3" t="s">
        <v>87</v>
      </c>
    </row>
    <row r="2190" spans="1:90" x14ac:dyDescent="0.2">
      <c r="A2190" s="3" t="s">
        <v>72</v>
      </c>
      <c r="B2190" s="3" t="s">
        <v>73</v>
      </c>
      <c r="C2190" s="3" t="s">
        <v>74</v>
      </c>
      <c r="E2190" s="3" t="str">
        <f>"FES1162847046"</f>
        <v>FES1162847046</v>
      </c>
      <c r="F2190" s="4">
        <v>44587</v>
      </c>
      <c r="G2190" s="3">
        <v>202207</v>
      </c>
      <c r="H2190" s="3" t="s">
        <v>75</v>
      </c>
      <c r="I2190" s="3" t="s">
        <v>76</v>
      </c>
      <c r="J2190" s="3" t="s">
        <v>77</v>
      </c>
      <c r="K2190" s="3" t="s">
        <v>78</v>
      </c>
      <c r="L2190" s="3" t="s">
        <v>97</v>
      </c>
      <c r="M2190" s="3" t="s">
        <v>98</v>
      </c>
      <c r="N2190" s="3" t="s">
        <v>644</v>
      </c>
      <c r="O2190" s="3" t="s">
        <v>82</v>
      </c>
      <c r="P2190" s="3" t="str">
        <f>"2170806237                    "</f>
        <v xml:space="preserve">2170806237                    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12.07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Q2190" s="3">
        <v>0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3">
        <v>0</v>
      </c>
      <c r="AY2190" s="3">
        <v>0</v>
      </c>
      <c r="AZ2190" s="3">
        <v>0</v>
      </c>
      <c r="BA2190" s="3">
        <v>0</v>
      </c>
      <c r="BB2190" s="3">
        <v>0</v>
      </c>
      <c r="BC2190" s="3">
        <v>0</v>
      </c>
      <c r="BD2190" s="3">
        <v>0</v>
      </c>
      <c r="BE2190" s="3">
        <v>0</v>
      </c>
      <c r="BF2190" s="3">
        <v>0</v>
      </c>
      <c r="BG2190" s="3">
        <v>0</v>
      </c>
      <c r="BH2190" s="3">
        <v>1</v>
      </c>
      <c r="BI2190" s="3">
        <v>1</v>
      </c>
      <c r="BJ2190" s="3">
        <v>0.2</v>
      </c>
      <c r="BK2190" s="3">
        <v>1</v>
      </c>
      <c r="BL2190" s="3">
        <v>46.08</v>
      </c>
      <c r="BM2190" s="3">
        <v>6.91</v>
      </c>
      <c r="BN2190" s="3">
        <v>52.99</v>
      </c>
      <c r="BO2190" s="3">
        <v>52.99</v>
      </c>
      <c r="BQ2190" s="3" t="s">
        <v>126</v>
      </c>
      <c r="BR2190" s="3" t="s">
        <v>84</v>
      </c>
      <c r="BS2190" s="4">
        <v>44588</v>
      </c>
      <c r="BT2190" s="5">
        <v>0.34236111111111112</v>
      </c>
      <c r="BU2190" s="3" t="s">
        <v>2279</v>
      </c>
      <c r="BV2190" s="3" t="s">
        <v>105</v>
      </c>
      <c r="BY2190" s="3">
        <v>1200</v>
      </c>
      <c r="BZ2190" s="3" t="s">
        <v>165</v>
      </c>
      <c r="CA2190" s="3" t="s">
        <v>297</v>
      </c>
      <c r="CC2190" s="3" t="s">
        <v>98</v>
      </c>
      <c r="CD2190" s="3">
        <v>2013</v>
      </c>
      <c r="CE2190" s="3" t="s">
        <v>93</v>
      </c>
      <c r="CF2190" s="4">
        <v>44588</v>
      </c>
      <c r="CI2190" s="3">
        <v>1</v>
      </c>
      <c r="CJ2190" s="3">
        <v>1</v>
      </c>
      <c r="CK2190" s="3">
        <v>22</v>
      </c>
      <c r="CL2190" s="3" t="s">
        <v>87</v>
      </c>
    </row>
    <row r="2191" spans="1:90" x14ac:dyDescent="0.2">
      <c r="A2191" s="3" t="s">
        <v>72</v>
      </c>
      <c r="B2191" s="3" t="s">
        <v>73</v>
      </c>
      <c r="C2191" s="3" t="s">
        <v>74</v>
      </c>
      <c r="E2191" s="3" t="str">
        <f>"FES1162847037"</f>
        <v>FES1162847037</v>
      </c>
      <c r="F2191" s="4">
        <v>44587</v>
      </c>
      <c r="G2191" s="3">
        <v>202207</v>
      </c>
      <c r="H2191" s="3" t="s">
        <v>75</v>
      </c>
      <c r="I2191" s="3" t="s">
        <v>76</v>
      </c>
      <c r="J2191" s="3" t="s">
        <v>77</v>
      </c>
      <c r="K2191" s="3" t="s">
        <v>78</v>
      </c>
      <c r="L2191" s="3" t="s">
        <v>90</v>
      </c>
      <c r="M2191" s="3" t="s">
        <v>91</v>
      </c>
      <c r="N2191" s="3" t="s">
        <v>584</v>
      </c>
      <c r="O2191" s="3" t="s">
        <v>82</v>
      </c>
      <c r="P2191" s="3" t="str">
        <f>"2170818324                    "</f>
        <v xml:space="preserve">2170818324                    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15.46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0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3">
        <v>0</v>
      </c>
      <c r="AY2191" s="3">
        <v>0</v>
      </c>
      <c r="AZ2191" s="3">
        <v>0</v>
      </c>
      <c r="BA2191" s="3">
        <v>0</v>
      </c>
      <c r="BB2191" s="3">
        <v>0</v>
      </c>
      <c r="BC2191" s="3">
        <v>0</v>
      </c>
      <c r="BD2191" s="3">
        <v>0</v>
      </c>
      <c r="BE2191" s="3">
        <v>0</v>
      </c>
      <c r="BF2191" s="3">
        <v>0</v>
      </c>
      <c r="BG2191" s="3">
        <v>0</v>
      </c>
      <c r="BH2191" s="3">
        <v>1</v>
      </c>
      <c r="BI2191" s="3">
        <v>1</v>
      </c>
      <c r="BJ2191" s="3">
        <v>0.2</v>
      </c>
      <c r="BK2191" s="3">
        <v>1</v>
      </c>
      <c r="BL2191" s="3">
        <v>59</v>
      </c>
      <c r="BM2191" s="3">
        <v>8.85</v>
      </c>
      <c r="BN2191" s="3">
        <v>67.849999999999994</v>
      </c>
      <c r="BO2191" s="3">
        <v>67.849999999999994</v>
      </c>
      <c r="BQ2191" s="3" t="s">
        <v>83</v>
      </c>
      <c r="BR2191" s="3" t="s">
        <v>84</v>
      </c>
      <c r="BS2191" s="4">
        <v>44588</v>
      </c>
      <c r="BT2191" s="5">
        <v>0.34861111111111115</v>
      </c>
      <c r="BU2191" s="3" t="s">
        <v>1067</v>
      </c>
      <c r="BV2191" s="3" t="s">
        <v>105</v>
      </c>
      <c r="BY2191" s="3">
        <v>1200</v>
      </c>
      <c r="BZ2191" s="3" t="s">
        <v>165</v>
      </c>
      <c r="CA2191" s="3" t="s">
        <v>543</v>
      </c>
      <c r="CC2191" s="3" t="s">
        <v>91</v>
      </c>
      <c r="CD2191" s="3">
        <v>7530</v>
      </c>
      <c r="CE2191" s="3" t="s">
        <v>1513</v>
      </c>
      <c r="CF2191" s="4">
        <v>44589</v>
      </c>
      <c r="CI2191" s="3">
        <v>1</v>
      </c>
      <c r="CJ2191" s="3">
        <v>1</v>
      </c>
      <c r="CK2191" s="3">
        <v>21</v>
      </c>
      <c r="CL2191" s="3" t="s">
        <v>87</v>
      </c>
    </row>
    <row r="2192" spans="1:90" x14ac:dyDescent="0.2">
      <c r="A2192" s="3" t="s">
        <v>72</v>
      </c>
      <c r="B2192" s="3" t="s">
        <v>73</v>
      </c>
      <c r="C2192" s="3" t="s">
        <v>74</v>
      </c>
      <c r="E2192" s="3" t="str">
        <f>"FES1162846977"</f>
        <v>FES1162846977</v>
      </c>
      <c r="F2192" s="4">
        <v>44587</v>
      </c>
      <c r="G2192" s="3">
        <v>202207</v>
      </c>
      <c r="H2192" s="3" t="s">
        <v>75</v>
      </c>
      <c r="I2192" s="3" t="s">
        <v>76</v>
      </c>
      <c r="J2192" s="3" t="s">
        <v>77</v>
      </c>
      <c r="K2192" s="3" t="s">
        <v>78</v>
      </c>
      <c r="L2192" s="3" t="s">
        <v>75</v>
      </c>
      <c r="M2192" s="3" t="s">
        <v>76</v>
      </c>
      <c r="N2192" s="3" t="s">
        <v>1393</v>
      </c>
      <c r="O2192" s="3" t="s">
        <v>82</v>
      </c>
      <c r="P2192" s="3" t="str">
        <f>"2170813791                    "</f>
        <v xml:space="preserve">2170813791                    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12.07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Q2192" s="3">
        <v>0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3">
        <v>0</v>
      </c>
      <c r="AY2192" s="3">
        <v>0</v>
      </c>
      <c r="AZ2192" s="3">
        <v>0</v>
      </c>
      <c r="BA2192" s="3">
        <v>0</v>
      </c>
      <c r="BB2192" s="3">
        <v>0</v>
      </c>
      <c r="BC2192" s="3">
        <v>0</v>
      </c>
      <c r="BD2192" s="3">
        <v>0</v>
      </c>
      <c r="BE2192" s="3">
        <v>0</v>
      </c>
      <c r="BF2192" s="3">
        <v>0</v>
      </c>
      <c r="BG2192" s="3">
        <v>0</v>
      </c>
      <c r="BH2192" s="3">
        <v>1</v>
      </c>
      <c r="BI2192" s="3">
        <v>1</v>
      </c>
      <c r="BJ2192" s="3">
        <v>0.2</v>
      </c>
      <c r="BK2192" s="3">
        <v>1</v>
      </c>
      <c r="BL2192" s="3">
        <v>46.08</v>
      </c>
      <c r="BM2192" s="3">
        <v>6.91</v>
      </c>
      <c r="BN2192" s="3">
        <v>52.99</v>
      </c>
      <c r="BO2192" s="3">
        <v>52.99</v>
      </c>
      <c r="BQ2192" s="3" t="s">
        <v>83</v>
      </c>
      <c r="BR2192" s="3" t="s">
        <v>84</v>
      </c>
      <c r="BS2192" s="4">
        <v>44588</v>
      </c>
      <c r="BT2192" s="5">
        <v>0.37916666666666665</v>
      </c>
      <c r="BU2192" s="3" t="s">
        <v>2276</v>
      </c>
      <c r="BV2192" s="3" t="s">
        <v>105</v>
      </c>
      <c r="BY2192" s="3">
        <v>1200</v>
      </c>
      <c r="BZ2192" s="3" t="s">
        <v>165</v>
      </c>
      <c r="CA2192" s="3" t="s">
        <v>607</v>
      </c>
      <c r="CC2192" s="3" t="s">
        <v>76</v>
      </c>
      <c r="CD2192" s="3">
        <v>1665</v>
      </c>
      <c r="CE2192" s="3" t="s">
        <v>93</v>
      </c>
      <c r="CF2192" s="4">
        <v>44589</v>
      </c>
      <c r="CI2192" s="3">
        <v>1</v>
      </c>
      <c r="CJ2192" s="3">
        <v>1</v>
      </c>
      <c r="CK2192" s="3">
        <v>22</v>
      </c>
      <c r="CL2192" s="3" t="s">
        <v>87</v>
      </c>
    </row>
    <row r="2193" spans="1:90" x14ac:dyDescent="0.2">
      <c r="A2193" s="3" t="s">
        <v>72</v>
      </c>
      <c r="B2193" s="3" t="s">
        <v>73</v>
      </c>
      <c r="C2193" s="3" t="s">
        <v>74</v>
      </c>
      <c r="E2193" s="3" t="str">
        <f>"FES1162846877"</f>
        <v>FES1162846877</v>
      </c>
      <c r="F2193" s="4">
        <v>44587</v>
      </c>
      <c r="G2193" s="3">
        <v>202207</v>
      </c>
      <c r="H2193" s="3" t="s">
        <v>75</v>
      </c>
      <c r="I2193" s="3" t="s">
        <v>76</v>
      </c>
      <c r="J2193" s="3" t="s">
        <v>77</v>
      </c>
      <c r="K2193" s="3" t="s">
        <v>78</v>
      </c>
      <c r="L2193" s="3" t="s">
        <v>115</v>
      </c>
      <c r="M2193" s="3" t="s">
        <v>116</v>
      </c>
      <c r="N2193" s="3" t="s">
        <v>419</v>
      </c>
      <c r="O2193" s="3" t="s">
        <v>82</v>
      </c>
      <c r="P2193" s="3" t="str">
        <f>"2170818157                    "</f>
        <v xml:space="preserve">2170818157                    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12.07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0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3">
        <v>0</v>
      </c>
      <c r="AY2193" s="3">
        <v>0</v>
      </c>
      <c r="AZ2193" s="3">
        <v>0</v>
      </c>
      <c r="BA2193" s="3">
        <v>0</v>
      </c>
      <c r="BB2193" s="3">
        <v>0</v>
      </c>
      <c r="BC2193" s="3">
        <v>0</v>
      </c>
      <c r="BD2193" s="3">
        <v>0</v>
      </c>
      <c r="BE2193" s="3">
        <v>0</v>
      </c>
      <c r="BF2193" s="3">
        <v>0</v>
      </c>
      <c r="BG2193" s="3">
        <v>0</v>
      </c>
      <c r="BH2193" s="3">
        <v>1</v>
      </c>
      <c r="BI2193" s="3">
        <v>2</v>
      </c>
      <c r="BJ2193" s="3">
        <v>0.9</v>
      </c>
      <c r="BK2193" s="3">
        <v>2</v>
      </c>
      <c r="BL2193" s="3">
        <v>46.08</v>
      </c>
      <c r="BM2193" s="3">
        <v>6.91</v>
      </c>
      <c r="BN2193" s="3">
        <v>52.99</v>
      </c>
      <c r="BO2193" s="3">
        <v>52.99</v>
      </c>
      <c r="BQ2193" s="3" t="s">
        <v>89</v>
      </c>
      <c r="BR2193" s="3" t="s">
        <v>84</v>
      </c>
      <c r="BS2193" s="4">
        <v>44588</v>
      </c>
      <c r="BT2193" s="5">
        <v>0.42152777777777778</v>
      </c>
      <c r="BU2193" s="3" t="s">
        <v>2280</v>
      </c>
      <c r="BV2193" s="3" t="s">
        <v>105</v>
      </c>
      <c r="BY2193" s="3">
        <v>4500</v>
      </c>
      <c r="BZ2193" s="3" t="s">
        <v>165</v>
      </c>
      <c r="CA2193" s="3" t="s">
        <v>119</v>
      </c>
      <c r="CC2193" s="3" t="s">
        <v>116</v>
      </c>
      <c r="CD2193" s="3">
        <v>1559</v>
      </c>
      <c r="CE2193" s="3" t="s">
        <v>86</v>
      </c>
      <c r="CF2193" s="4">
        <v>44588</v>
      </c>
      <c r="CI2193" s="3">
        <v>1</v>
      </c>
      <c r="CJ2193" s="3">
        <v>1</v>
      </c>
      <c r="CK2193" s="3">
        <v>22</v>
      </c>
      <c r="CL2193" s="3" t="s">
        <v>87</v>
      </c>
    </row>
    <row r="2194" spans="1:90" x14ac:dyDescent="0.2">
      <c r="A2194" s="3" t="s">
        <v>72</v>
      </c>
      <c r="B2194" s="3" t="s">
        <v>73</v>
      </c>
      <c r="C2194" s="3" t="s">
        <v>74</v>
      </c>
      <c r="E2194" s="3" t="str">
        <f>"FES1162847031"</f>
        <v>FES1162847031</v>
      </c>
      <c r="F2194" s="4">
        <v>44587</v>
      </c>
      <c r="G2194" s="3">
        <v>202207</v>
      </c>
      <c r="H2194" s="3" t="s">
        <v>75</v>
      </c>
      <c r="I2194" s="3" t="s">
        <v>76</v>
      </c>
      <c r="J2194" s="3" t="s">
        <v>77</v>
      </c>
      <c r="K2194" s="3" t="s">
        <v>78</v>
      </c>
      <c r="L2194" s="3" t="s">
        <v>94</v>
      </c>
      <c r="M2194" s="3" t="s">
        <v>95</v>
      </c>
      <c r="N2194" s="3" t="s">
        <v>179</v>
      </c>
      <c r="O2194" s="3" t="s">
        <v>82</v>
      </c>
      <c r="P2194" s="3" t="str">
        <f>"2170818315                    "</f>
        <v xml:space="preserve">2170818315                    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15.46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0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3">
        <v>0</v>
      </c>
      <c r="AY2194" s="3">
        <v>0</v>
      </c>
      <c r="AZ2194" s="3">
        <v>0</v>
      </c>
      <c r="BA2194" s="3">
        <v>0</v>
      </c>
      <c r="BB2194" s="3">
        <v>0</v>
      </c>
      <c r="BC2194" s="3">
        <v>0</v>
      </c>
      <c r="BD2194" s="3">
        <v>0</v>
      </c>
      <c r="BE2194" s="3">
        <v>0</v>
      </c>
      <c r="BF2194" s="3">
        <v>0</v>
      </c>
      <c r="BG2194" s="3">
        <v>0</v>
      </c>
      <c r="BH2194" s="3">
        <v>1</v>
      </c>
      <c r="BI2194" s="3">
        <v>1</v>
      </c>
      <c r="BJ2194" s="3">
        <v>0.2</v>
      </c>
      <c r="BK2194" s="3">
        <v>1</v>
      </c>
      <c r="BL2194" s="3">
        <v>59</v>
      </c>
      <c r="BM2194" s="3">
        <v>8.85</v>
      </c>
      <c r="BN2194" s="3">
        <v>67.849999999999994</v>
      </c>
      <c r="BO2194" s="3">
        <v>67.849999999999994</v>
      </c>
      <c r="BQ2194" s="3" t="s">
        <v>83</v>
      </c>
      <c r="BR2194" s="3" t="s">
        <v>84</v>
      </c>
      <c r="BS2194" s="4">
        <v>44588</v>
      </c>
      <c r="BT2194" s="5">
        <v>0.43055555555555558</v>
      </c>
      <c r="BU2194" s="3" t="s">
        <v>2163</v>
      </c>
      <c r="BV2194" s="3" t="s">
        <v>105</v>
      </c>
      <c r="BY2194" s="3">
        <v>1200</v>
      </c>
      <c r="BZ2194" s="3" t="s">
        <v>165</v>
      </c>
      <c r="CC2194" s="3" t="s">
        <v>95</v>
      </c>
      <c r="CD2194" s="3">
        <v>3201</v>
      </c>
      <c r="CE2194" s="3" t="s">
        <v>1513</v>
      </c>
      <c r="CI2194" s="3">
        <v>1</v>
      </c>
      <c r="CJ2194" s="3">
        <v>1</v>
      </c>
      <c r="CK2194" s="3">
        <v>21</v>
      </c>
      <c r="CL2194" s="3" t="s">
        <v>87</v>
      </c>
    </row>
    <row r="2195" spans="1:90" x14ac:dyDescent="0.2">
      <c r="A2195" s="3" t="s">
        <v>72</v>
      </c>
      <c r="B2195" s="3" t="s">
        <v>73</v>
      </c>
      <c r="C2195" s="3" t="s">
        <v>74</v>
      </c>
      <c r="E2195" s="3" t="str">
        <f>"FES1162847026"</f>
        <v>FES1162847026</v>
      </c>
      <c r="F2195" s="4">
        <v>44587</v>
      </c>
      <c r="G2195" s="3">
        <v>202207</v>
      </c>
      <c r="H2195" s="3" t="s">
        <v>75</v>
      </c>
      <c r="I2195" s="3" t="s">
        <v>76</v>
      </c>
      <c r="J2195" s="3" t="s">
        <v>77</v>
      </c>
      <c r="K2195" s="3" t="s">
        <v>78</v>
      </c>
      <c r="L2195" s="3" t="s">
        <v>94</v>
      </c>
      <c r="M2195" s="3" t="s">
        <v>95</v>
      </c>
      <c r="N2195" s="3" t="s">
        <v>96</v>
      </c>
      <c r="O2195" s="3" t="s">
        <v>82</v>
      </c>
      <c r="P2195" s="3" t="str">
        <f>"2170817704                    "</f>
        <v xml:space="preserve">2170817704                    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15.46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0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3">
        <v>0</v>
      </c>
      <c r="AY2195" s="3">
        <v>0</v>
      </c>
      <c r="AZ2195" s="3">
        <v>0</v>
      </c>
      <c r="BA2195" s="3">
        <v>0</v>
      </c>
      <c r="BB2195" s="3">
        <v>0</v>
      </c>
      <c r="BC2195" s="3">
        <v>0</v>
      </c>
      <c r="BD2195" s="3">
        <v>0</v>
      </c>
      <c r="BE2195" s="3">
        <v>0</v>
      </c>
      <c r="BF2195" s="3">
        <v>0</v>
      </c>
      <c r="BG2195" s="3">
        <v>0</v>
      </c>
      <c r="BH2195" s="3">
        <v>1</v>
      </c>
      <c r="BI2195" s="3">
        <v>2</v>
      </c>
      <c r="BJ2195" s="3">
        <v>2</v>
      </c>
      <c r="BK2195" s="3">
        <v>2</v>
      </c>
      <c r="BL2195" s="3">
        <v>59</v>
      </c>
      <c r="BM2195" s="3">
        <v>8.85</v>
      </c>
      <c r="BN2195" s="3">
        <v>67.849999999999994</v>
      </c>
      <c r="BO2195" s="3">
        <v>67.849999999999994</v>
      </c>
      <c r="BQ2195" s="3" t="s">
        <v>89</v>
      </c>
      <c r="BR2195" s="3" t="s">
        <v>84</v>
      </c>
      <c r="BS2195" s="4">
        <v>44588</v>
      </c>
      <c r="BT2195" s="5">
        <v>0.53125</v>
      </c>
      <c r="BU2195" s="3" t="s">
        <v>2281</v>
      </c>
      <c r="BV2195" s="3" t="s">
        <v>87</v>
      </c>
      <c r="BY2195" s="3">
        <v>9900</v>
      </c>
      <c r="BZ2195" s="3" t="s">
        <v>165</v>
      </c>
      <c r="CC2195" s="3" t="s">
        <v>95</v>
      </c>
      <c r="CD2195" s="3">
        <v>3201</v>
      </c>
      <c r="CE2195" s="3" t="s">
        <v>221</v>
      </c>
      <c r="CI2195" s="3">
        <v>1</v>
      </c>
      <c r="CJ2195" s="3">
        <v>1</v>
      </c>
      <c r="CK2195" s="3">
        <v>21</v>
      </c>
      <c r="CL2195" s="3" t="s">
        <v>87</v>
      </c>
    </row>
    <row r="2196" spans="1:90" x14ac:dyDescent="0.2">
      <c r="A2196" s="3" t="s">
        <v>72</v>
      </c>
      <c r="B2196" s="3" t="s">
        <v>73</v>
      </c>
      <c r="C2196" s="3" t="s">
        <v>74</v>
      </c>
      <c r="E2196" s="3" t="str">
        <f>"FES1162847027"</f>
        <v>FES1162847027</v>
      </c>
      <c r="F2196" s="4">
        <v>44587</v>
      </c>
      <c r="G2196" s="3">
        <v>202207</v>
      </c>
      <c r="H2196" s="3" t="s">
        <v>75</v>
      </c>
      <c r="I2196" s="3" t="s">
        <v>76</v>
      </c>
      <c r="J2196" s="3" t="s">
        <v>77</v>
      </c>
      <c r="K2196" s="3" t="s">
        <v>78</v>
      </c>
      <c r="L2196" s="3" t="s">
        <v>94</v>
      </c>
      <c r="M2196" s="3" t="s">
        <v>95</v>
      </c>
      <c r="N2196" s="3" t="s">
        <v>127</v>
      </c>
      <c r="O2196" s="3" t="s">
        <v>82</v>
      </c>
      <c r="P2196" s="3" t="str">
        <f>"2170817903                    "</f>
        <v xml:space="preserve">2170817903                    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15.46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15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3">
        <v>0</v>
      </c>
      <c r="AY2196" s="3">
        <v>0</v>
      </c>
      <c r="AZ2196" s="3">
        <v>0</v>
      </c>
      <c r="BA2196" s="3">
        <v>0</v>
      </c>
      <c r="BB2196" s="3">
        <v>0</v>
      </c>
      <c r="BC2196" s="3">
        <v>0</v>
      </c>
      <c r="BD2196" s="3">
        <v>0</v>
      </c>
      <c r="BE2196" s="3">
        <v>0</v>
      </c>
      <c r="BF2196" s="3">
        <v>0</v>
      </c>
      <c r="BG2196" s="3">
        <v>0</v>
      </c>
      <c r="BH2196" s="3">
        <v>1</v>
      </c>
      <c r="BI2196" s="3">
        <v>1</v>
      </c>
      <c r="BJ2196" s="3">
        <v>0.2</v>
      </c>
      <c r="BK2196" s="3">
        <v>1</v>
      </c>
      <c r="BL2196" s="3">
        <v>74</v>
      </c>
      <c r="BM2196" s="3">
        <v>11.1</v>
      </c>
      <c r="BN2196" s="3">
        <v>85.1</v>
      </c>
      <c r="BO2196" s="3">
        <v>85.1</v>
      </c>
      <c r="BQ2196" s="3" t="s">
        <v>128</v>
      </c>
      <c r="BR2196" s="3" t="s">
        <v>84</v>
      </c>
      <c r="BS2196" s="4">
        <v>44589</v>
      </c>
      <c r="BT2196" s="5">
        <v>0.48125000000000001</v>
      </c>
      <c r="BU2196" s="3" t="s">
        <v>2282</v>
      </c>
      <c r="BV2196" s="3" t="s">
        <v>87</v>
      </c>
      <c r="BY2196" s="3">
        <v>1200</v>
      </c>
      <c r="BZ2196" s="3" t="s">
        <v>446</v>
      </c>
      <c r="CC2196" s="3" t="s">
        <v>95</v>
      </c>
      <c r="CD2196" s="3">
        <v>3699</v>
      </c>
      <c r="CE2196" s="3" t="s">
        <v>1513</v>
      </c>
      <c r="CI2196" s="3">
        <v>1</v>
      </c>
      <c r="CJ2196" s="3">
        <v>2</v>
      </c>
      <c r="CK2196" s="3">
        <v>21</v>
      </c>
      <c r="CL2196" s="3" t="s">
        <v>87</v>
      </c>
    </row>
    <row r="2197" spans="1:90" x14ac:dyDescent="0.2">
      <c r="A2197" s="3" t="s">
        <v>72</v>
      </c>
      <c r="B2197" s="3" t="s">
        <v>73</v>
      </c>
      <c r="C2197" s="3" t="s">
        <v>74</v>
      </c>
      <c r="E2197" s="3" t="str">
        <f>"FES1162846975"</f>
        <v>FES1162846975</v>
      </c>
      <c r="F2197" s="4">
        <v>44587</v>
      </c>
      <c r="G2197" s="3">
        <v>202207</v>
      </c>
      <c r="H2197" s="3" t="s">
        <v>75</v>
      </c>
      <c r="I2197" s="3" t="s">
        <v>76</v>
      </c>
      <c r="J2197" s="3" t="s">
        <v>77</v>
      </c>
      <c r="K2197" s="3" t="s">
        <v>78</v>
      </c>
      <c r="L2197" s="3" t="s">
        <v>97</v>
      </c>
      <c r="M2197" s="3" t="s">
        <v>98</v>
      </c>
      <c r="N2197" s="3" t="s">
        <v>2283</v>
      </c>
      <c r="O2197" s="3" t="s">
        <v>148</v>
      </c>
      <c r="P2197" s="3" t="str">
        <f>"2170818279                    "</f>
        <v xml:space="preserve">2170818279                    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23.74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0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3">
        <v>0</v>
      </c>
      <c r="AY2197" s="3">
        <v>0</v>
      </c>
      <c r="AZ2197" s="3">
        <v>0</v>
      </c>
      <c r="BA2197" s="3">
        <v>0</v>
      </c>
      <c r="BB2197" s="3">
        <v>0</v>
      </c>
      <c r="BC2197" s="3">
        <v>0</v>
      </c>
      <c r="BD2197" s="3">
        <v>0</v>
      </c>
      <c r="BE2197" s="3">
        <v>0</v>
      </c>
      <c r="BF2197" s="3">
        <v>0</v>
      </c>
      <c r="BG2197" s="3">
        <v>0</v>
      </c>
      <c r="BH2197" s="3">
        <v>2</v>
      </c>
      <c r="BI2197" s="3">
        <v>12</v>
      </c>
      <c r="BJ2197" s="3">
        <v>15.5</v>
      </c>
      <c r="BK2197" s="3">
        <v>16</v>
      </c>
      <c r="BL2197" s="3">
        <v>95.86</v>
      </c>
      <c r="BM2197" s="3">
        <v>14.38</v>
      </c>
      <c r="BN2197" s="3">
        <v>110.24</v>
      </c>
      <c r="BO2197" s="3">
        <v>110.24</v>
      </c>
      <c r="BQ2197" s="3" t="s">
        <v>89</v>
      </c>
      <c r="BR2197" s="3" t="s">
        <v>84</v>
      </c>
      <c r="BS2197" s="4">
        <v>44588</v>
      </c>
      <c r="BT2197" s="5">
        <v>0.40972222222222227</v>
      </c>
      <c r="BU2197" s="3" t="s">
        <v>2284</v>
      </c>
      <c r="BV2197" s="3" t="s">
        <v>105</v>
      </c>
      <c r="BY2197" s="3">
        <v>77320</v>
      </c>
      <c r="BZ2197" s="3" t="s">
        <v>327</v>
      </c>
      <c r="CA2197" s="3" t="s">
        <v>2285</v>
      </c>
      <c r="CC2197" s="3" t="s">
        <v>98</v>
      </c>
      <c r="CD2197" s="3">
        <v>2040</v>
      </c>
      <c r="CE2197" s="3" t="s">
        <v>221</v>
      </c>
      <c r="CF2197" s="4">
        <v>44588</v>
      </c>
      <c r="CI2197" s="3">
        <v>1</v>
      </c>
      <c r="CJ2197" s="3">
        <v>1</v>
      </c>
      <c r="CK2197" s="3">
        <v>42</v>
      </c>
      <c r="CL2197" s="3" t="s">
        <v>87</v>
      </c>
    </row>
    <row r="2198" spans="1:90" x14ac:dyDescent="0.2">
      <c r="A2198" s="3" t="s">
        <v>72</v>
      </c>
      <c r="B2198" s="3" t="s">
        <v>73</v>
      </c>
      <c r="C2198" s="3" t="s">
        <v>74</v>
      </c>
      <c r="E2198" s="3" t="str">
        <f>"FES1162847051"</f>
        <v>FES1162847051</v>
      </c>
      <c r="F2198" s="4">
        <v>44587</v>
      </c>
      <c r="G2198" s="3">
        <v>202207</v>
      </c>
      <c r="H2198" s="3" t="s">
        <v>75</v>
      </c>
      <c r="I2198" s="3" t="s">
        <v>76</v>
      </c>
      <c r="J2198" s="3" t="s">
        <v>77</v>
      </c>
      <c r="K2198" s="3" t="s">
        <v>78</v>
      </c>
      <c r="L2198" s="3" t="s">
        <v>138</v>
      </c>
      <c r="M2198" s="3" t="s">
        <v>139</v>
      </c>
      <c r="N2198" s="3" t="s">
        <v>332</v>
      </c>
      <c r="O2198" s="3" t="s">
        <v>148</v>
      </c>
      <c r="P2198" s="3" t="str">
        <f>"2170814684                    "</f>
        <v xml:space="preserve">2170814684                    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32.35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Q2198" s="3">
        <v>0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3">
        <v>0</v>
      </c>
      <c r="AY2198" s="3">
        <v>0</v>
      </c>
      <c r="AZ2198" s="3">
        <v>0</v>
      </c>
      <c r="BA2198" s="3">
        <v>0</v>
      </c>
      <c r="BB2198" s="3">
        <v>0</v>
      </c>
      <c r="BC2198" s="3">
        <v>0</v>
      </c>
      <c r="BD2198" s="3">
        <v>0</v>
      </c>
      <c r="BE2198" s="3">
        <v>0</v>
      </c>
      <c r="BF2198" s="3">
        <v>0</v>
      </c>
      <c r="BG2198" s="3">
        <v>0</v>
      </c>
      <c r="BH2198" s="3">
        <v>1</v>
      </c>
      <c r="BI2198" s="3">
        <v>17</v>
      </c>
      <c r="BJ2198" s="3">
        <v>16.3</v>
      </c>
      <c r="BK2198" s="3">
        <v>17</v>
      </c>
      <c r="BL2198" s="3">
        <v>128.74</v>
      </c>
      <c r="BM2198" s="3">
        <v>19.309999999999999</v>
      </c>
      <c r="BN2198" s="3">
        <v>148.05000000000001</v>
      </c>
      <c r="BO2198" s="3">
        <v>148.05000000000001</v>
      </c>
      <c r="BQ2198" s="3" t="s">
        <v>89</v>
      </c>
      <c r="BR2198" s="3" t="s">
        <v>84</v>
      </c>
      <c r="BS2198" s="4">
        <v>44588</v>
      </c>
      <c r="BT2198" s="5">
        <v>0.53055555555555556</v>
      </c>
      <c r="BU2198" s="3" t="s">
        <v>2286</v>
      </c>
      <c r="BV2198" s="3" t="s">
        <v>105</v>
      </c>
      <c r="BY2198" s="3">
        <v>81675</v>
      </c>
      <c r="BZ2198" s="3" t="s">
        <v>327</v>
      </c>
      <c r="CA2198" s="3" t="s">
        <v>2287</v>
      </c>
      <c r="CC2198" s="3" t="s">
        <v>139</v>
      </c>
      <c r="CD2198" s="3">
        <v>3600</v>
      </c>
      <c r="CE2198" s="3" t="s">
        <v>221</v>
      </c>
      <c r="CF2198" s="4">
        <v>44589</v>
      </c>
      <c r="CI2198" s="3">
        <v>1</v>
      </c>
      <c r="CJ2198" s="3">
        <v>1</v>
      </c>
      <c r="CK2198" s="3">
        <v>41</v>
      </c>
      <c r="CL2198" s="3" t="s">
        <v>87</v>
      </c>
    </row>
    <row r="2199" spans="1:90" x14ac:dyDescent="0.2">
      <c r="A2199" s="3" t="s">
        <v>72</v>
      </c>
      <c r="B2199" s="3" t="s">
        <v>73</v>
      </c>
      <c r="C2199" s="3" t="s">
        <v>74</v>
      </c>
      <c r="E2199" s="3" t="str">
        <f>"FES1162846776"</f>
        <v>FES1162846776</v>
      </c>
      <c r="F2199" s="4">
        <v>44587</v>
      </c>
      <c r="G2199" s="3">
        <v>202207</v>
      </c>
      <c r="H2199" s="3" t="s">
        <v>75</v>
      </c>
      <c r="I2199" s="3" t="s">
        <v>76</v>
      </c>
      <c r="J2199" s="3" t="s">
        <v>77</v>
      </c>
      <c r="K2199" s="3" t="s">
        <v>78</v>
      </c>
      <c r="L2199" s="3" t="s">
        <v>101</v>
      </c>
      <c r="M2199" s="3" t="s">
        <v>102</v>
      </c>
      <c r="N2199" s="3" t="s">
        <v>103</v>
      </c>
      <c r="O2199" s="3" t="s">
        <v>82</v>
      </c>
      <c r="P2199" s="3" t="str">
        <f>"2170816294                    "</f>
        <v xml:space="preserve">2170816294                    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73.39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0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3">
        <v>0</v>
      </c>
      <c r="AY2199" s="3">
        <v>0</v>
      </c>
      <c r="AZ2199" s="3">
        <v>0</v>
      </c>
      <c r="BA2199" s="3">
        <v>0</v>
      </c>
      <c r="BB2199" s="3">
        <v>0</v>
      </c>
      <c r="BC2199" s="3">
        <v>0</v>
      </c>
      <c r="BD2199" s="3">
        <v>0</v>
      </c>
      <c r="BE2199" s="3">
        <v>0</v>
      </c>
      <c r="BF2199" s="3">
        <v>0</v>
      </c>
      <c r="BG2199" s="3">
        <v>0</v>
      </c>
      <c r="BH2199" s="3">
        <v>1</v>
      </c>
      <c r="BI2199" s="3">
        <v>7</v>
      </c>
      <c r="BJ2199" s="3">
        <v>9.1</v>
      </c>
      <c r="BK2199" s="3">
        <v>9.5</v>
      </c>
      <c r="BL2199" s="3">
        <v>280.13</v>
      </c>
      <c r="BM2199" s="3">
        <v>42.02</v>
      </c>
      <c r="BN2199" s="3">
        <v>322.14999999999998</v>
      </c>
      <c r="BO2199" s="3">
        <v>322.14999999999998</v>
      </c>
      <c r="BQ2199" s="3" t="s">
        <v>83</v>
      </c>
      <c r="BR2199" s="3" t="s">
        <v>84</v>
      </c>
      <c r="BS2199" s="4">
        <v>44588</v>
      </c>
      <c r="BT2199" s="5">
        <v>0.33055555555555555</v>
      </c>
      <c r="BU2199" s="3" t="s">
        <v>463</v>
      </c>
      <c r="BV2199" s="3" t="s">
        <v>105</v>
      </c>
      <c r="BY2199" s="3">
        <v>45632</v>
      </c>
      <c r="BZ2199" s="3" t="s">
        <v>165</v>
      </c>
      <c r="CA2199" s="3" t="s">
        <v>334</v>
      </c>
      <c r="CC2199" s="3" t="s">
        <v>102</v>
      </c>
      <c r="CD2199" s="3">
        <v>4001</v>
      </c>
      <c r="CE2199" s="3" t="s">
        <v>221</v>
      </c>
      <c r="CF2199" s="4">
        <v>44589</v>
      </c>
      <c r="CI2199" s="3">
        <v>1</v>
      </c>
      <c r="CJ2199" s="3">
        <v>1</v>
      </c>
      <c r="CK2199" s="3">
        <v>21</v>
      </c>
      <c r="CL2199" s="3" t="s">
        <v>87</v>
      </c>
    </row>
    <row r="2200" spans="1:90" x14ac:dyDescent="0.2">
      <c r="A2200" s="3" t="s">
        <v>72</v>
      </c>
      <c r="B2200" s="3" t="s">
        <v>73</v>
      </c>
      <c r="C2200" s="3" t="s">
        <v>74</v>
      </c>
      <c r="E2200" s="3" t="str">
        <f>"FES1162847081"</f>
        <v>FES1162847081</v>
      </c>
      <c r="F2200" s="4">
        <v>44587</v>
      </c>
      <c r="G2200" s="3">
        <v>202207</v>
      </c>
      <c r="H2200" s="3" t="s">
        <v>75</v>
      </c>
      <c r="I2200" s="3" t="s">
        <v>76</v>
      </c>
      <c r="J2200" s="3" t="s">
        <v>77</v>
      </c>
      <c r="K2200" s="3" t="s">
        <v>78</v>
      </c>
      <c r="L2200" s="3" t="s">
        <v>90</v>
      </c>
      <c r="M2200" s="3" t="s">
        <v>91</v>
      </c>
      <c r="N2200" s="3" t="s">
        <v>584</v>
      </c>
      <c r="O2200" s="3" t="s">
        <v>82</v>
      </c>
      <c r="P2200" s="3" t="str">
        <f>"2170818388                    "</f>
        <v xml:space="preserve">2170818388                    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15.46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0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3">
        <v>0</v>
      </c>
      <c r="AY2200" s="3">
        <v>0</v>
      </c>
      <c r="AZ2200" s="3">
        <v>0</v>
      </c>
      <c r="BA2200" s="3">
        <v>0</v>
      </c>
      <c r="BB2200" s="3">
        <v>0</v>
      </c>
      <c r="BC2200" s="3">
        <v>0</v>
      </c>
      <c r="BD2200" s="3">
        <v>0</v>
      </c>
      <c r="BE2200" s="3">
        <v>0</v>
      </c>
      <c r="BF2200" s="3">
        <v>0</v>
      </c>
      <c r="BG2200" s="3">
        <v>0</v>
      </c>
      <c r="BH2200" s="3">
        <v>1</v>
      </c>
      <c r="BI2200" s="3">
        <v>1</v>
      </c>
      <c r="BJ2200" s="3">
        <v>0.2</v>
      </c>
      <c r="BK2200" s="3">
        <v>1</v>
      </c>
      <c r="BL2200" s="3">
        <v>59</v>
      </c>
      <c r="BM2200" s="3">
        <v>8.85</v>
      </c>
      <c r="BN2200" s="3">
        <v>67.849999999999994</v>
      </c>
      <c r="BO2200" s="3">
        <v>67.849999999999994</v>
      </c>
      <c r="BQ2200" s="3" t="s">
        <v>83</v>
      </c>
      <c r="BR2200" s="3" t="s">
        <v>84</v>
      </c>
      <c r="BS2200" s="4">
        <v>44588</v>
      </c>
      <c r="BT2200" s="5">
        <v>0.34861111111111115</v>
      </c>
      <c r="BU2200" s="3" t="s">
        <v>1067</v>
      </c>
      <c r="BV2200" s="3" t="s">
        <v>105</v>
      </c>
      <c r="BY2200" s="3">
        <v>1200</v>
      </c>
      <c r="BZ2200" s="3" t="s">
        <v>165</v>
      </c>
      <c r="CA2200" s="3" t="s">
        <v>543</v>
      </c>
      <c r="CC2200" s="3" t="s">
        <v>91</v>
      </c>
      <c r="CD2200" s="3">
        <v>7530</v>
      </c>
      <c r="CE2200" s="3" t="s">
        <v>1513</v>
      </c>
      <c r="CF2200" s="4">
        <v>44589</v>
      </c>
      <c r="CI2200" s="3">
        <v>1</v>
      </c>
      <c r="CJ2200" s="3">
        <v>1</v>
      </c>
      <c r="CK2200" s="3">
        <v>21</v>
      </c>
      <c r="CL2200" s="3" t="s">
        <v>87</v>
      </c>
    </row>
    <row r="2201" spans="1:90" x14ac:dyDescent="0.2">
      <c r="A2201" s="3" t="s">
        <v>72</v>
      </c>
      <c r="B2201" s="3" t="s">
        <v>73</v>
      </c>
      <c r="C2201" s="3" t="s">
        <v>74</v>
      </c>
      <c r="E2201" s="3" t="str">
        <f>"FES1162846992"</f>
        <v>FES1162846992</v>
      </c>
      <c r="F2201" s="4">
        <v>44587</v>
      </c>
      <c r="G2201" s="3">
        <v>202207</v>
      </c>
      <c r="H2201" s="3" t="s">
        <v>75</v>
      </c>
      <c r="I2201" s="3" t="s">
        <v>76</v>
      </c>
      <c r="J2201" s="3" t="s">
        <v>77</v>
      </c>
      <c r="K2201" s="3" t="s">
        <v>78</v>
      </c>
      <c r="L2201" s="3" t="s">
        <v>162</v>
      </c>
      <c r="M2201" s="3" t="s">
        <v>163</v>
      </c>
      <c r="N2201" s="3" t="s">
        <v>1393</v>
      </c>
      <c r="O2201" s="3" t="s">
        <v>148</v>
      </c>
      <c r="P2201" s="3" t="str">
        <f>"2170818038                    "</f>
        <v xml:space="preserve">2170818038                    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25.76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0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3">
        <v>0</v>
      </c>
      <c r="AY2201" s="3">
        <v>0</v>
      </c>
      <c r="AZ2201" s="3">
        <v>0</v>
      </c>
      <c r="BA2201" s="3">
        <v>0</v>
      </c>
      <c r="BB2201" s="3">
        <v>0</v>
      </c>
      <c r="BC2201" s="3">
        <v>0</v>
      </c>
      <c r="BD2201" s="3">
        <v>0</v>
      </c>
      <c r="BE2201" s="3">
        <v>0</v>
      </c>
      <c r="BF2201" s="3">
        <v>0</v>
      </c>
      <c r="BG2201" s="3">
        <v>0</v>
      </c>
      <c r="BH2201" s="3">
        <v>1</v>
      </c>
      <c r="BI2201" s="3">
        <v>6</v>
      </c>
      <c r="BJ2201" s="3">
        <v>18.3</v>
      </c>
      <c r="BK2201" s="3">
        <v>19</v>
      </c>
      <c r="BL2201" s="3">
        <v>103.58</v>
      </c>
      <c r="BM2201" s="3">
        <v>15.54</v>
      </c>
      <c r="BN2201" s="3">
        <v>119.12</v>
      </c>
      <c r="BO2201" s="3">
        <v>119.12</v>
      </c>
      <c r="BQ2201" s="3" t="s">
        <v>1449</v>
      </c>
      <c r="BR2201" s="3" t="s">
        <v>84</v>
      </c>
      <c r="BS2201" s="4">
        <v>44588</v>
      </c>
      <c r="BT2201" s="5">
        <v>0.36041666666666666</v>
      </c>
      <c r="BU2201" s="3" t="s">
        <v>1450</v>
      </c>
      <c r="BV2201" s="3" t="s">
        <v>105</v>
      </c>
      <c r="BY2201" s="3">
        <v>91264</v>
      </c>
      <c r="BZ2201" s="3" t="s">
        <v>327</v>
      </c>
      <c r="CA2201" s="3" t="s">
        <v>591</v>
      </c>
      <c r="CC2201" s="3" t="s">
        <v>163</v>
      </c>
      <c r="CD2201" s="3">
        <v>1422</v>
      </c>
      <c r="CE2201" s="3" t="s">
        <v>86</v>
      </c>
      <c r="CF2201" s="4">
        <v>44588</v>
      </c>
      <c r="CI2201" s="3">
        <v>1</v>
      </c>
      <c r="CJ2201" s="3">
        <v>1</v>
      </c>
      <c r="CK2201" s="3">
        <v>42</v>
      </c>
      <c r="CL2201" s="3" t="s">
        <v>87</v>
      </c>
    </row>
    <row r="2202" spans="1:90" x14ac:dyDescent="0.2">
      <c r="A2202" s="3" t="s">
        <v>72</v>
      </c>
      <c r="B2202" s="3" t="s">
        <v>73</v>
      </c>
      <c r="C2202" s="3" t="s">
        <v>74</v>
      </c>
      <c r="E2202" s="3" t="str">
        <f>"FES1162847073"</f>
        <v>FES1162847073</v>
      </c>
      <c r="F2202" s="4">
        <v>44587</v>
      </c>
      <c r="G2202" s="3">
        <v>202207</v>
      </c>
      <c r="H2202" s="3" t="s">
        <v>75</v>
      </c>
      <c r="I2202" s="3" t="s">
        <v>76</v>
      </c>
      <c r="J2202" s="3" t="s">
        <v>77</v>
      </c>
      <c r="K2202" s="3" t="s">
        <v>78</v>
      </c>
      <c r="L2202" s="3" t="s">
        <v>90</v>
      </c>
      <c r="M2202" s="3" t="s">
        <v>91</v>
      </c>
      <c r="N2202" s="3" t="s">
        <v>157</v>
      </c>
      <c r="O2202" s="3" t="s">
        <v>82</v>
      </c>
      <c r="P2202" s="3" t="str">
        <f>"2170818363                    "</f>
        <v xml:space="preserve">2170818363                    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15.46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0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3">
        <v>0</v>
      </c>
      <c r="AY2202" s="3">
        <v>0</v>
      </c>
      <c r="AZ2202" s="3">
        <v>0</v>
      </c>
      <c r="BA2202" s="3">
        <v>0</v>
      </c>
      <c r="BB2202" s="3">
        <v>0</v>
      </c>
      <c r="BC2202" s="3">
        <v>0</v>
      </c>
      <c r="BD2202" s="3">
        <v>0</v>
      </c>
      <c r="BE2202" s="3">
        <v>0</v>
      </c>
      <c r="BF2202" s="3">
        <v>0</v>
      </c>
      <c r="BG2202" s="3">
        <v>0</v>
      </c>
      <c r="BH2202" s="3">
        <v>1</v>
      </c>
      <c r="BI2202" s="3">
        <v>1</v>
      </c>
      <c r="BJ2202" s="3">
        <v>0.2</v>
      </c>
      <c r="BK2202" s="3">
        <v>1</v>
      </c>
      <c r="BL2202" s="3">
        <v>59</v>
      </c>
      <c r="BM2202" s="3">
        <v>8.85</v>
      </c>
      <c r="BN2202" s="3">
        <v>67.849999999999994</v>
      </c>
      <c r="BO2202" s="3">
        <v>67.849999999999994</v>
      </c>
      <c r="BQ2202" s="3" t="s">
        <v>89</v>
      </c>
      <c r="BR2202" s="3" t="s">
        <v>84</v>
      </c>
      <c r="BS2202" s="4">
        <v>44588</v>
      </c>
      <c r="BT2202" s="5">
        <v>0.41041666666666665</v>
      </c>
      <c r="BU2202" s="3" t="s">
        <v>693</v>
      </c>
      <c r="BV2202" s="3" t="s">
        <v>105</v>
      </c>
      <c r="BY2202" s="3">
        <v>1200</v>
      </c>
      <c r="BZ2202" s="3" t="s">
        <v>165</v>
      </c>
      <c r="CA2202" s="3" t="s">
        <v>289</v>
      </c>
      <c r="CC2202" s="3" t="s">
        <v>91</v>
      </c>
      <c r="CD2202" s="3">
        <v>7441</v>
      </c>
      <c r="CE2202" s="3" t="s">
        <v>1513</v>
      </c>
      <c r="CF2202" s="4">
        <v>44589</v>
      </c>
      <c r="CI2202" s="3">
        <v>1</v>
      </c>
      <c r="CJ2202" s="3">
        <v>1</v>
      </c>
      <c r="CK2202" s="3">
        <v>21</v>
      </c>
      <c r="CL2202" s="3" t="s">
        <v>87</v>
      </c>
    </row>
    <row r="2203" spans="1:90" x14ac:dyDescent="0.2">
      <c r="A2203" s="3" t="s">
        <v>72</v>
      </c>
      <c r="B2203" s="3" t="s">
        <v>73</v>
      </c>
      <c r="C2203" s="3" t="s">
        <v>74</v>
      </c>
      <c r="E2203" s="3" t="str">
        <f>"FES1162847074"</f>
        <v>FES1162847074</v>
      </c>
      <c r="F2203" s="4">
        <v>44587</v>
      </c>
      <c r="G2203" s="3">
        <v>202207</v>
      </c>
      <c r="H2203" s="3" t="s">
        <v>75</v>
      </c>
      <c r="I2203" s="3" t="s">
        <v>76</v>
      </c>
      <c r="J2203" s="3" t="s">
        <v>77</v>
      </c>
      <c r="K2203" s="3" t="s">
        <v>78</v>
      </c>
      <c r="L2203" s="3" t="s">
        <v>94</v>
      </c>
      <c r="M2203" s="3" t="s">
        <v>95</v>
      </c>
      <c r="N2203" s="3" t="s">
        <v>1437</v>
      </c>
      <c r="O2203" s="3" t="s">
        <v>82</v>
      </c>
      <c r="P2203" s="3" t="str">
        <f>"2170818365                    "</f>
        <v xml:space="preserve">2170818365                    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15.46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0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3">
        <v>0</v>
      </c>
      <c r="AY2203" s="3">
        <v>0</v>
      </c>
      <c r="AZ2203" s="3">
        <v>0</v>
      </c>
      <c r="BA2203" s="3">
        <v>0</v>
      </c>
      <c r="BB2203" s="3">
        <v>0</v>
      </c>
      <c r="BC2203" s="3">
        <v>0</v>
      </c>
      <c r="BD2203" s="3">
        <v>0</v>
      </c>
      <c r="BE2203" s="3">
        <v>0</v>
      </c>
      <c r="BF2203" s="3">
        <v>0</v>
      </c>
      <c r="BG2203" s="3">
        <v>0</v>
      </c>
      <c r="BH2203" s="3">
        <v>1</v>
      </c>
      <c r="BI2203" s="3">
        <v>1</v>
      </c>
      <c r="BJ2203" s="3">
        <v>0.2</v>
      </c>
      <c r="BK2203" s="3">
        <v>1</v>
      </c>
      <c r="BL2203" s="3">
        <v>59</v>
      </c>
      <c r="BM2203" s="3">
        <v>8.85</v>
      </c>
      <c r="BN2203" s="3">
        <v>67.849999999999994</v>
      </c>
      <c r="BO2203" s="3">
        <v>67.849999999999994</v>
      </c>
      <c r="BQ2203" s="3" t="s">
        <v>89</v>
      </c>
      <c r="BR2203" s="3" t="s">
        <v>84</v>
      </c>
      <c r="BS2203" s="4">
        <v>44588</v>
      </c>
      <c r="BT2203" s="5">
        <v>0.56944444444444442</v>
      </c>
      <c r="BU2203" s="3" t="s">
        <v>2288</v>
      </c>
      <c r="BV2203" s="3" t="s">
        <v>87</v>
      </c>
      <c r="BY2203" s="3">
        <v>1200</v>
      </c>
      <c r="BZ2203" s="3" t="s">
        <v>165</v>
      </c>
      <c r="CC2203" s="3" t="s">
        <v>95</v>
      </c>
      <c r="CD2203" s="3">
        <v>3200</v>
      </c>
      <c r="CE2203" s="3" t="s">
        <v>1513</v>
      </c>
      <c r="CI2203" s="3">
        <v>1</v>
      </c>
      <c r="CJ2203" s="3">
        <v>1</v>
      </c>
      <c r="CK2203" s="3">
        <v>21</v>
      </c>
      <c r="CL2203" s="3" t="s">
        <v>87</v>
      </c>
    </row>
    <row r="2204" spans="1:90" x14ac:dyDescent="0.2">
      <c r="A2204" s="3" t="s">
        <v>72</v>
      </c>
      <c r="B2204" s="3" t="s">
        <v>73</v>
      </c>
      <c r="C2204" s="3" t="s">
        <v>74</v>
      </c>
      <c r="E2204" s="3" t="str">
        <f>"FES1162847049"</f>
        <v>FES1162847049</v>
      </c>
      <c r="F2204" s="4">
        <v>44587</v>
      </c>
      <c r="G2204" s="3">
        <v>202207</v>
      </c>
      <c r="H2204" s="3" t="s">
        <v>75</v>
      </c>
      <c r="I2204" s="3" t="s">
        <v>76</v>
      </c>
      <c r="J2204" s="3" t="s">
        <v>77</v>
      </c>
      <c r="K2204" s="3" t="s">
        <v>78</v>
      </c>
      <c r="L2204" s="3" t="s">
        <v>142</v>
      </c>
      <c r="M2204" s="3" t="s">
        <v>143</v>
      </c>
      <c r="N2204" s="3" t="s">
        <v>2097</v>
      </c>
      <c r="O2204" s="3" t="s">
        <v>82</v>
      </c>
      <c r="P2204" s="3" t="str">
        <f>"2170818334                    "</f>
        <v xml:space="preserve">2170818334                    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12.07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0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3">
        <v>0</v>
      </c>
      <c r="AY2204" s="3">
        <v>0</v>
      </c>
      <c r="AZ2204" s="3">
        <v>0</v>
      </c>
      <c r="BA2204" s="3">
        <v>0</v>
      </c>
      <c r="BB2204" s="3">
        <v>0</v>
      </c>
      <c r="BC2204" s="3">
        <v>0</v>
      </c>
      <c r="BD2204" s="3">
        <v>0</v>
      </c>
      <c r="BE2204" s="3">
        <v>0</v>
      </c>
      <c r="BF2204" s="3">
        <v>0</v>
      </c>
      <c r="BG2204" s="3">
        <v>0</v>
      </c>
      <c r="BH2204" s="3">
        <v>1</v>
      </c>
      <c r="BI2204" s="3">
        <v>1</v>
      </c>
      <c r="BJ2204" s="3">
        <v>0.2</v>
      </c>
      <c r="BK2204" s="3">
        <v>1</v>
      </c>
      <c r="BL2204" s="3">
        <v>46.08</v>
      </c>
      <c r="BM2204" s="3">
        <v>6.91</v>
      </c>
      <c r="BN2204" s="3">
        <v>52.99</v>
      </c>
      <c r="BO2204" s="3">
        <v>52.99</v>
      </c>
      <c r="BR2204" s="3" t="s">
        <v>84</v>
      </c>
      <c r="BS2204" s="4">
        <v>44588</v>
      </c>
      <c r="BT2204" s="5">
        <v>0.33958333333333335</v>
      </c>
      <c r="BU2204" s="3" t="s">
        <v>2289</v>
      </c>
      <c r="BV2204" s="3" t="s">
        <v>105</v>
      </c>
      <c r="BY2204" s="3">
        <v>1200</v>
      </c>
      <c r="BZ2204" s="3" t="s">
        <v>165</v>
      </c>
      <c r="CA2204" s="3" t="s">
        <v>471</v>
      </c>
      <c r="CC2204" s="3" t="s">
        <v>143</v>
      </c>
      <c r="CD2204" s="3">
        <v>1451</v>
      </c>
      <c r="CE2204" s="3" t="s">
        <v>93</v>
      </c>
      <c r="CF2204" s="4">
        <v>44588</v>
      </c>
      <c r="CI2204" s="3">
        <v>1</v>
      </c>
      <c r="CJ2204" s="3">
        <v>1</v>
      </c>
      <c r="CK2204" s="3">
        <v>22</v>
      </c>
      <c r="CL2204" s="3" t="s">
        <v>87</v>
      </c>
    </row>
    <row r="2205" spans="1:90" x14ac:dyDescent="0.2">
      <c r="A2205" s="3" t="s">
        <v>72</v>
      </c>
      <c r="B2205" s="3" t="s">
        <v>73</v>
      </c>
      <c r="C2205" s="3" t="s">
        <v>74</v>
      </c>
      <c r="E2205" s="3" t="str">
        <f>"FES1162847070"</f>
        <v>FES1162847070</v>
      </c>
      <c r="F2205" s="4">
        <v>44587</v>
      </c>
      <c r="G2205" s="3">
        <v>202207</v>
      </c>
      <c r="H2205" s="3" t="s">
        <v>75</v>
      </c>
      <c r="I2205" s="3" t="s">
        <v>76</v>
      </c>
      <c r="J2205" s="3" t="s">
        <v>77</v>
      </c>
      <c r="K2205" s="3" t="s">
        <v>78</v>
      </c>
      <c r="L2205" s="3" t="s">
        <v>79</v>
      </c>
      <c r="M2205" s="3" t="s">
        <v>80</v>
      </c>
      <c r="N2205" s="3" t="s">
        <v>410</v>
      </c>
      <c r="O2205" s="3" t="s">
        <v>82</v>
      </c>
      <c r="P2205" s="3" t="str">
        <f>"2170818360                    "</f>
        <v xml:space="preserve">2170818360                    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15.46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0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3">
        <v>0</v>
      </c>
      <c r="AY2205" s="3">
        <v>0</v>
      </c>
      <c r="AZ2205" s="3">
        <v>0</v>
      </c>
      <c r="BA2205" s="3">
        <v>0</v>
      </c>
      <c r="BB2205" s="3">
        <v>0</v>
      </c>
      <c r="BC2205" s="3">
        <v>0</v>
      </c>
      <c r="BD2205" s="3">
        <v>0</v>
      </c>
      <c r="BE2205" s="3">
        <v>0</v>
      </c>
      <c r="BF2205" s="3">
        <v>0</v>
      </c>
      <c r="BG2205" s="3">
        <v>0</v>
      </c>
      <c r="BH2205" s="3">
        <v>1</v>
      </c>
      <c r="BI2205" s="3">
        <v>1</v>
      </c>
      <c r="BJ2205" s="3">
        <v>0.2</v>
      </c>
      <c r="BK2205" s="3">
        <v>1</v>
      </c>
      <c r="BL2205" s="3">
        <v>59</v>
      </c>
      <c r="BM2205" s="3">
        <v>8.85</v>
      </c>
      <c r="BN2205" s="3">
        <v>67.849999999999994</v>
      </c>
      <c r="BO2205" s="3">
        <v>67.849999999999994</v>
      </c>
      <c r="BQ2205" s="3" t="s">
        <v>83</v>
      </c>
      <c r="BR2205" s="3" t="s">
        <v>84</v>
      </c>
      <c r="BS2205" s="4">
        <v>44588</v>
      </c>
      <c r="BT2205" s="5">
        <v>0.58402777777777781</v>
      </c>
      <c r="BU2205" s="3" t="s">
        <v>2057</v>
      </c>
      <c r="BV2205" s="3" t="s">
        <v>87</v>
      </c>
      <c r="BY2205" s="3">
        <v>1200</v>
      </c>
      <c r="BZ2205" s="3" t="s">
        <v>165</v>
      </c>
      <c r="CA2205" s="3" t="s">
        <v>557</v>
      </c>
      <c r="CC2205" s="3" t="s">
        <v>80</v>
      </c>
      <c r="CD2205" s="3">
        <v>183</v>
      </c>
      <c r="CE2205" s="3" t="s">
        <v>1513</v>
      </c>
      <c r="CF2205" s="4">
        <v>44588</v>
      </c>
      <c r="CI2205" s="3">
        <v>1</v>
      </c>
      <c r="CJ2205" s="3">
        <v>1</v>
      </c>
      <c r="CK2205" s="3">
        <v>21</v>
      </c>
      <c r="CL2205" s="3" t="s">
        <v>87</v>
      </c>
    </row>
    <row r="2206" spans="1:90" x14ac:dyDescent="0.2">
      <c r="A2206" s="3" t="s">
        <v>72</v>
      </c>
      <c r="B2206" s="3" t="s">
        <v>73</v>
      </c>
      <c r="C2206" s="3" t="s">
        <v>74</v>
      </c>
      <c r="E2206" s="3" t="str">
        <f>"FES1162847108"</f>
        <v>FES1162847108</v>
      </c>
      <c r="F2206" s="4">
        <v>44587</v>
      </c>
      <c r="G2206" s="3">
        <v>202207</v>
      </c>
      <c r="H2206" s="3" t="s">
        <v>75</v>
      </c>
      <c r="I2206" s="3" t="s">
        <v>76</v>
      </c>
      <c r="J2206" s="3" t="s">
        <v>77</v>
      </c>
      <c r="K2206" s="3" t="s">
        <v>78</v>
      </c>
      <c r="L2206" s="3" t="s">
        <v>171</v>
      </c>
      <c r="M2206" s="3" t="s">
        <v>172</v>
      </c>
      <c r="N2206" s="3" t="s">
        <v>2290</v>
      </c>
      <c r="O2206" s="3" t="s">
        <v>82</v>
      </c>
      <c r="P2206" s="3" t="str">
        <f>"2170818417                    "</f>
        <v xml:space="preserve">2170818417                    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34.770000000000003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0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3">
        <v>0</v>
      </c>
      <c r="AY2206" s="3">
        <v>0</v>
      </c>
      <c r="AZ2206" s="3">
        <v>0</v>
      </c>
      <c r="BA2206" s="3">
        <v>0</v>
      </c>
      <c r="BB2206" s="3">
        <v>0</v>
      </c>
      <c r="BC2206" s="3">
        <v>0</v>
      </c>
      <c r="BD2206" s="3">
        <v>0</v>
      </c>
      <c r="BE2206" s="3">
        <v>0</v>
      </c>
      <c r="BF2206" s="3">
        <v>0</v>
      </c>
      <c r="BG2206" s="3">
        <v>0</v>
      </c>
      <c r="BH2206" s="3">
        <v>1</v>
      </c>
      <c r="BI2206" s="3">
        <v>2</v>
      </c>
      <c r="BJ2206" s="3">
        <v>4.0999999999999996</v>
      </c>
      <c r="BK2206" s="3">
        <v>4.5</v>
      </c>
      <c r="BL2206" s="3">
        <v>132.71</v>
      </c>
      <c r="BM2206" s="3">
        <v>19.91</v>
      </c>
      <c r="BN2206" s="3">
        <v>152.62</v>
      </c>
      <c r="BO2206" s="3">
        <v>152.62</v>
      </c>
      <c r="BR2206" s="3" t="s">
        <v>84</v>
      </c>
      <c r="BS2206" s="4">
        <v>44588</v>
      </c>
      <c r="BT2206" s="5">
        <v>0.41666666666666669</v>
      </c>
      <c r="BU2206" s="3" t="s">
        <v>2291</v>
      </c>
      <c r="BV2206" s="3" t="s">
        <v>105</v>
      </c>
      <c r="BY2206" s="3">
        <v>20358</v>
      </c>
      <c r="BZ2206" s="3" t="s">
        <v>165</v>
      </c>
      <c r="CA2206" s="3" t="s">
        <v>509</v>
      </c>
      <c r="CC2206" s="3" t="s">
        <v>172</v>
      </c>
      <c r="CD2206" s="3">
        <v>6000</v>
      </c>
      <c r="CE2206" s="3" t="s">
        <v>221</v>
      </c>
      <c r="CF2206" s="4">
        <v>44588</v>
      </c>
      <c r="CI2206" s="3">
        <v>1</v>
      </c>
      <c r="CJ2206" s="3">
        <v>1</v>
      </c>
      <c r="CK2206" s="3">
        <v>21</v>
      </c>
      <c r="CL2206" s="3" t="s">
        <v>87</v>
      </c>
    </row>
    <row r="2207" spans="1:90" x14ac:dyDescent="0.2">
      <c r="A2207" s="3" t="s">
        <v>72</v>
      </c>
      <c r="B2207" s="3" t="s">
        <v>73</v>
      </c>
      <c r="C2207" s="3" t="s">
        <v>74</v>
      </c>
      <c r="E2207" s="3" t="str">
        <f>"FES1162846937"</f>
        <v>FES1162846937</v>
      </c>
      <c r="F2207" s="4">
        <v>44587</v>
      </c>
      <c r="G2207" s="3">
        <v>202207</v>
      </c>
      <c r="H2207" s="3" t="s">
        <v>75</v>
      </c>
      <c r="I2207" s="3" t="s">
        <v>76</v>
      </c>
      <c r="J2207" s="3" t="s">
        <v>77</v>
      </c>
      <c r="K2207" s="3" t="s">
        <v>78</v>
      </c>
      <c r="L2207" s="3" t="s">
        <v>211</v>
      </c>
      <c r="M2207" s="3" t="s">
        <v>212</v>
      </c>
      <c r="N2207" s="3" t="s">
        <v>642</v>
      </c>
      <c r="O2207" s="3" t="s">
        <v>82</v>
      </c>
      <c r="P2207" s="3" t="str">
        <f>"2170818226                    "</f>
        <v xml:space="preserve">2170818226                    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12.07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0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3">
        <v>0</v>
      </c>
      <c r="AY2207" s="3">
        <v>0</v>
      </c>
      <c r="AZ2207" s="3">
        <v>0</v>
      </c>
      <c r="BA2207" s="3">
        <v>0</v>
      </c>
      <c r="BB2207" s="3">
        <v>0</v>
      </c>
      <c r="BC2207" s="3">
        <v>0</v>
      </c>
      <c r="BD2207" s="3">
        <v>0</v>
      </c>
      <c r="BE2207" s="3">
        <v>0</v>
      </c>
      <c r="BF2207" s="3">
        <v>0</v>
      </c>
      <c r="BG2207" s="3">
        <v>0</v>
      </c>
      <c r="BH2207" s="3">
        <v>1</v>
      </c>
      <c r="BI2207" s="3">
        <v>1</v>
      </c>
      <c r="BJ2207" s="3">
        <v>0.2</v>
      </c>
      <c r="BK2207" s="3">
        <v>1</v>
      </c>
      <c r="BL2207" s="3">
        <v>46.08</v>
      </c>
      <c r="BM2207" s="3">
        <v>6.91</v>
      </c>
      <c r="BN2207" s="3">
        <v>52.99</v>
      </c>
      <c r="BO2207" s="3">
        <v>52.99</v>
      </c>
      <c r="BQ2207" s="3" t="s">
        <v>89</v>
      </c>
      <c r="BR2207" s="3" t="s">
        <v>84</v>
      </c>
      <c r="BS2207" s="4">
        <v>44588</v>
      </c>
      <c r="BT2207" s="5">
        <v>0.38958333333333334</v>
      </c>
      <c r="BU2207" s="3" t="s">
        <v>2292</v>
      </c>
      <c r="BV2207" s="3" t="s">
        <v>105</v>
      </c>
      <c r="BY2207" s="3">
        <v>1200</v>
      </c>
      <c r="BZ2207" s="3" t="s">
        <v>165</v>
      </c>
      <c r="CA2207" s="3" t="s">
        <v>345</v>
      </c>
      <c r="CC2207" s="3" t="s">
        <v>212</v>
      </c>
      <c r="CD2207" s="3">
        <v>2163</v>
      </c>
      <c r="CE2207" s="3" t="s">
        <v>93</v>
      </c>
      <c r="CF2207" s="4">
        <v>44588</v>
      </c>
      <c r="CI2207" s="3">
        <v>1</v>
      </c>
      <c r="CJ2207" s="3">
        <v>1</v>
      </c>
      <c r="CK2207" s="3">
        <v>22</v>
      </c>
      <c r="CL2207" s="3" t="s">
        <v>87</v>
      </c>
    </row>
    <row r="2208" spans="1:90" x14ac:dyDescent="0.2">
      <c r="A2208" s="3" t="s">
        <v>72</v>
      </c>
      <c r="B2208" s="3" t="s">
        <v>73</v>
      </c>
      <c r="C2208" s="3" t="s">
        <v>74</v>
      </c>
      <c r="E2208" s="3" t="str">
        <f>"FES1162847032"</f>
        <v>FES1162847032</v>
      </c>
      <c r="F2208" s="4">
        <v>44587</v>
      </c>
      <c r="G2208" s="3">
        <v>202207</v>
      </c>
      <c r="H2208" s="3" t="s">
        <v>75</v>
      </c>
      <c r="I2208" s="3" t="s">
        <v>76</v>
      </c>
      <c r="J2208" s="3" t="s">
        <v>77</v>
      </c>
      <c r="K2208" s="3" t="s">
        <v>78</v>
      </c>
      <c r="L2208" s="3" t="s">
        <v>97</v>
      </c>
      <c r="M2208" s="3" t="s">
        <v>98</v>
      </c>
      <c r="N2208" s="3" t="s">
        <v>593</v>
      </c>
      <c r="O2208" s="3" t="s">
        <v>82</v>
      </c>
      <c r="P2208" s="3" t="str">
        <f>"2170818316                    "</f>
        <v xml:space="preserve">2170818316                    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12.07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0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3">
        <v>0</v>
      </c>
      <c r="AY2208" s="3">
        <v>0</v>
      </c>
      <c r="AZ2208" s="3">
        <v>0</v>
      </c>
      <c r="BA2208" s="3">
        <v>0</v>
      </c>
      <c r="BB2208" s="3">
        <v>0</v>
      </c>
      <c r="BC2208" s="3">
        <v>0</v>
      </c>
      <c r="BD2208" s="3">
        <v>0</v>
      </c>
      <c r="BE2208" s="3">
        <v>0</v>
      </c>
      <c r="BF2208" s="3">
        <v>0</v>
      </c>
      <c r="BG2208" s="3">
        <v>0</v>
      </c>
      <c r="BH2208" s="3">
        <v>1</v>
      </c>
      <c r="BI2208" s="3">
        <v>1</v>
      </c>
      <c r="BJ2208" s="3">
        <v>0.2</v>
      </c>
      <c r="BK2208" s="3">
        <v>1</v>
      </c>
      <c r="BL2208" s="3">
        <v>46.08</v>
      </c>
      <c r="BM2208" s="3">
        <v>6.91</v>
      </c>
      <c r="BN2208" s="3">
        <v>52.99</v>
      </c>
      <c r="BO2208" s="3">
        <v>52.99</v>
      </c>
      <c r="BQ2208" s="3" t="s">
        <v>83</v>
      </c>
      <c r="BR2208" s="3" t="s">
        <v>84</v>
      </c>
      <c r="BS2208" s="4">
        <v>44588</v>
      </c>
      <c r="BT2208" s="5">
        <v>0.3923611111111111</v>
      </c>
      <c r="BU2208" s="3" t="s">
        <v>616</v>
      </c>
      <c r="BV2208" s="3" t="s">
        <v>105</v>
      </c>
      <c r="BY2208" s="3">
        <v>1200</v>
      </c>
      <c r="BZ2208" s="3" t="s">
        <v>165</v>
      </c>
      <c r="CA2208" s="3" t="s">
        <v>2185</v>
      </c>
      <c r="CC2208" s="3" t="s">
        <v>98</v>
      </c>
      <c r="CD2208" s="3">
        <v>2094</v>
      </c>
      <c r="CE2208" s="3" t="s">
        <v>93</v>
      </c>
      <c r="CF2208" s="4">
        <v>44588</v>
      </c>
      <c r="CI2208" s="3">
        <v>1</v>
      </c>
      <c r="CJ2208" s="3">
        <v>1</v>
      </c>
      <c r="CK2208" s="3">
        <v>22</v>
      </c>
      <c r="CL2208" s="3" t="s">
        <v>87</v>
      </c>
    </row>
    <row r="2209" spans="1:90" x14ac:dyDescent="0.2">
      <c r="A2209" s="3" t="s">
        <v>72</v>
      </c>
      <c r="B2209" s="3" t="s">
        <v>73</v>
      </c>
      <c r="C2209" s="3" t="s">
        <v>74</v>
      </c>
      <c r="E2209" s="3" t="str">
        <f>"FES1162846820"</f>
        <v>FES1162846820</v>
      </c>
      <c r="F2209" s="4">
        <v>44587</v>
      </c>
      <c r="G2209" s="3">
        <v>202207</v>
      </c>
      <c r="H2209" s="3" t="s">
        <v>75</v>
      </c>
      <c r="I2209" s="3" t="s">
        <v>76</v>
      </c>
      <c r="J2209" s="3" t="s">
        <v>77</v>
      </c>
      <c r="K2209" s="3" t="s">
        <v>78</v>
      </c>
      <c r="L2209" s="3" t="s">
        <v>162</v>
      </c>
      <c r="M2209" s="3" t="s">
        <v>163</v>
      </c>
      <c r="N2209" s="3" t="s">
        <v>2192</v>
      </c>
      <c r="O2209" s="3" t="s">
        <v>82</v>
      </c>
      <c r="P2209" s="3" t="str">
        <f>"2170818099                    "</f>
        <v xml:space="preserve">2170818099                    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12.07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0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3">
        <v>0</v>
      </c>
      <c r="AY2209" s="3">
        <v>0</v>
      </c>
      <c r="AZ2209" s="3">
        <v>0</v>
      </c>
      <c r="BA2209" s="3">
        <v>0</v>
      </c>
      <c r="BB2209" s="3">
        <v>0</v>
      </c>
      <c r="BC2209" s="3">
        <v>0</v>
      </c>
      <c r="BD2209" s="3">
        <v>0</v>
      </c>
      <c r="BE2209" s="3">
        <v>0</v>
      </c>
      <c r="BF2209" s="3">
        <v>0</v>
      </c>
      <c r="BG2209" s="3">
        <v>0</v>
      </c>
      <c r="BH2209" s="3">
        <v>1</v>
      </c>
      <c r="BI2209" s="3">
        <v>1</v>
      </c>
      <c r="BJ2209" s="3">
        <v>0.2</v>
      </c>
      <c r="BK2209" s="3">
        <v>1</v>
      </c>
      <c r="BL2209" s="3">
        <v>46.08</v>
      </c>
      <c r="BM2209" s="3">
        <v>6.91</v>
      </c>
      <c r="BN2209" s="3">
        <v>52.99</v>
      </c>
      <c r="BO2209" s="3">
        <v>52.99</v>
      </c>
      <c r="BQ2209" s="3" t="s">
        <v>83</v>
      </c>
      <c r="BR2209" s="3" t="s">
        <v>84</v>
      </c>
      <c r="BS2209" s="4">
        <v>44588</v>
      </c>
      <c r="BT2209" s="5">
        <v>0.4055555555555555</v>
      </c>
      <c r="BU2209" s="3" t="s">
        <v>2193</v>
      </c>
      <c r="BV2209" s="3" t="s">
        <v>105</v>
      </c>
      <c r="BY2209" s="3">
        <v>1200</v>
      </c>
      <c r="BZ2209" s="3" t="s">
        <v>165</v>
      </c>
      <c r="CA2209" s="3" t="s">
        <v>1051</v>
      </c>
      <c r="CC2209" s="3" t="s">
        <v>163</v>
      </c>
      <c r="CD2209" s="3">
        <v>1406</v>
      </c>
      <c r="CE2209" s="3" t="s">
        <v>93</v>
      </c>
      <c r="CF2209" s="4">
        <v>44589</v>
      </c>
      <c r="CI2209" s="3">
        <v>1</v>
      </c>
      <c r="CJ2209" s="3">
        <v>1</v>
      </c>
      <c r="CK2209" s="3">
        <v>22</v>
      </c>
      <c r="CL2209" s="3" t="s">
        <v>87</v>
      </c>
    </row>
    <row r="2210" spans="1:90" x14ac:dyDescent="0.2">
      <c r="A2210" s="3" t="s">
        <v>72</v>
      </c>
      <c r="B2210" s="3" t="s">
        <v>73</v>
      </c>
      <c r="C2210" s="3" t="s">
        <v>74</v>
      </c>
      <c r="E2210" s="3" t="str">
        <f>"FES1162847062"</f>
        <v>FES1162847062</v>
      </c>
      <c r="F2210" s="4">
        <v>44587</v>
      </c>
      <c r="G2210" s="3">
        <v>202207</v>
      </c>
      <c r="H2210" s="3" t="s">
        <v>75</v>
      </c>
      <c r="I2210" s="3" t="s">
        <v>76</v>
      </c>
      <c r="J2210" s="3" t="s">
        <v>77</v>
      </c>
      <c r="K2210" s="3" t="s">
        <v>78</v>
      </c>
      <c r="L2210" s="3" t="s">
        <v>184</v>
      </c>
      <c r="M2210" s="3" t="s">
        <v>185</v>
      </c>
      <c r="N2210" s="3" t="s">
        <v>2293</v>
      </c>
      <c r="O2210" s="3" t="s">
        <v>82</v>
      </c>
      <c r="P2210" s="3" t="str">
        <f>"2170818347                    "</f>
        <v xml:space="preserve">2170818347                    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15.46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0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3">
        <v>0</v>
      </c>
      <c r="AY2210" s="3">
        <v>0</v>
      </c>
      <c r="AZ2210" s="3">
        <v>0</v>
      </c>
      <c r="BA2210" s="3">
        <v>0</v>
      </c>
      <c r="BB2210" s="3">
        <v>0</v>
      </c>
      <c r="BC2210" s="3">
        <v>0</v>
      </c>
      <c r="BD2210" s="3">
        <v>0</v>
      </c>
      <c r="BE2210" s="3">
        <v>0</v>
      </c>
      <c r="BF2210" s="3">
        <v>0</v>
      </c>
      <c r="BG2210" s="3">
        <v>0</v>
      </c>
      <c r="BH2210" s="3">
        <v>1</v>
      </c>
      <c r="BI2210" s="3">
        <v>1</v>
      </c>
      <c r="BJ2210" s="3">
        <v>0.2</v>
      </c>
      <c r="BK2210" s="3">
        <v>1</v>
      </c>
      <c r="BL2210" s="3">
        <v>59</v>
      </c>
      <c r="BM2210" s="3">
        <v>8.85</v>
      </c>
      <c r="BN2210" s="3">
        <v>67.849999999999994</v>
      </c>
      <c r="BO2210" s="3">
        <v>67.849999999999994</v>
      </c>
      <c r="BQ2210" s="3" t="s">
        <v>83</v>
      </c>
      <c r="BR2210" s="3" t="s">
        <v>84</v>
      </c>
      <c r="BS2210" s="4">
        <v>44588</v>
      </c>
      <c r="BT2210" s="5">
        <v>0.49722222222222223</v>
      </c>
      <c r="BU2210" s="3" t="s">
        <v>2294</v>
      </c>
      <c r="BV2210" s="3" t="s">
        <v>87</v>
      </c>
      <c r="BW2210" s="3" t="s">
        <v>353</v>
      </c>
      <c r="BX2210" s="3" t="s">
        <v>605</v>
      </c>
      <c r="BY2210" s="3">
        <v>1200</v>
      </c>
      <c r="BZ2210" s="3" t="s">
        <v>165</v>
      </c>
      <c r="CA2210" s="3" t="s">
        <v>2125</v>
      </c>
      <c r="CC2210" s="3" t="s">
        <v>185</v>
      </c>
      <c r="CD2210" s="3">
        <v>5201</v>
      </c>
      <c r="CE2210" s="3" t="s">
        <v>1513</v>
      </c>
      <c r="CF2210" s="4">
        <v>44588</v>
      </c>
      <c r="CI2210" s="3">
        <v>1</v>
      </c>
      <c r="CJ2210" s="3">
        <v>1</v>
      </c>
      <c r="CK2210" s="3">
        <v>21</v>
      </c>
      <c r="CL2210" s="3" t="s">
        <v>87</v>
      </c>
    </row>
    <row r="2211" spans="1:90" x14ac:dyDescent="0.2">
      <c r="A2211" s="3" t="s">
        <v>72</v>
      </c>
      <c r="B2211" s="3" t="s">
        <v>73</v>
      </c>
      <c r="C2211" s="3" t="s">
        <v>74</v>
      </c>
      <c r="E2211" s="3" t="str">
        <f>"FES1162846819"</f>
        <v>FES1162846819</v>
      </c>
      <c r="F2211" s="4">
        <v>44587</v>
      </c>
      <c r="G2211" s="3">
        <v>202207</v>
      </c>
      <c r="H2211" s="3" t="s">
        <v>75</v>
      </c>
      <c r="I2211" s="3" t="s">
        <v>76</v>
      </c>
      <c r="J2211" s="3" t="s">
        <v>77</v>
      </c>
      <c r="K2211" s="3" t="s">
        <v>78</v>
      </c>
      <c r="L2211" s="3" t="s">
        <v>1761</v>
      </c>
      <c r="M2211" s="3" t="s">
        <v>1762</v>
      </c>
      <c r="N2211" s="3" t="s">
        <v>1763</v>
      </c>
      <c r="O2211" s="3" t="s">
        <v>82</v>
      </c>
      <c r="P2211" s="3" t="str">
        <f>"2170818098                    "</f>
        <v xml:space="preserve">2170818098                    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29.95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15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3">
        <v>0</v>
      </c>
      <c r="AY2211" s="3">
        <v>0</v>
      </c>
      <c r="AZ2211" s="3">
        <v>0</v>
      </c>
      <c r="BA2211" s="3">
        <v>0</v>
      </c>
      <c r="BB2211" s="3">
        <v>0</v>
      </c>
      <c r="BC2211" s="3">
        <v>0</v>
      </c>
      <c r="BD2211" s="3">
        <v>0</v>
      </c>
      <c r="BE2211" s="3">
        <v>0</v>
      </c>
      <c r="BF2211" s="3">
        <v>0</v>
      </c>
      <c r="BG2211" s="3">
        <v>0</v>
      </c>
      <c r="BH2211" s="3">
        <v>1</v>
      </c>
      <c r="BI2211" s="3">
        <v>1</v>
      </c>
      <c r="BJ2211" s="3">
        <v>0.2</v>
      </c>
      <c r="BK2211" s="3">
        <v>1</v>
      </c>
      <c r="BL2211" s="3">
        <v>129.31</v>
      </c>
      <c r="BM2211" s="3">
        <v>19.399999999999999</v>
      </c>
      <c r="BN2211" s="3">
        <v>148.71</v>
      </c>
      <c r="BO2211" s="3">
        <v>148.71</v>
      </c>
      <c r="BQ2211" s="3" t="s">
        <v>83</v>
      </c>
      <c r="BR2211" s="3" t="s">
        <v>84</v>
      </c>
      <c r="BS2211" s="4">
        <v>44589</v>
      </c>
      <c r="BT2211" s="5">
        <v>0.54097222222222219</v>
      </c>
      <c r="BU2211" s="3" t="s">
        <v>2295</v>
      </c>
      <c r="BV2211" s="3" t="s">
        <v>105</v>
      </c>
      <c r="BY2211" s="3">
        <v>1200</v>
      </c>
      <c r="BZ2211" s="3" t="s">
        <v>446</v>
      </c>
      <c r="CA2211" s="3" t="s">
        <v>328</v>
      </c>
      <c r="CC2211" s="3" t="s">
        <v>1762</v>
      </c>
      <c r="CD2211" s="3">
        <v>4930</v>
      </c>
      <c r="CE2211" s="3" t="s">
        <v>1513</v>
      </c>
      <c r="CI2211" s="3">
        <v>2</v>
      </c>
      <c r="CJ2211" s="3">
        <v>2</v>
      </c>
      <c r="CK2211" s="3">
        <v>23</v>
      </c>
      <c r="CL2211" s="3" t="s">
        <v>87</v>
      </c>
    </row>
    <row r="2212" spans="1:90" x14ac:dyDescent="0.2">
      <c r="A2212" s="3" t="s">
        <v>72</v>
      </c>
      <c r="B2212" s="3" t="s">
        <v>73</v>
      </c>
      <c r="C2212" s="3" t="s">
        <v>74</v>
      </c>
      <c r="E2212" s="3" t="str">
        <f>"FES1162847151"</f>
        <v>FES1162847151</v>
      </c>
      <c r="F2212" s="4">
        <v>44587</v>
      </c>
      <c r="G2212" s="3">
        <v>202207</v>
      </c>
      <c r="H2212" s="3" t="s">
        <v>75</v>
      </c>
      <c r="I2212" s="3" t="s">
        <v>76</v>
      </c>
      <c r="J2212" s="3" t="s">
        <v>77</v>
      </c>
      <c r="K2212" s="3" t="s">
        <v>78</v>
      </c>
      <c r="L2212" s="3" t="s">
        <v>90</v>
      </c>
      <c r="M2212" s="3" t="s">
        <v>91</v>
      </c>
      <c r="N2212" s="3" t="s">
        <v>2296</v>
      </c>
      <c r="O2212" s="3" t="s">
        <v>82</v>
      </c>
      <c r="P2212" s="3" t="str">
        <f>"2170818467                    "</f>
        <v xml:space="preserve">2170818467                    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15.46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0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3">
        <v>0</v>
      </c>
      <c r="AY2212" s="3">
        <v>0</v>
      </c>
      <c r="AZ2212" s="3">
        <v>0</v>
      </c>
      <c r="BA2212" s="3">
        <v>0</v>
      </c>
      <c r="BB2212" s="3">
        <v>0</v>
      </c>
      <c r="BC2212" s="3">
        <v>0</v>
      </c>
      <c r="BD2212" s="3">
        <v>0</v>
      </c>
      <c r="BE2212" s="3">
        <v>0</v>
      </c>
      <c r="BF2212" s="3">
        <v>0</v>
      </c>
      <c r="BG2212" s="3">
        <v>0</v>
      </c>
      <c r="BH2212" s="3">
        <v>1</v>
      </c>
      <c r="BI2212" s="3">
        <v>1</v>
      </c>
      <c r="BJ2212" s="3">
        <v>0.2</v>
      </c>
      <c r="BK2212" s="3">
        <v>1</v>
      </c>
      <c r="BL2212" s="3">
        <v>59</v>
      </c>
      <c r="BM2212" s="3">
        <v>8.85</v>
      </c>
      <c r="BN2212" s="3">
        <v>67.849999999999994</v>
      </c>
      <c r="BO2212" s="3">
        <v>67.849999999999994</v>
      </c>
      <c r="BQ2212" s="3" t="s">
        <v>83</v>
      </c>
      <c r="BR2212" s="3" t="s">
        <v>84</v>
      </c>
      <c r="BS2212" s="4">
        <v>44588</v>
      </c>
      <c r="BT2212" s="5">
        <v>0.4069444444444445</v>
      </c>
      <c r="BU2212" s="3" t="s">
        <v>2297</v>
      </c>
      <c r="BV2212" s="3" t="s">
        <v>105</v>
      </c>
      <c r="BY2212" s="3">
        <v>1200</v>
      </c>
      <c r="BZ2212" s="3" t="s">
        <v>165</v>
      </c>
      <c r="CA2212" s="3" t="s">
        <v>2141</v>
      </c>
      <c r="CC2212" s="3" t="s">
        <v>91</v>
      </c>
      <c r="CD2212" s="3">
        <v>7500</v>
      </c>
      <c r="CE2212" s="3" t="s">
        <v>93</v>
      </c>
      <c r="CF2212" s="4">
        <v>44589</v>
      </c>
      <c r="CI2212" s="3">
        <v>1</v>
      </c>
      <c r="CJ2212" s="3">
        <v>1</v>
      </c>
      <c r="CK2212" s="3">
        <v>21</v>
      </c>
      <c r="CL2212" s="3" t="s">
        <v>87</v>
      </c>
    </row>
    <row r="2213" spans="1:90" x14ac:dyDescent="0.2">
      <c r="A2213" s="3" t="s">
        <v>72</v>
      </c>
      <c r="B2213" s="3" t="s">
        <v>73</v>
      </c>
      <c r="C2213" s="3" t="s">
        <v>74</v>
      </c>
      <c r="E2213" s="3" t="str">
        <f>"FES1162847042"</f>
        <v>FES1162847042</v>
      </c>
      <c r="F2213" s="4">
        <v>44587</v>
      </c>
      <c r="G2213" s="3">
        <v>202207</v>
      </c>
      <c r="H2213" s="3" t="s">
        <v>75</v>
      </c>
      <c r="I2213" s="3" t="s">
        <v>76</v>
      </c>
      <c r="J2213" s="3" t="s">
        <v>77</v>
      </c>
      <c r="K2213" s="3" t="s">
        <v>78</v>
      </c>
      <c r="L2213" s="3" t="s">
        <v>90</v>
      </c>
      <c r="M2213" s="3" t="s">
        <v>91</v>
      </c>
      <c r="N2213" s="3" t="s">
        <v>584</v>
      </c>
      <c r="O2213" s="3" t="s">
        <v>82</v>
      </c>
      <c r="P2213" s="3" t="str">
        <f>"2170818326                    "</f>
        <v xml:space="preserve">2170818326                    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84.98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0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3">
        <v>0</v>
      </c>
      <c r="AY2213" s="3">
        <v>0</v>
      </c>
      <c r="AZ2213" s="3">
        <v>0</v>
      </c>
      <c r="BA2213" s="3">
        <v>0</v>
      </c>
      <c r="BB2213" s="3">
        <v>0</v>
      </c>
      <c r="BC2213" s="3">
        <v>0</v>
      </c>
      <c r="BD2213" s="3">
        <v>0</v>
      </c>
      <c r="BE2213" s="3">
        <v>0</v>
      </c>
      <c r="BF2213" s="3">
        <v>0</v>
      </c>
      <c r="BG2213" s="3">
        <v>0</v>
      </c>
      <c r="BH2213" s="3">
        <v>1</v>
      </c>
      <c r="BI2213" s="3">
        <v>9</v>
      </c>
      <c r="BJ2213" s="3">
        <v>11</v>
      </c>
      <c r="BK2213" s="3">
        <v>11</v>
      </c>
      <c r="BL2213" s="3">
        <v>324.36</v>
      </c>
      <c r="BM2213" s="3">
        <v>48.65</v>
      </c>
      <c r="BN2213" s="3">
        <v>373.01</v>
      </c>
      <c r="BO2213" s="3">
        <v>373.01</v>
      </c>
      <c r="BQ2213" s="3" t="s">
        <v>83</v>
      </c>
      <c r="BR2213" s="3" t="s">
        <v>84</v>
      </c>
      <c r="BS2213" s="4">
        <v>44588</v>
      </c>
      <c r="BT2213" s="5">
        <v>0.34861111111111115</v>
      </c>
      <c r="BU2213" s="3" t="s">
        <v>1067</v>
      </c>
      <c r="BV2213" s="3" t="s">
        <v>105</v>
      </c>
      <c r="BY2213" s="3">
        <v>55223</v>
      </c>
      <c r="BZ2213" s="3" t="s">
        <v>165</v>
      </c>
      <c r="CA2213" s="3" t="s">
        <v>543</v>
      </c>
      <c r="CC2213" s="3" t="s">
        <v>91</v>
      </c>
      <c r="CD2213" s="3">
        <v>7530</v>
      </c>
      <c r="CE2213" s="3" t="s">
        <v>221</v>
      </c>
      <c r="CF2213" s="4">
        <v>44589</v>
      </c>
      <c r="CI2213" s="3">
        <v>1</v>
      </c>
      <c r="CJ2213" s="3">
        <v>1</v>
      </c>
      <c r="CK2213" s="3">
        <v>21</v>
      </c>
      <c r="CL2213" s="3" t="s">
        <v>87</v>
      </c>
    </row>
    <row r="2214" spans="1:90" x14ac:dyDescent="0.2">
      <c r="A2214" s="3" t="s">
        <v>72</v>
      </c>
      <c r="B2214" s="3" t="s">
        <v>73</v>
      </c>
      <c r="C2214" s="3" t="s">
        <v>74</v>
      </c>
      <c r="E2214" s="3" t="str">
        <f>"FES1162847154"</f>
        <v>FES1162847154</v>
      </c>
      <c r="F2214" s="4">
        <v>44587</v>
      </c>
      <c r="G2214" s="3">
        <v>202207</v>
      </c>
      <c r="H2214" s="3" t="s">
        <v>75</v>
      </c>
      <c r="I2214" s="3" t="s">
        <v>76</v>
      </c>
      <c r="J2214" s="3" t="s">
        <v>77</v>
      </c>
      <c r="K2214" s="3" t="s">
        <v>78</v>
      </c>
      <c r="L2214" s="3" t="s">
        <v>97</v>
      </c>
      <c r="M2214" s="3" t="s">
        <v>98</v>
      </c>
      <c r="N2214" s="3" t="s">
        <v>482</v>
      </c>
      <c r="O2214" s="3" t="s">
        <v>82</v>
      </c>
      <c r="P2214" s="3" t="str">
        <f>"2170818209                    "</f>
        <v xml:space="preserve">2170818209                    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12.07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0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3">
        <v>0</v>
      </c>
      <c r="AY2214" s="3">
        <v>0</v>
      </c>
      <c r="AZ2214" s="3">
        <v>0</v>
      </c>
      <c r="BA2214" s="3">
        <v>0</v>
      </c>
      <c r="BB2214" s="3">
        <v>0</v>
      </c>
      <c r="BC2214" s="3">
        <v>0</v>
      </c>
      <c r="BD2214" s="3">
        <v>0</v>
      </c>
      <c r="BE2214" s="3">
        <v>0</v>
      </c>
      <c r="BF2214" s="3">
        <v>0</v>
      </c>
      <c r="BG2214" s="3">
        <v>0</v>
      </c>
      <c r="BH2214" s="3">
        <v>1</v>
      </c>
      <c r="BI2214" s="3">
        <v>7</v>
      </c>
      <c r="BJ2214" s="3">
        <v>4.0999999999999996</v>
      </c>
      <c r="BK2214" s="3">
        <v>7</v>
      </c>
      <c r="BL2214" s="3">
        <v>46.08</v>
      </c>
      <c r="BM2214" s="3">
        <v>6.91</v>
      </c>
      <c r="BN2214" s="3">
        <v>52.99</v>
      </c>
      <c r="BO2214" s="3">
        <v>52.99</v>
      </c>
      <c r="BQ2214" s="3" t="s">
        <v>89</v>
      </c>
      <c r="BR2214" s="3" t="s">
        <v>84</v>
      </c>
      <c r="BS2214" s="4">
        <v>44588</v>
      </c>
      <c r="BT2214" s="5">
        <v>0.4368055555555555</v>
      </c>
      <c r="BU2214" s="3" t="s">
        <v>1380</v>
      </c>
      <c r="BV2214" s="3" t="s">
        <v>105</v>
      </c>
      <c r="BY2214" s="3">
        <v>20358</v>
      </c>
      <c r="BZ2214" s="3" t="s">
        <v>165</v>
      </c>
      <c r="CA2214" s="3" t="s">
        <v>2185</v>
      </c>
      <c r="CC2214" s="3" t="s">
        <v>98</v>
      </c>
      <c r="CD2214" s="3">
        <v>2197</v>
      </c>
      <c r="CE2214" s="3" t="s">
        <v>86</v>
      </c>
      <c r="CF2214" s="4">
        <v>44588</v>
      </c>
      <c r="CI2214" s="3">
        <v>1</v>
      </c>
      <c r="CJ2214" s="3">
        <v>1</v>
      </c>
      <c r="CK2214" s="3">
        <v>22</v>
      </c>
      <c r="CL2214" s="3" t="s">
        <v>87</v>
      </c>
    </row>
    <row r="2215" spans="1:90" x14ac:dyDescent="0.2">
      <c r="A2215" s="3" t="s">
        <v>72</v>
      </c>
      <c r="B2215" s="3" t="s">
        <v>73</v>
      </c>
      <c r="C2215" s="3" t="s">
        <v>74</v>
      </c>
      <c r="E2215" s="3" t="str">
        <f>"FES1162847036"</f>
        <v>FES1162847036</v>
      </c>
      <c r="F2215" s="4">
        <v>44587</v>
      </c>
      <c r="G2215" s="3">
        <v>202207</v>
      </c>
      <c r="H2215" s="3" t="s">
        <v>75</v>
      </c>
      <c r="I2215" s="3" t="s">
        <v>76</v>
      </c>
      <c r="J2215" s="3" t="s">
        <v>77</v>
      </c>
      <c r="K2215" s="3" t="s">
        <v>78</v>
      </c>
      <c r="L2215" s="3" t="s">
        <v>90</v>
      </c>
      <c r="M2215" s="3" t="s">
        <v>91</v>
      </c>
      <c r="N2215" s="3" t="s">
        <v>157</v>
      </c>
      <c r="O2215" s="3" t="s">
        <v>82</v>
      </c>
      <c r="P2215" s="3" t="str">
        <f>"2170818321                    "</f>
        <v xml:space="preserve">2170818321                    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92.7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0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3">
        <v>0</v>
      </c>
      <c r="AY2215" s="3">
        <v>0</v>
      </c>
      <c r="AZ2215" s="3">
        <v>0</v>
      </c>
      <c r="BA2215" s="3">
        <v>0</v>
      </c>
      <c r="BB2215" s="3">
        <v>0</v>
      </c>
      <c r="BC2215" s="3">
        <v>0</v>
      </c>
      <c r="BD2215" s="3">
        <v>0</v>
      </c>
      <c r="BE2215" s="3">
        <v>0</v>
      </c>
      <c r="BF2215" s="3">
        <v>0</v>
      </c>
      <c r="BG2215" s="3">
        <v>0</v>
      </c>
      <c r="BH2215" s="3">
        <v>1</v>
      </c>
      <c r="BI2215" s="3">
        <v>12</v>
      </c>
      <c r="BJ2215" s="3">
        <v>4.0999999999999996</v>
      </c>
      <c r="BK2215" s="3">
        <v>12</v>
      </c>
      <c r="BL2215" s="3">
        <v>353.84</v>
      </c>
      <c r="BM2215" s="3">
        <v>53.08</v>
      </c>
      <c r="BN2215" s="3">
        <v>406.92</v>
      </c>
      <c r="BO2215" s="3">
        <v>406.92</v>
      </c>
      <c r="BQ2215" s="3" t="s">
        <v>89</v>
      </c>
      <c r="BR2215" s="3" t="s">
        <v>84</v>
      </c>
      <c r="BS2215" s="4">
        <v>44588</v>
      </c>
      <c r="BT2215" s="5">
        <v>0.41041666666666665</v>
      </c>
      <c r="BU2215" s="3" t="s">
        <v>693</v>
      </c>
      <c r="BV2215" s="3" t="s">
        <v>105</v>
      </c>
      <c r="BY2215" s="3">
        <v>20358</v>
      </c>
      <c r="BZ2215" s="3" t="s">
        <v>165</v>
      </c>
      <c r="CA2215" s="3" t="s">
        <v>289</v>
      </c>
      <c r="CC2215" s="3" t="s">
        <v>91</v>
      </c>
      <c r="CD2215" s="3">
        <v>7441</v>
      </c>
      <c r="CE2215" s="3" t="s">
        <v>221</v>
      </c>
      <c r="CF2215" s="4">
        <v>44589</v>
      </c>
      <c r="CI2215" s="3">
        <v>1</v>
      </c>
      <c r="CJ2215" s="3">
        <v>1</v>
      </c>
      <c r="CK2215" s="3">
        <v>21</v>
      </c>
      <c r="CL2215" s="3" t="s">
        <v>87</v>
      </c>
    </row>
    <row r="2216" spans="1:90" x14ac:dyDescent="0.2">
      <c r="A2216" s="3" t="s">
        <v>72</v>
      </c>
      <c r="B2216" s="3" t="s">
        <v>73</v>
      </c>
      <c r="C2216" s="3" t="s">
        <v>74</v>
      </c>
      <c r="E2216" s="3" t="str">
        <f>"FES1162846691"</f>
        <v>FES1162846691</v>
      </c>
      <c r="F2216" s="4">
        <v>44586</v>
      </c>
      <c r="G2216" s="3">
        <v>202207</v>
      </c>
      <c r="H2216" s="3" t="s">
        <v>75</v>
      </c>
      <c r="I2216" s="3" t="s">
        <v>76</v>
      </c>
      <c r="J2216" s="3" t="s">
        <v>77</v>
      </c>
      <c r="K2216" s="3" t="s">
        <v>78</v>
      </c>
      <c r="L2216" s="3" t="s">
        <v>167</v>
      </c>
      <c r="M2216" s="3" t="s">
        <v>168</v>
      </c>
      <c r="N2216" s="3" t="s">
        <v>862</v>
      </c>
      <c r="O2216" s="3" t="s">
        <v>82</v>
      </c>
      <c r="P2216" s="3" t="str">
        <f>"2170816316                    "</f>
        <v xml:space="preserve">2170816316                    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30.91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0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3">
        <v>0</v>
      </c>
      <c r="AY2216" s="3">
        <v>0</v>
      </c>
      <c r="AZ2216" s="3">
        <v>0</v>
      </c>
      <c r="BA2216" s="3">
        <v>0</v>
      </c>
      <c r="BB2216" s="3">
        <v>0</v>
      </c>
      <c r="BC2216" s="3">
        <v>0</v>
      </c>
      <c r="BD2216" s="3">
        <v>0</v>
      </c>
      <c r="BE2216" s="3">
        <v>0</v>
      </c>
      <c r="BF2216" s="3">
        <v>0</v>
      </c>
      <c r="BG2216" s="3">
        <v>0</v>
      </c>
      <c r="BH2216" s="3">
        <v>1</v>
      </c>
      <c r="BI2216" s="3">
        <v>4</v>
      </c>
      <c r="BJ2216" s="3">
        <v>0.9</v>
      </c>
      <c r="BK2216" s="3">
        <v>4</v>
      </c>
      <c r="BL2216" s="3">
        <v>117.97</v>
      </c>
      <c r="BM2216" s="3">
        <v>17.7</v>
      </c>
      <c r="BN2216" s="3">
        <v>135.66999999999999</v>
      </c>
      <c r="BO2216" s="3">
        <v>135.66999999999999</v>
      </c>
      <c r="BQ2216" s="3" t="s">
        <v>863</v>
      </c>
      <c r="BR2216" s="3" t="s">
        <v>84</v>
      </c>
      <c r="BS2216" s="4">
        <v>44587</v>
      </c>
      <c r="BT2216" s="5">
        <v>0.33819444444444446</v>
      </c>
      <c r="BU2216" s="3" t="s">
        <v>2298</v>
      </c>
      <c r="BV2216" s="3" t="s">
        <v>105</v>
      </c>
      <c r="BY2216" s="3">
        <v>4275</v>
      </c>
      <c r="BZ2216" s="3" t="s">
        <v>165</v>
      </c>
      <c r="CA2216" s="3" t="s">
        <v>553</v>
      </c>
      <c r="CC2216" s="3" t="s">
        <v>168</v>
      </c>
      <c r="CD2216" s="3">
        <v>6229</v>
      </c>
      <c r="CE2216" s="3" t="s">
        <v>86</v>
      </c>
      <c r="CF2216" s="4">
        <v>44587</v>
      </c>
      <c r="CI2216" s="3">
        <v>1</v>
      </c>
      <c r="CJ2216" s="3">
        <v>1</v>
      </c>
      <c r="CK2216" s="3">
        <v>21</v>
      </c>
      <c r="CL2216" s="3" t="s">
        <v>87</v>
      </c>
    </row>
    <row r="2217" spans="1:90" x14ac:dyDescent="0.2">
      <c r="A2217" s="3" t="s">
        <v>72</v>
      </c>
      <c r="B2217" s="3" t="s">
        <v>73</v>
      </c>
      <c r="C2217" s="3" t="s">
        <v>74</v>
      </c>
      <c r="E2217" s="3" t="str">
        <f>"FES1162846792"</f>
        <v>FES1162846792</v>
      </c>
      <c r="F2217" s="4">
        <v>44586</v>
      </c>
      <c r="G2217" s="3">
        <v>202207</v>
      </c>
      <c r="H2217" s="3" t="s">
        <v>75</v>
      </c>
      <c r="I2217" s="3" t="s">
        <v>76</v>
      </c>
      <c r="J2217" s="3" t="s">
        <v>77</v>
      </c>
      <c r="K2217" s="3" t="s">
        <v>78</v>
      </c>
      <c r="L2217" s="3" t="s">
        <v>258</v>
      </c>
      <c r="M2217" s="3" t="s">
        <v>259</v>
      </c>
      <c r="N2217" s="3" t="s">
        <v>260</v>
      </c>
      <c r="O2217" s="3" t="s">
        <v>82</v>
      </c>
      <c r="P2217" s="3" t="str">
        <f>"2170817929                    "</f>
        <v xml:space="preserve">2170817929                    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64.08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0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3">
        <v>0</v>
      </c>
      <c r="AY2217" s="3">
        <v>0</v>
      </c>
      <c r="AZ2217" s="3">
        <v>0</v>
      </c>
      <c r="BA2217" s="3">
        <v>0</v>
      </c>
      <c r="BB2217" s="3">
        <v>0</v>
      </c>
      <c r="BC2217" s="3">
        <v>0</v>
      </c>
      <c r="BD2217" s="3">
        <v>0</v>
      </c>
      <c r="BE2217" s="3">
        <v>0</v>
      </c>
      <c r="BF2217" s="3">
        <v>0</v>
      </c>
      <c r="BG2217" s="3">
        <v>0</v>
      </c>
      <c r="BH2217" s="3">
        <v>1</v>
      </c>
      <c r="BI2217" s="3">
        <v>6</v>
      </c>
      <c r="BJ2217" s="3">
        <v>4.0999999999999996</v>
      </c>
      <c r="BK2217" s="3">
        <v>6</v>
      </c>
      <c r="BL2217" s="3">
        <v>244.6</v>
      </c>
      <c r="BM2217" s="3">
        <v>36.69</v>
      </c>
      <c r="BN2217" s="3">
        <v>281.29000000000002</v>
      </c>
      <c r="BO2217" s="3">
        <v>281.29000000000002</v>
      </c>
      <c r="BQ2217" s="3" t="s">
        <v>83</v>
      </c>
      <c r="BR2217" s="3" t="s">
        <v>84</v>
      </c>
      <c r="BS2217" s="4">
        <v>44587</v>
      </c>
      <c r="BT2217" s="5">
        <v>0.56597222222222221</v>
      </c>
      <c r="BU2217" s="3" t="s">
        <v>2126</v>
      </c>
      <c r="BV2217" s="3" t="s">
        <v>87</v>
      </c>
      <c r="BW2217" s="3" t="s">
        <v>353</v>
      </c>
      <c r="BX2217" s="3" t="s">
        <v>618</v>
      </c>
      <c r="BY2217" s="3">
        <v>20358</v>
      </c>
      <c r="BZ2217" s="3" t="s">
        <v>165</v>
      </c>
      <c r="CA2217" s="3" t="s">
        <v>724</v>
      </c>
      <c r="CC2217" s="3" t="s">
        <v>259</v>
      </c>
      <c r="CD2217" s="3">
        <v>2302</v>
      </c>
      <c r="CE2217" s="3" t="s">
        <v>86</v>
      </c>
      <c r="CF2217" s="4">
        <v>44588</v>
      </c>
      <c r="CI2217" s="3">
        <v>1</v>
      </c>
      <c r="CJ2217" s="3">
        <v>1</v>
      </c>
      <c r="CK2217" s="3">
        <v>24</v>
      </c>
      <c r="CL2217" s="3" t="s">
        <v>87</v>
      </c>
    </row>
    <row r="2218" spans="1:90" x14ac:dyDescent="0.2">
      <c r="A2218" s="3" t="s">
        <v>72</v>
      </c>
      <c r="B2218" s="3" t="s">
        <v>73</v>
      </c>
      <c r="C2218" s="3" t="s">
        <v>74</v>
      </c>
      <c r="E2218" s="3" t="str">
        <f>"FES1162846811"</f>
        <v>FES1162846811</v>
      </c>
      <c r="F2218" s="4">
        <v>44586</v>
      </c>
      <c r="G2218" s="3">
        <v>202207</v>
      </c>
      <c r="H2218" s="3" t="s">
        <v>75</v>
      </c>
      <c r="I2218" s="3" t="s">
        <v>76</v>
      </c>
      <c r="J2218" s="3" t="s">
        <v>77</v>
      </c>
      <c r="K2218" s="3" t="s">
        <v>78</v>
      </c>
      <c r="L2218" s="3" t="s">
        <v>90</v>
      </c>
      <c r="M2218" s="3" t="s">
        <v>91</v>
      </c>
      <c r="N2218" s="3" t="s">
        <v>157</v>
      </c>
      <c r="O2218" s="3" t="s">
        <v>148</v>
      </c>
      <c r="P2218" s="3" t="str">
        <f>"2170816137                    "</f>
        <v xml:space="preserve">2170816137                    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42.21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0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3">
        <v>0</v>
      </c>
      <c r="AY2218" s="3">
        <v>0</v>
      </c>
      <c r="AZ2218" s="3">
        <v>0</v>
      </c>
      <c r="BA2218" s="3">
        <v>0</v>
      </c>
      <c r="BB2218" s="3">
        <v>0</v>
      </c>
      <c r="BC2218" s="3">
        <v>0</v>
      </c>
      <c r="BD2218" s="3">
        <v>0</v>
      </c>
      <c r="BE2218" s="3">
        <v>0</v>
      </c>
      <c r="BF2218" s="3">
        <v>0</v>
      </c>
      <c r="BG2218" s="3">
        <v>0</v>
      </c>
      <c r="BH2218" s="3">
        <v>3</v>
      </c>
      <c r="BI2218" s="3">
        <v>25</v>
      </c>
      <c r="BJ2218" s="3">
        <v>10.9</v>
      </c>
      <c r="BK2218" s="3">
        <v>25</v>
      </c>
      <c r="BL2218" s="3">
        <v>166.36</v>
      </c>
      <c r="BM2218" s="3">
        <v>24.95</v>
      </c>
      <c r="BN2218" s="3">
        <v>191.31</v>
      </c>
      <c r="BO2218" s="3">
        <v>191.31</v>
      </c>
      <c r="BQ2218" s="3" t="s">
        <v>89</v>
      </c>
      <c r="BR2218" s="3" t="s">
        <v>84</v>
      </c>
      <c r="BS2218" s="4">
        <v>44588</v>
      </c>
      <c r="BT2218" s="5">
        <v>0.41041666666666665</v>
      </c>
      <c r="BU2218" s="3" t="s">
        <v>693</v>
      </c>
      <c r="BV2218" s="3" t="s">
        <v>105</v>
      </c>
      <c r="BY2218" s="3">
        <v>54358</v>
      </c>
      <c r="BZ2218" s="3" t="s">
        <v>327</v>
      </c>
      <c r="CA2218" s="3" t="s">
        <v>289</v>
      </c>
      <c r="CC2218" s="3" t="s">
        <v>91</v>
      </c>
      <c r="CD2218" s="3">
        <v>7441</v>
      </c>
      <c r="CE2218" s="3" t="s">
        <v>222</v>
      </c>
      <c r="CF2218" s="4">
        <v>44589</v>
      </c>
      <c r="CI2218" s="3">
        <v>2</v>
      </c>
      <c r="CJ2218" s="3">
        <v>2</v>
      </c>
      <c r="CK2218" s="3">
        <v>41</v>
      </c>
      <c r="CL2218" s="3" t="s">
        <v>87</v>
      </c>
    </row>
    <row r="2219" spans="1:90" x14ac:dyDescent="0.2">
      <c r="A2219" s="3" t="s">
        <v>72</v>
      </c>
      <c r="B2219" s="3" t="s">
        <v>73</v>
      </c>
      <c r="C2219" s="3" t="s">
        <v>74</v>
      </c>
      <c r="E2219" s="3" t="str">
        <f>"FES1162846749"</f>
        <v>FES1162846749</v>
      </c>
      <c r="F2219" s="4">
        <v>44586</v>
      </c>
      <c r="G2219" s="3">
        <v>202207</v>
      </c>
      <c r="H2219" s="3" t="s">
        <v>75</v>
      </c>
      <c r="I2219" s="3" t="s">
        <v>76</v>
      </c>
      <c r="J2219" s="3" t="s">
        <v>77</v>
      </c>
      <c r="K2219" s="3" t="s">
        <v>78</v>
      </c>
      <c r="L2219" s="3" t="s">
        <v>335</v>
      </c>
      <c r="M2219" s="3" t="s">
        <v>336</v>
      </c>
      <c r="N2219" s="3" t="s">
        <v>704</v>
      </c>
      <c r="O2219" s="3" t="s">
        <v>82</v>
      </c>
      <c r="P2219" s="3" t="str">
        <f>"2170816090                    "</f>
        <v xml:space="preserve">2170816090                    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34.770000000000003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15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3">
        <v>0</v>
      </c>
      <c r="AY2219" s="3">
        <v>0</v>
      </c>
      <c r="AZ2219" s="3">
        <v>0</v>
      </c>
      <c r="BA2219" s="3">
        <v>0</v>
      </c>
      <c r="BB2219" s="3">
        <v>0</v>
      </c>
      <c r="BC2219" s="3">
        <v>0</v>
      </c>
      <c r="BD2219" s="3">
        <v>0</v>
      </c>
      <c r="BE2219" s="3">
        <v>0</v>
      </c>
      <c r="BF2219" s="3">
        <v>0</v>
      </c>
      <c r="BG2219" s="3">
        <v>0</v>
      </c>
      <c r="BH2219" s="3">
        <v>1</v>
      </c>
      <c r="BI2219" s="3">
        <v>2</v>
      </c>
      <c r="BJ2219" s="3">
        <v>4.0999999999999996</v>
      </c>
      <c r="BK2219" s="3">
        <v>4.5</v>
      </c>
      <c r="BL2219" s="3">
        <v>147.71</v>
      </c>
      <c r="BM2219" s="3">
        <v>22.16</v>
      </c>
      <c r="BN2219" s="3">
        <v>169.87</v>
      </c>
      <c r="BO2219" s="3">
        <v>169.87</v>
      </c>
      <c r="BQ2219" s="3" t="s">
        <v>705</v>
      </c>
      <c r="BR2219" s="3" t="s">
        <v>84</v>
      </c>
      <c r="BS2219" s="4">
        <v>44587</v>
      </c>
      <c r="BT2219" s="5">
        <v>0.41944444444444445</v>
      </c>
      <c r="BU2219" s="3" t="s">
        <v>2226</v>
      </c>
      <c r="BV2219" s="3" t="s">
        <v>105</v>
      </c>
      <c r="BY2219" s="3">
        <v>20358</v>
      </c>
      <c r="BZ2219" s="3" t="s">
        <v>446</v>
      </c>
      <c r="CA2219" s="3" t="s">
        <v>528</v>
      </c>
      <c r="CC2219" s="3" t="s">
        <v>336</v>
      </c>
      <c r="CD2219" s="3">
        <v>4133</v>
      </c>
      <c r="CE2219" s="3" t="s">
        <v>86</v>
      </c>
      <c r="CF2219" s="4">
        <v>44588</v>
      </c>
      <c r="CI2219" s="3">
        <v>1</v>
      </c>
      <c r="CJ2219" s="3">
        <v>1</v>
      </c>
      <c r="CK2219" s="3">
        <v>21</v>
      </c>
      <c r="CL2219" s="3" t="s">
        <v>87</v>
      </c>
    </row>
    <row r="2220" spans="1:90" x14ac:dyDescent="0.2">
      <c r="A2220" s="3" t="s">
        <v>72</v>
      </c>
      <c r="B2220" s="3" t="s">
        <v>73</v>
      </c>
      <c r="C2220" s="3" t="s">
        <v>74</v>
      </c>
      <c r="E2220" s="3" t="str">
        <f>"FES1162846761"</f>
        <v>FES1162846761</v>
      </c>
      <c r="F2220" s="4">
        <v>44586</v>
      </c>
      <c r="G2220" s="3">
        <v>202207</v>
      </c>
      <c r="H2220" s="3" t="s">
        <v>75</v>
      </c>
      <c r="I2220" s="3" t="s">
        <v>76</v>
      </c>
      <c r="J2220" s="3" t="s">
        <v>77</v>
      </c>
      <c r="K2220" s="3" t="s">
        <v>78</v>
      </c>
      <c r="L2220" s="3" t="s">
        <v>90</v>
      </c>
      <c r="M2220" s="3" t="s">
        <v>91</v>
      </c>
      <c r="N2220" s="3" t="s">
        <v>132</v>
      </c>
      <c r="O2220" s="3" t="s">
        <v>82</v>
      </c>
      <c r="P2220" s="3" t="str">
        <f>"2170816151                    "</f>
        <v xml:space="preserve">2170816151                    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15.46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3">
        <v>0</v>
      </c>
      <c r="AY2220" s="3">
        <v>0</v>
      </c>
      <c r="AZ2220" s="3">
        <v>0</v>
      </c>
      <c r="BA2220" s="3">
        <v>0</v>
      </c>
      <c r="BB2220" s="3">
        <v>0</v>
      </c>
      <c r="BC2220" s="3">
        <v>0</v>
      </c>
      <c r="BD2220" s="3">
        <v>0</v>
      </c>
      <c r="BE2220" s="3">
        <v>0</v>
      </c>
      <c r="BF2220" s="3">
        <v>0</v>
      </c>
      <c r="BG2220" s="3">
        <v>0</v>
      </c>
      <c r="BH2220" s="3">
        <v>1</v>
      </c>
      <c r="BI2220" s="3">
        <v>1</v>
      </c>
      <c r="BJ2220" s="3">
        <v>0.2</v>
      </c>
      <c r="BK2220" s="3">
        <v>1</v>
      </c>
      <c r="BL2220" s="3">
        <v>59</v>
      </c>
      <c r="BM2220" s="3">
        <v>8.85</v>
      </c>
      <c r="BN2220" s="3">
        <v>67.849999999999994</v>
      </c>
      <c r="BO2220" s="3">
        <v>67.849999999999994</v>
      </c>
      <c r="BQ2220" s="3" t="s">
        <v>83</v>
      </c>
      <c r="BR2220" s="3" t="s">
        <v>84</v>
      </c>
      <c r="BS2220" s="4">
        <v>44587</v>
      </c>
      <c r="BT2220" s="5">
        <v>0.48888888888888887</v>
      </c>
      <c r="BU2220" s="3" t="s">
        <v>595</v>
      </c>
      <c r="BV2220" s="3" t="s">
        <v>87</v>
      </c>
      <c r="BW2220" s="3" t="s">
        <v>457</v>
      </c>
      <c r="BX2220" s="3" t="s">
        <v>354</v>
      </c>
      <c r="BY2220" s="3">
        <v>1200</v>
      </c>
      <c r="BZ2220" s="3" t="s">
        <v>165</v>
      </c>
      <c r="CA2220" s="3" t="s">
        <v>1633</v>
      </c>
      <c r="CC2220" s="3" t="s">
        <v>91</v>
      </c>
      <c r="CD2220" s="3">
        <v>7530</v>
      </c>
      <c r="CE2220" s="3" t="s">
        <v>93</v>
      </c>
      <c r="CF2220" s="4">
        <v>44588</v>
      </c>
      <c r="CI2220" s="3">
        <v>1</v>
      </c>
      <c r="CJ2220" s="3">
        <v>1</v>
      </c>
      <c r="CK2220" s="3">
        <v>21</v>
      </c>
      <c r="CL2220" s="3" t="s">
        <v>87</v>
      </c>
    </row>
    <row r="2221" spans="1:90" x14ac:dyDescent="0.2">
      <c r="A2221" s="3" t="s">
        <v>72</v>
      </c>
      <c r="B2221" s="3" t="s">
        <v>73</v>
      </c>
      <c r="C2221" s="3" t="s">
        <v>74</v>
      </c>
      <c r="E2221" s="3" t="str">
        <f>"FES1162846846"</f>
        <v>FES1162846846</v>
      </c>
      <c r="F2221" s="4">
        <v>44586</v>
      </c>
      <c r="G2221" s="3">
        <v>202207</v>
      </c>
      <c r="H2221" s="3" t="s">
        <v>75</v>
      </c>
      <c r="I2221" s="3" t="s">
        <v>76</v>
      </c>
      <c r="J2221" s="3" t="s">
        <v>77</v>
      </c>
      <c r="K2221" s="3" t="s">
        <v>78</v>
      </c>
      <c r="L2221" s="3" t="s">
        <v>171</v>
      </c>
      <c r="M2221" s="3" t="s">
        <v>172</v>
      </c>
      <c r="N2221" s="3" t="s">
        <v>2299</v>
      </c>
      <c r="O2221" s="3" t="s">
        <v>82</v>
      </c>
      <c r="P2221" s="3" t="str">
        <f>"2170817380                    "</f>
        <v xml:space="preserve">2170817380                    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38.630000000000003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0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3">
        <v>0</v>
      </c>
      <c r="AY2221" s="3">
        <v>0</v>
      </c>
      <c r="AZ2221" s="3">
        <v>0</v>
      </c>
      <c r="BA2221" s="3">
        <v>0</v>
      </c>
      <c r="BB2221" s="3">
        <v>0</v>
      </c>
      <c r="BC2221" s="3">
        <v>0</v>
      </c>
      <c r="BD2221" s="3">
        <v>0</v>
      </c>
      <c r="BE2221" s="3">
        <v>0</v>
      </c>
      <c r="BF2221" s="3">
        <v>0</v>
      </c>
      <c r="BG2221" s="3">
        <v>0</v>
      </c>
      <c r="BH2221" s="3">
        <v>1</v>
      </c>
      <c r="BI2221" s="3">
        <v>5</v>
      </c>
      <c r="BJ2221" s="3">
        <v>4.0999999999999996</v>
      </c>
      <c r="BK2221" s="3">
        <v>5</v>
      </c>
      <c r="BL2221" s="3">
        <v>147.44999999999999</v>
      </c>
      <c r="BM2221" s="3">
        <v>22.12</v>
      </c>
      <c r="BN2221" s="3">
        <v>169.57</v>
      </c>
      <c r="BO2221" s="3">
        <v>169.57</v>
      </c>
      <c r="BQ2221" s="3" t="s">
        <v>145</v>
      </c>
      <c r="BR2221" s="3" t="s">
        <v>84</v>
      </c>
      <c r="BS2221" s="4">
        <v>44587</v>
      </c>
      <c r="BT2221" s="5">
        <v>0.4375</v>
      </c>
      <c r="BU2221" s="3" t="s">
        <v>2300</v>
      </c>
      <c r="BV2221" s="3" t="s">
        <v>105</v>
      </c>
      <c r="BY2221" s="3">
        <v>20358</v>
      </c>
      <c r="BZ2221" s="3" t="s">
        <v>165</v>
      </c>
      <c r="CC2221" s="3" t="s">
        <v>172</v>
      </c>
      <c r="CD2221" s="3">
        <v>6001</v>
      </c>
      <c r="CE2221" s="3" t="s">
        <v>86</v>
      </c>
      <c r="CF2221" s="4">
        <v>44587</v>
      </c>
      <c r="CI2221" s="3">
        <v>1</v>
      </c>
      <c r="CJ2221" s="3">
        <v>1</v>
      </c>
      <c r="CK2221" s="3">
        <v>21</v>
      </c>
      <c r="CL2221" s="3" t="s">
        <v>87</v>
      </c>
    </row>
    <row r="2222" spans="1:90" x14ac:dyDescent="0.2">
      <c r="A2222" s="3" t="s">
        <v>72</v>
      </c>
      <c r="B2222" s="3" t="s">
        <v>73</v>
      </c>
      <c r="C2222" s="3" t="s">
        <v>74</v>
      </c>
      <c r="E2222" s="3" t="str">
        <f>"FES1162846742"</f>
        <v>FES1162846742</v>
      </c>
      <c r="F2222" s="4">
        <v>44586</v>
      </c>
      <c r="G2222" s="3">
        <v>202207</v>
      </c>
      <c r="H2222" s="3" t="s">
        <v>75</v>
      </c>
      <c r="I2222" s="3" t="s">
        <v>76</v>
      </c>
      <c r="J2222" s="3" t="s">
        <v>77</v>
      </c>
      <c r="K2222" s="3" t="s">
        <v>78</v>
      </c>
      <c r="L2222" s="3" t="s">
        <v>171</v>
      </c>
      <c r="M2222" s="3" t="s">
        <v>172</v>
      </c>
      <c r="N2222" s="3" t="s">
        <v>199</v>
      </c>
      <c r="O2222" s="3" t="s">
        <v>82</v>
      </c>
      <c r="P2222" s="3" t="str">
        <f>"2170815873                    "</f>
        <v xml:space="preserve">2170815873                    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15.46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0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0</v>
      </c>
      <c r="AX2222" s="3">
        <v>0</v>
      </c>
      <c r="AY2222" s="3">
        <v>0</v>
      </c>
      <c r="AZ2222" s="3">
        <v>0</v>
      </c>
      <c r="BA2222" s="3">
        <v>0</v>
      </c>
      <c r="BB2222" s="3">
        <v>0</v>
      </c>
      <c r="BC2222" s="3">
        <v>0</v>
      </c>
      <c r="BD2222" s="3">
        <v>0</v>
      </c>
      <c r="BE2222" s="3">
        <v>0</v>
      </c>
      <c r="BF2222" s="3">
        <v>0</v>
      </c>
      <c r="BG2222" s="3">
        <v>0</v>
      </c>
      <c r="BH2222" s="3">
        <v>1</v>
      </c>
      <c r="BI2222" s="3">
        <v>1</v>
      </c>
      <c r="BJ2222" s="3">
        <v>0.2</v>
      </c>
      <c r="BK2222" s="3">
        <v>1</v>
      </c>
      <c r="BL2222" s="3">
        <v>59</v>
      </c>
      <c r="BM2222" s="3">
        <v>8.85</v>
      </c>
      <c r="BN2222" s="3">
        <v>67.849999999999994</v>
      </c>
      <c r="BO2222" s="3">
        <v>67.849999999999994</v>
      </c>
      <c r="BR2222" s="3" t="s">
        <v>84</v>
      </c>
      <c r="BS2222" s="4">
        <v>44587</v>
      </c>
      <c r="BT2222" s="5">
        <v>0.3125</v>
      </c>
      <c r="BU2222" s="3" t="s">
        <v>1500</v>
      </c>
      <c r="BV2222" s="3" t="s">
        <v>105</v>
      </c>
      <c r="BY2222" s="3">
        <v>1200</v>
      </c>
      <c r="BZ2222" s="3" t="s">
        <v>165</v>
      </c>
      <c r="CA2222" s="3" t="s">
        <v>408</v>
      </c>
      <c r="CC2222" s="3" t="s">
        <v>172</v>
      </c>
      <c r="CD2222" s="3">
        <v>6000</v>
      </c>
      <c r="CE2222" s="3" t="s">
        <v>93</v>
      </c>
      <c r="CF2222" s="4">
        <v>44587</v>
      </c>
      <c r="CI2222" s="3">
        <v>1</v>
      </c>
      <c r="CJ2222" s="3">
        <v>1</v>
      </c>
      <c r="CK2222" s="3">
        <v>21</v>
      </c>
      <c r="CL2222" s="3" t="s">
        <v>87</v>
      </c>
    </row>
    <row r="2223" spans="1:90" x14ac:dyDescent="0.2">
      <c r="A2223" s="3" t="s">
        <v>72</v>
      </c>
      <c r="B2223" s="3" t="s">
        <v>73</v>
      </c>
      <c r="C2223" s="3" t="s">
        <v>74</v>
      </c>
      <c r="E2223" s="3" t="str">
        <f>"FES1162846690"</f>
        <v>FES1162846690</v>
      </c>
      <c r="F2223" s="4">
        <v>44586</v>
      </c>
      <c r="G2223" s="3">
        <v>202207</v>
      </c>
      <c r="H2223" s="3" t="s">
        <v>75</v>
      </c>
      <c r="I2223" s="3" t="s">
        <v>76</v>
      </c>
      <c r="J2223" s="3" t="s">
        <v>77</v>
      </c>
      <c r="K2223" s="3" t="s">
        <v>78</v>
      </c>
      <c r="L2223" s="3" t="s">
        <v>171</v>
      </c>
      <c r="M2223" s="3" t="s">
        <v>172</v>
      </c>
      <c r="N2223" s="3" t="s">
        <v>249</v>
      </c>
      <c r="O2223" s="3" t="s">
        <v>82</v>
      </c>
      <c r="P2223" s="3" t="str">
        <f>"2170816312                    "</f>
        <v xml:space="preserve">2170816312                    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38.630000000000003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0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3">
        <v>0</v>
      </c>
      <c r="AY2223" s="3">
        <v>0</v>
      </c>
      <c r="AZ2223" s="3">
        <v>0</v>
      </c>
      <c r="BA2223" s="3">
        <v>0</v>
      </c>
      <c r="BB2223" s="3">
        <v>0</v>
      </c>
      <c r="BC2223" s="3">
        <v>0</v>
      </c>
      <c r="BD2223" s="3">
        <v>0</v>
      </c>
      <c r="BE2223" s="3">
        <v>0</v>
      </c>
      <c r="BF2223" s="3">
        <v>0</v>
      </c>
      <c r="BG2223" s="3">
        <v>0</v>
      </c>
      <c r="BH2223" s="3">
        <v>1</v>
      </c>
      <c r="BI2223" s="3">
        <v>5</v>
      </c>
      <c r="BJ2223" s="3">
        <v>4.0999999999999996</v>
      </c>
      <c r="BK2223" s="3">
        <v>5</v>
      </c>
      <c r="BL2223" s="3">
        <v>147.44999999999999</v>
      </c>
      <c r="BM2223" s="3">
        <v>22.12</v>
      </c>
      <c r="BN2223" s="3">
        <v>169.57</v>
      </c>
      <c r="BO2223" s="3">
        <v>169.57</v>
      </c>
      <c r="BQ2223" s="3" t="s">
        <v>89</v>
      </c>
      <c r="BR2223" s="3" t="s">
        <v>84</v>
      </c>
      <c r="BS2223" s="4">
        <v>44587</v>
      </c>
      <c r="BT2223" s="5">
        <v>0.39583333333333331</v>
      </c>
      <c r="BU2223" s="3" t="s">
        <v>2219</v>
      </c>
      <c r="BV2223" s="3" t="s">
        <v>105</v>
      </c>
      <c r="BY2223" s="3">
        <v>20358</v>
      </c>
      <c r="BZ2223" s="3" t="s">
        <v>165</v>
      </c>
      <c r="CC2223" s="3" t="s">
        <v>172</v>
      </c>
      <c r="CD2223" s="3">
        <v>6001</v>
      </c>
      <c r="CE2223" s="3" t="s">
        <v>86</v>
      </c>
      <c r="CF2223" s="4">
        <v>44587</v>
      </c>
      <c r="CI2223" s="3">
        <v>1</v>
      </c>
      <c r="CJ2223" s="3">
        <v>1</v>
      </c>
      <c r="CK2223" s="3">
        <v>21</v>
      </c>
      <c r="CL2223" s="3" t="s">
        <v>87</v>
      </c>
    </row>
    <row r="2224" spans="1:90" x14ac:dyDescent="0.2">
      <c r="A2224" s="3" t="s">
        <v>72</v>
      </c>
      <c r="B2224" s="3" t="s">
        <v>73</v>
      </c>
      <c r="C2224" s="3" t="s">
        <v>74</v>
      </c>
      <c r="E2224" s="3" t="str">
        <f>"FES1162846733"</f>
        <v>FES1162846733</v>
      </c>
      <c r="F2224" s="4">
        <v>44586</v>
      </c>
      <c r="G2224" s="3">
        <v>202207</v>
      </c>
      <c r="H2224" s="3" t="s">
        <v>75</v>
      </c>
      <c r="I2224" s="3" t="s">
        <v>76</v>
      </c>
      <c r="J2224" s="3" t="s">
        <v>77</v>
      </c>
      <c r="K2224" s="3" t="s">
        <v>78</v>
      </c>
      <c r="L2224" s="3" t="s">
        <v>184</v>
      </c>
      <c r="M2224" s="3" t="s">
        <v>185</v>
      </c>
      <c r="N2224" s="3" t="s">
        <v>186</v>
      </c>
      <c r="O2224" s="3" t="s">
        <v>82</v>
      </c>
      <c r="P2224" s="3" t="str">
        <f>"2170815478                    "</f>
        <v xml:space="preserve">2170815478                    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15.46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0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3">
        <v>0</v>
      </c>
      <c r="AY2224" s="3">
        <v>0</v>
      </c>
      <c r="AZ2224" s="3">
        <v>0</v>
      </c>
      <c r="BA2224" s="3">
        <v>0</v>
      </c>
      <c r="BB2224" s="3">
        <v>0</v>
      </c>
      <c r="BC2224" s="3">
        <v>0</v>
      </c>
      <c r="BD2224" s="3">
        <v>0</v>
      </c>
      <c r="BE2224" s="3">
        <v>0</v>
      </c>
      <c r="BF2224" s="3">
        <v>0</v>
      </c>
      <c r="BG2224" s="3">
        <v>0</v>
      </c>
      <c r="BH2224" s="3">
        <v>1</v>
      </c>
      <c r="BI2224" s="3">
        <v>1</v>
      </c>
      <c r="BJ2224" s="3">
        <v>0.2</v>
      </c>
      <c r="BK2224" s="3">
        <v>1</v>
      </c>
      <c r="BL2224" s="3">
        <v>59</v>
      </c>
      <c r="BM2224" s="3">
        <v>8.85</v>
      </c>
      <c r="BN2224" s="3">
        <v>67.849999999999994</v>
      </c>
      <c r="BO2224" s="3">
        <v>67.849999999999994</v>
      </c>
      <c r="BQ2224" s="3" t="s">
        <v>83</v>
      </c>
      <c r="BR2224" s="3" t="s">
        <v>84</v>
      </c>
      <c r="BS2224" s="4">
        <v>44588</v>
      </c>
      <c r="BT2224" s="5">
        <v>0.56944444444444442</v>
      </c>
      <c r="BU2224" s="3" t="s">
        <v>1680</v>
      </c>
      <c r="BV2224" s="3" t="s">
        <v>87</v>
      </c>
      <c r="BW2224" s="3" t="s">
        <v>353</v>
      </c>
      <c r="BX2224" s="3" t="s">
        <v>605</v>
      </c>
      <c r="BY2224" s="3">
        <v>1200</v>
      </c>
      <c r="BZ2224" s="3" t="s">
        <v>165</v>
      </c>
      <c r="CA2224" s="3" t="s">
        <v>1681</v>
      </c>
      <c r="CC2224" s="3" t="s">
        <v>185</v>
      </c>
      <c r="CD2224" s="3">
        <v>5201</v>
      </c>
      <c r="CE2224" s="3" t="s">
        <v>93</v>
      </c>
      <c r="CF2224" s="4">
        <v>44588</v>
      </c>
      <c r="CI2224" s="3">
        <v>1</v>
      </c>
      <c r="CJ2224" s="3">
        <v>2</v>
      </c>
      <c r="CK2224" s="3">
        <v>21</v>
      </c>
      <c r="CL2224" s="3" t="s">
        <v>87</v>
      </c>
    </row>
    <row r="2225" spans="1:90" x14ac:dyDescent="0.2">
      <c r="A2225" s="3" t="s">
        <v>72</v>
      </c>
      <c r="B2225" s="3" t="s">
        <v>73</v>
      </c>
      <c r="C2225" s="3" t="s">
        <v>74</v>
      </c>
      <c r="E2225" s="3" t="str">
        <f>"FES1162846965"</f>
        <v>FES1162846965</v>
      </c>
      <c r="F2225" s="4">
        <v>44586</v>
      </c>
      <c r="G2225" s="3">
        <v>202207</v>
      </c>
      <c r="H2225" s="3" t="s">
        <v>75</v>
      </c>
      <c r="I2225" s="3" t="s">
        <v>76</v>
      </c>
      <c r="J2225" s="3" t="s">
        <v>77</v>
      </c>
      <c r="K2225" s="3" t="s">
        <v>78</v>
      </c>
      <c r="L2225" s="3" t="s">
        <v>190</v>
      </c>
      <c r="M2225" s="3" t="s">
        <v>191</v>
      </c>
      <c r="N2225" s="3" t="s">
        <v>192</v>
      </c>
      <c r="O2225" s="3" t="s">
        <v>82</v>
      </c>
      <c r="P2225" s="3" t="str">
        <f>"2170818264                    "</f>
        <v xml:space="preserve">2170818264                    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29.95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0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3">
        <v>0</v>
      </c>
      <c r="AY2225" s="3">
        <v>0</v>
      </c>
      <c r="AZ2225" s="3">
        <v>0</v>
      </c>
      <c r="BA2225" s="3">
        <v>0</v>
      </c>
      <c r="BB2225" s="3">
        <v>0</v>
      </c>
      <c r="BC2225" s="3">
        <v>0</v>
      </c>
      <c r="BD2225" s="3">
        <v>0</v>
      </c>
      <c r="BE2225" s="3">
        <v>0</v>
      </c>
      <c r="BF2225" s="3">
        <v>0</v>
      </c>
      <c r="BG2225" s="3">
        <v>0</v>
      </c>
      <c r="BH2225" s="3">
        <v>1</v>
      </c>
      <c r="BI2225" s="3">
        <v>1</v>
      </c>
      <c r="BJ2225" s="3">
        <v>0.2</v>
      </c>
      <c r="BK2225" s="3">
        <v>1</v>
      </c>
      <c r="BL2225" s="3">
        <v>114.31</v>
      </c>
      <c r="BM2225" s="3">
        <v>17.149999999999999</v>
      </c>
      <c r="BN2225" s="3">
        <v>131.46</v>
      </c>
      <c r="BO2225" s="3">
        <v>131.46</v>
      </c>
      <c r="BR2225" s="3" t="s">
        <v>84</v>
      </c>
      <c r="BS2225" s="4">
        <v>44587</v>
      </c>
      <c r="BT2225" s="5">
        <v>0.40138888888888885</v>
      </c>
      <c r="BU2225" s="3" t="s">
        <v>2096</v>
      </c>
      <c r="BV2225" s="3" t="s">
        <v>105</v>
      </c>
      <c r="BY2225" s="3">
        <v>1200</v>
      </c>
      <c r="BZ2225" s="3" t="s">
        <v>165</v>
      </c>
      <c r="CA2225" s="3" t="s">
        <v>2301</v>
      </c>
      <c r="CC2225" s="3" t="s">
        <v>191</v>
      </c>
      <c r="CD2225" s="3">
        <v>1034</v>
      </c>
      <c r="CE2225" s="3" t="s">
        <v>93</v>
      </c>
      <c r="CF2225" s="4">
        <v>44587</v>
      </c>
      <c r="CI2225" s="3">
        <v>1</v>
      </c>
      <c r="CJ2225" s="3">
        <v>1</v>
      </c>
      <c r="CK2225" s="3">
        <v>23</v>
      </c>
      <c r="CL2225" s="3" t="s">
        <v>87</v>
      </c>
    </row>
    <row r="2226" spans="1:90" x14ac:dyDescent="0.2">
      <c r="A2226" s="3" t="s">
        <v>72</v>
      </c>
      <c r="B2226" s="3" t="s">
        <v>73</v>
      </c>
      <c r="C2226" s="3" t="s">
        <v>74</v>
      </c>
      <c r="E2226" s="3" t="str">
        <f>"FES1162846773"</f>
        <v>FES1162846773</v>
      </c>
      <c r="F2226" s="4">
        <v>44586</v>
      </c>
      <c r="G2226" s="3">
        <v>202207</v>
      </c>
      <c r="H2226" s="3" t="s">
        <v>75</v>
      </c>
      <c r="I2226" s="3" t="s">
        <v>76</v>
      </c>
      <c r="J2226" s="3" t="s">
        <v>77</v>
      </c>
      <c r="K2226" s="3" t="s">
        <v>78</v>
      </c>
      <c r="L2226" s="3" t="s">
        <v>138</v>
      </c>
      <c r="M2226" s="3" t="s">
        <v>139</v>
      </c>
      <c r="N2226" s="3" t="s">
        <v>140</v>
      </c>
      <c r="O2226" s="3" t="s">
        <v>82</v>
      </c>
      <c r="P2226" s="3" t="str">
        <f>"2170816276                    "</f>
        <v xml:space="preserve">2170816276                    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15.46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0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3">
        <v>0</v>
      </c>
      <c r="AY2226" s="3">
        <v>0</v>
      </c>
      <c r="AZ2226" s="3">
        <v>0</v>
      </c>
      <c r="BA2226" s="3">
        <v>0</v>
      </c>
      <c r="BB2226" s="3">
        <v>0</v>
      </c>
      <c r="BC2226" s="3">
        <v>0</v>
      </c>
      <c r="BD2226" s="3">
        <v>0</v>
      </c>
      <c r="BE2226" s="3">
        <v>0</v>
      </c>
      <c r="BF2226" s="3">
        <v>0</v>
      </c>
      <c r="BG2226" s="3">
        <v>0</v>
      </c>
      <c r="BH2226" s="3">
        <v>1</v>
      </c>
      <c r="BI2226" s="3">
        <v>1</v>
      </c>
      <c r="BJ2226" s="3">
        <v>0.2</v>
      </c>
      <c r="BK2226" s="3">
        <v>1</v>
      </c>
      <c r="BL2226" s="3">
        <v>59</v>
      </c>
      <c r="BM2226" s="3">
        <v>8.85</v>
      </c>
      <c r="BN2226" s="3">
        <v>67.849999999999994</v>
      </c>
      <c r="BO2226" s="3">
        <v>67.849999999999994</v>
      </c>
      <c r="BQ2226" s="3" t="s">
        <v>126</v>
      </c>
      <c r="BR2226" s="3" t="s">
        <v>84</v>
      </c>
      <c r="BS2226" s="4">
        <v>44587</v>
      </c>
      <c r="BT2226" s="5">
        <v>0.33680555555555558</v>
      </c>
      <c r="BU2226" s="3" t="s">
        <v>819</v>
      </c>
      <c r="BV2226" s="3" t="s">
        <v>105</v>
      </c>
      <c r="BY2226" s="3">
        <v>1200</v>
      </c>
      <c r="BZ2226" s="3" t="s">
        <v>165</v>
      </c>
      <c r="CA2226" s="3" t="s">
        <v>334</v>
      </c>
      <c r="CC2226" s="3" t="s">
        <v>139</v>
      </c>
      <c r="CD2226" s="3">
        <v>3610</v>
      </c>
      <c r="CE2226" s="3" t="s">
        <v>93</v>
      </c>
      <c r="CF2226" s="4">
        <v>44588</v>
      </c>
      <c r="CI2226" s="3">
        <v>1</v>
      </c>
      <c r="CJ2226" s="3">
        <v>1</v>
      </c>
      <c r="CK2226" s="3">
        <v>21</v>
      </c>
      <c r="CL2226" s="3" t="s">
        <v>87</v>
      </c>
    </row>
    <row r="2227" spans="1:90" x14ac:dyDescent="0.2">
      <c r="A2227" s="3" t="s">
        <v>72</v>
      </c>
      <c r="B2227" s="3" t="s">
        <v>73</v>
      </c>
      <c r="C2227" s="3" t="s">
        <v>74</v>
      </c>
      <c r="E2227" s="3" t="str">
        <f>"FES1162846764"</f>
        <v>FES1162846764</v>
      </c>
      <c r="F2227" s="4">
        <v>44586</v>
      </c>
      <c r="G2227" s="3">
        <v>202207</v>
      </c>
      <c r="H2227" s="3" t="s">
        <v>75</v>
      </c>
      <c r="I2227" s="3" t="s">
        <v>76</v>
      </c>
      <c r="J2227" s="3" t="s">
        <v>77</v>
      </c>
      <c r="K2227" s="3" t="s">
        <v>78</v>
      </c>
      <c r="L2227" s="3" t="s">
        <v>90</v>
      </c>
      <c r="M2227" s="3" t="s">
        <v>91</v>
      </c>
      <c r="N2227" s="3" t="s">
        <v>564</v>
      </c>
      <c r="O2227" s="3" t="s">
        <v>82</v>
      </c>
      <c r="P2227" s="3" t="str">
        <f>"2170816161                    "</f>
        <v xml:space="preserve">2170816161                    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15.46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0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3">
        <v>0</v>
      </c>
      <c r="AY2227" s="3">
        <v>0</v>
      </c>
      <c r="AZ2227" s="3">
        <v>0</v>
      </c>
      <c r="BA2227" s="3">
        <v>0</v>
      </c>
      <c r="BB2227" s="3">
        <v>0</v>
      </c>
      <c r="BC2227" s="3">
        <v>0</v>
      </c>
      <c r="BD2227" s="3">
        <v>0</v>
      </c>
      <c r="BE2227" s="3">
        <v>0</v>
      </c>
      <c r="BF2227" s="3">
        <v>0</v>
      </c>
      <c r="BG2227" s="3">
        <v>0</v>
      </c>
      <c r="BH2227" s="3">
        <v>1</v>
      </c>
      <c r="BI2227" s="3">
        <v>1</v>
      </c>
      <c r="BJ2227" s="3">
        <v>0.2</v>
      </c>
      <c r="BK2227" s="3">
        <v>1</v>
      </c>
      <c r="BL2227" s="3">
        <v>59</v>
      </c>
      <c r="BM2227" s="3">
        <v>8.85</v>
      </c>
      <c r="BN2227" s="3">
        <v>67.849999999999994</v>
      </c>
      <c r="BO2227" s="3">
        <v>67.849999999999994</v>
      </c>
      <c r="BQ2227" s="3" t="s">
        <v>83</v>
      </c>
      <c r="BR2227" s="3" t="s">
        <v>84</v>
      </c>
      <c r="BS2227" s="4">
        <v>44587</v>
      </c>
      <c r="BT2227" s="5">
        <v>0.3840277777777778</v>
      </c>
      <c r="BU2227" s="3" t="s">
        <v>1592</v>
      </c>
      <c r="BV2227" s="3" t="s">
        <v>105</v>
      </c>
      <c r="BY2227" s="3">
        <v>1200</v>
      </c>
      <c r="BZ2227" s="3" t="s">
        <v>165</v>
      </c>
      <c r="CA2227" s="3" t="s">
        <v>566</v>
      </c>
      <c r="CC2227" s="3" t="s">
        <v>91</v>
      </c>
      <c r="CD2227" s="3">
        <v>7460</v>
      </c>
      <c r="CE2227" s="3" t="s">
        <v>93</v>
      </c>
      <c r="CF2227" s="4">
        <v>44588</v>
      </c>
      <c r="CI2227" s="3">
        <v>1</v>
      </c>
      <c r="CJ2227" s="3">
        <v>1</v>
      </c>
      <c r="CK2227" s="3">
        <v>21</v>
      </c>
      <c r="CL2227" s="3" t="s">
        <v>87</v>
      </c>
    </row>
    <row r="2228" spans="1:90" x14ac:dyDescent="0.2">
      <c r="A2228" s="3" t="s">
        <v>72</v>
      </c>
      <c r="B2228" s="3" t="s">
        <v>73</v>
      </c>
      <c r="C2228" s="3" t="s">
        <v>74</v>
      </c>
      <c r="E2228" s="3" t="str">
        <f>"FES1162846710"</f>
        <v>FES1162846710</v>
      </c>
      <c r="F2228" s="4">
        <v>44586</v>
      </c>
      <c r="G2228" s="3">
        <v>202207</v>
      </c>
      <c r="H2228" s="3" t="s">
        <v>75</v>
      </c>
      <c r="I2228" s="3" t="s">
        <v>76</v>
      </c>
      <c r="J2228" s="3" t="s">
        <v>77</v>
      </c>
      <c r="K2228" s="3" t="s">
        <v>78</v>
      </c>
      <c r="L2228" s="3" t="s">
        <v>94</v>
      </c>
      <c r="M2228" s="3" t="s">
        <v>95</v>
      </c>
      <c r="N2228" s="3" t="s">
        <v>127</v>
      </c>
      <c r="O2228" s="3" t="s">
        <v>82</v>
      </c>
      <c r="P2228" s="3" t="str">
        <f>"2170800850                    "</f>
        <v xml:space="preserve">2170800850                    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15.46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15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3">
        <v>0</v>
      </c>
      <c r="AY2228" s="3">
        <v>0</v>
      </c>
      <c r="AZ2228" s="3">
        <v>0</v>
      </c>
      <c r="BA2228" s="3">
        <v>0</v>
      </c>
      <c r="BB2228" s="3">
        <v>0</v>
      </c>
      <c r="BC2228" s="3">
        <v>0</v>
      </c>
      <c r="BD2228" s="3">
        <v>0</v>
      </c>
      <c r="BE2228" s="3">
        <v>0</v>
      </c>
      <c r="BF2228" s="3">
        <v>0</v>
      </c>
      <c r="BG2228" s="3">
        <v>0</v>
      </c>
      <c r="BH2228" s="3">
        <v>1</v>
      </c>
      <c r="BI2228" s="3">
        <v>1</v>
      </c>
      <c r="BJ2228" s="3">
        <v>2</v>
      </c>
      <c r="BK2228" s="3">
        <v>2</v>
      </c>
      <c r="BL2228" s="3">
        <v>74</v>
      </c>
      <c r="BM2228" s="3">
        <v>11.1</v>
      </c>
      <c r="BN2228" s="3">
        <v>85.1</v>
      </c>
      <c r="BO2228" s="3">
        <v>85.1</v>
      </c>
      <c r="BQ2228" s="3" t="s">
        <v>128</v>
      </c>
      <c r="BR2228" s="3" t="s">
        <v>84</v>
      </c>
      <c r="BS2228" s="4">
        <v>44587</v>
      </c>
      <c r="BT2228" s="5">
        <v>0.50347222222222221</v>
      </c>
      <c r="BU2228" s="3" t="s">
        <v>2302</v>
      </c>
      <c r="BV2228" s="3" t="s">
        <v>105</v>
      </c>
      <c r="BY2228" s="3">
        <v>9918</v>
      </c>
      <c r="BZ2228" s="3" t="s">
        <v>446</v>
      </c>
      <c r="CC2228" s="3" t="s">
        <v>95</v>
      </c>
      <c r="CD2228" s="3">
        <v>3699</v>
      </c>
      <c r="CE2228" s="3" t="s">
        <v>86</v>
      </c>
      <c r="CF2228" s="4">
        <v>44589</v>
      </c>
      <c r="CI2228" s="3">
        <v>1</v>
      </c>
      <c r="CJ2228" s="3">
        <v>1</v>
      </c>
      <c r="CK2228" s="3">
        <v>21</v>
      </c>
      <c r="CL2228" s="3" t="s">
        <v>87</v>
      </c>
    </row>
    <row r="2229" spans="1:90" x14ac:dyDescent="0.2">
      <c r="A2229" s="3" t="s">
        <v>72</v>
      </c>
      <c r="B2229" s="3" t="s">
        <v>73</v>
      </c>
      <c r="C2229" s="3" t="s">
        <v>74</v>
      </c>
      <c r="E2229" s="3" t="str">
        <f>"FES1162846763"</f>
        <v>FES1162846763</v>
      </c>
      <c r="F2229" s="4">
        <v>44586</v>
      </c>
      <c r="G2229" s="3">
        <v>202207</v>
      </c>
      <c r="H2229" s="3" t="s">
        <v>75</v>
      </c>
      <c r="I2229" s="3" t="s">
        <v>76</v>
      </c>
      <c r="J2229" s="3" t="s">
        <v>77</v>
      </c>
      <c r="K2229" s="3" t="s">
        <v>78</v>
      </c>
      <c r="L2229" s="3" t="s">
        <v>90</v>
      </c>
      <c r="M2229" s="3" t="s">
        <v>91</v>
      </c>
      <c r="N2229" s="3" t="s">
        <v>621</v>
      </c>
      <c r="O2229" s="3" t="s">
        <v>82</v>
      </c>
      <c r="P2229" s="3" t="str">
        <f>"2170816156                    "</f>
        <v xml:space="preserve">2170816156                    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23.18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0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3">
        <v>0</v>
      </c>
      <c r="AY2229" s="3">
        <v>0</v>
      </c>
      <c r="AZ2229" s="3">
        <v>0</v>
      </c>
      <c r="BA2229" s="3">
        <v>0</v>
      </c>
      <c r="BB2229" s="3">
        <v>0</v>
      </c>
      <c r="BC2229" s="3">
        <v>0</v>
      </c>
      <c r="BD2229" s="3">
        <v>0</v>
      </c>
      <c r="BE2229" s="3">
        <v>0</v>
      </c>
      <c r="BF2229" s="3">
        <v>0</v>
      </c>
      <c r="BG2229" s="3">
        <v>0</v>
      </c>
      <c r="BH2229" s="3">
        <v>1</v>
      </c>
      <c r="BI2229" s="3">
        <v>3</v>
      </c>
      <c r="BJ2229" s="3">
        <v>1.1000000000000001</v>
      </c>
      <c r="BK2229" s="3">
        <v>3</v>
      </c>
      <c r="BL2229" s="3">
        <v>88.48</v>
      </c>
      <c r="BM2229" s="3">
        <v>13.27</v>
      </c>
      <c r="BN2229" s="3">
        <v>101.75</v>
      </c>
      <c r="BO2229" s="3">
        <v>101.75</v>
      </c>
      <c r="BQ2229" s="3" t="s">
        <v>126</v>
      </c>
      <c r="BR2229" s="3" t="s">
        <v>84</v>
      </c>
      <c r="BS2229" s="4">
        <v>44587</v>
      </c>
      <c r="BT2229" s="5">
        <v>0.37152777777777773</v>
      </c>
      <c r="BU2229" s="3" t="s">
        <v>2303</v>
      </c>
      <c r="BV2229" s="3" t="s">
        <v>105</v>
      </c>
      <c r="BY2229" s="3">
        <v>5733</v>
      </c>
      <c r="BZ2229" s="3" t="s">
        <v>165</v>
      </c>
      <c r="CA2229" s="3" t="s">
        <v>623</v>
      </c>
      <c r="CC2229" s="3" t="s">
        <v>91</v>
      </c>
      <c r="CD2229" s="3">
        <v>7800</v>
      </c>
      <c r="CE2229" s="3" t="s">
        <v>86</v>
      </c>
      <c r="CF2229" s="4">
        <v>44588</v>
      </c>
      <c r="CI2229" s="3">
        <v>1</v>
      </c>
      <c r="CJ2229" s="3">
        <v>1</v>
      </c>
      <c r="CK2229" s="3">
        <v>21</v>
      </c>
      <c r="CL2229" s="3" t="s">
        <v>87</v>
      </c>
    </row>
    <row r="2230" spans="1:90" x14ac:dyDescent="0.2">
      <c r="A2230" s="3" t="s">
        <v>72</v>
      </c>
      <c r="B2230" s="3" t="s">
        <v>73</v>
      </c>
      <c r="C2230" s="3" t="s">
        <v>74</v>
      </c>
      <c r="E2230" s="3" t="str">
        <f>"FES1162846787"</f>
        <v>FES1162846787</v>
      </c>
      <c r="F2230" s="4">
        <v>44586</v>
      </c>
      <c r="G2230" s="3">
        <v>202207</v>
      </c>
      <c r="H2230" s="3" t="s">
        <v>75</v>
      </c>
      <c r="I2230" s="3" t="s">
        <v>76</v>
      </c>
      <c r="J2230" s="3" t="s">
        <v>77</v>
      </c>
      <c r="K2230" s="3" t="s">
        <v>78</v>
      </c>
      <c r="L2230" s="3" t="s">
        <v>162</v>
      </c>
      <c r="M2230" s="3" t="s">
        <v>163</v>
      </c>
      <c r="N2230" s="3" t="s">
        <v>1419</v>
      </c>
      <c r="O2230" s="3" t="s">
        <v>82</v>
      </c>
      <c r="P2230" s="3" t="str">
        <f>"2170816870                    "</f>
        <v xml:space="preserve">2170816870                    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12.07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0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3">
        <v>0</v>
      </c>
      <c r="AY2230" s="3">
        <v>0</v>
      </c>
      <c r="AZ2230" s="3">
        <v>0</v>
      </c>
      <c r="BA2230" s="3">
        <v>0</v>
      </c>
      <c r="BB2230" s="3">
        <v>0</v>
      </c>
      <c r="BC2230" s="3">
        <v>0</v>
      </c>
      <c r="BD2230" s="3">
        <v>0</v>
      </c>
      <c r="BE2230" s="3">
        <v>0</v>
      </c>
      <c r="BF2230" s="3">
        <v>0</v>
      </c>
      <c r="BG2230" s="3">
        <v>0</v>
      </c>
      <c r="BH2230" s="3">
        <v>1</v>
      </c>
      <c r="BI2230" s="3">
        <v>1</v>
      </c>
      <c r="BJ2230" s="3">
        <v>2</v>
      </c>
      <c r="BK2230" s="3">
        <v>2</v>
      </c>
      <c r="BL2230" s="3">
        <v>46.08</v>
      </c>
      <c r="BM2230" s="3">
        <v>6.91</v>
      </c>
      <c r="BN2230" s="3">
        <v>52.99</v>
      </c>
      <c r="BO2230" s="3">
        <v>52.99</v>
      </c>
      <c r="BQ2230" s="3" t="s">
        <v>750</v>
      </c>
      <c r="BR2230" s="3" t="s">
        <v>84</v>
      </c>
      <c r="BS2230" s="4">
        <v>44587</v>
      </c>
      <c r="BT2230" s="5">
        <v>0.43333333333333335</v>
      </c>
      <c r="BU2230" s="3" t="s">
        <v>2304</v>
      </c>
      <c r="BV2230" s="3" t="s">
        <v>105</v>
      </c>
      <c r="BY2230" s="3">
        <v>9918</v>
      </c>
      <c r="BZ2230" s="3" t="s">
        <v>165</v>
      </c>
      <c r="CA2230" s="3" t="s">
        <v>293</v>
      </c>
      <c r="CC2230" s="3" t="s">
        <v>163</v>
      </c>
      <c r="CD2230" s="3">
        <v>1401</v>
      </c>
      <c r="CE2230" s="3" t="s">
        <v>86</v>
      </c>
      <c r="CF2230" s="4">
        <v>44587</v>
      </c>
      <c r="CI2230" s="3">
        <v>1</v>
      </c>
      <c r="CJ2230" s="3">
        <v>1</v>
      </c>
      <c r="CK2230" s="3">
        <v>22</v>
      </c>
      <c r="CL2230" s="3" t="s">
        <v>87</v>
      </c>
    </row>
    <row r="2231" spans="1:90" x14ac:dyDescent="0.2">
      <c r="A2231" s="3" t="s">
        <v>72</v>
      </c>
      <c r="B2231" s="3" t="s">
        <v>73</v>
      </c>
      <c r="C2231" s="3" t="s">
        <v>74</v>
      </c>
      <c r="E2231" s="3" t="str">
        <f>"FES1162846779"</f>
        <v>FES1162846779</v>
      </c>
      <c r="F2231" s="4">
        <v>44586</v>
      </c>
      <c r="G2231" s="3">
        <v>202207</v>
      </c>
      <c r="H2231" s="3" t="s">
        <v>75</v>
      </c>
      <c r="I2231" s="3" t="s">
        <v>76</v>
      </c>
      <c r="J2231" s="3" t="s">
        <v>77</v>
      </c>
      <c r="K2231" s="3" t="s">
        <v>78</v>
      </c>
      <c r="L2231" s="3" t="s">
        <v>90</v>
      </c>
      <c r="M2231" s="3" t="s">
        <v>91</v>
      </c>
      <c r="N2231" s="3" t="s">
        <v>2305</v>
      </c>
      <c r="O2231" s="3" t="s">
        <v>82</v>
      </c>
      <c r="P2231" s="3" t="str">
        <f>"2170816319                    "</f>
        <v xml:space="preserve">2170816319                    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15.46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0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3">
        <v>0</v>
      </c>
      <c r="AY2231" s="3">
        <v>0</v>
      </c>
      <c r="AZ2231" s="3">
        <v>0</v>
      </c>
      <c r="BA2231" s="3">
        <v>0</v>
      </c>
      <c r="BB2231" s="3">
        <v>0</v>
      </c>
      <c r="BC2231" s="3">
        <v>0</v>
      </c>
      <c r="BD2231" s="3">
        <v>0</v>
      </c>
      <c r="BE2231" s="3">
        <v>0</v>
      </c>
      <c r="BF2231" s="3">
        <v>0</v>
      </c>
      <c r="BG2231" s="3">
        <v>0</v>
      </c>
      <c r="BH2231" s="3">
        <v>1</v>
      </c>
      <c r="BI2231" s="3">
        <v>1</v>
      </c>
      <c r="BJ2231" s="3">
        <v>0.2</v>
      </c>
      <c r="BK2231" s="3">
        <v>1</v>
      </c>
      <c r="BL2231" s="3">
        <v>59</v>
      </c>
      <c r="BM2231" s="3">
        <v>8.85</v>
      </c>
      <c r="BN2231" s="3">
        <v>67.849999999999994</v>
      </c>
      <c r="BO2231" s="3">
        <v>67.849999999999994</v>
      </c>
      <c r="BR2231" s="3" t="s">
        <v>84</v>
      </c>
      <c r="BS2231" s="4">
        <v>44587</v>
      </c>
      <c r="BT2231" s="5">
        <v>0.50069444444444444</v>
      </c>
      <c r="BU2231" s="3" t="s">
        <v>2306</v>
      </c>
      <c r="BV2231" s="3" t="s">
        <v>87</v>
      </c>
      <c r="BW2231" s="3" t="s">
        <v>457</v>
      </c>
      <c r="BX2231" s="3" t="s">
        <v>602</v>
      </c>
      <c r="BY2231" s="3">
        <v>875</v>
      </c>
      <c r="BZ2231" s="3" t="s">
        <v>165</v>
      </c>
      <c r="CA2231" s="3" t="s">
        <v>2307</v>
      </c>
      <c r="CC2231" s="3" t="s">
        <v>91</v>
      </c>
      <c r="CD2231" s="3">
        <v>7535</v>
      </c>
      <c r="CE2231" s="3" t="s">
        <v>86</v>
      </c>
      <c r="CF2231" s="4">
        <v>44588</v>
      </c>
      <c r="CI2231" s="3">
        <v>1</v>
      </c>
      <c r="CJ2231" s="3">
        <v>1</v>
      </c>
      <c r="CK2231" s="3">
        <v>21</v>
      </c>
      <c r="CL2231" s="3" t="s">
        <v>87</v>
      </c>
    </row>
    <row r="2232" spans="1:90" x14ac:dyDescent="0.2">
      <c r="A2232" s="3" t="s">
        <v>72</v>
      </c>
      <c r="B2232" s="3" t="s">
        <v>73</v>
      </c>
      <c r="C2232" s="3" t="s">
        <v>74</v>
      </c>
      <c r="E2232" s="3" t="str">
        <f>"FES1162846872"</f>
        <v>FES1162846872</v>
      </c>
      <c r="F2232" s="4">
        <v>44586</v>
      </c>
      <c r="G2232" s="3">
        <v>202207</v>
      </c>
      <c r="H2232" s="3" t="s">
        <v>75</v>
      </c>
      <c r="I2232" s="3" t="s">
        <v>76</v>
      </c>
      <c r="J2232" s="3" t="s">
        <v>77</v>
      </c>
      <c r="K2232" s="3" t="s">
        <v>78</v>
      </c>
      <c r="L2232" s="3" t="s">
        <v>97</v>
      </c>
      <c r="M2232" s="3" t="s">
        <v>98</v>
      </c>
      <c r="N2232" s="3" t="s">
        <v>2260</v>
      </c>
      <c r="O2232" s="3" t="s">
        <v>82</v>
      </c>
      <c r="P2232" s="3" t="str">
        <f>"2170818150                    "</f>
        <v xml:space="preserve">2170818150                    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12.07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Q2232" s="3">
        <v>0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3">
        <v>0</v>
      </c>
      <c r="AY2232" s="3">
        <v>0</v>
      </c>
      <c r="AZ2232" s="3">
        <v>0</v>
      </c>
      <c r="BA2232" s="3">
        <v>0</v>
      </c>
      <c r="BB2232" s="3">
        <v>0</v>
      </c>
      <c r="BC2232" s="3">
        <v>0</v>
      </c>
      <c r="BD2232" s="3">
        <v>0</v>
      </c>
      <c r="BE2232" s="3">
        <v>0</v>
      </c>
      <c r="BF2232" s="3">
        <v>0</v>
      </c>
      <c r="BG2232" s="3">
        <v>0</v>
      </c>
      <c r="BH2232" s="3">
        <v>1</v>
      </c>
      <c r="BI2232" s="3">
        <v>2</v>
      </c>
      <c r="BJ2232" s="3">
        <v>2</v>
      </c>
      <c r="BK2232" s="3">
        <v>2</v>
      </c>
      <c r="BL2232" s="3">
        <v>46.08</v>
      </c>
      <c r="BM2232" s="3">
        <v>6.91</v>
      </c>
      <c r="BN2232" s="3">
        <v>52.99</v>
      </c>
      <c r="BO2232" s="3">
        <v>52.99</v>
      </c>
      <c r="BQ2232" s="3" t="s">
        <v>89</v>
      </c>
      <c r="BR2232" s="3" t="s">
        <v>84</v>
      </c>
      <c r="BS2232" s="4">
        <v>44587</v>
      </c>
      <c r="BT2232" s="5">
        <v>0.39652777777777781</v>
      </c>
      <c r="BU2232" s="3" t="s">
        <v>2261</v>
      </c>
      <c r="BV2232" s="3" t="s">
        <v>105</v>
      </c>
      <c r="BY2232" s="3">
        <v>9900</v>
      </c>
      <c r="BZ2232" s="3" t="s">
        <v>165</v>
      </c>
      <c r="CA2232" s="3" t="s">
        <v>297</v>
      </c>
      <c r="CC2232" s="3" t="s">
        <v>98</v>
      </c>
      <c r="CD2232" s="3">
        <v>2091</v>
      </c>
      <c r="CE2232" s="3" t="s">
        <v>86</v>
      </c>
      <c r="CF2232" s="4">
        <v>44588</v>
      </c>
      <c r="CI2232" s="3">
        <v>1</v>
      </c>
      <c r="CJ2232" s="3">
        <v>1</v>
      </c>
      <c r="CK2232" s="3">
        <v>22</v>
      </c>
      <c r="CL2232" s="3" t="s">
        <v>87</v>
      </c>
    </row>
    <row r="2233" spans="1:90" x14ac:dyDescent="0.2">
      <c r="A2233" s="3" t="s">
        <v>72</v>
      </c>
      <c r="B2233" s="3" t="s">
        <v>73</v>
      </c>
      <c r="C2233" s="3" t="s">
        <v>74</v>
      </c>
      <c r="E2233" s="3" t="str">
        <f>"FES1162846750"</f>
        <v>FES1162846750</v>
      </c>
      <c r="F2233" s="4">
        <v>44586</v>
      </c>
      <c r="G2233" s="3">
        <v>202207</v>
      </c>
      <c r="H2233" s="3" t="s">
        <v>75</v>
      </c>
      <c r="I2233" s="3" t="s">
        <v>76</v>
      </c>
      <c r="J2233" s="3" t="s">
        <v>77</v>
      </c>
      <c r="K2233" s="3" t="s">
        <v>78</v>
      </c>
      <c r="L2233" s="3" t="s">
        <v>335</v>
      </c>
      <c r="M2233" s="3" t="s">
        <v>336</v>
      </c>
      <c r="N2233" s="3" t="s">
        <v>1406</v>
      </c>
      <c r="O2233" s="3" t="s">
        <v>82</v>
      </c>
      <c r="P2233" s="3" t="str">
        <f>"2170816096                    "</f>
        <v xml:space="preserve">2170816096                    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15.46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0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3">
        <v>0</v>
      </c>
      <c r="AY2233" s="3">
        <v>0</v>
      </c>
      <c r="AZ2233" s="3">
        <v>0</v>
      </c>
      <c r="BA2233" s="3">
        <v>0</v>
      </c>
      <c r="BB2233" s="3">
        <v>0</v>
      </c>
      <c r="BC2233" s="3">
        <v>0</v>
      </c>
      <c r="BD2233" s="3">
        <v>0</v>
      </c>
      <c r="BE2233" s="3">
        <v>0</v>
      </c>
      <c r="BF2233" s="3">
        <v>0</v>
      </c>
      <c r="BG2233" s="3">
        <v>0</v>
      </c>
      <c r="BH2233" s="3">
        <v>1</v>
      </c>
      <c r="BI2233" s="3">
        <v>2</v>
      </c>
      <c r="BJ2233" s="3">
        <v>1.1000000000000001</v>
      </c>
      <c r="BK2233" s="3">
        <v>2</v>
      </c>
      <c r="BL2233" s="3">
        <v>59</v>
      </c>
      <c r="BM2233" s="3">
        <v>8.85</v>
      </c>
      <c r="BN2233" s="3">
        <v>67.849999999999994</v>
      </c>
      <c r="BO2233" s="3">
        <v>67.849999999999994</v>
      </c>
      <c r="BQ2233" s="3" t="s">
        <v>83</v>
      </c>
      <c r="BR2233" s="3" t="s">
        <v>84</v>
      </c>
      <c r="BS2233" s="4">
        <v>44587</v>
      </c>
      <c r="BT2233" s="5">
        <v>0.39999999999999997</v>
      </c>
      <c r="BU2233" s="3" t="s">
        <v>1407</v>
      </c>
      <c r="BV2233" s="3" t="s">
        <v>105</v>
      </c>
      <c r="BY2233" s="3">
        <v>5320</v>
      </c>
      <c r="BZ2233" s="3" t="s">
        <v>165</v>
      </c>
      <c r="CA2233" s="3" t="s">
        <v>528</v>
      </c>
      <c r="CC2233" s="3" t="s">
        <v>336</v>
      </c>
      <c r="CD2233" s="3">
        <v>4113</v>
      </c>
      <c r="CE2233" s="3" t="s">
        <v>86</v>
      </c>
      <c r="CF2233" s="4">
        <v>44588</v>
      </c>
      <c r="CI2233" s="3">
        <v>1</v>
      </c>
      <c r="CJ2233" s="3">
        <v>1</v>
      </c>
      <c r="CK2233" s="3">
        <v>21</v>
      </c>
      <c r="CL2233" s="3" t="s">
        <v>87</v>
      </c>
    </row>
    <row r="2234" spans="1:90" x14ac:dyDescent="0.2">
      <c r="A2234" s="3" t="s">
        <v>72</v>
      </c>
      <c r="B2234" s="3" t="s">
        <v>73</v>
      </c>
      <c r="C2234" s="3" t="s">
        <v>74</v>
      </c>
      <c r="E2234" s="3" t="str">
        <f>"FES1162846623"</f>
        <v>FES1162846623</v>
      </c>
      <c r="F2234" s="4">
        <v>44586</v>
      </c>
      <c r="G2234" s="3">
        <v>202207</v>
      </c>
      <c r="H2234" s="3" t="s">
        <v>75</v>
      </c>
      <c r="I2234" s="3" t="s">
        <v>76</v>
      </c>
      <c r="J2234" s="3" t="s">
        <v>77</v>
      </c>
      <c r="K2234" s="3" t="s">
        <v>78</v>
      </c>
      <c r="L2234" s="3" t="s">
        <v>79</v>
      </c>
      <c r="M2234" s="3" t="s">
        <v>80</v>
      </c>
      <c r="N2234" s="3" t="s">
        <v>415</v>
      </c>
      <c r="O2234" s="3" t="s">
        <v>82</v>
      </c>
      <c r="P2234" s="3" t="str">
        <f>"2170815528                    "</f>
        <v xml:space="preserve">2170815528                    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15.46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0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3">
        <v>0</v>
      </c>
      <c r="AY2234" s="3">
        <v>0</v>
      </c>
      <c r="AZ2234" s="3">
        <v>0</v>
      </c>
      <c r="BA2234" s="3">
        <v>0</v>
      </c>
      <c r="BB2234" s="3">
        <v>0</v>
      </c>
      <c r="BC2234" s="3">
        <v>0</v>
      </c>
      <c r="BD2234" s="3">
        <v>0</v>
      </c>
      <c r="BE2234" s="3">
        <v>0</v>
      </c>
      <c r="BF2234" s="3">
        <v>0</v>
      </c>
      <c r="BG2234" s="3">
        <v>0</v>
      </c>
      <c r="BH2234" s="3">
        <v>1</v>
      </c>
      <c r="BI2234" s="3">
        <v>1</v>
      </c>
      <c r="BJ2234" s="3">
        <v>0.2</v>
      </c>
      <c r="BK2234" s="3">
        <v>1</v>
      </c>
      <c r="BL2234" s="3">
        <v>59</v>
      </c>
      <c r="BM2234" s="3">
        <v>8.85</v>
      </c>
      <c r="BN2234" s="3">
        <v>67.849999999999994</v>
      </c>
      <c r="BO2234" s="3">
        <v>67.849999999999994</v>
      </c>
      <c r="BQ2234" s="3" t="s">
        <v>83</v>
      </c>
      <c r="BR2234" s="3" t="s">
        <v>84</v>
      </c>
      <c r="BS2234" s="4">
        <v>44587</v>
      </c>
      <c r="BT2234" s="5">
        <v>0.42708333333333331</v>
      </c>
      <c r="BU2234" s="3" t="s">
        <v>2308</v>
      </c>
      <c r="BV2234" s="3" t="s">
        <v>105</v>
      </c>
      <c r="BY2234" s="3">
        <v>1200</v>
      </c>
      <c r="BZ2234" s="3" t="s">
        <v>165</v>
      </c>
      <c r="CA2234" s="3" t="s">
        <v>1358</v>
      </c>
      <c r="CC2234" s="3" t="s">
        <v>80</v>
      </c>
      <c r="CD2234" s="3">
        <v>183</v>
      </c>
      <c r="CE2234" s="3" t="s">
        <v>93</v>
      </c>
      <c r="CF2234" s="4">
        <v>44588</v>
      </c>
      <c r="CI2234" s="3">
        <v>1</v>
      </c>
      <c r="CJ2234" s="3">
        <v>1</v>
      </c>
      <c r="CK2234" s="3">
        <v>21</v>
      </c>
      <c r="CL2234" s="3" t="s">
        <v>87</v>
      </c>
    </row>
    <row r="2235" spans="1:90" x14ac:dyDescent="0.2">
      <c r="A2235" s="3" t="s">
        <v>72</v>
      </c>
      <c r="B2235" s="3" t="s">
        <v>73</v>
      </c>
      <c r="C2235" s="3" t="s">
        <v>74</v>
      </c>
      <c r="E2235" s="3" t="str">
        <f>"FES1162846830"</f>
        <v>FES1162846830</v>
      </c>
      <c r="F2235" s="4">
        <v>44586</v>
      </c>
      <c r="G2235" s="3">
        <v>202207</v>
      </c>
      <c r="H2235" s="3" t="s">
        <v>75</v>
      </c>
      <c r="I2235" s="3" t="s">
        <v>76</v>
      </c>
      <c r="J2235" s="3" t="s">
        <v>77</v>
      </c>
      <c r="K2235" s="3" t="s">
        <v>78</v>
      </c>
      <c r="L2235" s="3" t="s">
        <v>94</v>
      </c>
      <c r="M2235" s="3" t="s">
        <v>95</v>
      </c>
      <c r="N2235" s="3" t="s">
        <v>1052</v>
      </c>
      <c r="O2235" s="3" t="s">
        <v>82</v>
      </c>
      <c r="P2235" s="3" t="str">
        <f>"2170818114                    "</f>
        <v xml:space="preserve">2170818114                    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15.46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0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3">
        <v>0</v>
      </c>
      <c r="AY2235" s="3">
        <v>0</v>
      </c>
      <c r="AZ2235" s="3">
        <v>0</v>
      </c>
      <c r="BA2235" s="3">
        <v>0</v>
      </c>
      <c r="BB2235" s="3">
        <v>0</v>
      </c>
      <c r="BC2235" s="3">
        <v>0</v>
      </c>
      <c r="BD2235" s="3">
        <v>0</v>
      </c>
      <c r="BE2235" s="3">
        <v>0</v>
      </c>
      <c r="BF2235" s="3">
        <v>0</v>
      </c>
      <c r="BG2235" s="3">
        <v>0</v>
      </c>
      <c r="BH2235" s="3">
        <v>1</v>
      </c>
      <c r="BI2235" s="3">
        <v>1</v>
      </c>
      <c r="BJ2235" s="3">
        <v>0.2</v>
      </c>
      <c r="BK2235" s="3">
        <v>1</v>
      </c>
      <c r="BL2235" s="3">
        <v>59</v>
      </c>
      <c r="BM2235" s="3">
        <v>8.85</v>
      </c>
      <c r="BN2235" s="3">
        <v>67.849999999999994</v>
      </c>
      <c r="BO2235" s="3">
        <v>67.849999999999994</v>
      </c>
      <c r="BQ2235" s="3" t="s">
        <v>83</v>
      </c>
      <c r="BR2235" s="3" t="s">
        <v>84</v>
      </c>
      <c r="BS2235" s="4">
        <v>44587</v>
      </c>
      <c r="BT2235" s="5">
        <v>0.46875</v>
      </c>
      <c r="BU2235" s="3" t="s">
        <v>1053</v>
      </c>
      <c r="BV2235" s="3" t="s">
        <v>87</v>
      </c>
      <c r="BW2235" s="3" t="s">
        <v>453</v>
      </c>
      <c r="BX2235" s="3" t="s">
        <v>279</v>
      </c>
      <c r="BY2235" s="3">
        <v>1200</v>
      </c>
      <c r="BZ2235" s="3" t="s">
        <v>165</v>
      </c>
      <c r="CC2235" s="3" t="s">
        <v>95</v>
      </c>
      <c r="CD2235" s="3">
        <v>3201</v>
      </c>
      <c r="CE2235" s="3" t="s">
        <v>93</v>
      </c>
      <c r="CF2235" s="4">
        <v>44589</v>
      </c>
      <c r="CI2235" s="3">
        <v>1</v>
      </c>
      <c r="CJ2235" s="3">
        <v>1</v>
      </c>
      <c r="CK2235" s="3">
        <v>21</v>
      </c>
      <c r="CL2235" s="3" t="s">
        <v>87</v>
      </c>
    </row>
    <row r="2236" spans="1:90" x14ac:dyDescent="0.2">
      <c r="A2236" s="3" t="s">
        <v>72</v>
      </c>
      <c r="B2236" s="3" t="s">
        <v>73</v>
      </c>
      <c r="C2236" s="3" t="s">
        <v>74</v>
      </c>
      <c r="E2236" s="3" t="str">
        <f>"FES1162846842"</f>
        <v>FES1162846842</v>
      </c>
      <c r="F2236" s="4">
        <v>44586</v>
      </c>
      <c r="G2236" s="3">
        <v>202207</v>
      </c>
      <c r="H2236" s="3" t="s">
        <v>75</v>
      </c>
      <c r="I2236" s="3" t="s">
        <v>76</v>
      </c>
      <c r="J2236" s="3" t="s">
        <v>77</v>
      </c>
      <c r="K2236" s="3" t="s">
        <v>78</v>
      </c>
      <c r="L2236" s="3" t="s">
        <v>90</v>
      </c>
      <c r="M2236" s="3" t="s">
        <v>91</v>
      </c>
      <c r="N2236" s="3" t="s">
        <v>2309</v>
      </c>
      <c r="O2236" s="3" t="s">
        <v>82</v>
      </c>
      <c r="P2236" s="3" t="str">
        <f>"2170818135                    "</f>
        <v xml:space="preserve">2170818135                    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23.18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0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0</v>
      </c>
      <c r="AX2236" s="3">
        <v>0</v>
      </c>
      <c r="AY2236" s="3">
        <v>0</v>
      </c>
      <c r="AZ2236" s="3">
        <v>0</v>
      </c>
      <c r="BA2236" s="3">
        <v>0</v>
      </c>
      <c r="BB2236" s="3">
        <v>0</v>
      </c>
      <c r="BC2236" s="3">
        <v>0</v>
      </c>
      <c r="BD2236" s="3">
        <v>0</v>
      </c>
      <c r="BE2236" s="3">
        <v>0</v>
      </c>
      <c r="BF2236" s="3">
        <v>0</v>
      </c>
      <c r="BG2236" s="3">
        <v>0</v>
      </c>
      <c r="BH2236" s="3">
        <v>1</v>
      </c>
      <c r="BI2236" s="3">
        <v>3</v>
      </c>
      <c r="BJ2236" s="3">
        <v>2</v>
      </c>
      <c r="BK2236" s="3">
        <v>3</v>
      </c>
      <c r="BL2236" s="3">
        <v>88.48</v>
      </c>
      <c r="BM2236" s="3">
        <v>13.27</v>
      </c>
      <c r="BN2236" s="3">
        <v>101.75</v>
      </c>
      <c r="BO2236" s="3">
        <v>101.75</v>
      </c>
      <c r="BQ2236" s="3" t="s">
        <v>2310</v>
      </c>
      <c r="BR2236" s="3" t="s">
        <v>84</v>
      </c>
      <c r="BS2236" s="4">
        <v>44587</v>
      </c>
      <c r="BT2236" s="5">
        <v>0.36249999999999999</v>
      </c>
      <c r="BU2236" s="3" t="s">
        <v>2311</v>
      </c>
      <c r="BV2236" s="3" t="s">
        <v>105</v>
      </c>
      <c r="BY2236" s="3">
        <v>9900</v>
      </c>
      <c r="BZ2236" s="3" t="s">
        <v>165</v>
      </c>
      <c r="CA2236" s="3" t="s">
        <v>543</v>
      </c>
      <c r="CC2236" s="3" t="s">
        <v>91</v>
      </c>
      <c r="CD2236" s="3">
        <v>7560</v>
      </c>
      <c r="CE2236" s="3" t="s">
        <v>86</v>
      </c>
      <c r="CF2236" s="4">
        <v>44588</v>
      </c>
      <c r="CI2236" s="3">
        <v>1</v>
      </c>
      <c r="CJ2236" s="3">
        <v>1</v>
      </c>
      <c r="CK2236" s="3">
        <v>21</v>
      </c>
      <c r="CL2236" s="3" t="s">
        <v>87</v>
      </c>
    </row>
    <row r="2237" spans="1:90" x14ac:dyDescent="0.2">
      <c r="A2237" s="3" t="s">
        <v>72</v>
      </c>
      <c r="B2237" s="3" t="s">
        <v>73</v>
      </c>
      <c r="C2237" s="3" t="s">
        <v>74</v>
      </c>
      <c r="E2237" s="3" t="str">
        <f>"FES1162846941"</f>
        <v>FES1162846941</v>
      </c>
      <c r="F2237" s="4">
        <v>44586</v>
      </c>
      <c r="G2237" s="3">
        <v>202207</v>
      </c>
      <c r="H2237" s="3" t="s">
        <v>75</v>
      </c>
      <c r="I2237" s="3" t="s">
        <v>76</v>
      </c>
      <c r="J2237" s="3" t="s">
        <v>77</v>
      </c>
      <c r="K2237" s="3" t="s">
        <v>78</v>
      </c>
      <c r="L2237" s="3" t="s">
        <v>138</v>
      </c>
      <c r="M2237" s="3" t="s">
        <v>139</v>
      </c>
      <c r="N2237" s="3" t="s">
        <v>2312</v>
      </c>
      <c r="O2237" s="3" t="s">
        <v>82</v>
      </c>
      <c r="P2237" s="3" t="str">
        <f>"2170818235                    "</f>
        <v xml:space="preserve">2170818235                    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15.46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0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3">
        <v>0</v>
      </c>
      <c r="AY2237" s="3">
        <v>0</v>
      </c>
      <c r="AZ2237" s="3">
        <v>0</v>
      </c>
      <c r="BA2237" s="3">
        <v>0</v>
      </c>
      <c r="BB2237" s="3">
        <v>0</v>
      </c>
      <c r="BC2237" s="3">
        <v>0</v>
      </c>
      <c r="BD2237" s="3">
        <v>0</v>
      </c>
      <c r="BE2237" s="3">
        <v>0</v>
      </c>
      <c r="BF2237" s="3">
        <v>0</v>
      </c>
      <c r="BG2237" s="3">
        <v>0</v>
      </c>
      <c r="BH2237" s="3">
        <v>1</v>
      </c>
      <c r="BI2237" s="3">
        <v>1</v>
      </c>
      <c r="BJ2237" s="3">
        <v>0.2</v>
      </c>
      <c r="BK2237" s="3">
        <v>1</v>
      </c>
      <c r="BL2237" s="3">
        <v>59</v>
      </c>
      <c r="BM2237" s="3">
        <v>8.85</v>
      </c>
      <c r="BN2237" s="3">
        <v>67.849999999999994</v>
      </c>
      <c r="BO2237" s="3">
        <v>67.849999999999994</v>
      </c>
      <c r="BQ2237" s="3" t="s">
        <v>273</v>
      </c>
      <c r="BR2237" s="3" t="s">
        <v>84</v>
      </c>
      <c r="BS2237" s="4">
        <v>44587</v>
      </c>
      <c r="BT2237" s="5">
        <v>0.51111111111111118</v>
      </c>
      <c r="BU2237" s="3" t="s">
        <v>2313</v>
      </c>
      <c r="BV2237" s="3" t="s">
        <v>105</v>
      </c>
      <c r="BY2237" s="3">
        <v>1200</v>
      </c>
      <c r="BZ2237" s="3" t="s">
        <v>165</v>
      </c>
      <c r="CA2237" s="3" t="s">
        <v>2314</v>
      </c>
      <c r="CC2237" s="3" t="s">
        <v>139</v>
      </c>
      <c r="CD2237" s="3">
        <v>4037</v>
      </c>
      <c r="CE2237" s="3" t="s">
        <v>93</v>
      </c>
      <c r="CF2237" s="4">
        <v>44588</v>
      </c>
      <c r="CI2237" s="3">
        <v>1</v>
      </c>
      <c r="CJ2237" s="3">
        <v>1</v>
      </c>
      <c r="CK2237" s="3">
        <v>21</v>
      </c>
      <c r="CL2237" s="3" t="s">
        <v>87</v>
      </c>
    </row>
    <row r="2238" spans="1:90" x14ac:dyDescent="0.2">
      <c r="A2238" s="3" t="s">
        <v>72</v>
      </c>
      <c r="B2238" s="3" t="s">
        <v>73</v>
      </c>
      <c r="C2238" s="3" t="s">
        <v>74</v>
      </c>
      <c r="E2238" s="3" t="str">
        <f>"FES1162846626"</f>
        <v>FES1162846626</v>
      </c>
      <c r="F2238" s="4">
        <v>44586</v>
      </c>
      <c r="G2238" s="3">
        <v>202207</v>
      </c>
      <c r="H2238" s="3" t="s">
        <v>75</v>
      </c>
      <c r="I2238" s="3" t="s">
        <v>76</v>
      </c>
      <c r="J2238" s="3" t="s">
        <v>77</v>
      </c>
      <c r="K2238" s="3" t="s">
        <v>78</v>
      </c>
      <c r="L2238" s="3" t="s">
        <v>110</v>
      </c>
      <c r="M2238" s="3" t="s">
        <v>110</v>
      </c>
      <c r="N2238" s="3" t="s">
        <v>111</v>
      </c>
      <c r="O2238" s="3" t="s">
        <v>82</v>
      </c>
      <c r="P2238" s="3" t="str">
        <f>"2170816381                    "</f>
        <v xml:space="preserve">2170816381                    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29.95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0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3">
        <v>0</v>
      </c>
      <c r="AY2238" s="3">
        <v>0</v>
      </c>
      <c r="AZ2238" s="3">
        <v>0</v>
      </c>
      <c r="BA2238" s="3">
        <v>0</v>
      </c>
      <c r="BB2238" s="3">
        <v>0</v>
      </c>
      <c r="BC2238" s="3">
        <v>0</v>
      </c>
      <c r="BD2238" s="3">
        <v>0</v>
      </c>
      <c r="BE2238" s="3">
        <v>0</v>
      </c>
      <c r="BF2238" s="3">
        <v>0</v>
      </c>
      <c r="BG2238" s="3">
        <v>0</v>
      </c>
      <c r="BH2238" s="3">
        <v>1</v>
      </c>
      <c r="BI2238" s="3">
        <v>2</v>
      </c>
      <c r="BJ2238" s="3">
        <v>1.1000000000000001</v>
      </c>
      <c r="BK2238" s="3">
        <v>2</v>
      </c>
      <c r="BL2238" s="3">
        <v>114.31</v>
      </c>
      <c r="BM2238" s="3">
        <v>17.149999999999999</v>
      </c>
      <c r="BN2238" s="3">
        <v>131.46</v>
      </c>
      <c r="BO2238" s="3">
        <v>131.46</v>
      </c>
      <c r="BQ2238" s="3" t="s">
        <v>89</v>
      </c>
      <c r="BR2238" s="3" t="s">
        <v>84</v>
      </c>
      <c r="BS2238" s="4">
        <v>44587</v>
      </c>
      <c r="BT2238" s="5">
        <v>0.52986111111111112</v>
      </c>
      <c r="BU2238" s="3" t="s">
        <v>1675</v>
      </c>
      <c r="BV2238" s="3" t="s">
        <v>105</v>
      </c>
      <c r="BY2238" s="3">
        <v>5320</v>
      </c>
      <c r="BZ2238" s="3" t="s">
        <v>165</v>
      </c>
      <c r="CA2238" s="3" t="s">
        <v>563</v>
      </c>
      <c r="CC2238" s="3" t="s">
        <v>110</v>
      </c>
      <c r="CD2238" s="3">
        <v>7646</v>
      </c>
      <c r="CE2238" s="3" t="s">
        <v>86</v>
      </c>
      <c r="CF2238" s="4">
        <v>44588</v>
      </c>
      <c r="CI2238" s="3">
        <v>1</v>
      </c>
      <c r="CJ2238" s="3">
        <v>1</v>
      </c>
      <c r="CK2238" s="3">
        <v>23</v>
      </c>
      <c r="CL2238" s="3" t="s">
        <v>87</v>
      </c>
    </row>
    <row r="2239" spans="1:90" x14ac:dyDescent="0.2">
      <c r="A2239" s="3" t="s">
        <v>72</v>
      </c>
      <c r="B2239" s="3" t="s">
        <v>73</v>
      </c>
      <c r="C2239" s="3" t="s">
        <v>74</v>
      </c>
      <c r="E2239" s="3" t="str">
        <f>"FES1162846575"</f>
        <v>FES1162846575</v>
      </c>
      <c r="F2239" s="4">
        <v>44586</v>
      </c>
      <c r="G2239" s="3">
        <v>202207</v>
      </c>
      <c r="H2239" s="3" t="s">
        <v>75</v>
      </c>
      <c r="I2239" s="3" t="s">
        <v>76</v>
      </c>
      <c r="J2239" s="3" t="s">
        <v>77</v>
      </c>
      <c r="K2239" s="3" t="s">
        <v>78</v>
      </c>
      <c r="L2239" s="3" t="s">
        <v>529</v>
      </c>
      <c r="M2239" s="3" t="s">
        <v>530</v>
      </c>
      <c r="N2239" s="3" t="s">
        <v>531</v>
      </c>
      <c r="O2239" s="3" t="s">
        <v>82</v>
      </c>
      <c r="P2239" s="3" t="str">
        <f>"2170817933                    "</f>
        <v xml:space="preserve">2170817933                    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29.95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Q2239" s="3">
        <v>0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3">
        <v>0</v>
      </c>
      <c r="AY2239" s="3">
        <v>0</v>
      </c>
      <c r="AZ2239" s="3">
        <v>0</v>
      </c>
      <c r="BA2239" s="3">
        <v>0</v>
      </c>
      <c r="BB2239" s="3">
        <v>0</v>
      </c>
      <c r="BC2239" s="3">
        <v>0</v>
      </c>
      <c r="BD2239" s="3">
        <v>0</v>
      </c>
      <c r="BE2239" s="3">
        <v>0</v>
      </c>
      <c r="BF2239" s="3">
        <v>0</v>
      </c>
      <c r="BG2239" s="3">
        <v>0</v>
      </c>
      <c r="BH2239" s="3">
        <v>1</v>
      </c>
      <c r="BI2239" s="3">
        <v>1</v>
      </c>
      <c r="BJ2239" s="3">
        <v>0.2</v>
      </c>
      <c r="BK2239" s="3">
        <v>1</v>
      </c>
      <c r="BL2239" s="3">
        <v>114.31</v>
      </c>
      <c r="BM2239" s="3">
        <v>17.149999999999999</v>
      </c>
      <c r="BN2239" s="3">
        <v>131.46</v>
      </c>
      <c r="BO2239" s="3">
        <v>131.46</v>
      </c>
      <c r="BQ2239" s="3" t="s">
        <v>83</v>
      </c>
      <c r="BR2239" s="3" t="s">
        <v>84</v>
      </c>
      <c r="BS2239" s="4">
        <v>44587</v>
      </c>
      <c r="BT2239" s="5">
        <v>0.5229166666666667</v>
      </c>
      <c r="BU2239" s="3" t="s">
        <v>1866</v>
      </c>
      <c r="BV2239" s="3" t="s">
        <v>105</v>
      </c>
      <c r="BY2239" s="3">
        <v>1200</v>
      </c>
      <c r="BZ2239" s="3" t="s">
        <v>165</v>
      </c>
      <c r="CC2239" s="3" t="s">
        <v>530</v>
      </c>
      <c r="CD2239" s="3">
        <v>6500</v>
      </c>
      <c r="CE2239" s="3" t="s">
        <v>93</v>
      </c>
      <c r="CF2239" s="4">
        <v>44588</v>
      </c>
      <c r="CI2239" s="3">
        <v>1</v>
      </c>
      <c r="CJ2239" s="3">
        <v>1</v>
      </c>
      <c r="CK2239" s="3">
        <v>23</v>
      </c>
      <c r="CL2239" s="3" t="s">
        <v>87</v>
      </c>
    </row>
    <row r="2240" spans="1:90" x14ac:dyDescent="0.2">
      <c r="A2240" s="3" t="s">
        <v>72</v>
      </c>
      <c r="B2240" s="3" t="s">
        <v>73</v>
      </c>
      <c r="C2240" s="3" t="s">
        <v>74</v>
      </c>
      <c r="E2240" s="3" t="str">
        <f>"FES1162847160"</f>
        <v>FES1162847160</v>
      </c>
      <c r="F2240" s="4">
        <v>44587</v>
      </c>
      <c r="G2240" s="3">
        <v>202207</v>
      </c>
      <c r="H2240" s="3" t="s">
        <v>75</v>
      </c>
      <c r="I2240" s="3" t="s">
        <v>76</v>
      </c>
      <c r="J2240" s="3" t="s">
        <v>77</v>
      </c>
      <c r="K2240" s="3" t="s">
        <v>78</v>
      </c>
      <c r="L2240" s="3" t="s">
        <v>244</v>
      </c>
      <c r="M2240" s="3" t="s">
        <v>245</v>
      </c>
      <c r="N2240" s="3" t="s">
        <v>400</v>
      </c>
      <c r="O2240" s="3" t="s">
        <v>82</v>
      </c>
      <c r="P2240" s="3" t="str">
        <f>"2170818478                    "</f>
        <v xml:space="preserve">2170818478                    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29.95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0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3">
        <v>0</v>
      </c>
      <c r="AY2240" s="3">
        <v>0</v>
      </c>
      <c r="AZ2240" s="3">
        <v>0</v>
      </c>
      <c r="BA2240" s="3">
        <v>0</v>
      </c>
      <c r="BB2240" s="3">
        <v>0</v>
      </c>
      <c r="BC2240" s="3">
        <v>0</v>
      </c>
      <c r="BD2240" s="3">
        <v>0</v>
      </c>
      <c r="BE2240" s="3">
        <v>0</v>
      </c>
      <c r="BF2240" s="3">
        <v>0</v>
      </c>
      <c r="BG2240" s="3">
        <v>0</v>
      </c>
      <c r="BH2240" s="3">
        <v>1</v>
      </c>
      <c r="BI2240" s="3">
        <v>2</v>
      </c>
      <c r="BJ2240" s="3">
        <v>2</v>
      </c>
      <c r="BK2240" s="3">
        <v>2</v>
      </c>
      <c r="BL2240" s="3">
        <v>114.31</v>
      </c>
      <c r="BM2240" s="3">
        <v>17.149999999999999</v>
      </c>
      <c r="BN2240" s="3">
        <v>131.46</v>
      </c>
      <c r="BO2240" s="3">
        <v>131.46</v>
      </c>
      <c r="BQ2240" s="3" t="s">
        <v>83</v>
      </c>
      <c r="BR2240" s="3" t="s">
        <v>84</v>
      </c>
      <c r="BS2240" s="4">
        <v>44588</v>
      </c>
      <c r="BT2240" s="5">
        <v>0.53472222222222221</v>
      </c>
      <c r="BU2240" s="3" t="s">
        <v>401</v>
      </c>
      <c r="BV2240" s="3" t="s">
        <v>87</v>
      </c>
      <c r="BW2240" s="3" t="s">
        <v>353</v>
      </c>
      <c r="BX2240" s="3" t="s">
        <v>723</v>
      </c>
      <c r="BY2240" s="3">
        <v>9900</v>
      </c>
      <c r="BZ2240" s="3" t="s">
        <v>165</v>
      </c>
      <c r="CA2240" s="3" t="s">
        <v>402</v>
      </c>
      <c r="CC2240" s="3" t="s">
        <v>245</v>
      </c>
      <c r="CD2240" s="3">
        <v>1947</v>
      </c>
      <c r="CE2240" s="3" t="s">
        <v>86</v>
      </c>
      <c r="CF2240" s="4">
        <v>44589</v>
      </c>
      <c r="CI2240" s="3">
        <v>1</v>
      </c>
      <c r="CJ2240" s="3">
        <v>1</v>
      </c>
      <c r="CK2240" s="3">
        <v>23</v>
      </c>
      <c r="CL2240" s="3" t="s">
        <v>87</v>
      </c>
    </row>
    <row r="2241" spans="1:90" x14ac:dyDescent="0.2">
      <c r="A2241" s="3" t="s">
        <v>72</v>
      </c>
      <c r="B2241" s="3" t="s">
        <v>73</v>
      </c>
      <c r="C2241" s="3" t="s">
        <v>74</v>
      </c>
      <c r="E2241" s="3" t="str">
        <f>"FES1162847021"</f>
        <v>FES1162847021</v>
      </c>
      <c r="F2241" s="4">
        <v>44587</v>
      </c>
      <c r="G2241" s="3">
        <v>202207</v>
      </c>
      <c r="H2241" s="3" t="s">
        <v>75</v>
      </c>
      <c r="I2241" s="3" t="s">
        <v>76</v>
      </c>
      <c r="J2241" s="3" t="s">
        <v>77</v>
      </c>
      <c r="K2241" s="3" t="s">
        <v>78</v>
      </c>
      <c r="L2241" s="3" t="s">
        <v>90</v>
      </c>
      <c r="M2241" s="3" t="s">
        <v>91</v>
      </c>
      <c r="N2241" s="3" t="s">
        <v>157</v>
      </c>
      <c r="O2241" s="3" t="s">
        <v>82</v>
      </c>
      <c r="P2241" s="3" t="str">
        <f>"2170818219                    "</f>
        <v xml:space="preserve">2170818219                    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15.46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0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3">
        <v>0</v>
      </c>
      <c r="AY2241" s="3">
        <v>0</v>
      </c>
      <c r="AZ2241" s="3">
        <v>0</v>
      </c>
      <c r="BA2241" s="3">
        <v>0</v>
      </c>
      <c r="BB2241" s="3">
        <v>0</v>
      </c>
      <c r="BC2241" s="3">
        <v>0</v>
      </c>
      <c r="BD2241" s="3">
        <v>0</v>
      </c>
      <c r="BE2241" s="3">
        <v>0</v>
      </c>
      <c r="BF2241" s="3">
        <v>0</v>
      </c>
      <c r="BG2241" s="3">
        <v>0</v>
      </c>
      <c r="BH2241" s="3">
        <v>1</v>
      </c>
      <c r="BI2241" s="3">
        <v>1</v>
      </c>
      <c r="BJ2241" s="3">
        <v>0.2</v>
      </c>
      <c r="BK2241" s="3">
        <v>1</v>
      </c>
      <c r="BL2241" s="3">
        <v>59</v>
      </c>
      <c r="BM2241" s="3">
        <v>8.85</v>
      </c>
      <c r="BN2241" s="3">
        <v>67.849999999999994</v>
      </c>
      <c r="BO2241" s="3">
        <v>67.849999999999994</v>
      </c>
      <c r="BQ2241" s="3" t="s">
        <v>89</v>
      </c>
      <c r="BR2241" s="3" t="s">
        <v>84</v>
      </c>
      <c r="BS2241" s="4">
        <v>44588</v>
      </c>
      <c r="BT2241" s="5">
        <v>0.41041666666666665</v>
      </c>
      <c r="BU2241" s="3" t="s">
        <v>693</v>
      </c>
      <c r="BV2241" s="3" t="s">
        <v>105</v>
      </c>
      <c r="BY2241" s="3">
        <v>1200</v>
      </c>
      <c r="BZ2241" s="3" t="s">
        <v>165</v>
      </c>
      <c r="CA2241" s="3" t="s">
        <v>289</v>
      </c>
      <c r="CC2241" s="3" t="s">
        <v>91</v>
      </c>
      <c r="CD2241" s="3">
        <v>7441</v>
      </c>
      <c r="CE2241" s="3" t="s">
        <v>1513</v>
      </c>
      <c r="CF2241" s="4">
        <v>44589</v>
      </c>
      <c r="CI2241" s="3">
        <v>1</v>
      </c>
      <c r="CJ2241" s="3">
        <v>1</v>
      </c>
      <c r="CK2241" s="3">
        <v>21</v>
      </c>
      <c r="CL2241" s="3" t="s">
        <v>87</v>
      </c>
    </row>
    <row r="2242" spans="1:90" x14ac:dyDescent="0.2">
      <c r="A2242" s="3" t="s">
        <v>72</v>
      </c>
      <c r="B2242" s="3" t="s">
        <v>73</v>
      </c>
      <c r="C2242" s="3" t="s">
        <v>74</v>
      </c>
      <c r="E2242" s="3" t="str">
        <f>"FES1162846981"</f>
        <v>FES1162846981</v>
      </c>
      <c r="F2242" s="4">
        <v>44587</v>
      </c>
      <c r="G2242" s="3">
        <v>202207</v>
      </c>
      <c r="H2242" s="3" t="s">
        <v>75</v>
      </c>
      <c r="I2242" s="3" t="s">
        <v>76</v>
      </c>
      <c r="J2242" s="3" t="s">
        <v>77</v>
      </c>
      <c r="K2242" s="3" t="s">
        <v>78</v>
      </c>
      <c r="L2242" s="3" t="s">
        <v>75</v>
      </c>
      <c r="M2242" s="3" t="s">
        <v>76</v>
      </c>
      <c r="N2242" s="3" t="s">
        <v>2315</v>
      </c>
      <c r="O2242" s="3" t="s">
        <v>82</v>
      </c>
      <c r="P2242" s="3" t="str">
        <f>"2170816074                    "</f>
        <v xml:space="preserve">2170816074                    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12.07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0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3">
        <v>0</v>
      </c>
      <c r="AY2242" s="3">
        <v>0</v>
      </c>
      <c r="AZ2242" s="3">
        <v>0</v>
      </c>
      <c r="BA2242" s="3">
        <v>0</v>
      </c>
      <c r="BB2242" s="3">
        <v>0</v>
      </c>
      <c r="BC2242" s="3">
        <v>0</v>
      </c>
      <c r="BD2242" s="3">
        <v>0</v>
      </c>
      <c r="BE2242" s="3">
        <v>0</v>
      </c>
      <c r="BF2242" s="3">
        <v>0</v>
      </c>
      <c r="BG2242" s="3">
        <v>0</v>
      </c>
      <c r="BH2242" s="3">
        <v>1</v>
      </c>
      <c r="BI2242" s="3">
        <v>1</v>
      </c>
      <c r="BJ2242" s="3">
        <v>0.2</v>
      </c>
      <c r="BK2242" s="3">
        <v>1</v>
      </c>
      <c r="BL2242" s="3">
        <v>46.08</v>
      </c>
      <c r="BM2242" s="3">
        <v>6.91</v>
      </c>
      <c r="BN2242" s="3">
        <v>52.99</v>
      </c>
      <c r="BO2242" s="3">
        <v>52.99</v>
      </c>
      <c r="BQ2242" s="3" t="s">
        <v>83</v>
      </c>
      <c r="BR2242" s="3" t="s">
        <v>84</v>
      </c>
      <c r="BS2242" s="4">
        <v>44588</v>
      </c>
      <c r="BT2242" s="5">
        <v>0.38611111111111113</v>
      </c>
      <c r="BU2242" s="3" t="s">
        <v>2316</v>
      </c>
      <c r="BV2242" s="3" t="s">
        <v>105</v>
      </c>
      <c r="BY2242" s="3">
        <v>1200</v>
      </c>
      <c r="BZ2242" s="3" t="s">
        <v>165</v>
      </c>
      <c r="CA2242" s="3" t="s">
        <v>607</v>
      </c>
      <c r="CC2242" s="3" t="s">
        <v>76</v>
      </c>
      <c r="CD2242" s="3">
        <v>1666</v>
      </c>
      <c r="CE2242" s="3" t="s">
        <v>93</v>
      </c>
      <c r="CF2242" s="4">
        <v>44589</v>
      </c>
      <c r="CI2242" s="3">
        <v>1</v>
      </c>
      <c r="CJ2242" s="3">
        <v>1</v>
      </c>
      <c r="CK2242" s="3">
        <v>22</v>
      </c>
      <c r="CL2242" s="3" t="s">
        <v>87</v>
      </c>
    </row>
    <row r="2243" spans="1:90" x14ac:dyDescent="0.2">
      <c r="A2243" s="3" t="s">
        <v>72</v>
      </c>
      <c r="B2243" s="3" t="s">
        <v>73</v>
      </c>
      <c r="C2243" s="3" t="s">
        <v>74</v>
      </c>
      <c r="E2243" s="3" t="str">
        <f>"FES1162846987"</f>
        <v>FES1162846987</v>
      </c>
      <c r="F2243" s="4">
        <v>44587</v>
      </c>
      <c r="G2243" s="3">
        <v>202207</v>
      </c>
      <c r="H2243" s="3" t="s">
        <v>75</v>
      </c>
      <c r="I2243" s="3" t="s">
        <v>76</v>
      </c>
      <c r="J2243" s="3" t="s">
        <v>77</v>
      </c>
      <c r="K2243" s="3" t="s">
        <v>78</v>
      </c>
      <c r="L2243" s="3" t="s">
        <v>90</v>
      </c>
      <c r="M2243" s="3" t="s">
        <v>91</v>
      </c>
      <c r="N2243" s="3" t="s">
        <v>2145</v>
      </c>
      <c r="O2243" s="3" t="s">
        <v>82</v>
      </c>
      <c r="P2243" s="3" t="str">
        <f>"2170817553                    "</f>
        <v xml:space="preserve">2170817553                    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15.46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0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3">
        <v>0</v>
      </c>
      <c r="AY2243" s="3">
        <v>0</v>
      </c>
      <c r="AZ2243" s="3">
        <v>0</v>
      </c>
      <c r="BA2243" s="3">
        <v>0</v>
      </c>
      <c r="BB2243" s="3">
        <v>0</v>
      </c>
      <c r="BC2243" s="3">
        <v>0</v>
      </c>
      <c r="BD2243" s="3">
        <v>0</v>
      </c>
      <c r="BE2243" s="3">
        <v>0</v>
      </c>
      <c r="BF2243" s="3">
        <v>0</v>
      </c>
      <c r="BG2243" s="3">
        <v>0</v>
      </c>
      <c r="BH2243" s="3">
        <v>1</v>
      </c>
      <c r="BI2243" s="3">
        <v>1</v>
      </c>
      <c r="BJ2243" s="3">
        <v>0.2</v>
      </c>
      <c r="BK2243" s="3">
        <v>1</v>
      </c>
      <c r="BL2243" s="3">
        <v>59</v>
      </c>
      <c r="BM2243" s="3">
        <v>8.85</v>
      </c>
      <c r="BN2243" s="3">
        <v>67.849999999999994</v>
      </c>
      <c r="BO2243" s="3">
        <v>67.849999999999994</v>
      </c>
      <c r="BQ2243" s="3" t="s">
        <v>89</v>
      </c>
      <c r="BR2243" s="3" t="s">
        <v>84</v>
      </c>
      <c r="BS2243" s="4">
        <v>44588</v>
      </c>
      <c r="BT2243" s="5">
        <v>0.57708333333333328</v>
      </c>
      <c r="BU2243" s="3" t="s">
        <v>2317</v>
      </c>
      <c r="BV2243" s="3" t="s">
        <v>87</v>
      </c>
      <c r="BW2243" s="3" t="s">
        <v>457</v>
      </c>
      <c r="BX2243" s="3" t="s">
        <v>602</v>
      </c>
      <c r="BY2243" s="3">
        <v>1200</v>
      </c>
      <c r="BZ2243" s="3" t="s">
        <v>165</v>
      </c>
      <c r="CA2243" s="3" t="s">
        <v>623</v>
      </c>
      <c r="CC2243" s="3" t="s">
        <v>91</v>
      </c>
      <c r="CD2243" s="3">
        <v>7945</v>
      </c>
      <c r="CE2243" s="3" t="s">
        <v>1513</v>
      </c>
      <c r="CF2243" s="4">
        <v>44589</v>
      </c>
      <c r="CI2243" s="3">
        <v>1</v>
      </c>
      <c r="CJ2243" s="3">
        <v>1</v>
      </c>
      <c r="CK2243" s="3">
        <v>21</v>
      </c>
      <c r="CL2243" s="3" t="s">
        <v>87</v>
      </c>
    </row>
    <row r="2244" spans="1:90" x14ac:dyDescent="0.2">
      <c r="A2244" s="3" t="s">
        <v>72</v>
      </c>
      <c r="B2244" s="3" t="s">
        <v>73</v>
      </c>
      <c r="C2244" s="3" t="s">
        <v>74</v>
      </c>
      <c r="E2244" s="3" t="str">
        <f>"FES1162846994"</f>
        <v>FES1162846994</v>
      </c>
      <c r="F2244" s="4">
        <v>44587</v>
      </c>
      <c r="G2244" s="3">
        <v>202207</v>
      </c>
      <c r="H2244" s="3" t="s">
        <v>75</v>
      </c>
      <c r="I2244" s="3" t="s">
        <v>76</v>
      </c>
      <c r="J2244" s="3" t="s">
        <v>77</v>
      </c>
      <c r="K2244" s="3" t="s">
        <v>78</v>
      </c>
      <c r="L2244" s="3" t="s">
        <v>162</v>
      </c>
      <c r="M2244" s="3" t="s">
        <v>163</v>
      </c>
      <c r="N2244" s="3" t="s">
        <v>2192</v>
      </c>
      <c r="O2244" s="3" t="s">
        <v>82</v>
      </c>
      <c r="P2244" s="3" t="str">
        <f>"2170818107                    "</f>
        <v xml:space="preserve">2170818107                    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12.07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0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3">
        <v>0</v>
      </c>
      <c r="AY2244" s="3">
        <v>0</v>
      </c>
      <c r="AZ2244" s="3">
        <v>0</v>
      </c>
      <c r="BA2244" s="3">
        <v>0</v>
      </c>
      <c r="BB2244" s="3">
        <v>0</v>
      </c>
      <c r="BC2244" s="3">
        <v>0</v>
      </c>
      <c r="BD2244" s="3">
        <v>0</v>
      </c>
      <c r="BE2244" s="3">
        <v>0</v>
      </c>
      <c r="BF2244" s="3">
        <v>0</v>
      </c>
      <c r="BG2244" s="3">
        <v>0</v>
      </c>
      <c r="BH2244" s="3">
        <v>1</v>
      </c>
      <c r="BI2244" s="3">
        <v>1</v>
      </c>
      <c r="BJ2244" s="3">
        <v>0.2</v>
      </c>
      <c r="BK2244" s="3">
        <v>1</v>
      </c>
      <c r="BL2244" s="3">
        <v>46.08</v>
      </c>
      <c r="BM2244" s="3">
        <v>6.91</v>
      </c>
      <c r="BN2244" s="3">
        <v>52.99</v>
      </c>
      <c r="BO2244" s="3">
        <v>52.99</v>
      </c>
      <c r="BQ2244" s="3" t="s">
        <v>83</v>
      </c>
      <c r="BR2244" s="3" t="s">
        <v>84</v>
      </c>
      <c r="BS2244" s="4">
        <v>44588</v>
      </c>
      <c r="BT2244" s="5">
        <v>0.4055555555555555</v>
      </c>
      <c r="BU2244" s="3" t="s">
        <v>2193</v>
      </c>
      <c r="BV2244" s="3" t="s">
        <v>105</v>
      </c>
      <c r="BY2244" s="3">
        <v>1200</v>
      </c>
      <c r="BZ2244" s="3" t="s">
        <v>165</v>
      </c>
      <c r="CA2244" s="3" t="s">
        <v>1051</v>
      </c>
      <c r="CC2244" s="3" t="s">
        <v>163</v>
      </c>
      <c r="CD2244" s="3">
        <v>1406</v>
      </c>
      <c r="CE2244" s="3" t="s">
        <v>93</v>
      </c>
      <c r="CF2244" s="4">
        <v>44589</v>
      </c>
      <c r="CI2244" s="3">
        <v>1</v>
      </c>
      <c r="CJ2244" s="3">
        <v>1</v>
      </c>
      <c r="CK2244" s="3">
        <v>22</v>
      </c>
      <c r="CL2244" s="3" t="s">
        <v>87</v>
      </c>
    </row>
    <row r="2245" spans="1:90" x14ac:dyDescent="0.2">
      <c r="A2245" s="3" t="s">
        <v>72</v>
      </c>
      <c r="B2245" s="3" t="s">
        <v>73</v>
      </c>
      <c r="C2245" s="3" t="s">
        <v>74</v>
      </c>
      <c r="E2245" s="3" t="str">
        <f>"FES1162846971"</f>
        <v>FES1162846971</v>
      </c>
      <c r="F2245" s="4">
        <v>44587</v>
      </c>
      <c r="G2245" s="3">
        <v>202207</v>
      </c>
      <c r="H2245" s="3" t="s">
        <v>75</v>
      </c>
      <c r="I2245" s="3" t="s">
        <v>76</v>
      </c>
      <c r="J2245" s="3" t="s">
        <v>77</v>
      </c>
      <c r="K2245" s="3" t="s">
        <v>78</v>
      </c>
      <c r="L2245" s="3" t="s">
        <v>97</v>
      </c>
      <c r="M2245" s="3" t="s">
        <v>98</v>
      </c>
      <c r="N2245" s="3" t="s">
        <v>644</v>
      </c>
      <c r="O2245" s="3" t="s">
        <v>82</v>
      </c>
      <c r="P2245" s="3" t="str">
        <f>"2170818271                    "</f>
        <v xml:space="preserve">2170818271                    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12.07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0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3">
        <v>0</v>
      </c>
      <c r="AY2245" s="3">
        <v>0</v>
      </c>
      <c r="AZ2245" s="3">
        <v>0</v>
      </c>
      <c r="BA2245" s="3">
        <v>0</v>
      </c>
      <c r="BB2245" s="3">
        <v>0</v>
      </c>
      <c r="BC2245" s="3">
        <v>0</v>
      </c>
      <c r="BD2245" s="3">
        <v>0</v>
      </c>
      <c r="BE2245" s="3">
        <v>0</v>
      </c>
      <c r="BF2245" s="3">
        <v>0</v>
      </c>
      <c r="BG2245" s="3">
        <v>0</v>
      </c>
      <c r="BH2245" s="3">
        <v>1</v>
      </c>
      <c r="BI2245" s="3">
        <v>1</v>
      </c>
      <c r="BJ2245" s="3">
        <v>0.2</v>
      </c>
      <c r="BK2245" s="3">
        <v>1</v>
      </c>
      <c r="BL2245" s="3">
        <v>46.08</v>
      </c>
      <c r="BM2245" s="3">
        <v>6.91</v>
      </c>
      <c r="BN2245" s="3">
        <v>52.99</v>
      </c>
      <c r="BO2245" s="3">
        <v>52.99</v>
      </c>
      <c r="BQ2245" s="3" t="s">
        <v>126</v>
      </c>
      <c r="BR2245" s="3" t="s">
        <v>84</v>
      </c>
      <c r="BS2245" s="4">
        <v>44588</v>
      </c>
      <c r="BT2245" s="5">
        <v>0.3430555555555555</v>
      </c>
      <c r="BU2245" s="3" t="s">
        <v>2279</v>
      </c>
      <c r="BV2245" s="3" t="s">
        <v>105</v>
      </c>
      <c r="BY2245" s="3">
        <v>1200</v>
      </c>
      <c r="BZ2245" s="3" t="s">
        <v>165</v>
      </c>
      <c r="CA2245" s="3" t="s">
        <v>297</v>
      </c>
      <c r="CC2245" s="3" t="s">
        <v>98</v>
      </c>
      <c r="CD2245" s="3">
        <v>2013</v>
      </c>
      <c r="CE2245" s="3" t="s">
        <v>93</v>
      </c>
      <c r="CF2245" s="4">
        <v>44588</v>
      </c>
      <c r="CI2245" s="3">
        <v>1</v>
      </c>
      <c r="CJ2245" s="3">
        <v>1</v>
      </c>
      <c r="CK2245" s="3">
        <v>22</v>
      </c>
      <c r="CL2245" s="3" t="s">
        <v>87</v>
      </c>
    </row>
    <row r="2246" spans="1:90" x14ac:dyDescent="0.2">
      <c r="A2246" s="3" t="s">
        <v>72</v>
      </c>
      <c r="B2246" s="3" t="s">
        <v>73</v>
      </c>
      <c r="C2246" s="3" t="s">
        <v>74</v>
      </c>
      <c r="E2246" s="3" t="str">
        <f>"FES1162846990"</f>
        <v>FES1162846990</v>
      </c>
      <c r="F2246" s="4">
        <v>44587</v>
      </c>
      <c r="G2246" s="3">
        <v>202207</v>
      </c>
      <c r="H2246" s="3" t="s">
        <v>75</v>
      </c>
      <c r="I2246" s="3" t="s">
        <v>76</v>
      </c>
      <c r="J2246" s="3" t="s">
        <v>77</v>
      </c>
      <c r="K2246" s="3" t="s">
        <v>78</v>
      </c>
      <c r="L2246" s="3" t="s">
        <v>79</v>
      </c>
      <c r="M2246" s="3" t="s">
        <v>80</v>
      </c>
      <c r="N2246" s="3" t="s">
        <v>2170</v>
      </c>
      <c r="O2246" s="3" t="s">
        <v>82</v>
      </c>
      <c r="P2246" s="3" t="str">
        <f>"2170817942                    "</f>
        <v xml:space="preserve">2170817942                    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15.46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3">
        <v>0</v>
      </c>
      <c r="AY2246" s="3">
        <v>0</v>
      </c>
      <c r="AZ2246" s="3">
        <v>0</v>
      </c>
      <c r="BA2246" s="3">
        <v>0</v>
      </c>
      <c r="BB2246" s="3">
        <v>0</v>
      </c>
      <c r="BC2246" s="3">
        <v>0</v>
      </c>
      <c r="BD2246" s="3">
        <v>0</v>
      </c>
      <c r="BE2246" s="3">
        <v>0</v>
      </c>
      <c r="BF2246" s="3">
        <v>0</v>
      </c>
      <c r="BG2246" s="3">
        <v>0</v>
      </c>
      <c r="BH2246" s="3">
        <v>1</v>
      </c>
      <c r="BI2246" s="3">
        <v>1</v>
      </c>
      <c r="BJ2246" s="3">
        <v>0.2</v>
      </c>
      <c r="BK2246" s="3">
        <v>1</v>
      </c>
      <c r="BL2246" s="3">
        <v>59</v>
      </c>
      <c r="BM2246" s="3">
        <v>8.85</v>
      </c>
      <c r="BN2246" s="3">
        <v>67.849999999999994</v>
      </c>
      <c r="BO2246" s="3">
        <v>67.849999999999994</v>
      </c>
      <c r="BQ2246" s="3" t="s">
        <v>89</v>
      </c>
      <c r="BR2246" s="3" t="s">
        <v>84</v>
      </c>
      <c r="BS2246" s="4">
        <v>44588</v>
      </c>
      <c r="BT2246" s="5">
        <v>0.40277777777777773</v>
      </c>
      <c r="BU2246" s="3" t="s">
        <v>1007</v>
      </c>
      <c r="BV2246" s="3" t="s">
        <v>105</v>
      </c>
      <c r="BY2246" s="3">
        <v>1200</v>
      </c>
      <c r="BZ2246" s="3" t="s">
        <v>165</v>
      </c>
      <c r="CA2246" s="3" t="s">
        <v>366</v>
      </c>
      <c r="CC2246" s="3" t="s">
        <v>80</v>
      </c>
      <c r="CD2246" s="3">
        <v>200</v>
      </c>
      <c r="CE2246" s="3" t="s">
        <v>1513</v>
      </c>
      <c r="CF2246" s="4">
        <v>44588</v>
      </c>
      <c r="CI2246" s="3">
        <v>1</v>
      </c>
      <c r="CJ2246" s="3">
        <v>1</v>
      </c>
      <c r="CK2246" s="3">
        <v>21</v>
      </c>
      <c r="CL2246" s="3" t="s">
        <v>87</v>
      </c>
    </row>
    <row r="2247" spans="1:90" x14ac:dyDescent="0.2">
      <c r="A2247" s="3" t="s">
        <v>72</v>
      </c>
      <c r="B2247" s="3" t="s">
        <v>73</v>
      </c>
      <c r="C2247" s="3" t="s">
        <v>74</v>
      </c>
      <c r="E2247" s="3" t="str">
        <f>"FES1162846985"</f>
        <v>FES1162846985</v>
      </c>
      <c r="F2247" s="4">
        <v>44587</v>
      </c>
      <c r="G2247" s="3">
        <v>202207</v>
      </c>
      <c r="H2247" s="3" t="s">
        <v>75</v>
      </c>
      <c r="I2247" s="3" t="s">
        <v>76</v>
      </c>
      <c r="J2247" s="3" t="s">
        <v>77</v>
      </c>
      <c r="K2247" s="3" t="s">
        <v>78</v>
      </c>
      <c r="L2247" s="3" t="s">
        <v>75</v>
      </c>
      <c r="M2247" s="3" t="s">
        <v>76</v>
      </c>
      <c r="N2247" s="3" t="s">
        <v>1393</v>
      </c>
      <c r="O2247" s="3" t="s">
        <v>82</v>
      </c>
      <c r="P2247" s="3" t="str">
        <f>"2170817213                    "</f>
        <v xml:space="preserve">2170817213                    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12.07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0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3">
        <v>0</v>
      </c>
      <c r="AY2247" s="3">
        <v>0</v>
      </c>
      <c r="AZ2247" s="3">
        <v>0</v>
      </c>
      <c r="BA2247" s="3">
        <v>0</v>
      </c>
      <c r="BB2247" s="3">
        <v>0</v>
      </c>
      <c r="BC2247" s="3">
        <v>0</v>
      </c>
      <c r="BD2247" s="3">
        <v>0</v>
      </c>
      <c r="BE2247" s="3">
        <v>0</v>
      </c>
      <c r="BF2247" s="3">
        <v>0</v>
      </c>
      <c r="BG2247" s="3">
        <v>0</v>
      </c>
      <c r="BH2247" s="3">
        <v>1</v>
      </c>
      <c r="BI2247" s="3">
        <v>1</v>
      </c>
      <c r="BJ2247" s="3">
        <v>0.2</v>
      </c>
      <c r="BK2247" s="3">
        <v>1</v>
      </c>
      <c r="BL2247" s="3">
        <v>46.08</v>
      </c>
      <c r="BM2247" s="3">
        <v>6.91</v>
      </c>
      <c r="BN2247" s="3">
        <v>52.99</v>
      </c>
      <c r="BO2247" s="3">
        <v>52.99</v>
      </c>
      <c r="BQ2247" s="3" t="s">
        <v>83</v>
      </c>
      <c r="BR2247" s="3" t="s">
        <v>84</v>
      </c>
      <c r="BS2247" s="4">
        <v>44588</v>
      </c>
      <c r="BT2247" s="5">
        <v>0.37916666666666665</v>
      </c>
      <c r="BU2247" s="3" t="s">
        <v>2276</v>
      </c>
      <c r="BV2247" s="3" t="s">
        <v>105</v>
      </c>
      <c r="BY2247" s="3">
        <v>1200</v>
      </c>
      <c r="BZ2247" s="3" t="s">
        <v>165</v>
      </c>
      <c r="CA2247" s="3" t="s">
        <v>607</v>
      </c>
      <c r="CC2247" s="3" t="s">
        <v>76</v>
      </c>
      <c r="CD2247" s="3">
        <v>1665</v>
      </c>
      <c r="CE2247" s="3" t="s">
        <v>93</v>
      </c>
      <c r="CF2247" s="4">
        <v>44589</v>
      </c>
      <c r="CI2247" s="3">
        <v>1</v>
      </c>
      <c r="CJ2247" s="3">
        <v>1</v>
      </c>
      <c r="CK2247" s="3">
        <v>22</v>
      </c>
      <c r="CL2247" s="3" t="s">
        <v>87</v>
      </c>
    </row>
    <row r="2248" spans="1:90" x14ac:dyDescent="0.2">
      <c r="A2248" s="3" t="s">
        <v>72</v>
      </c>
      <c r="B2248" s="3" t="s">
        <v>73</v>
      </c>
      <c r="C2248" s="3" t="s">
        <v>74</v>
      </c>
      <c r="E2248" s="3" t="str">
        <f>"FES1162846409"</f>
        <v>FES1162846409</v>
      </c>
      <c r="F2248" s="4">
        <v>44587</v>
      </c>
      <c r="G2248" s="3">
        <v>202207</v>
      </c>
      <c r="H2248" s="3" t="s">
        <v>75</v>
      </c>
      <c r="I2248" s="3" t="s">
        <v>76</v>
      </c>
      <c r="J2248" s="3" t="s">
        <v>77</v>
      </c>
      <c r="K2248" s="3" t="s">
        <v>78</v>
      </c>
      <c r="L2248" s="3" t="s">
        <v>79</v>
      </c>
      <c r="M2248" s="3" t="s">
        <v>80</v>
      </c>
      <c r="N2248" s="3" t="s">
        <v>2170</v>
      </c>
      <c r="O2248" s="3" t="s">
        <v>82</v>
      </c>
      <c r="P2248" s="3" t="str">
        <f>"2170817926                    "</f>
        <v xml:space="preserve">2170817926                    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15.46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0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3">
        <v>0</v>
      </c>
      <c r="AY2248" s="3">
        <v>0</v>
      </c>
      <c r="AZ2248" s="3">
        <v>0</v>
      </c>
      <c r="BA2248" s="3">
        <v>0</v>
      </c>
      <c r="BB2248" s="3">
        <v>0</v>
      </c>
      <c r="BC2248" s="3">
        <v>0</v>
      </c>
      <c r="BD2248" s="3">
        <v>0</v>
      </c>
      <c r="BE2248" s="3">
        <v>0</v>
      </c>
      <c r="BF2248" s="3">
        <v>0</v>
      </c>
      <c r="BG2248" s="3">
        <v>0</v>
      </c>
      <c r="BH2248" s="3">
        <v>1</v>
      </c>
      <c r="BI2248" s="3">
        <v>1</v>
      </c>
      <c r="BJ2248" s="3">
        <v>0.2</v>
      </c>
      <c r="BK2248" s="3">
        <v>1</v>
      </c>
      <c r="BL2248" s="3">
        <v>59</v>
      </c>
      <c r="BM2248" s="3">
        <v>8.85</v>
      </c>
      <c r="BN2248" s="3">
        <v>67.849999999999994</v>
      </c>
      <c r="BO2248" s="3">
        <v>67.849999999999994</v>
      </c>
      <c r="BQ2248" s="3" t="s">
        <v>89</v>
      </c>
      <c r="BR2248" s="3" t="s">
        <v>84</v>
      </c>
      <c r="BS2248" s="4">
        <v>44588</v>
      </c>
      <c r="BT2248" s="5">
        <v>0.40277777777777773</v>
      </c>
      <c r="BU2248" s="3" t="s">
        <v>1007</v>
      </c>
      <c r="BV2248" s="3" t="s">
        <v>105</v>
      </c>
      <c r="BY2248" s="3">
        <v>1200</v>
      </c>
      <c r="BZ2248" s="3" t="s">
        <v>165</v>
      </c>
      <c r="CA2248" s="3" t="s">
        <v>366</v>
      </c>
      <c r="CC2248" s="3" t="s">
        <v>80</v>
      </c>
      <c r="CD2248" s="3">
        <v>200</v>
      </c>
      <c r="CE2248" s="3" t="s">
        <v>93</v>
      </c>
      <c r="CF2248" s="4">
        <v>44588</v>
      </c>
      <c r="CI2248" s="3">
        <v>1</v>
      </c>
      <c r="CJ2248" s="3">
        <v>1</v>
      </c>
      <c r="CK2248" s="3">
        <v>21</v>
      </c>
      <c r="CL2248" s="3" t="s">
        <v>87</v>
      </c>
    </row>
    <row r="2249" spans="1:90" x14ac:dyDescent="0.2">
      <c r="A2249" s="3" t="s">
        <v>72</v>
      </c>
      <c r="B2249" s="3" t="s">
        <v>73</v>
      </c>
      <c r="C2249" s="3" t="s">
        <v>74</v>
      </c>
      <c r="E2249" s="3" t="str">
        <f>"FES1162847000"</f>
        <v>FES1162847000</v>
      </c>
      <c r="F2249" s="4">
        <v>44587</v>
      </c>
      <c r="G2249" s="3">
        <v>202207</v>
      </c>
      <c r="H2249" s="3" t="s">
        <v>75</v>
      </c>
      <c r="I2249" s="3" t="s">
        <v>76</v>
      </c>
      <c r="J2249" s="3" t="s">
        <v>77</v>
      </c>
      <c r="K2249" s="3" t="s">
        <v>78</v>
      </c>
      <c r="L2249" s="3" t="s">
        <v>79</v>
      </c>
      <c r="M2249" s="3" t="s">
        <v>80</v>
      </c>
      <c r="N2249" s="3" t="s">
        <v>337</v>
      </c>
      <c r="O2249" s="3" t="s">
        <v>82</v>
      </c>
      <c r="P2249" s="3" t="str">
        <f>"2170818276                    "</f>
        <v xml:space="preserve">2170818276                    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15.46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0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3">
        <v>0</v>
      </c>
      <c r="AY2249" s="3">
        <v>0</v>
      </c>
      <c r="AZ2249" s="3">
        <v>0</v>
      </c>
      <c r="BA2249" s="3">
        <v>0</v>
      </c>
      <c r="BB2249" s="3">
        <v>0</v>
      </c>
      <c r="BC2249" s="3">
        <v>0</v>
      </c>
      <c r="BD2249" s="3">
        <v>0</v>
      </c>
      <c r="BE2249" s="3">
        <v>0</v>
      </c>
      <c r="BF2249" s="3">
        <v>0</v>
      </c>
      <c r="BG2249" s="3">
        <v>0</v>
      </c>
      <c r="BH2249" s="3">
        <v>1</v>
      </c>
      <c r="BI2249" s="3">
        <v>1</v>
      </c>
      <c r="BJ2249" s="3">
        <v>0.2</v>
      </c>
      <c r="BK2249" s="3">
        <v>1</v>
      </c>
      <c r="BL2249" s="3">
        <v>59</v>
      </c>
      <c r="BM2249" s="3">
        <v>8.85</v>
      </c>
      <c r="BN2249" s="3">
        <v>67.849999999999994</v>
      </c>
      <c r="BO2249" s="3">
        <v>67.849999999999994</v>
      </c>
      <c r="BQ2249" s="3" t="s">
        <v>89</v>
      </c>
      <c r="BR2249" s="3" t="s">
        <v>84</v>
      </c>
      <c r="BS2249" s="4">
        <v>44588</v>
      </c>
      <c r="BT2249" s="5">
        <v>0.3888888888888889</v>
      </c>
      <c r="BU2249" s="3" t="s">
        <v>1236</v>
      </c>
      <c r="BV2249" s="3" t="s">
        <v>105</v>
      </c>
      <c r="BY2249" s="3">
        <v>1200</v>
      </c>
      <c r="BZ2249" s="3" t="s">
        <v>165</v>
      </c>
      <c r="CA2249" s="3" t="s">
        <v>366</v>
      </c>
      <c r="CC2249" s="3" t="s">
        <v>80</v>
      </c>
      <c r="CD2249" s="3">
        <v>200</v>
      </c>
      <c r="CE2249" s="3" t="s">
        <v>1513</v>
      </c>
      <c r="CF2249" s="4">
        <v>44588</v>
      </c>
      <c r="CI2249" s="3">
        <v>1</v>
      </c>
      <c r="CJ2249" s="3">
        <v>1</v>
      </c>
      <c r="CK2249" s="3">
        <v>21</v>
      </c>
      <c r="CL2249" s="3" t="s">
        <v>87</v>
      </c>
    </row>
    <row r="2250" spans="1:90" x14ac:dyDescent="0.2">
      <c r="A2250" s="3" t="s">
        <v>72</v>
      </c>
      <c r="B2250" s="3" t="s">
        <v>73</v>
      </c>
      <c r="C2250" s="3" t="s">
        <v>74</v>
      </c>
      <c r="E2250" s="3" t="str">
        <f>"FES1162846989"</f>
        <v>FES1162846989</v>
      </c>
      <c r="F2250" s="4">
        <v>44587</v>
      </c>
      <c r="G2250" s="3">
        <v>202207</v>
      </c>
      <c r="H2250" s="3" t="s">
        <v>75</v>
      </c>
      <c r="I2250" s="3" t="s">
        <v>76</v>
      </c>
      <c r="J2250" s="3" t="s">
        <v>77</v>
      </c>
      <c r="K2250" s="3" t="s">
        <v>78</v>
      </c>
      <c r="L2250" s="3" t="s">
        <v>115</v>
      </c>
      <c r="M2250" s="3" t="s">
        <v>116</v>
      </c>
      <c r="N2250" s="3" t="s">
        <v>2318</v>
      </c>
      <c r="O2250" s="3" t="s">
        <v>82</v>
      </c>
      <c r="P2250" s="3" t="str">
        <f>"2170818922                    "</f>
        <v xml:space="preserve">2170818922                    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12.07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0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3">
        <v>0</v>
      </c>
      <c r="AY2250" s="3">
        <v>0</v>
      </c>
      <c r="AZ2250" s="3">
        <v>0</v>
      </c>
      <c r="BA2250" s="3">
        <v>0</v>
      </c>
      <c r="BB2250" s="3">
        <v>0</v>
      </c>
      <c r="BC2250" s="3">
        <v>0</v>
      </c>
      <c r="BD2250" s="3">
        <v>0</v>
      </c>
      <c r="BE2250" s="3">
        <v>0</v>
      </c>
      <c r="BF2250" s="3">
        <v>0</v>
      </c>
      <c r="BG2250" s="3">
        <v>0</v>
      </c>
      <c r="BH2250" s="3">
        <v>1</v>
      </c>
      <c r="BI2250" s="3">
        <v>1</v>
      </c>
      <c r="BJ2250" s="3">
        <v>0.2</v>
      </c>
      <c r="BK2250" s="3">
        <v>1</v>
      </c>
      <c r="BL2250" s="3">
        <v>46.08</v>
      </c>
      <c r="BM2250" s="3">
        <v>6.91</v>
      </c>
      <c r="BN2250" s="3">
        <v>52.99</v>
      </c>
      <c r="BO2250" s="3">
        <v>52.99</v>
      </c>
      <c r="BQ2250" s="3" t="s">
        <v>83</v>
      </c>
      <c r="BR2250" s="3" t="s">
        <v>84</v>
      </c>
      <c r="BS2250" s="4">
        <v>44588</v>
      </c>
      <c r="BT2250" s="5">
        <v>0.35555555555555557</v>
      </c>
      <c r="BU2250" s="3" t="s">
        <v>2319</v>
      </c>
      <c r="BV2250" s="3" t="s">
        <v>105</v>
      </c>
      <c r="BY2250" s="3">
        <v>1200</v>
      </c>
      <c r="BZ2250" s="3" t="s">
        <v>165</v>
      </c>
      <c r="CA2250" s="3" t="s">
        <v>119</v>
      </c>
      <c r="CC2250" s="3" t="s">
        <v>116</v>
      </c>
      <c r="CD2250" s="3">
        <v>1560</v>
      </c>
      <c r="CE2250" s="3" t="s">
        <v>93</v>
      </c>
      <c r="CF2250" s="4">
        <v>44588</v>
      </c>
      <c r="CI2250" s="3">
        <v>1</v>
      </c>
      <c r="CJ2250" s="3">
        <v>1</v>
      </c>
      <c r="CK2250" s="3">
        <v>22</v>
      </c>
      <c r="CL2250" s="3" t="s">
        <v>87</v>
      </c>
    </row>
    <row r="2251" spans="1:90" x14ac:dyDescent="0.2">
      <c r="A2251" s="3" t="s">
        <v>72</v>
      </c>
      <c r="B2251" s="3" t="s">
        <v>73</v>
      </c>
      <c r="C2251" s="3" t="s">
        <v>74</v>
      </c>
      <c r="E2251" s="3" t="str">
        <f>"FES1162846643"</f>
        <v>FES1162846643</v>
      </c>
      <c r="F2251" s="4">
        <v>44587</v>
      </c>
      <c r="G2251" s="3">
        <v>202207</v>
      </c>
      <c r="H2251" s="3" t="s">
        <v>75</v>
      </c>
      <c r="I2251" s="3" t="s">
        <v>76</v>
      </c>
      <c r="J2251" s="3" t="s">
        <v>77</v>
      </c>
      <c r="K2251" s="3" t="s">
        <v>78</v>
      </c>
      <c r="L2251" s="3" t="s">
        <v>184</v>
      </c>
      <c r="M2251" s="3" t="s">
        <v>185</v>
      </c>
      <c r="N2251" s="3" t="s">
        <v>2320</v>
      </c>
      <c r="O2251" s="3" t="s">
        <v>82</v>
      </c>
      <c r="P2251" s="3" t="str">
        <f>"2170818024                    "</f>
        <v xml:space="preserve">2170818024                    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34.770000000000003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Q2251" s="3">
        <v>0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3">
        <v>0</v>
      </c>
      <c r="AY2251" s="3">
        <v>0</v>
      </c>
      <c r="AZ2251" s="3">
        <v>0</v>
      </c>
      <c r="BA2251" s="3">
        <v>0</v>
      </c>
      <c r="BB2251" s="3">
        <v>0</v>
      </c>
      <c r="BC2251" s="3">
        <v>0</v>
      </c>
      <c r="BD2251" s="3">
        <v>0</v>
      </c>
      <c r="BE2251" s="3">
        <v>0</v>
      </c>
      <c r="BF2251" s="3">
        <v>0</v>
      </c>
      <c r="BG2251" s="3">
        <v>0</v>
      </c>
      <c r="BH2251" s="3">
        <v>1</v>
      </c>
      <c r="BI2251" s="3">
        <v>2</v>
      </c>
      <c r="BJ2251" s="3">
        <v>4.0999999999999996</v>
      </c>
      <c r="BK2251" s="3">
        <v>4.5</v>
      </c>
      <c r="BL2251" s="3">
        <v>132.71</v>
      </c>
      <c r="BM2251" s="3">
        <v>19.91</v>
      </c>
      <c r="BN2251" s="3">
        <v>152.62</v>
      </c>
      <c r="BO2251" s="3">
        <v>152.62</v>
      </c>
      <c r="BQ2251" s="3" t="s">
        <v>83</v>
      </c>
      <c r="BR2251" s="3" t="s">
        <v>84</v>
      </c>
      <c r="BS2251" s="4">
        <v>44588</v>
      </c>
      <c r="BT2251" s="5">
        <v>0.43402777777777773</v>
      </c>
      <c r="BU2251" s="3" t="s">
        <v>2321</v>
      </c>
      <c r="BV2251" s="3" t="s">
        <v>105</v>
      </c>
      <c r="BY2251" s="3">
        <v>20358</v>
      </c>
      <c r="BZ2251" s="3" t="s">
        <v>165</v>
      </c>
      <c r="CC2251" s="3" t="s">
        <v>185</v>
      </c>
      <c r="CD2251" s="3">
        <v>5200</v>
      </c>
      <c r="CE2251" s="3" t="s">
        <v>86</v>
      </c>
      <c r="CF2251" s="4">
        <v>44588</v>
      </c>
      <c r="CI2251" s="3">
        <v>1</v>
      </c>
      <c r="CJ2251" s="3">
        <v>1</v>
      </c>
      <c r="CK2251" s="3">
        <v>21</v>
      </c>
      <c r="CL2251" s="3" t="s">
        <v>87</v>
      </c>
    </row>
    <row r="2252" spans="1:90" x14ac:dyDescent="0.2">
      <c r="A2252" s="3" t="s">
        <v>72</v>
      </c>
      <c r="B2252" s="3" t="s">
        <v>73</v>
      </c>
      <c r="C2252" s="3" t="s">
        <v>74</v>
      </c>
      <c r="E2252" s="3" t="str">
        <f>"FES1162846781"</f>
        <v>FES1162846781</v>
      </c>
      <c r="F2252" s="4">
        <v>44587</v>
      </c>
      <c r="G2252" s="3">
        <v>202207</v>
      </c>
      <c r="H2252" s="3" t="s">
        <v>75</v>
      </c>
      <c r="I2252" s="3" t="s">
        <v>76</v>
      </c>
      <c r="J2252" s="3" t="s">
        <v>77</v>
      </c>
      <c r="K2252" s="3" t="s">
        <v>78</v>
      </c>
      <c r="L2252" s="3" t="s">
        <v>171</v>
      </c>
      <c r="M2252" s="3" t="s">
        <v>172</v>
      </c>
      <c r="N2252" s="3" t="s">
        <v>1972</v>
      </c>
      <c r="O2252" s="3" t="s">
        <v>82</v>
      </c>
      <c r="P2252" s="3" t="str">
        <f>"2170816334                    "</f>
        <v xml:space="preserve">2170816334                    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15.46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0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3">
        <v>0</v>
      </c>
      <c r="AY2252" s="3">
        <v>0</v>
      </c>
      <c r="AZ2252" s="3">
        <v>0</v>
      </c>
      <c r="BA2252" s="3">
        <v>0</v>
      </c>
      <c r="BB2252" s="3">
        <v>0</v>
      </c>
      <c r="BC2252" s="3">
        <v>0</v>
      </c>
      <c r="BD2252" s="3">
        <v>0</v>
      </c>
      <c r="BE2252" s="3">
        <v>0</v>
      </c>
      <c r="BF2252" s="3">
        <v>0</v>
      </c>
      <c r="BG2252" s="3">
        <v>0</v>
      </c>
      <c r="BH2252" s="3">
        <v>1</v>
      </c>
      <c r="BI2252" s="3">
        <v>1</v>
      </c>
      <c r="BJ2252" s="3">
        <v>0.9</v>
      </c>
      <c r="BK2252" s="3">
        <v>1</v>
      </c>
      <c r="BL2252" s="3">
        <v>59</v>
      </c>
      <c r="BM2252" s="3">
        <v>8.85</v>
      </c>
      <c r="BN2252" s="3">
        <v>67.849999999999994</v>
      </c>
      <c r="BO2252" s="3">
        <v>67.849999999999994</v>
      </c>
      <c r="BQ2252" s="3" t="s">
        <v>126</v>
      </c>
      <c r="BR2252" s="3" t="s">
        <v>84</v>
      </c>
      <c r="BS2252" s="4">
        <v>44588</v>
      </c>
      <c r="BT2252" s="5">
        <v>0.41666666666666669</v>
      </c>
      <c r="BU2252" s="3" t="s">
        <v>2322</v>
      </c>
      <c r="BV2252" s="3" t="s">
        <v>105</v>
      </c>
      <c r="BY2252" s="3">
        <v>4275</v>
      </c>
      <c r="BZ2252" s="3" t="s">
        <v>165</v>
      </c>
      <c r="CA2252" s="3" t="s">
        <v>1580</v>
      </c>
      <c r="CC2252" s="3" t="s">
        <v>172</v>
      </c>
      <c r="CD2252" s="3">
        <v>6012</v>
      </c>
      <c r="CE2252" s="3" t="s">
        <v>221</v>
      </c>
      <c r="CF2252" s="4">
        <v>44588</v>
      </c>
      <c r="CI2252" s="3">
        <v>1</v>
      </c>
      <c r="CJ2252" s="3">
        <v>1</v>
      </c>
      <c r="CK2252" s="3">
        <v>21</v>
      </c>
      <c r="CL2252" s="3" t="s">
        <v>87</v>
      </c>
    </row>
    <row r="2253" spans="1:90" x14ac:dyDescent="0.2">
      <c r="A2253" s="3" t="s">
        <v>72</v>
      </c>
      <c r="B2253" s="3" t="s">
        <v>73</v>
      </c>
      <c r="C2253" s="3" t="s">
        <v>74</v>
      </c>
      <c r="E2253" s="3" t="str">
        <f>"FES1162847009"</f>
        <v>FES1162847009</v>
      </c>
      <c r="F2253" s="4">
        <v>44587</v>
      </c>
      <c r="G2253" s="3">
        <v>202207</v>
      </c>
      <c r="H2253" s="3" t="s">
        <v>75</v>
      </c>
      <c r="I2253" s="3" t="s">
        <v>76</v>
      </c>
      <c r="J2253" s="3" t="s">
        <v>77</v>
      </c>
      <c r="K2253" s="3" t="s">
        <v>78</v>
      </c>
      <c r="L2253" s="3" t="s">
        <v>138</v>
      </c>
      <c r="M2253" s="3" t="s">
        <v>139</v>
      </c>
      <c r="N2253" s="3" t="s">
        <v>140</v>
      </c>
      <c r="O2253" s="3" t="s">
        <v>82</v>
      </c>
      <c r="P2253" s="3" t="str">
        <f>"2170818291                    "</f>
        <v xml:space="preserve">2170818291                    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0</v>
      </c>
      <c r="AJ2253" s="3">
        <v>0</v>
      </c>
      <c r="AK2253" s="3">
        <v>15.46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0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3">
        <v>0</v>
      </c>
      <c r="AY2253" s="3">
        <v>0</v>
      </c>
      <c r="AZ2253" s="3">
        <v>0</v>
      </c>
      <c r="BA2253" s="3">
        <v>0</v>
      </c>
      <c r="BB2253" s="3">
        <v>0</v>
      </c>
      <c r="BC2253" s="3">
        <v>0</v>
      </c>
      <c r="BD2253" s="3">
        <v>0</v>
      </c>
      <c r="BE2253" s="3">
        <v>0</v>
      </c>
      <c r="BF2253" s="3">
        <v>0</v>
      </c>
      <c r="BG2253" s="3">
        <v>0</v>
      </c>
      <c r="BH2253" s="3">
        <v>1</v>
      </c>
      <c r="BI2253" s="3">
        <v>1</v>
      </c>
      <c r="BJ2253" s="3">
        <v>0.2</v>
      </c>
      <c r="BK2253" s="3">
        <v>1</v>
      </c>
      <c r="BL2253" s="3">
        <v>59</v>
      </c>
      <c r="BM2253" s="3">
        <v>8.85</v>
      </c>
      <c r="BN2253" s="3">
        <v>67.849999999999994</v>
      </c>
      <c r="BO2253" s="3">
        <v>67.849999999999994</v>
      </c>
      <c r="BQ2253" s="3" t="s">
        <v>126</v>
      </c>
      <c r="BR2253" s="3" t="s">
        <v>84</v>
      </c>
      <c r="BS2253" s="4">
        <v>44588</v>
      </c>
      <c r="BT2253" s="5">
        <v>0.36874999999999997</v>
      </c>
      <c r="BU2253" s="3" t="s">
        <v>819</v>
      </c>
      <c r="BV2253" s="3" t="s">
        <v>105</v>
      </c>
      <c r="BY2253" s="3">
        <v>1200</v>
      </c>
      <c r="BZ2253" s="3" t="s">
        <v>165</v>
      </c>
      <c r="CA2253" s="3" t="s">
        <v>334</v>
      </c>
      <c r="CC2253" s="3" t="s">
        <v>139</v>
      </c>
      <c r="CD2253" s="3">
        <v>3610</v>
      </c>
      <c r="CE2253" s="3" t="s">
        <v>1513</v>
      </c>
      <c r="CF2253" s="4">
        <v>44589</v>
      </c>
      <c r="CI2253" s="3">
        <v>1</v>
      </c>
      <c r="CJ2253" s="3">
        <v>1</v>
      </c>
      <c r="CK2253" s="3">
        <v>21</v>
      </c>
      <c r="CL2253" s="3" t="s">
        <v>87</v>
      </c>
    </row>
    <row r="2254" spans="1:90" x14ac:dyDescent="0.2">
      <c r="A2254" s="3" t="s">
        <v>72</v>
      </c>
      <c r="B2254" s="3" t="s">
        <v>73</v>
      </c>
      <c r="C2254" s="3" t="s">
        <v>74</v>
      </c>
      <c r="E2254" s="3" t="str">
        <f>"FES1162846727"</f>
        <v>FES1162846727</v>
      </c>
      <c r="F2254" s="4">
        <v>44587</v>
      </c>
      <c r="G2254" s="3">
        <v>202207</v>
      </c>
      <c r="H2254" s="3" t="s">
        <v>75</v>
      </c>
      <c r="I2254" s="3" t="s">
        <v>76</v>
      </c>
      <c r="J2254" s="3" t="s">
        <v>77</v>
      </c>
      <c r="K2254" s="3" t="s">
        <v>78</v>
      </c>
      <c r="L2254" s="3" t="s">
        <v>1179</v>
      </c>
      <c r="M2254" s="3" t="s">
        <v>1180</v>
      </c>
      <c r="N2254" s="3" t="s">
        <v>1181</v>
      </c>
      <c r="O2254" s="3" t="s">
        <v>82</v>
      </c>
      <c r="P2254" s="3" t="str">
        <f>"2170813036                    "</f>
        <v xml:space="preserve">2170813036                    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0</v>
      </c>
      <c r="AJ2254" s="3">
        <v>0</v>
      </c>
      <c r="AK2254" s="3">
        <v>43.47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15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3">
        <v>0</v>
      </c>
      <c r="AY2254" s="3">
        <v>0</v>
      </c>
      <c r="AZ2254" s="3">
        <v>0</v>
      </c>
      <c r="BA2254" s="3">
        <v>0</v>
      </c>
      <c r="BB2254" s="3">
        <v>0</v>
      </c>
      <c r="BC2254" s="3">
        <v>0</v>
      </c>
      <c r="BD2254" s="3">
        <v>0</v>
      </c>
      <c r="BE2254" s="3">
        <v>0</v>
      </c>
      <c r="BF2254" s="3">
        <v>0</v>
      </c>
      <c r="BG2254" s="3">
        <v>0</v>
      </c>
      <c r="BH2254" s="3">
        <v>1</v>
      </c>
      <c r="BI2254" s="3">
        <v>3</v>
      </c>
      <c r="BJ2254" s="3">
        <v>1.5</v>
      </c>
      <c r="BK2254" s="3">
        <v>3</v>
      </c>
      <c r="BL2254" s="3">
        <v>180.93</v>
      </c>
      <c r="BM2254" s="3">
        <v>27.14</v>
      </c>
      <c r="BN2254" s="3">
        <v>208.07</v>
      </c>
      <c r="BO2254" s="3">
        <v>208.07</v>
      </c>
      <c r="BQ2254" s="3" t="s">
        <v>83</v>
      </c>
      <c r="BR2254" s="3" t="s">
        <v>84</v>
      </c>
      <c r="BS2254" s="4">
        <v>44589</v>
      </c>
      <c r="BT2254" s="5">
        <v>0.41666666666666669</v>
      </c>
      <c r="BU2254" s="3" t="s">
        <v>2323</v>
      </c>
      <c r="BV2254" s="3" t="s">
        <v>87</v>
      </c>
      <c r="BW2254" s="3" t="s">
        <v>757</v>
      </c>
      <c r="BX2254" s="3" t="s">
        <v>758</v>
      </c>
      <c r="BY2254" s="3">
        <v>7540</v>
      </c>
      <c r="BZ2254" s="3" t="s">
        <v>446</v>
      </c>
      <c r="CC2254" s="3" t="s">
        <v>1180</v>
      </c>
      <c r="CD2254" s="3">
        <v>208</v>
      </c>
      <c r="CE2254" s="3" t="s">
        <v>221</v>
      </c>
      <c r="CI2254" s="3">
        <v>1</v>
      </c>
      <c r="CJ2254" s="3">
        <v>2</v>
      </c>
      <c r="CK2254" s="3">
        <v>23</v>
      </c>
      <c r="CL2254" s="3" t="s">
        <v>87</v>
      </c>
    </row>
    <row r="2255" spans="1:90" x14ac:dyDescent="0.2">
      <c r="A2255" s="3" t="s">
        <v>72</v>
      </c>
      <c r="B2255" s="3" t="s">
        <v>73</v>
      </c>
      <c r="C2255" s="3" t="s">
        <v>74</v>
      </c>
      <c r="E2255" s="3" t="str">
        <f>"FES1162847086"</f>
        <v>FES1162847086</v>
      </c>
      <c r="F2255" s="4">
        <v>44587</v>
      </c>
      <c r="G2255" s="3">
        <v>202207</v>
      </c>
      <c r="H2255" s="3" t="s">
        <v>75</v>
      </c>
      <c r="I2255" s="3" t="s">
        <v>76</v>
      </c>
      <c r="J2255" s="3" t="s">
        <v>77</v>
      </c>
      <c r="K2255" s="3" t="s">
        <v>78</v>
      </c>
      <c r="L2255" s="3" t="s">
        <v>101</v>
      </c>
      <c r="M2255" s="3" t="s">
        <v>102</v>
      </c>
      <c r="N2255" s="3" t="s">
        <v>2324</v>
      </c>
      <c r="O2255" s="3" t="s">
        <v>82</v>
      </c>
      <c r="P2255" s="3" t="str">
        <f>"2170818389                    "</f>
        <v xml:space="preserve">2170818389                    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15.46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0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3">
        <v>0</v>
      </c>
      <c r="AY2255" s="3">
        <v>0</v>
      </c>
      <c r="AZ2255" s="3">
        <v>0</v>
      </c>
      <c r="BA2255" s="3">
        <v>0</v>
      </c>
      <c r="BB2255" s="3">
        <v>0</v>
      </c>
      <c r="BC2255" s="3">
        <v>0</v>
      </c>
      <c r="BD2255" s="3">
        <v>0</v>
      </c>
      <c r="BE2255" s="3">
        <v>0</v>
      </c>
      <c r="BF2255" s="3">
        <v>0</v>
      </c>
      <c r="BG2255" s="3">
        <v>0</v>
      </c>
      <c r="BH2255" s="3">
        <v>1</v>
      </c>
      <c r="BI2255" s="3">
        <v>1</v>
      </c>
      <c r="BJ2255" s="3">
        <v>0.2</v>
      </c>
      <c r="BK2255" s="3">
        <v>1</v>
      </c>
      <c r="BL2255" s="3">
        <v>59</v>
      </c>
      <c r="BM2255" s="3">
        <v>8.85</v>
      </c>
      <c r="BN2255" s="3">
        <v>67.849999999999994</v>
      </c>
      <c r="BO2255" s="3">
        <v>67.849999999999994</v>
      </c>
      <c r="BQ2255" s="3" t="s">
        <v>89</v>
      </c>
      <c r="BR2255" s="3" t="s">
        <v>84</v>
      </c>
      <c r="BS2255" s="4">
        <v>44588</v>
      </c>
      <c r="BT2255" s="5">
        <v>0.32013888888888892</v>
      </c>
      <c r="BU2255" s="3" t="s">
        <v>2325</v>
      </c>
      <c r="BV2255" s="3" t="s">
        <v>105</v>
      </c>
      <c r="BY2255" s="3">
        <v>1200</v>
      </c>
      <c r="BZ2255" s="3" t="s">
        <v>165</v>
      </c>
      <c r="CA2255" s="3" t="s">
        <v>2326</v>
      </c>
      <c r="CC2255" s="3" t="s">
        <v>102</v>
      </c>
      <c r="CD2255" s="3">
        <v>4000</v>
      </c>
      <c r="CE2255" s="3" t="s">
        <v>1513</v>
      </c>
      <c r="CF2255" s="4">
        <v>44589</v>
      </c>
      <c r="CI2255" s="3">
        <v>1</v>
      </c>
      <c r="CJ2255" s="3">
        <v>1</v>
      </c>
      <c r="CK2255" s="3">
        <v>21</v>
      </c>
      <c r="CL2255" s="3" t="s">
        <v>87</v>
      </c>
    </row>
    <row r="2256" spans="1:90" x14ac:dyDescent="0.2">
      <c r="A2256" s="3" t="s">
        <v>72</v>
      </c>
      <c r="B2256" s="3" t="s">
        <v>73</v>
      </c>
      <c r="C2256" s="3" t="s">
        <v>74</v>
      </c>
      <c r="E2256" s="3" t="str">
        <f>"FES1162846768"</f>
        <v>FES1162846768</v>
      </c>
      <c r="F2256" s="4">
        <v>44587</v>
      </c>
      <c r="G2256" s="3">
        <v>202207</v>
      </c>
      <c r="H2256" s="3" t="s">
        <v>75</v>
      </c>
      <c r="I2256" s="3" t="s">
        <v>76</v>
      </c>
      <c r="J2256" s="3" t="s">
        <v>77</v>
      </c>
      <c r="K2256" s="3" t="s">
        <v>78</v>
      </c>
      <c r="L2256" s="3" t="s">
        <v>206</v>
      </c>
      <c r="M2256" s="3" t="s">
        <v>207</v>
      </c>
      <c r="N2256" s="3" t="s">
        <v>337</v>
      </c>
      <c r="O2256" s="3" t="s">
        <v>82</v>
      </c>
      <c r="P2256" s="3" t="str">
        <f>"2170816205                    "</f>
        <v xml:space="preserve">2170816205                    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32.33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0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3">
        <v>0</v>
      </c>
      <c r="AY2256" s="3">
        <v>0</v>
      </c>
      <c r="AZ2256" s="3">
        <v>0</v>
      </c>
      <c r="BA2256" s="3">
        <v>0</v>
      </c>
      <c r="BB2256" s="3">
        <v>0</v>
      </c>
      <c r="BC2256" s="3">
        <v>0</v>
      </c>
      <c r="BD2256" s="3">
        <v>0</v>
      </c>
      <c r="BE2256" s="3">
        <v>0</v>
      </c>
      <c r="BF2256" s="3">
        <v>0</v>
      </c>
      <c r="BG2256" s="3">
        <v>0</v>
      </c>
      <c r="BH2256" s="3">
        <v>1</v>
      </c>
      <c r="BI2256" s="3">
        <v>3</v>
      </c>
      <c r="BJ2256" s="3">
        <v>2</v>
      </c>
      <c r="BK2256" s="3">
        <v>3</v>
      </c>
      <c r="BL2256" s="3">
        <v>123.39</v>
      </c>
      <c r="BM2256" s="3">
        <v>18.510000000000002</v>
      </c>
      <c r="BN2256" s="3">
        <v>141.9</v>
      </c>
      <c r="BO2256" s="3">
        <v>141.9</v>
      </c>
      <c r="BQ2256" s="3" t="s">
        <v>89</v>
      </c>
      <c r="BR2256" s="3" t="s">
        <v>84</v>
      </c>
      <c r="BS2256" s="4">
        <v>44588</v>
      </c>
      <c r="BT2256" s="5">
        <v>0.52569444444444446</v>
      </c>
      <c r="BU2256" s="3" t="s">
        <v>2327</v>
      </c>
      <c r="BV2256" s="3" t="s">
        <v>105</v>
      </c>
      <c r="BY2256" s="3">
        <v>9900</v>
      </c>
      <c r="BZ2256" s="3" t="s">
        <v>165</v>
      </c>
      <c r="CA2256" s="3" t="s">
        <v>1751</v>
      </c>
      <c r="CC2256" s="3" t="s">
        <v>207</v>
      </c>
      <c r="CD2256" s="3">
        <v>1739</v>
      </c>
      <c r="CE2256" s="3" t="s">
        <v>86</v>
      </c>
      <c r="CF2256" s="4">
        <v>44588</v>
      </c>
      <c r="CI2256" s="3">
        <v>1</v>
      </c>
      <c r="CJ2256" s="3">
        <v>1</v>
      </c>
      <c r="CK2256" s="3">
        <v>24</v>
      </c>
      <c r="CL2256" s="3" t="s">
        <v>87</v>
      </c>
    </row>
    <row r="2257" spans="1:90" x14ac:dyDescent="0.2">
      <c r="A2257" s="3" t="s">
        <v>72</v>
      </c>
      <c r="B2257" s="3" t="s">
        <v>73</v>
      </c>
      <c r="C2257" s="3" t="s">
        <v>74</v>
      </c>
      <c r="E2257" s="3" t="str">
        <f>"FES1162846980"</f>
        <v>FES1162846980</v>
      </c>
      <c r="F2257" s="4">
        <v>44587</v>
      </c>
      <c r="G2257" s="3">
        <v>202207</v>
      </c>
      <c r="H2257" s="3" t="s">
        <v>75</v>
      </c>
      <c r="I2257" s="3" t="s">
        <v>76</v>
      </c>
      <c r="J2257" s="3" t="s">
        <v>77</v>
      </c>
      <c r="K2257" s="3" t="s">
        <v>78</v>
      </c>
      <c r="L2257" s="3" t="s">
        <v>90</v>
      </c>
      <c r="M2257" s="3" t="s">
        <v>91</v>
      </c>
      <c r="N2257" s="3" t="s">
        <v>735</v>
      </c>
      <c r="O2257" s="3" t="s">
        <v>82</v>
      </c>
      <c r="P2257" s="3" t="str">
        <f>"2170815590                    "</f>
        <v xml:space="preserve">2170815590                    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15.46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0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3">
        <v>0</v>
      </c>
      <c r="AY2257" s="3">
        <v>0</v>
      </c>
      <c r="AZ2257" s="3">
        <v>0</v>
      </c>
      <c r="BA2257" s="3">
        <v>0</v>
      </c>
      <c r="BB2257" s="3">
        <v>0</v>
      </c>
      <c r="BC2257" s="3">
        <v>0</v>
      </c>
      <c r="BD2257" s="3">
        <v>0</v>
      </c>
      <c r="BE2257" s="3">
        <v>0</v>
      </c>
      <c r="BF2257" s="3">
        <v>0</v>
      </c>
      <c r="BG2257" s="3">
        <v>0</v>
      </c>
      <c r="BH2257" s="3">
        <v>1</v>
      </c>
      <c r="BI2257" s="3">
        <v>1</v>
      </c>
      <c r="BJ2257" s="3">
        <v>0.2</v>
      </c>
      <c r="BK2257" s="3">
        <v>1</v>
      </c>
      <c r="BL2257" s="3">
        <v>59</v>
      </c>
      <c r="BM2257" s="3">
        <v>8.85</v>
      </c>
      <c r="BN2257" s="3">
        <v>67.849999999999994</v>
      </c>
      <c r="BO2257" s="3">
        <v>67.849999999999994</v>
      </c>
      <c r="BQ2257" s="3" t="s">
        <v>273</v>
      </c>
      <c r="BR2257" s="3" t="s">
        <v>84</v>
      </c>
      <c r="BS2257" s="4">
        <v>44588</v>
      </c>
      <c r="BT2257" s="5">
        <v>0.3347222222222222</v>
      </c>
      <c r="BU2257" s="3" t="s">
        <v>2166</v>
      </c>
      <c r="BV2257" s="3" t="s">
        <v>105</v>
      </c>
      <c r="BY2257" s="3">
        <v>1200</v>
      </c>
      <c r="BZ2257" s="3" t="s">
        <v>165</v>
      </c>
      <c r="CA2257" s="3" t="s">
        <v>566</v>
      </c>
      <c r="CC2257" s="3" t="s">
        <v>91</v>
      </c>
      <c r="CD2257" s="3">
        <v>7460</v>
      </c>
      <c r="CE2257" s="3" t="s">
        <v>1513</v>
      </c>
      <c r="CF2257" s="4">
        <v>44589</v>
      </c>
      <c r="CI2257" s="3">
        <v>1</v>
      </c>
      <c r="CJ2257" s="3">
        <v>1</v>
      </c>
      <c r="CK2257" s="3">
        <v>21</v>
      </c>
      <c r="CL2257" s="3" t="s">
        <v>87</v>
      </c>
    </row>
    <row r="2258" spans="1:90" x14ac:dyDescent="0.2">
      <c r="A2258" s="3" t="s">
        <v>72</v>
      </c>
      <c r="B2258" s="3" t="s">
        <v>73</v>
      </c>
      <c r="C2258" s="3" t="s">
        <v>74</v>
      </c>
      <c r="E2258" s="3" t="str">
        <f>"FES1162846906"</f>
        <v>FES1162846906</v>
      </c>
      <c r="F2258" s="4">
        <v>44587</v>
      </c>
      <c r="G2258" s="3">
        <v>202207</v>
      </c>
      <c r="H2258" s="3" t="s">
        <v>75</v>
      </c>
      <c r="I2258" s="3" t="s">
        <v>76</v>
      </c>
      <c r="J2258" s="3" t="s">
        <v>77</v>
      </c>
      <c r="K2258" s="3" t="s">
        <v>78</v>
      </c>
      <c r="L2258" s="3" t="s">
        <v>805</v>
      </c>
      <c r="M2258" s="3" t="s">
        <v>806</v>
      </c>
      <c r="N2258" s="3" t="s">
        <v>807</v>
      </c>
      <c r="O2258" s="3" t="s">
        <v>82</v>
      </c>
      <c r="P2258" s="3" t="str">
        <f>"2170817320                    "</f>
        <v xml:space="preserve">2170817320                    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29.95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0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3">
        <v>0</v>
      </c>
      <c r="AY2258" s="3">
        <v>0</v>
      </c>
      <c r="AZ2258" s="3">
        <v>0</v>
      </c>
      <c r="BA2258" s="3">
        <v>0</v>
      </c>
      <c r="BB2258" s="3">
        <v>0</v>
      </c>
      <c r="BC2258" s="3">
        <v>0</v>
      </c>
      <c r="BD2258" s="3">
        <v>0</v>
      </c>
      <c r="BE2258" s="3">
        <v>0</v>
      </c>
      <c r="BF2258" s="3">
        <v>0</v>
      </c>
      <c r="BG2258" s="3">
        <v>0</v>
      </c>
      <c r="BH2258" s="3">
        <v>1</v>
      </c>
      <c r="BI2258" s="3">
        <v>1</v>
      </c>
      <c r="BJ2258" s="3">
        <v>2</v>
      </c>
      <c r="BK2258" s="3">
        <v>2</v>
      </c>
      <c r="BL2258" s="3">
        <v>114.31</v>
      </c>
      <c r="BM2258" s="3">
        <v>17.149999999999999</v>
      </c>
      <c r="BN2258" s="3">
        <v>131.46</v>
      </c>
      <c r="BO2258" s="3">
        <v>131.46</v>
      </c>
      <c r="BQ2258" s="3" t="s">
        <v>808</v>
      </c>
      <c r="BR2258" s="3" t="s">
        <v>84</v>
      </c>
      <c r="BS2258" s="4">
        <v>44588</v>
      </c>
      <c r="BT2258" s="5">
        <v>0.50486111111111109</v>
      </c>
      <c r="BU2258" s="3" t="s">
        <v>559</v>
      </c>
      <c r="BV2258" s="3" t="s">
        <v>105</v>
      </c>
      <c r="BY2258" s="3">
        <v>9900</v>
      </c>
      <c r="BZ2258" s="3" t="s">
        <v>165</v>
      </c>
      <c r="CA2258" s="3" t="s">
        <v>809</v>
      </c>
      <c r="CC2258" s="3" t="s">
        <v>806</v>
      </c>
      <c r="CD2258" s="3">
        <v>4400</v>
      </c>
      <c r="CE2258" s="3" t="s">
        <v>221</v>
      </c>
      <c r="CF2258" s="4">
        <v>44589</v>
      </c>
      <c r="CI2258" s="3">
        <v>1</v>
      </c>
      <c r="CJ2258" s="3">
        <v>1</v>
      </c>
      <c r="CK2258" s="3">
        <v>23</v>
      </c>
      <c r="CL2258" s="3" t="s">
        <v>87</v>
      </c>
    </row>
    <row r="2259" spans="1:90" x14ac:dyDescent="0.2">
      <c r="A2259" s="3" t="s">
        <v>72</v>
      </c>
      <c r="B2259" s="3" t="s">
        <v>73</v>
      </c>
      <c r="C2259" s="3" t="s">
        <v>74</v>
      </c>
      <c r="E2259" s="3" t="str">
        <f>"FES1162847158"</f>
        <v>FES1162847158</v>
      </c>
      <c r="F2259" s="4">
        <v>44587</v>
      </c>
      <c r="G2259" s="3">
        <v>202207</v>
      </c>
      <c r="H2259" s="3" t="s">
        <v>75</v>
      </c>
      <c r="I2259" s="3" t="s">
        <v>76</v>
      </c>
      <c r="J2259" s="3" t="s">
        <v>77</v>
      </c>
      <c r="K2259" s="3" t="s">
        <v>78</v>
      </c>
      <c r="L2259" s="3" t="s">
        <v>107</v>
      </c>
      <c r="M2259" s="3" t="s">
        <v>108</v>
      </c>
      <c r="N2259" s="3" t="s">
        <v>582</v>
      </c>
      <c r="O2259" s="3" t="s">
        <v>82</v>
      </c>
      <c r="P2259" s="3" t="str">
        <f>"2170818471                    "</f>
        <v xml:space="preserve">2170818471                    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43.47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0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3">
        <v>0</v>
      </c>
      <c r="AY2259" s="3">
        <v>0</v>
      </c>
      <c r="AZ2259" s="3">
        <v>0</v>
      </c>
      <c r="BA2259" s="3">
        <v>0</v>
      </c>
      <c r="BB2259" s="3">
        <v>0</v>
      </c>
      <c r="BC2259" s="3">
        <v>0</v>
      </c>
      <c r="BD2259" s="3">
        <v>0</v>
      </c>
      <c r="BE2259" s="3">
        <v>0</v>
      </c>
      <c r="BF2259" s="3">
        <v>0</v>
      </c>
      <c r="BG2259" s="3">
        <v>0</v>
      </c>
      <c r="BH2259" s="3">
        <v>1</v>
      </c>
      <c r="BI2259" s="3">
        <v>3</v>
      </c>
      <c r="BJ2259" s="3">
        <v>2</v>
      </c>
      <c r="BK2259" s="3">
        <v>3</v>
      </c>
      <c r="BL2259" s="3">
        <v>165.93</v>
      </c>
      <c r="BM2259" s="3">
        <v>24.89</v>
      </c>
      <c r="BN2259" s="3">
        <v>190.82</v>
      </c>
      <c r="BO2259" s="3">
        <v>190.82</v>
      </c>
      <c r="BQ2259" s="3" t="s">
        <v>126</v>
      </c>
      <c r="BR2259" s="3" t="s">
        <v>84</v>
      </c>
      <c r="BS2259" s="4">
        <v>44588</v>
      </c>
      <c r="BT2259" s="5">
        <v>0.50972222222222219</v>
      </c>
      <c r="BU2259" s="3" t="s">
        <v>2176</v>
      </c>
      <c r="BV2259" s="3" t="s">
        <v>105</v>
      </c>
      <c r="BY2259" s="3">
        <v>9900</v>
      </c>
      <c r="BZ2259" s="3" t="s">
        <v>165</v>
      </c>
      <c r="CA2259" s="3" t="s">
        <v>394</v>
      </c>
      <c r="CC2259" s="3" t="s">
        <v>108</v>
      </c>
      <c r="CD2259" s="3">
        <v>6850</v>
      </c>
      <c r="CE2259" s="3" t="s">
        <v>86</v>
      </c>
      <c r="CF2259" s="4">
        <v>44589</v>
      </c>
      <c r="CI2259" s="3">
        <v>2</v>
      </c>
      <c r="CJ2259" s="3">
        <v>1</v>
      </c>
      <c r="CK2259" s="3">
        <v>23</v>
      </c>
      <c r="CL2259" s="3" t="s">
        <v>87</v>
      </c>
    </row>
    <row r="2260" spans="1:90" x14ac:dyDescent="0.2">
      <c r="A2260" s="3" t="s">
        <v>72</v>
      </c>
      <c r="B2260" s="3" t="s">
        <v>73</v>
      </c>
      <c r="C2260" s="3" t="s">
        <v>74</v>
      </c>
      <c r="E2260" s="3" t="str">
        <f>"FES1162846873"</f>
        <v>FES1162846873</v>
      </c>
      <c r="F2260" s="4">
        <v>44587</v>
      </c>
      <c r="G2260" s="3">
        <v>202207</v>
      </c>
      <c r="H2260" s="3" t="s">
        <v>75</v>
      </c>
      <c r="I2260" s="3" t="s">
        <v>76</v>
      </c>
      <c r="J2260" s="3" t="s">
        <v>77</v>
      </c>
      <c r="K2260" s="3" t="s">
        <v>78</v>
      </c>
      <c r="L2260" s="3" t="s">
        <v>101</v>
      </c>
      <c r="M2260" s="3" t="s">
        <v>102</v>
      </c>
      <c r="N2260" s="3" t="s">
        <v>103</v>
      </c>
      <c r="O2260" s="3" t="s">
        <v>82</v>
      </c>
      <c r="P2260" s="3" t="str">
        <f>"2170816385                    "</f>
        <v xml:space="preserve">2170816385                    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34.770000000000003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0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3">
        <v>0</v>
      </c>
      <c r="AY2260" s="3">
        <v>0</v>
      </c>
      <c r="AZ2260" s="3">
        <v>0</v>
      </c>
      <c r="BA2260" s="3">
        <v>0</v>
      </c>
      <c r="BB2260" s="3">
        <v>0</v>
      </c>
      <c r="BC2260" s="3">
        <v>0</v>
      </c>
      <c r="BD2260" s="3">
        <v>0</v>
      </c>
      <c r="BE2260" s="3">
        <v>0</v>
      </c>
      <c r="BF2260" s="3">
        <v>0</v>
      </c>
      <c r="BG2260" s="3">
        <v>0</v>
      </c>
      <c r="BH2260" s="3">
        <v>1</v>
      </c>
      <c r="BI2260" s="3">
        <v>2</v>
      </c>
      <c r="BJ2260" s="3">
        <v>4.0999999999999996</v>
      </c>
      <c r="BK2260" s="3">
        <v>4.5</v>
      </c>
      <c r="BL2260" s="3">
        <v>132.71</v>
      </c>
      <c r="BM2260" s="3">
        <v>19.91</v>
      </c>
      <c r="BN2260" s="3">
        <v>152.62</v>
      </c>
      <c r="BO2260" s="3">
        <v>152.62</v>
      </c>
      <c r="BQ2260" s="3" t="s">
        <v>83</v>
      </c>
      <c r="BR2260" s="3" t="s">
        <v>84</v>
      </c>
      <c r="BS2260" s="4">
        <v>44588</v>
      </c>
      <c r="BT2260" s="5">
        <v>0.33055555555555555</v>
      </c>
      <c r="BU2260" s="3" t="s">
        <v>463</v>
      </c>
      <c r="BV2260" s="3" t="s">
        <v>105</v>
      </c>
      <c r="BY2260" s="3">
        <v>20358</v>
      </c>
      <c r="BZ2260" s="3" t="s">
        <v>165</v>
      </c>
      <c r="CA2260" s="3" t="s">
        <v>334</v>
      </c>
      <c r="CC2260" s="3" t="s">
        <v>102</v>
      </c>
      <c r="CD2260" s="3">
        <v>4001</v>
      </c>
      <c r="CE2260" s="3" t="s">
        <v>221</v>
      </c>
      <c r="CF2260" s="4">
        <v>44589</v>
      </c>
      <c r="CI2260" s="3">
        <v>1</v>
      </c>
      <c r="CJ2260" s="3">
        <v>1</v>
      </c>
      <c r="CK2260" s="3">
        <v>21</v>
      </c>
      <c r="CL2260" s="3" t="s">
        <v>87</v>
      </c>
    </row>
    <row r="2261" spans="1:90" x14ac:dyDescent="0.2">
      <c r="A2261" s="3" t="s">
        <v>72</v>
      </c>
      <c r="B2261" s="3" t="s">
        <v>73</v>
      </c>
      <c r="C2261" s="3" t="s">
        <v>74</v>
      </c>
      <c r="E2261" s="3" t="str">
        <f>"FES1162846978"</f>
        <v>FES1162846978</v>
      </c>
      <c r="F2261" s="4">
        <v>44587</v>
      </c>
      <c r="G2261" s="3">
        <v>202207</v>
      </c>
      <c r="H2261" s="3" t="s">
        <v>75</v>
      </c>
      <c r="I2261" s="3" t="s">
        <v>76</v>
      </c>
      <c r="J2261" s="3" t="s">
        <v>77</v>
      </c>
      <c r="K2261" s="3" t="s">
        <v>78</v>
      </c>
      <c r="L2261" s="3" t="s">
        <v>2328</v>
      </c>
      <c r="M2261" s="3" t="s">
        <v>2329</v>
      </c>
      <c r="N2261" s="3" t="s">
        <v>2330</v>
      </c>
      <c r="O2261" s="3" t="s">
        <v>82</v>
      </c>
      <c r="P2261" s="3" t="str">
        <f>"2170814704                    "</f>
        <v xml:space="preserve">2170814704                    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43.47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0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3">
        <v>0</v>
      </c>
      <c r="AY2261" s="3">
        <v>0</v>
      </c>
      <c r="AZ2261" s="3">
        <v>0</v>
      </c>
      <c r="BA2261" s="3">
        <v>0</v>
      </c>
      <c r="BB2261" s="3">
        <v>0</v>
      </c>
      <c r="BC2261" s="3">
        <v>0</v>
      </c>
      <c r="BD2261" s="3">
        <v>0</v>
      </c>
      <c r="BE2261" s="3">
        <v>0</v>
      </c>
      <c r="BF2261" s="3">
        <v>0</v>
      </c>
      <c r="BG2261" s="3">
        <v>0</v>
      </c>
      <c r="BH2261" s="3">
        <v>1</v>
      </c>
      <c r="BI2261" s="3">
        <v>3</v>
      </c>
      <c r="BJ2261" s="3">
        <v>1.8</v>
      </c>
      <c r="BK2261" s="3">
        <v>3</v>
      </c>
      <c r="BL2261" s="3">
        <v>165.93</v>
      </c>
      <c r="BM2261" s="3">
        <v>24.89</v>
      </c>
      <c r="BN2261" s="3">
        <v>190.82</v>
      </c>
      <c r="BO2261" s="3">
        <v>190.82</v>
      </c>
      <c r="BQ2261" s="3" t="s">
        <v>89</v>
      </c>
      <c r="BR2261" s="3" t="s">
        <v>84</v>
      </c>
      <c r="BS2261" s="4">
        <v>44589</v>
      </c>
      <c r="BT2261" s="5">
        <v>0.66111111111111109</v>
      </c>
      <c r="BU2261" s="3" t="s">
        <v>2331</v>
      </c>
      <c r="BV2261" s="3" t="s">
        <v>87</v>
      </c>
      <c r="BY2261" s="3">
        <v>8775</v>
      </c>
      <c r="BZ2261" s="3" t="s">
        <v>165</v>
      </c>
      <c r="CA2261" s="3" t="s">
        <v>2332</v>
      </c>
      <c r="CC2261" s="3" t="s">
        <v>2329</v>
      </c>
      <c r="CD2261" s="3">
        <v>3310</v>
      </c>
      <c r="CE2261" s="3" t="s">
        <v>221</v>
      </c>
      <c r="CI2261" s="3">
        <v>1</v>
      </c>
      <c r="CJ2261" s="3">
        <v>2</v>
      </c>
      <c r="CK2261" s="3">
        <v>23</v>
      </c>
      <c r="CL2261" s="3" t="s">
        <v>87</v>
      </c>
    </row>
    <row r="2262" spans="1:90" x14ac:dyDescent="0.2">
      <c r="A2262" s="3" t="s">
        <v>72</v>
      </c>
      <c r="B2262" s="3" t="s">
        <v>73</v>
      </c>
      <c r="C2262" s="3" t="s">
        <v>74</v>
      </c>
      <c r="E2262" s="3" t="str">
        <f>"FES1162847052"</f>
        <v>FES1162847052</v>
      </c>
      <c r="F2262" s="4">
        <v>44587</v>
      </c>
      <c r="G2262" s="3">
        <v>202207</v>
      </c>
      <c r="H2262" s="3" t="s">
        <v>75</v>
      </c>
      <c r="I2262" s="3" t="s">
        <v>76</v>
      </c>
      <c r="J2262" s="3" t="s">
        <v>77</v>
      </c>
      <c r="K2262" s="3" t="s">
        <v>78</v>
      </c>
      <c r="L2262" s="3" t="s">
        <v>138</v>
      </c>
      <c r="M2262" s="3" t="s">
        <v>139</v>
      </c>
      <c r="N2262" s="3" t="s">
        <v>1206</v>
      </c>
      <c r="O2262" s="3" t="s">
        <v>148</v>
      </c>
      <c r="P2262" s="3" t="str">
        <f>"2170815360                    "</f>
        <v xml:space="preserve">2170815360                    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32.35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3">
        <v>0</v>
      </c>
      <c r="AY2262" s="3">
        <v>0</v>
      </c>
      <c r="AZ2262" s="3">
        <v>0</v>
      </c>
      <c r="BA2262" s="3">
        <v>0</v>
      </c>
      <c r="BB2262" s="3">
        <v>0</v>
      </c>
      <c r="BC2262" s="3">
        <v>0</v>
      </c>
      <c r="BD2262" s="3">
        <v>0</v>
      </c>
      <c r="BE2262" s="3">
        <v>0</v>
      </c>
      <c r="BF2262" s="3">
        <v>0</v>
      </c>
      <c r="BG2262" s="3">
        <v>0</v>
      </c>
      <c r="BH2262" s="3">
        <v>1</v>
      </c>
      <c r="BI2262" s="3">
        <v>17</v>
      </c>
      <c r="BJ2262" s="3">
        <v>16.3</v>
      </c>
      <c r="BK2262" s="3">
        <v>17</v>
      </c>
      <c r="BL2262" s="3">
        <v>128.74</v>
      </c>
      <c r="BM2262" s="3">
        <v>19.309999999999999</v>
      </c>
      <c r="BN2262" s="3">
        <v>148.05000000000001</v>
      </c>
      <c r="BO2262" s="3">
        <v>148.05000000000001</v>
      </c>
      <c r="BR2262" s="3" t="s">
        <v>84</v>
      </c>
      <c r="BS2262" s="4">
        <v>44588</v>
      </c>
      <c r="BT2262" s="5">
        <v>0.52986111111111112</v>
      </c>
      <c r="BU2262" s="3" t="s">
        <v>1566</v>
      </c>
      <c r="BV2262" s="3" t="s">
        <v>105</v>
      </c>
      <c r="BY2262" s="3">
        <v>81675</v>
      </c>
      <c r="BZ2262" s="3" t="s">
        <v>327</v>
      </c>
      <c r="CA2262" s="3" t="s">
        <v>2287</v>
      </c>
      <c r="CC2262" s="3" t="s">
        <v>139</v>
      </c>
      <c r="CD2262" s="3">
        <v>3610</v>
      </c>
      <c r="CE2262" s="3" t="s">
        <v>221</v>
      </c>
      <c r="CF2262" s="4">
        <v>44589</v>
      </c>
      <c r="CI2262" s="3">
        <v>1</v>
      </c>
      <c r="CJ2262" s="3">
        <v>1</v>
      </c>
      <c r="CK2262" s="3">
        <v>41</v>
      </c>
      <c r="CL2262" s="3" t="s">
        <v>87</v>
      </c>
    </row>
    <row r="2263" spans="1:90" x14ac:dyDescent="0.2">
      <c r="A2263" s="3" t="s">
        <v>72</v>
      </c>
      <c r="B2263" s="3" t="s">
        <v>73</v>
      </c>
      <c r="C2263" s="3" t="s">
        <v>74</v>
      </c>
      <c r="E2263" s="3" t="str">
        <f>"FES1162847102"</f>
        <v>FES1162847102</v>
      </c>
      <c r="F2263" s="4">
        <v>44587</v>
      </c>
      <c r="G2263" s="3">
        <v>202207</v>
      </c>
      <c r="H2263" s="3" t="s">
        <v>75</v>
      </c>
      <c r="I2263" s="3" t="s">
        <v>76</v>
      </c>
      <c r="J2263" s="3" t="s">
        <v>77</v>
      </c>
      <c r="K2263" s="3" t="s">
        <v>78</v>
      </c>
      <c r="L2263" s="3" t="s">
        <v>138</v>
      </c>
      <c r="M2263" s="3" t="s">
        <v>139</v>
      </c>
      <c r="N2263" s="3" t="s">
        <v>1616</v>
      </c>
      <c r="O2263" s="3" t="s">
        <v>82</v>
      </c>
      <c r="P2263" s="3" t="str">
        <f>"2170818408                    "</f>
        <v xml:space="preserve">2170818408                    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15.46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0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3">
        <v>0</v>
      </c>
      <c r="AY2263" s="3">
        <v>0</v>
      </c>
      <c r="AZ2263" s="3">
        <v>0</v>
      </c>
      <c r="BA2263" s="3">
        <v>0</v>
      </c>
      <c r="BB2263" s="3">
        <v>0</v>
      </c>
      <c r="BC2263" s="3">
        <v>0</v>
      </c>
      <c r="BD2263" s="3">
        <v>0</v>
      </c>
      <c r="BE2263" s="3">
        <v>0</v>
      </c>
      <c r="BF2263" s="3">
        <v>0</v>
      </c>
      <c r="BG2263" s="3">
        <v>0</v>
      </c>
      <c r="BH2263" s="3">
        <v>1</v>
      </c>
      <c r="BI2263" s="3">
        <v>1</v>
      </c>
      <c r="BJ2263" s="3">
        <v>0.2</v>
      </c>
      <c r="BK2263" s="3">
        <v>1</v>
      </c>
      <c r="BL2263" s="3">
        <v>59</v>
      </c>
      <c r="BM2263" s="3">
        <v>8.85</v>
      </c>
      <c r="BN2263" s="3">
        <v>67.849999999999994</v>
      </c>
      <c r="BO2263" s="3">
        <v>67.849999999999994</v>
      </c>
      <c r="BQ2263" s="3" t="s">
        <v>89</v>
      </c>
      <c r="BR2263" s="3" t="s">
        <v>84</v>
      </c>
      <c r="BS2263" s="4">
        <v>44588</v>
      </c>
      <c r="BT2263" s="5">
        <v>0.38125000000000003</v>
      </c>
      <c r="BU2263" s="3" t="s">
        <v>1617</v>
      </c>
      <c r="BV2263" s="3" t="s">
        <v>105</v>
      </c>
      <c r="BY2263" s="3">
        <v>1200</v>
      </c>
      <c r="BZ2263" s="3" t="s">
        <v>165</v>
      </c>
      <c r="CA2263" s="3" t="s">
        <v>334</v>
      </c>
      <c r="CC2263" s="3" t="s">
        <v>139</v>
      </c>
      <c r="CD2263" s="3">
        <v>3610</v>
      </c>
      <c r="CE2263" s="3" t="s">
        <v>1513</v>
      </c>
      <c r="CF2263" s="4">
        <v>44589</v>
      </c>
      <c r="CI2263" s="3">
        <v>1</v>
      </c>
      <c r="CJ2263" s="3">
        <v>1</v>
      </c>
      <c r="CK2263" s="3">
        <v>21</v>
      </c>
      <c r="CL2263" s="3" t="s">
        <v>87</v>
      </c>
    </row>
    <row r="2264" spans="1:90" x14ac:dyDescent="0.2">
      <c r="A2264" s="3" t="s">
        <v>72</v>
      </c>
      <c r="B2264" s="3" t="s">
        <v>73</v>
      </c>
      <c r="C2264" s="3" t="s">
        <v>74</v>
      </c>
      <c r="E2264" s="3" t="str">
        <f>"FES1162847054"</f>
        <v>FES1162847054</v>
      </c>
      <c r="F2264" s="4">
        <v>44587</v>
      </c>
      <c r="G2264" s="3">
        <v>202207</v>
      </c>
      <c r="H2264" s="3" t="s">
        <v>75</v>
      </c>
      <c r="I2264" s="3" t="s">
        <v>76</v>
      </c>
      <c r="J2264" s="3" t="s">
        <v>77</v>
      </c>
      <c r="K2264" s="3" t="s">
        <v>78</v>
      </c>
      <c r="L2264" s="3" t="s">
        <v>90</v>
      </c>
      <c r="M2264" s="3" t="s">
        <v>91</v>
      </c>
      <c r="N2264" s="3" t="s">
        <v>1159</v>
      </c>
      <c r="O2264" s="3" t="s">
        <v>148</v>
      </c>
      <c r="P2264" s="3" t="str">
        <f>"2170816831                    "</f>
        <v xml:space="preserve">2170816831                    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32.35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0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3">
        <v>0</v>
      </c>
      <c r="AY2264" s="3">
        <v>0</v>
      </c>
      <c r="AZ2264" s="3">
        <v>0</v>
      </c>
      <c r="BA2264" s="3">
        <v>0</v>
      </c>
      <c r="BB2264" s="3">
        <v>0</v>
      </c>
      <c r="BC2264" s="3">
        <v>0</v>
      </c>
      <c r="BD2264" s="3">
        <v>0</v>
      </c>
      <c r="BE2264" s="3">
        <v>0</v>
      </c>
      <c r="BF2264" s="3">
        <v>0</v>
      </c>
      <c r="BG2264" s="3">
        <v>0</v>
      </c>
      <c r="BH2264" s="3">
        <v>1</v>
      </c>
      <c r="BI2264" s="3">
        <v>17</v>
      </c>
      <c r="BJ2264" s="3">
        <v>16.3</v>
      </c>
      <c r="BK2264" s="3">
        <v>17</v>
      </c>
      <c r="BL2264" s="3">
        <v>128.74</v>
      </c>
      <c r="BM2264" s="3">
        <v>19.309999999999999</v>
      </c>
      <c r="BN2264" s="3">
        <v>148.05000000000001</v>
      </c>
      <c r="BO2264" s="3">
        <v>148.05000000000001</v>
      </c>
      <c r="BQ2264" s="3" t="s">
        <v>89</v>
      </c>
      <c r="BR2264" s="3" t="s">
        <v>84</v>
      </c>
      <c r="BS2264" s="4">
        <v>44589</v>
      </c>
      <c r="BT2264" s="5">
        <v>0.48680555555555555</v>
      </c>
      <c r="BU2264" s="3" t="s">
        <v>2333</v>
      </c>
      <c r="BV2264" s="3" t="s">
        <v>105</v>
      </c>
      <c r="BY2264" s="3">
        <v>81675</v>
      </c>
      <c r="BZ2264" s="3" t="s">
        <v>327</v>
      </c>
      <c r="CA2264" s="3" t="s">
        <v>1046</v>
      </c>
      <c r="CC2264" s="3" t="s">
        <v>91</v>
      </c>
      <c r="CD2264" s="3">
        <v>7441</v>
      </c>
      <c r="CE2264" s="3" t="s">
        <v>221</v>
      </c>
      <c r="CI2264" s="3">
        <v>2</v>
      </c>
      <c r="CJ2264" s="3">
        <v>2</v>
      </c>
      <c r="CK2264" s="3">
        <v>41</v>
      </c>
      <c r="CL2264" s="3" t="s">
        <v>87</v>
      </c>
    </row>
    <row r="2265" spans="1:90" x14ac:dyDescent="0.2">
      <c r="A2265" s="3" t="s">
        <v>72</v>
      </c>
      <c r="B2265" s="3" t="s">
        <v>73</v>
      </c>
      <c r="C2265" s="3" t="s">
        <v>74</v>
      </c>
      <c r="E2265" s="3" t="str">
        <f>"FES1162847098"</f>
        <v>FES1162847098</v>
      </c>
      <c r="F2265" s="4">
        <v>44587</v>
      </c>
      <c r="G2265" s="3">
        <v>202207</v>
      </c>
      <c r="H2265" s="3" t="s">
        <v>75</v>
      </c>
      <c r="I2265" s="3" t="s">
        <v>76</v>
      </c>
      <c r="J2265" s="3" t="s">
        <v>77</v>
      </c>
      <c r="K2265" s="3" t="s">
        <v>78</v>
      </c>
      <c r="L2265" s="3" t="s">
        <v>138</v>
      </c>
      <c r="M2265" s="3" t="s">
        <v>139</v>
      </c>
      <c r="N2265" s="3" t="s">
        <v>238</v>
      </c>
      <c r="O2265" s="3" t="s">
        <v>82</v>
      </c>
      <c r="P2265" s="3" t="str">
        <f>"2170818402                    "</f>
        <v xml:space="preserve">2170818402                    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15.46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0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3">
        <v>0</v>
      </c>
      <c r="AY2265" s="3">
        <v>0</v>
      </c>
      <c r="AZ2265" s="3">
        <v>0</v>
      </c>
      <c r="BA2265" s="3">
        <v>0</v>
      </c>
      <c r="BB2265" s="3">
        <v>0</v>
      </c>
      <c r="BC2265" s="3">
        <v>0</v>
      </c>
      <c r="BD2265" s="3">
        <v>0</v>
      </c>
      <c r="BE2265" s="3">
        <v>0</v>
      </c>
      <c r="BF2265" s="3">
        <v>0</v>
      </c>
      <c r="BG2265" s="3">
        <v>0</v>
      </c>
      <c r="BH2265" s="3">
        <v>1</v>
      </c>
      <c r="BI2265" s="3">
        <v>2</v>
      </c>
      <c r="BJ2265" s="3">
        <v>0.5</v>
      </c>
      <c r="BK2265" s="3">
        <v>2</v>
      </c>
      <c r="BL2265" s="3">
        <v>59</v>
      </c>
      <c r="BM2265" s="3">
        <v>8.85</v>
      </c>
      <c r="BN2265" s="3">
        <v>67.849999999999994</v>
      </c>
      <c r="BO2265" s="3">
        <v>67.849999999999994</v>
      </c>
      <c r="BQ2265" s="3" t="s">
        <v>89</v>
      </c>
      <c r="BR2265" s="3" t="s">
        <v>84</v>
      </c>
      <c r="BS2265" s="4">
        <v>44588</v>
      </c>
      <c r="BT2265" s="5">
        <v>0.30555555555555552</v>
      </c>
      <c r="BU2265" s="3" t="s">
        <v>239</v>
      </c>
      <c r="BV2265" s="3" t="s">
        <v>105</v>
      </c>
      <c r="BY2265" s="3">
        <v>2349</v>
      </c>
      <c r="BZ2265" s="3" t="s">
        <v>165</v>
      </c>
      <c r="CA2265" s="3" t="s">
        <v>240</v>
      </c>
      <c r="CC2265" s="3" t="s">
        <v>139</v>
      </c>
      <c r="CD2265" s="3">
        <v>3610</v>
      </c>
      <c r="CE2265" s="3" t="s">
        <v>221</v>
      </c>
      <c r="CF2265" s="4">
        <v>44589</v>
      </c>
      <c r="CI2265" s="3">
        <v>1</v>
      </c>
      <c r="CJ2265" s="3">
        <v>1</v>
      </c>
      <c r="CK2265" s="3">
        <v>21</v>
      </c>
      <c r="CL2265" s="3" t="s">
        <v>87</v>
      </c>
    </row>
    <row r="2266" spans="1:90" x14ac:dyDescent="0.2">
      <c r="A2266" s="3" t="s">
        <v>72</v>
      </c>
      <c r="B2266" s="3" t="s">
        <v>73</v>
      </c>
      <c r="C2266" s="3" t="s">
        <v>74</v>
      </c>
      <c r="E2266" s="3" t="str">
        <f>"FES1162847003"</f>
        <v>FES1162847003</v>
      </c>
      <c r="F2266" s="4">
        <v>44587</v>
      </c>
      <c r="G2266" s="3">
        <v>202207</v>
      </c>
      <c r="H2266" s="3" t="s">
        <v>75</v>
      </c>
      <c r="I2266" s="3" t="s">
        <v>76</v>
      </c>
      <c r="J2266" s="3" t="s">
        <v>77</v>
      </c>
      <c r="K2266" s="3" t="s">
        <v>78</v>
      </c>
      <c r="L2266" s="3" t="s">
        <v>187</v>
      </c>
      <c r="M2266" s="3" t="s">
        <v>188</v>
      </c>
      <c r="N2266" s="3" t="s">
        <v>189</v>
      </c>
      <c r="O2266" s="3" t="s">
        <v>82</v>
      </c>
      <c r="P2266" s="3" t="str">
        <f>"2170818284                    "</f>
        <v xml:space="preserve">2170818284                    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63.76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0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3">
        <v>0</v>
      </c>
      <c r="AY2266" s="3">
        <v>0</v>
      </c>
      <c r="AZ2266" s="3">
        <v>0</v>
      </c>
      <c r="BA2266" s="3">
        <v>0</v>
      </c>
      <c r="BB2266" s="3">
        <v>0</v>
      </c>
      <c r="BC2266" s="3">
        <v>0</v>
      </c>
      <c r="BD2266" s="3">
        <v>0</v>
      </c>
      <c r="BE2266" s="3">
        <v>0</v>
      </c>
      <c r="BF2266" s="3">
        <v>0</v>
      </c>
      <c r="BG2266" s="3">
        <v>0</v>
      </c>
      <c r="BH2266" s="3">
        <v>1</v>
      </c>
      <c r="BI2266" s="3">
        <v>3</v>
      </c>
      <c r="BJ2266" s="3">
        <v>4.0999999999999996</v>
      </c>
      <c r="BK2266" s="3">
        <v>4.5</v>
      </c>
      <c r="BL2266" s="3">
        <v>243.37</v>
      </c>
      <c r="BM2266" s="3">
        <v>36.51</v>
      </c>
      <c r="BN2266" s="3">
        <v>279.88</v>
      </c>
      <c r="BO2266" s="3">
        <v>279.88</v>
      </c>
      <c r="BQ2266" s="3" t="s">
        <v>83</v>
      </c>
      <c r="BR2266" s="3" t="s">
        <v>84</v>
      </c>
      <c r="BS2266" s="4">
        <v>44588</v>
      </c>
      <c r="BT2266" s="5">
        <v>0.5708333333333333</v>
      </c>
      <c r="BU2266" s="3" t="s">
        <v>267</v>
      </c>
      <c r="BV2266" s="3" t="s">
        <v>87</v>
      </c>
      <c r="BW2266" s="3" t="s">
        <v>353</v>
      </c>
      <c r="BX2266" s="3" t="s">
        <v>354</v>
      </c>
      <c r="BY2266" s="3">
        <v>20358</v>
      </c>
      <c r="BZ2266" s="3" t="s">
        <v>165</v>
      </c>
      <c r="CA2266" s="3" t="s">
        <v>268</v>
      </c>
      <c r="CC2266" s="3" t="s">
        <v>188</v>
      </c>
      <c r="CD2266" s="3">
        <v>7300</v>
      </c>
      <c r="CE2266" s="3" t="s">
        <v>221</v>
      </c>
      <c r="CF2266" s="4">
        <v>44589</v>
      </c>
      <c r="CI2266" s="3">
        <v>1</v>
      </c>
      <c r="CJ2266" s="3">
        <v>1</v>
      </c>
      <c r="CK2266" s="3">
        <v>23</v>
      </c>
      <c r="CL2266" s="3" t="s">
        <v>87</v>
      </c>
    </row>
    <row r="2267" spans="1:90" x14ac:dyDescent="0.2">
      <c r="A2267" s="3" t="s">
        <v>72</v>
      </c>
      <c r="B2267" s="3" t="s">
        <v>73</v>
      </c>
      <c r="C2267" s="3" t="s">
        <v>74</v>
      </c>
      <c r="E2267" s="3" t="str">
        <f>"FES1162847148"</f>
        <v>FES1162847148</v>
      </c>
      <c r="F2267" s="4">
        <v>44587</v>
      </c>
      <c r="G2267" s="3">
        <v>202207</v>
      </c>
      <c r="H2267" s="3" t="s">
        <v>75</v>
      </c>
      <c r="I2267" s="3" t="s">
        <v>76</v>
      </c>
      <c r="J2267" s="3" t="s">
        <v>77</v>
      </c>
      <c r="K2267" s="3" t="s">
        <v>78</v>
      </c>
      <c r="L2267" s="3" t="s">
        <v>94</v>
      </c>
      <c r="M2267" s="3" t="s">
        <v>95</v>
      </c>
      <c r="N2267" s="3" t="s">
        <v>179</v>
      </c>
      <c r="O2267" s="3" t="s">
        <v>82</v>
      </c>
      <c r="P2267" s="3" t="str">
        <f>"2170818464                    "</f>
        <v xml:space="preserve">2170818464                    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15.46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Q2267" s="3">
        <v>0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3">
        <v>0</v>
      </c>
      <c r="AY2267" s="3">
        <v>0</v>
      </c>
      <c r="AZ2267" s="3">
        <v>0</v>
      </c>
      <c r="BA2267" s="3">
        <v>0</v>
      </c>
      <c r="BB2267" s="3">
        <v>0</v>
      </c>
      <c r="BC2267" s="3">
        <v>0</v>
      </c>
      <c r="BD2267" s="3">
        <v>0</v>
      </c>
      <c r="BE2267" s="3">
        <v>0</v>
      </c>
      <c r="BF2267" s="3">
        <v>0</v>
      </c>
      <c r="BG2267" s="3">
        <v>0</v>
      </c>
      <c r="BH2267" s="3">
        <v>1</v>
      </c>
      <c r="BI2267" s="3">
        <v>2</v>
      </c>
      <c r="BJ2267" s="3">
        <v>1.1000000000000001</v>
      </c>
      <c r="BK2267" s="3">
        <v>2</v>
      </c>
      <c r="BL2267" s="3">
        <v>59</v>
      </c>
      <c r="BM2267" s="3">
        <v>8.85</v>
      </c>
      <c r="BN2267" s="3">
        <v>67.849999999999994</v>
      </c>
      <c r="BO2267" s="3">
        <v>67.849999999999994</v>
      </c>
      <c r="BQ2267" s="3" t="s">
        <v>83</v>
      </c>
      <c r="BR2267" s="3" t="s">
        <v>84</v>
      </c>
      <c r="BS2267" s="4">
        <v>44588</v>
      </c>
      <c r="BT2267" s="5">
        <v>0.43055555555555558</v>
      </c>
      <c r="BU2267" s="3" t="s">
        <v>2163</v>
      </c>
      <c r="BV2267" s="3" t="s">
        <v>105</v>
      </c>
      <c r="BY2267" s="3">
        <v>5320</v>
      </c>
      <c r="BZ2267" s="3" t="s">
        <v>165</v>
      </c>
      <c r="CC2267" s="3" t="s">
        <v>95</v>
      </c>
      <c r="CD2267" s="3">
        <v>3201</v>
      </c>
      <c r="CE2267" s="3" t="s">
        <v>86</v>
      </c>
      <c r="CI2267" s="3">
        <v>1</v>
      </c>
      <c r="CJ2267" s="3">
        <v>1</v>
      </c>
      <c r="CK2267" s="3">
        <v>21</v>
      </c>
      <c r="CL2267" s="3" t="s">
        <v>87</v>
      </c>
    </row>
    <row r="2268" spans="1:90" x14ac:dyDescent="0.2">
      <c r="A2268" s="3" t="s">
        <v>72</v>
      </c>
      <c r="B2268" s="3" t="s">
        <v>73</v>
      </c>
      <c r="C2268" s="3" t="s">
        <v>74</v>
      </c>
      <c r="E2268" s="3" t="str">
        <f>"FES1162847055"</f>
        <v>FES1162847055</v>
      </c>
      <c r="F2268" s="4">
        <v>44587</v>
      </c>
      <c r="G2268" s="3">
        <v>202207</v>
      </c>
      <c r="H2268" s="3" t="s">
        <v>75</v>
      </c>
      <c r="I2268" s="3" t="s">
        <v>76</v>
      </c>
      <c r="J2268" s="3" t="s">
        <v>77</v>
      </c>
      <c r="K2268" s="3" t="s">
        <v>78</v>
      </c>
      <c r="L2268" s="3" t="s">
        <v>90</v>
      </c>
      <c r="M2268" s="3" t="s">
        <v>91</v>
      </c>
      <c r="N2268" s="3" t="s">
        <v>114</v>
      </c>
      <c r="O2268" s="3" t="s">
        <v>82</v>
      </c>
      <c r="P2268" s="3" t="str">
        <f>"2170818337                    "</f>
        <v xml:space="preserve">2170818337                    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15.46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0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3">
        <v>0</v>
      </c>
      <c r="AY2268" s="3">
        <v>0</v>
      </c>
      <c r="AZ2268" s="3">
        <v>0</v>
      </c>
      <c r="BA2268" s="3">
        <v>0</v>
      </c>
      <c r="BB2268" s="3">
        <v>0</v>
      </c>
      <c r="BC2268" s="3">
        <v>0</v>
      </c>
      <c r="BD2268" s="3">
        <v>0</v>
      </c>
      <c r="BE2268" s="3">
        <v>0</v>
      </c>
      <c r="BF2268" s="3">
        <v>0</v>
      </c>
      <c r="BG2268" s="3">
        <v>0</v>
      </c>
      <c r="BH2268" s="3">
        <v>1</v>
      </c>
      <c r="BI2268" s="3">
        <v>1</v>
      </c>
      <c r="BJ2268" s="3">
        <v>0.2</v>
      </c>
      <c r="BK2268" s="3">
        <v>1</v>
      </c>
      <c r="BL2268" s="3">
        <v>59</v>
      </c>
      <c r="BM2268" s="3">
        <v>8.85</v>
      </c>
      <c r="BN2268" s="3">
        <v>67.849999999999994</v>
      </c>
      <c r="BO2268" s="3">
        <v>67.849999999999994</v>
      </c>
      <c r="BQ2268" s="3" t="s">
        <v>89</v>
      </c>
      <c r="BR2268" s="3" t="s">
        <v>84</v>
      </c>
      <c r="BS2268" s="4">
        <v>44588</v>
      </c>
      <c r="BT2268" s="5">
        <v>0.41875000000000001</v>
      </c>
      <c r="BU2268" s="3" t="s">
        <v>1205</v>
      </c>
      <c r="BV2268" s="3" t="s">
        <v>105</v>
      </c>
      <c r="BY2268" s="3">
        <v>1200</v>
      </c>
      <c r="BZ2268" s="3" t="s">
        <v>165</v>
      </c>
      <c r="CA2268" s="3" t="s">
        <v>289</v>
      </c>
      <c r="CC2268" s="3" t="s">
        <v>91</v>
      </c>
      <c r="CD2268" s="3">
        <v>7441</v>
      </c>
      <c r="CE2268" s="3" t="s">
        <v>1513</v>
      </c>
      <c r="CF2268" s="4">
        <v>44589</v>
      </c>
      <c r="CI2268" s="3">
        <v>1</v>
      </c>
      <c r="CJ2268" s="3">
        <v>1</v>
      </c>
      <c r="CK2268" s="3">
        <v>21</v>
      </c>
      <c r="CL2268" s="3" t="s">
        <v>87</v>
      </c>
    </row>
    <row r="2269" spans="1:90" x14ac:dyDescent="0.2">
      <c r="A2269" s="3" t="s">
        <v>72</v>
      </c>
      <c r="B2269" s="3" t="s">
        <v>73</v>
      </c>
      <c r="C2269" s="3" t="s">
        <v>74</v>
      </c>
      <c r="E2269" s="3" t="str">
        <f>"FES1162847005"</f>
        <v>FES1162847005</v>
      </c>
      <c r="F2269" s="4">
        <v>44587</v>
      </c>
      <c r="G2269" s="3">
        <v>202207</v>
      </c>
      <c r="H2269" s="3" t="s">
        <v>75</v>
      </c>
      <c r="I2269" s="3" t="s">
        <v>76</v>
      </c>
      <c r="J2269" s="3" t="s">
        <v>77</v>
      </c>
      <c r="K2269" s="3" t="s">
        <v>78</v>
      </c>
      <c r="L2269" s="3" t="s">
        <v>101</v>
      </c>
      <c r="M2269" s="3" t="s">
        <v>102</v>
      </c>
      <c r="N2269" s="3" t="s">
        <v>272</v>
      </c>
      <c r="O2269" s="3" t="s">
        <v>82</v>
      </c>
      <c r="P2269" s="3" t="str">
        <f>"2170818286                    "</f>
        <v xml:space="preserve">2170818286                    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15.46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0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3">
        <v>0</v>
      </c>
      <c r="AY2269" s="3">
        <v>0</v>
      </c>
      <c r="AZ2269" s="3">
        <v>0</v>
      </c>
      <c r="BA2269" s="3">
        <v>0</v>
      </c>
      <c r="BB2269" s="3">
        <v>0</v>
      </c>
      <c r="BC2269" s="3">
        <v>0</v>
      </c>
      <c r="BD2269" s="3">
        <v>0</v>
      </c>
      <c r="BE2269" s="3">
        <v>0</v>
      </c>
      <c r="BF2269" s="3">
        <v>0</v>
      </c>
      <c r="BG2269" s="3">
        <v>0</v>
      </c>
      <c r="BH2269" s="3">
        <v>1</v>
      </c>
      <c r="BI2269" s="3">
        <v>1</v>
      </c>
      <c r="BJ2269" s="3">
        <v>0.2</v>
      </c>
      <c r="BK2269" s="3">
        <v>1</v>
      </c>
      <c r="BL2269" s="3">
        <v>59</v>
      </c>
      <c r="BM2269" s="3">
        <v>8.85</v>
      </c>
      <c r="BN2269" s="3">
        <v>67.849999999999994</v>
      </c>
      <c r="BO2269" s="3">
        <v>67.849999999999994</v>
      </c>
      <c r="BQ2269" s="3" t="s">
        <v>273</v>
      </c>
      <c r="BR2269" s="3" t="s">
        <v>84</v>
      </c>
      <c r="BS2269" s="4">
        <v>44588</v>
      </c>
      <c r="BT2269" s="5">
        <v>0.36736111111111108</v>
      </c>
      <c r="BU2269" s="3" t="s">
        <v>2147</v>
      </c>
      <c r="BV2269" s="3" t="s">
        <v>105</v>
      </c>
      <c r="BY2269" s="3">
        <v>1200</v>
      </c>
      <c r="BZ2269" s="3" t="s">
        <v>165</v>
      </c>
      <c r="CA2269" s="3" t="s">
        <v>2148</v>
      </c>
      <c r="CC2269" s="3" t="s">
        <v>102</v>
      </c>
      <c r="CD2269" s="3">
        <v>4000</v>
      </c>
      <c r="CE2269" s="3" t="s">
        <v>1513</v>
      </c>
      <c r="CF2269" s="4">
        <v>44589</v>
      </c>
      <c r="CI2269" s="3">
        <v>1</v>
      </c>
      <c r="CJ2269" s="3">
        <v>1</v>
      </c>
      <c r="CK2269" s="3">
        <v>21</v>
      </c>
      <c r="CL2269" s="3" t="s">
        <v>87</v>
      </c>
    </row>
    <row r="2270" spans="1:90" x14ac:dyDescent="0.2">
      <c r="A2270" s="3" t="s">
        <v>72</v>
      </c>
      <c r="B2270" s="3" t="s">
        <v>73</v>
      </c>
      <c r="C2270" s="3" t="s">
        <v>74</v>
      </c>
      <c r="E2270" s="3" t="str">
        <f>"FES1162847028"</f>
        <v>FES1162847028</v>
      </c>
      <c r="F2270" s="4">
        <v>44587</v>
      </c>
      <c r="G2270" s="3">
        <v>202207</v>
      </c>
      <c r="H2270" s="3" t="s">
        <v>75</v>
      </c>
      <c r="I2270" s="3" t="s">
        <v>76</v>
      </c>
      <c r="J2270" s="3" t="s">
        <v>77</v>
      </c>
      <c r="K2270" s="3" t="s">
        <v>78</v>
      </c>
      <c r="L2270" s="3" t="s">
        <v>133</v>
      </c>
      <c r="M2270" s="3" t="s">
        <v>134</v>
      </c>
      <c r="N2270" s="3" t="s">
        <v>670</v>
      </c>
      <c r="O2270" s="3" t="s">
        <v>82</v>
      </c>
      <c r="P2270" s="3" t="str">
        <f>"2170817907                    "</f>
        <v xml:space="preserve">2170817907                    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21.74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0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3">
        <v>0</v>
      </c>
      <c r="AY2270" s="3">
        <v>0</v>
      </c>
      <c r="AZ2270" s="3">
        <v>0</v>
      </c>
      <c r="BA2270" s="3">
        <v>0</v>
      </c>
      <c r="BB2270" s="3">
        <v>0</v>
      </c>
      <c r="BC2270" s="3">
        <v>0</v>
      </c>
      <c r="BD2270" s="3">
        <v>0</v>
      </c>
      <c r="BE2270" s="3">
        <v>0</v>
      </c>
      <c r="BF2270" s="3">
        <v>0</v>
      </c>
      <c r="BG2270" s="3">
        <v>0</v>
      </c>
      <c r="BH2270" s="3">
        <v>1</v>
      </c>
      <c r="BI2270" s="3">
        <v>1</v>
      </c>
      <c r="BJ2270" s="3">
        <v>0.2</v>
      </c>
      <c r="BK2270" s="3">
        <v>1</v>
      </c>
      <c r="BL2270" s="3">
        <v>82.98</v>
      </c>
      <c r="BM2270" s="3">
        <v>12.45</v>
      </c>
      <c r="BN2270" s="3">
        <v>95.43</v>
      </c>
      <c r="BO2270" s="3">
        <v>95.43</v>
      </c>
      <c r="BQ2270" s="3" t="s">
        <v>671</v>
      </c>
      <c r="BR2270" s="3" t="s">
        <v>84</v>
      </c>
      <c r="BS2270" s="3" t="s">
        <v>85</v>
      </c>
      <c r="BW2270" s="3" t="s">
        <v>278</v>
      </c>
      <c r="BX2270" s="3" t="s">
        <v>758</v>
      </c>
      <c r="BY2270" s="3">
        <v>1200</v>
      </c>
      <c r="BZ2270" s="3" t="s">
        <v>165</v>
      </c>
      <c r="CC2270" s="3" t="s">
        <v>134</v>
      </c>
      <c r="CD2270" s="3">
        <v>1911</v>
      </c>
      <c r="CE2270" s="3" t="s">
        <v>93</v>
      </c>
      <c r="CI2270" s="3">
        <v>1</v>
      </c>
      <c r="CJ2270" s="3" t="s">
        <v>85</v>
      </c>
      <c r="CK2270" s="3">
        <v>24</v>
      </c>
      <c r="CL2270" s="3" t="s">
        <v>87</v>
      </c>
    </row>
    <row r="2271" spans="1:90" x14ac:dyDescent="0.2">
      <c r="A2271" s="3" t="s">
        <v>72</v>
      </c>
      <c r="B2271" s="3" t="s">
        <v>73</v>
      </c>
      <c r="C2271" s="3" t="s">
        <v>74</v>
      </c>
      <c r="E2271" s="3" t="str">
        <f>"FES1162847105"</f>
        <v>FES1162847105</v>
      </c>
      <c r="F2271" s="4">
        <v>44587</v>
      </c>
      <c r="G2271" s="3">
        <v>202207</v>
      </c>
      <c r="H2271" s="3" t="s">
        <v>75</v>
      </c>
      <c r="I2271" s="3" t="s">
        <v>76</v>
      </c>
      <c r="J2271" s="3" t="s">
        <v>77</v>
      </c>
      <c r="K2271" s="3" t="s">
        <v>78</v>
      </c>
      <c r="L2271" s="3" t="s">
        <v>79</v>
      </c>
      <c r="M2271" s="3" t="s">
        <v>80</v>
      </c>
      <c r="N2271" s="3" t="s">
        <v>81</v>
      </c>
      <c r="O2271" s="3" t="s">
        <v>82</v>
      </c>
      <c r="P2271" s="3" t="str">
        <f>"2170818414                    "</f>
        <v xml:space="preserve">2170818414                    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15.46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0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3">
        <v>0</v>
      </c>
      <c r="AY2271" s="3">
        <v>0</v>
      </c>
      <c r="AZ2271" s="3">
        <v>0</v>
      </c>
      <c r="BA2271" s="3">
        <v>0</v>
      </c>
      <c r="BB2271" s="3">
        <v>0</v>
      </c>
      <c r="BC2271" s="3">
        <v>0</v>
      </c>
      <c r="BD2271" s="3">
        <v>0</v>
      </c>
      <c r="BE2271" s="3">
        <v>0</v>
      </c>
      <c r="BF2271" s="3">
        <v>0</v>
      </c>
      <c r="BG2271" s="3">
        <v>0</v>
      </c>
      <c r="BH2271" s="3">
        <v>1</v>
      </c>
      <c r="BI2271" s="3">
        <v>1</v>
      </c>
      <c r="BJ2271" s="3">
        <v>0.2</v>
      </c>
      <c r="BK2271" s="3">
        <v>1</v>
      </c>
      <c r="BL2271" s="3">
        <v>59</v>
      </c>
      <c r="BM2271" s="3">
        <v>8.85</v>
      </c>
      <c r="BN2271" s="3">
        <v>67.849999999999994</v>
      </c>
      <c r="BO2271" s="3">
        <v>67.849999999999994</v>
      </c>
      <c r="BQ2271" s="3" t="s">
        <v>83</v>
      </c>
      <c r="BR2271" s="3" t="s">
        <v>84</v>
      </c>
      <c r="BS2271" s="4">
        <v>44588</v>
      </c>
      <c r="BT2271" s="5">
        <v>0.39583333333333331</v>
      </c>
      <c r="BU2271" s="3" t="s">
        <v>893</v>
      </c>
      <c r="BV2271" s="3" t="s">
        <v>105</v>
      </c>
      <c r="BY2271" s="3">
        <v>1200</v>
      </c>
      <c r="BZ2271" s="3" t="s">
        <v>165</v>
      </c>
      <c r="CA2271" s="3" t="s">
        <v>366</v>
      </c>
      <c r="CC2271" s="3" t="s">
        <v>80</v>
      </c>
      <c r="CD2271" s="3">
        <v>200</v>
      </c>
      <c r="CE2271" s="3" t="s">
        <v>1513</v>
      </c>
      <c r="CF2271" s="4">
        <v>44588</v>
      </c>
      <c r="CI2271" s="3">
        <v>1</v>
      </c>
      <c r="CJ2271" s="3">
        <v>1</v>
      </c>
      <c r="CK2271" s="3">
        <v>21</v>
      </c>
      <c r="CL2271" s="3" t="s">
        <v>87</v>
      </c>
    </row>
    <row r="2272" spans="1:90" x14ac:dyDescent="0.2">
      <c r="A2272" s="3" t="s">
        <v>72</v>
      </c>
      <c r="B2272" s="3" t="s">
        <v>73</v>
      </c>
      <c r="C2272" s="3" t="s">
        <v>74</v>
      </c>
      <c r="E2272" s="3" t="str">
        <f>"FES1162846889"</f>
        <v>FES1162846889</v>
      </c>
      <c r="F2272" s="4">
        <v>44587</v>
      </c>
      <c r="G2272" s="3">
        <v>202207</v>
      </c>
      <c r="H2272" s="3" t="s">
        <v>75</v>
      </c>
      <c r="I2272" s="3" t="s">
        <v>76</v>
      </c>
      <c r="J2272" s="3" t="s">
        <v>77</v>
      </c>
      <c r="K2272" s="3" t="s">
        <v>78</v>
      </c>
      <c r="L2272" s="3" t="s">
        <v>101</v>
      </c>
      <c r="M2272" s="3" t="s">
        <v>102</v>
      </c>
      <c r="N2272" s="3" t="s">
        <v>103</v>
      </c>
      <c r="O2272" s="3" t="s">
        <v>82</v>
      </c>
      <c r="P2272" s="3" t="str">
        <f>"2170818166                    "</f>
        <v xml:space="preserve">2170818166                    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73.39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0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3">
        <v>0</v>
      </c>
      <c r="AY2272" s="3">
        <v>0</v>
      </c>
      <c r="AZ2272" s="3">
        <v>0</v>
      </c>
      <c r="BA2272" s="3">
        <v>0</v>
      </c>
      <c r="BB2272" s="3">
        <v>0</v>
      </c>
      <c r="BC2272" s="3">
        <v>0</v>
      </c>
      <c r="BD2272" s="3">
        <v>0</v>
      </c>
      <c r="BE2272" s="3">
        <v>0</v>
      </c>
      <c r="BF2272" s="3">
        <v>0</v>
      </c>
      <c r="BG2272" s="3">
        <v>0</v>
      </c>
      <c r="BH2272" s="3">
        <v>1</v>
      </c>
      <c r="BI2272" s="3">
        <v>9</v>
      </c>
      <c r="BJ2272" s="3">
        <v>9.3000000000000007</v>
      </c>
      <c r="BK2272" s="3">
        <v>9.5</v>
      </c>
      <c r="BL2272" s="3">
        <v>280.13</v>
      </c>
      <c r="BM2272" s="3">
        <v>42.02</v>
      </c>
      <c r="BN2272" s="3">
        <v>322.14999999999998</v>
      </c>
      <c r="BO2272" s="3">
        <v>322.14999999999998</v>
      </c>
      <c r="BQ2272" s="3" t="s">
        <v>83</v>
      </c>
      <c r="BR2272" s="3" t="s">
        <v>84</v>
      </c>
      <c r="BS2272" s="4">
        <v>44588</v>
      </c>
      <c r="BT2272" s="5">
        <v>0.33124999999999999</v>
      </c>
      <c r="BU2272" s="3" t="s">
        <v>463</v>
      </c>
      <c r="BV2272" s="3" t="s">
        <v>105</v>
      </c>
      <c r="BY2272" s="3">
        <v>46656</v>
      </c>
      <c r="BZ2272" s="3" t="s">
        <v>165</v>
      </c>
      <c r="CA2272" s="3" t="s">
        <v>334</v>
      </c>
      <c r="CC2272" s="3" t="s">
        <v>102</v>
      </c>
      <c r="CD2272" s="3">
        <v>4001</v>
      </c>
      <c r="CE2272" s="3" t="s">
        <v>221</v>
      </c>
      <c r="CF2272" s="4">
        <v>44589</v>
      </c>
      <c r="CI2272" s="3">
        <v>1</v>
      </c>
      <c r="CJ2272" s="3">
        <v>1</v>
      </c>
      <c r="CK2272" s="3">
        <v>21</v>
      </c>
      <c r="CL2272" s="3" t="s">
        <v>87</v>
      </c>
    </row>
    <row r="2273" spans="1:90" x14ac:dyDescent="0.2">
      <c r="A2273" s="3" t="s">
        <v>72</v>
      </c>
      <c r="B2273" s="3" t="s">
        <v>73</v>
      </c>
      <c r="C2273" s="3" t="s">
        <v>74</v>
      </c>
      <c r="E2273" s="3" t="str">
        <f>"FES1162847087"</f>
        <v>FES1162847087</v>
      </c>
      <c r="F2273" s="4">
        <v>44587</v>
      </c>
      <c r="G2273" s="3">
        <v>202207</v>
      </c>
      <c r="H2273" s="3" t="s">
        <v>75</v>
      </c>
      <c r="I2273" s="3" t="s">
        <v>76</v>
      </c>
      <c r="J2273" s="3" t="s">
        <v>77</v>
      </c>
      <c r="K2273" s="3" t="s">
        <v>78</v>
      </c>
      <c r="L2273" s="3" t="s">
        <v>90</v>
      </c>
      <c r="M2273" s="3" t="s">
        <v>91</v>
      </c>
      <c r="N2273" s="3" t="s">
        <v>444</v>
      </c>
      <c r="O2273" s="3" t="s">
        <v>82</v>
      </c>
      <c r="P2273" s="3" t="str">
        <f>"2170818392                    "</f>
        <v xml:space="preserve">2170818392                    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23.18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Q2273" s="3">
        <v>0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3">
        <v>0</v>
      </c>
      <c r="AY2273" s="3">
        <v>0</v>
      </c>
      <c r="AZ2273" s="3">
        <v>0</v>
      </c>
      <c r="BA2273" s="3">
        <v>0</v>
      </c>
      <c r="BB2273" s="3">
        <v>0</v>
      </c>
      <c r="BC2273" s="3">
        <v>0</v>
      </c>
      <c r="BD2273" s="3">
        <v>0</v>
      </c>
      <c r="BE2273" s="3">
        <v>0</v>
      </c>
      <c r="BF2273" s="3">
        <v>0</v>
      </c>
      <c r="BG2273" s="3">
        <v>0</v>
      </c>
      <c r="BH2273" s="3">
        <v>1</v>
      </c>
      <c r="BI2273" s="3">
        <v>3</v>
      </c>
      <c r="BJ2273" s="3">
        <v>0.9</v>
      </c>
      <c r="BK2273" s="3">
        <v>3</v>
      </c>
      <c r="BL2273" s="3">
        <v>88.48</v>
      </c>
      <c r="BM2273" s="3">
        <v>13.27</v>
      </c>
      <c r="BN2273" s="3">
        <v>101.75</v>
      </c>
      <c r="BO2273" s="3">
        <v>101.75</v>
      </c>
      <c r="BQ2273" s="3" t="s">
        <v>145</v>
      </c>
      <c r="BR2273" s="3" t="s">
        <v>84</v>
      </c>
      <c r="BS2273" s="4">
        <v>44588</v>
      </c>
      <c r="BT2273" s="5">
        <v>0.50277777777777777</v>
      </c>
      <c r="BU2273" s="3" t="s">
        <v>2334</v>
      </c>
      <c r="BV2273" s="3" t="s">
        <v>87</v>
      </c>
      <c r="BW2273" s="3" t="s">
        <v>353</v>
      </c>
      <c r="BX2273" s="3" t="s">
        <v>354</v>
      </c>
      <c r="BY2273" s="3">
        <v>4275</v>
      </c>
      <c r="BZ2273" s="3" t="s">
        <v>165</v>
      </c>
      <c r="CA2273" s="3" t="s">
        <v>829</v>
      </c>
      <c r="CC2273" s="3" t="s">
        <v>91</v>
      </c>
      <c r="CD2273" s="3">
        <v>7500</v>
      </c>
      <c r="CE2273" s="3" t="s">
        <v>221</v>
      </c>
      <c r="CF2273" s="4">
        <v>44589</v>
      </c>
      <c r="CI2273" s="3">
        <v>1</v>
      </c>
      <c r="CJ2273" s="3">
        <v>1</v>
      </c>
      <c r="CK2273" s="3">
        <v>21</v>
      </c>
      <c r="CL2273" s="3" t="s">
        <v>87</v>
      </c>
    </row>
    <row r="2274" spans="1:90" x14ac:dyDescent="0.2">
      <c r="A2274" s="3" t="s">
        <v>72</v>
      </c>
      <c r="B2274" s="3" t="s">
        <v>73</v>
      </c>
      <c r="C2274" s="3" t="s">
        <v>74</v>
      </c>
      <c r="E2274" s="3" t="str">
        <f>"FES1162846563"</f>
        <v>FES1162846563</v>
      </c>
      <c r="F2274" s="4">
        <v>44586</v>
      </c>
      <c r="G2274" s="3">
        <v>202207</v>
      </c>
      <c r="H2274" s="3" t="s">
        <v>75</v>
      </c>
      <c r="I2274" s="3" t="s">
        <v>76</v>
      </c>
      <c r="J2274" s="3" t="s">
        <v>77</v>
      </c>
      <c r="K2274" s="3" t="s">
        <v>78</v>
      </c>
      <c r="L2274" s="3" t="s">
        <v>90</v>
      </c>
      <c r="M2274" s="3" t="s">
        <v>91</v>
      </c>
      <c r="N2274" s="3" t="s">
        <v>2145</v>
      </c>
      <c r="O2274" s="3" t="s">
        <v>82</v>
      </c>
      <c r="P2274" s="3" t="str">
        <f>"2170817966                    "</f>
        <v xml:space="preserve">2170817966                    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15.46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0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3">
        <v>0</v>
      </c>
      <c r="AY2274" s="3">
        <v>0</v>
      </c>
      <c r="AZ2274" s="3">
        <v>0</v>
      </c>
      <c r="BA2274" s="3">
        <v>0</v>
      </c>
      <c r="BB2274" s="3">
        <v>0</v>
      </c>
      <c r="BC2274" s="3">
        <v>0</v>
      </c>
      <c r="BD2274" s="3">
        <v>0</v>
      </c>
      <c r="BE2274" s="3">
        <v>0</v>
      </c>
      <c r="BF2274" s="3">
        <v>0</v>
      </c>
      <c r="BG2274" s="3">
        <v>0</v>
      </c>
      <c r="BH2274" s="3">
        <v>1</v>
      </c>
      <c r="BI2274" s="3">
        <v>1</v>
      </c>
      <c r="BJ2274" s="3">
        <v>1.1000000000000001</v>
      </c>
      <c r="BK2274" s="3">
        <v>1.5</v>
      </c>
      <c r="BL2274" s="3">
        <v>59</v>
      </c>
      <c r="BM2274" s="3">
        <v>8.85</v>
      </c>
      <c r="BN2274" s="3">
        <v>67.849999999999994</v>
      </c>
      <c r="BO2274" s="3">
        <v>67.849999999999994</v>
      </c>
      <c r="BQ2274" s="3" t="s">
        <v>89</v>
      </c>
      <c r="BR2274" s="3" t="s">
        <v>84</v>
      </c>
      <c r="BS2274" s="4">
        <v>44587</v>
      </c>
      <c r="BT2274" s="5">
        <v>0.54166666666666663</v>
      </c>
      <c r="BU2274" s="3" t="s">
        <v>2146</v>
      </c>
      <c r="BV2274" s="3" t="s">
        <v>87</v>
      </c>
      <c r="BW2274" s="3" t="s">
        <v>457</v>
      </c>
      <c r="BX2274" s="3" t="s">
        <v>602</v>
      </c>
      <c r="BY2274" s="3">
        <v>5320</v>
      </c>
      <c r="BZ2274" s="3" t="s">
        <v>165</v>
      </c>
      <c r="CA2274" s="3" t="s">
        <v>623</v>
      </c>
      <c r="CC2274" s="3" t="s">
        <v>91</v>
      </c>
      <c r="CD2274" s="3">
        <v>7945</v>
      </c>
      <c r="CE2274" s="3" t="s">
        <v>86</v>
      </c>
      <c r="CF2274" s="4">
        <v>44588</v>
      </c>
      <c r="CI2274" s="3">
        <v>1</v>
      </c>
      <c r="CJ2274" s="3">
        <v>1</v>
      </c>
      <c r="CK2274" s="3">
        <v>21</v>
      </c>
      <c r="CL2274" s="3" t="s">
        <v>87</v>
      </c>
    </row>
    <row r="2275" spans="1:90" x14ac:dyDescent="0.2">
      <c r="A2275" s="3" t="s">
        <v>72</v>
      </c>
      <c r="B2275" s="3" t="s">
        <v>73</v>
      </c>
      <c r="C2275" s="3" t="s">
        <v>74</v>
      </c>
      <c r="E2275" s="3" t="str">
        <f>"FES1162846580"</f>
        <v>FES1162846580</v>
      </c>
      <c r="F2275" s="4">
        <v>44586</v>
      </c>
      <c r="G2275" s="3">
        <v>202207</v>
      </c>
      <c r="H2275" s="3" t="s">
        <v>75</v>
      </c>
      <c r="I2275" s="3" t="s">
        <v>76</v>
      </c>
      <c r="J2275" s="3" t="s">
        <v>77</v>
      </c>
      <c r="K2275" s="3" t="s">
        <v>78</v>
      </c>
      <c r="L2275" s="3" t="s">
        <v>101</v>
      </c>
      <c r="M2275" s="3" t="s">
        <v>102</v>
      </c>
      <c r="N2275" s="3" t="s">
        <v>272</v>
      </c>
      <c r="O2275" s="3" t="s">
        <v>82</v>
      </c>
      <c r="P2275" s="3" t="str">
        <f>"2170817980                    "</f>
        <v xml:space="preserve">2170817980                    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0</v>
      </c>
      <c r="AJ2275" s="3">
        <v>0</v>
      </c>
      <c r="AK2275" s="3">
        <v>15.46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0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3">
        <v>0</v>
      </c>
      <c r="AY2275" s="3">
        <v>0</v>
      </c>
      <c r="AZ2275" s="3">
        <v>0</v>
      </c>
      <c r="BA2275" s="3">
        <v>0</v>
      </c>
      <c r="BB2275" s="3">
        <v>0</v>
      </c>
      <c r="BC2275" s="3">
        <v>0</v>
      </c>
      <c r="BD2275" s="3">
        <v>0</v>
      </c>
      <c r="BE2275" s="3">
        <v>0</v>
      </c>
      <c r="BF2275" s="3">
        <v>0</v>
      </c>
      <c r="BG2275" s="3">
        <v>0</v>
      </c>
      <c r="BH2275" s="3">
        <v>1</v>
      </c>
      <c r="BI2275" s="3">
        <v>1</v>
      </c>
      <c r="BJ2275" s="3">
        <v>0.2</v>
      </c>
      <c r="BK2275" s="3">
        <v>1</v>
      </c>
      <c r="BL2275" s="3">
        <v>59</v>
      </c>
      <c r="BM2275" s="3">
        <v>8.85</v>
      </c>
      <c r="BN2275" s="3">
        <v>67.849999999999994</v>
      </c>
      <c r="BO2275" s="3">
        <v>67.849999999999994</v>
      </c>
      <c r="BQ2275" s="3" t="s">
        <v>273</v>
      </c>
      <c r="BR2275" s="3" t="s">
        <v>84</v>
      </c>
      <c r="BS2275" s="4">
        <v>44587</v>
      </c>
      <c r="BT2275" s="5">
        <v>0.38194444444444442</v>
      </c>
      <c r="BU2275" s="3" t="s">
        <v>274</v>
      </c>
      <c r="BV2275" s="3" t="s">
        <v>105</v>
      </c>
      <c r="BY2275" s="3">
        <v>1200</v>
      </c>
      <c r="BZ2275" s="3" t="s">
        <v>165</v>
      </c>
      <c r="CA2275" s="3" t="s">
        <v>275</v>
      </c>
      <c r="CC2275" s="3" t="s">
        <v>102</v>
      </c>
      <c r="CD2275" s="3">
        <v>4000</v>
      </c>
      <c r="CE2275" s="3" t="s">
        <v>93</v>
      </c>
      <c r="CF2275" s="4">
        <v>44587</v>
      </c>
      <c r="CI2275" s="3">
        <v>1</v>
      </c>
      <c r="CJ2275" s="3">
        <v>1</v>
      </c>
      <c r="CK2275" s="3">
        <v>21</v>
      </c>
      <c r="CL2275" s="3" t="s">
        <v>87</v>
      </c>
    </row>
    <row r="2276" spans="1:90" x14ac:dyDescent="0.2">
      <c r="A2276" s="3" t="s">
        <v>72</v>
      </c>
      <c r="B2276" s="3" t="s">
        <v>73</v>
      </c>
      <c r="C2276" s="3" t="s">
        <v>74</v>
      </c>
      <c r="E2276" s="3" t="str">
        <f>"FES1162846644"</f>
        <v>FES1162846644</v>
      </c>
      <c r="F2276" s="4">
        <v>44586</v>
      </c>
      <c r="G2276" s="3">
        <v>202207</v>
      </c>
      <c r="H2276" s="3" t="s">
        <v>75</v>
      </c>
      <c r="I2276" s="3" t="s">
        <v>76</v>
      </c>
      <c r="J2276" s="3" t="s">
        <v>77</v>
      </c>
      <c r="K2276" s="3" t="s">
        <v>78</v>
      </c>
      <c r="L2276" s="3" t="s">
        <v>90</v>
      </c>
      <c r="M2276" s="3" t="s">
        <v>91</v>
      </c>
      <c r="N2276" s="3" t="s">
        <v>541</v>
      </c>
      <c r="O2276" s="3" t="s">
        <v>82</v>
      </c>
      <c r="P2276" s="3" t="str">
        <f>"2170818025                    "</f>
        <v xml:space="preserve">2170818025                    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15.46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0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3">
        <v>0</v>
      </c>
      <c r="AY2276" s="3">
        <v>0</v>
      </c>
      <c r="AZ2276" s="3">
        <v>0</v>
      </c>
      <c r="BA2276" s="3">
        <v>0</v>
      </c>
      <c r="BB2276" s="3">
        <v>0</v>
      </c>
      <c r="BC2276" s="3">
        <v>0</v>
      </c>
      <c r="BD2276" s="3">
        <v>0</v>
      </c>
      <c r="BE2276" s="3">
        <v>0</v>
      </c>
      <c r="BF2276" s="3">
        <v>0</v>
      </c>
      <c r="BG2276" s="3">
        <v>0</v>
      </c>
      <c r="BH2276" s="3">
        <v>1</v>
      </c>
      <c r="BI2276" s="3">
        <v>1</v>
      </c>
      <c r="BJ2276" s="3">
        <v>0.2</v>
      </c>
      <c r="BK2276" s="3">
        <v>1</v>
      </c>
      <c r="BL2276" s="3">
        <v>59</v>
      </c>
      <c r="BM2276" s="3">
        <v>8.85</v>
      </c>
      <c r="BN2276" s="3">
        <v>67.849999999999994</v>
      </c>
      <c r="BO2276" s="3">
        <v>67.849999999999994</v>
      </c>
      <c r="BQ2276" s="3" t="s">
        <v>89</v>
      </c>
      <c r="BR2276" s="3" t="s">
        <v>84</v>
      </c>
      <c r="BS2276" s="4">
        <v>44587</v>
      </c>
      <c r="BT2276" s="5">
        <v>0.40138888888888885</v>
      </c>
      <c r="BU2276" s="3" t="s">
        <v>1904</v>
      </c>
      <c r="BV2276" s="3" t="s">
        <v>105</v>
      </c>
      <c r="BY2276" s="3">
        <v>1200</v>
      </c>
      <c r="BZ2276" s="3" t="s">
        <v>165</v>
      </c>
      <c r="CA2276" s="3" t="s">
        <v>543</v>
      </c>
      <c r="CC2276" s="3" t="s">
        <v>91</v>
      </c>
      <c r="CD2276" s="3">
        <v>7561</v>
      </c>
      <c r="CE2276" s="3" t="s">
        <v>93</v>
      </c>
      <c r="CF2276" s="4">
        <v>44588</v>
      </c>
      <c r="CI2276" s="3">
        <v>1</v>
      </c>
      <c r="CJ2276" s="3">
        <v>1</v>
      </c>
      <c r="CK2276" s="3">
        <v>21</v>
      </c>
      <c r="CL2276" s="3" t="s">
        <v>87</v>
      </c>
    </row>
    <row r="2277" spans="1:90" x14ac:dyDescent="0.2">
      <c r="A2277" s="3" t="s">
        <v>72</v>
      </c>
      <c r="B2277" s="3" t="s">
        <v>73</v>
      </c>
      <c r="C2277" s="3" t="s">
        <v>74</v>
      </c>
      <c r="E2277" s="3" t="str">
        <f>"FES1162846759"</f>
        <v>FES1162846759</v>
      </c>
      <c r="F2277" s="4">
        <v>44586</v>
      </c>
      <c r="G2277" s="3">
        <v>202207</v>
      </c>
      <c r="H2277" s="3" t="s">
        <v>75</v>
      </c>
      <c r="I2277" s="3" t="s">
        <v>76</v>
      </c>
      <c r="J2277" s="3" t="s">
        <v>77</v>
      </c>
      <c r="K2277" s="3" t="s">
        <v>78</v>
      </c>
      <c r="L2277" s="3" t="s">
        <v>75</v>
      </c>
      <c r="M2277" s="3" t="s">
        <v>76</v>
      </c>
      <c r="N2277" s="3" t="s">
        <v>2335</v>
      </c>
      <c r="O2277" s="3" t="s">
        <v>82</v>
      </c>
      <c r="P2277" s="3" t="str">
        <f>"2170816147                    "</f>
        <v xml:space="preserve">2170816147                    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12.07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0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3">
        <v>0</v>
      </c>
      <c r="AY2277" s="3">
        <v>0</v>
      </c>
      <c r="AZ2277" s="3">
        <v>0</v>
      </c>
      <c r="BA2277" s="3">
        <v>0</v>
      </c>
      <c r="BB2277" s="3">
        <v>0</v>
      </c>
      <c r="BC2277" s="3">
        <v>0</v>
      </c>
      <c r="BD2277" s="3">
        <v>0</v>
      </c>
      <c r="BE2277" s="3">
        <v>0</v>
      </c>
      <c r="BF2277" s="3">
        <v>0</v>
      </c>
      <c r="BG2277" s="3">
        <v>0</v>
      </c>
      <c r="BH2277" s="3">
        <v>1</v>
      </c>
      <c r="BI2277" s="3">
        <v>1</v>
      </c>
      <c r="BJ2277" s="3">
        <v>0.2</v>
      </c>
      <c r="BK2277" s="3">
        <v>1</v>
      </c>
      <c r="BL2277" s="3">
        <v>46.08</v>
      </c>
      <c r="BM2277" s="3">
        <v>6.91</v>
      </c>
      <c r="BN2277" s="3">
        <v>52.99</v>
      </c>
      <c r="BO2277" s="3">
        <v>52.99</v>
      </c>
      <c r="BR2277" s="3" t="s">
        <v>84</v>
      </c>
      <c r="BS2277" s="4">
        <v>44587</v>
      </c>
      <c r="BT2277" s="5">
        <v>0.32777777777777778</v>
      </c>
      <c r="BU2277" s="3" t="s">
        <v>2336</v>
      </c>
      <c r="BV2277" s="3" t="s">
        <v>105</v>
      </c>
      <c r="BY2277" s="3">
        <v>1200</v>
      </c>
      <c r="BZ2277" s="3" t="s">
        <v>165</v>
      </c>
      <c r="CA2277" s="3" t="s">
        <v>477</v>
      </c>
      <c r="CC2277" s="3" t="s">
        <v>76</v>
      </c>
      <c r="CD2277" s="3">
        <v>1645</v>
      </c>
      <c r="CE2277" s="3" t="s">
        <v>86</v>
      </c>
      <c r="CF2277" s="4">
        <v>44588</v>
      </c>
      <c r="CI2277" s="3">
        <v>1</v>
      </c>
      <c r="CJ2277" s="3">
        <v>1</v>
      </c>
      <c r="CK2277" s="3">
        <v>22</v>
      </c>
      <c r="CL2277" s="3" t="s">
        <v>87</v>
      </c>
    </row>
    <row r="2278" spans="1:90" x14ac:dyDescent="0.2">
      <c r="A2278" s="3" t="s">
        <v>72</v>
      </c>
      <c r="B2278" s="3" t="s">
        <v>73</v>
      </c>
      <c r="C2278" s="3" t="s">
        <v>74</v>
      </c>
      <c r="E2278" s="3" t="str">
        <f>"FES1162846572"</f>
        <v>FES1162846572</v>
      </c>
      <c r="F2278" s="4">
        <v>44586</v>
      </c>
      <c r="G2278" s="3">
        <v>202207</v>
      </c>
      <c r="H2278" s="3" t="s">
        <v>75</v>
      </c>
      <c r="I2278" s="3" t="s">
        <v>76</v>
      </c>
      <c r="J2278" s="3" t="s">
        <v>77</v>
      </c>
      <c r="K2278" s="3" t="s">
        <v>78</v>
      </c>
      <c r="L2278" s="3" t="s">
        <v>211</v>
      </c>
      <c r="M2278" s="3" t="s">
        <v>212</v>
      </c>
      <c r="N2278" s="3" t="s">
        <v>2337</v>
      </c>
      <c r="O2278" s="3" t="s">
        <v>148</v>
      </c>
      <c r="P2278" s="3" t="str">
        <f>"2170817892                    "</f>
        <v xml:space="preserve">2170817892                    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25.76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0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3">
        <v>0</v>
      </c>
      <c r="AY2278" s="3">
        <v>0</v>
      </c>
      <c r="AZ2278" s="3">
        <v>0</v>
      </c>
      <c r="BA2278" s="3">
        <v>0</v>
      </c>
      <c r="BB2278" s="3">
        <v>0</v>
      </c>
      <c r="BC2278" s="3">
        <v>0</v>
      </c>
      <c r="BD2278" s="3">
        <v>0</v>
      </c>
      <c r="BE2278" s="3">
        <v>0</v>
      </c>
      <c r="BF2278" s="3">
        <v>0</v>
      </c>
      <c r="BG2278" s="3">
        <v>0</v>
      </c>
      <c r="BH2278" s="3">
        <v>1</v>
      </c>
      <c r="BI2278" s="3">
        <v>16</v>
      </c>
      <c r="BJ2278" s="3">
        <v>18.3</v>
      </c>
      <c r="BK2278" s="3">
        <v>19</v>
      </c>
      <c r="BL2278" s="3">
        <v>103.58</v>
      </c>
      <c r="BM2278" s="3">
        <v>15.54</v>
      </c>
      <c r="BN2278" s="3">
        <v>119.12</v>
      </c>
      <c r="BO2278" s="3">
        <v>119.12</v>
      </c>
      <c r="BQ2278" s="3" t="s">
        <v>2338</v>
      </c>
      <c r="BR2278" s="3" t="s">
        <v>84</v>
      </c>
      <c r="BS2278" s="4">
        <v>44587</v>
      </c>
      <c r="BT2278" s="5">
        <v>0.40972222222222227</v>
      </c>
      <c r="BU2278" s="3" t="s">
        <v>1390</v>
      </c>
      <c r="BV2278" s="3" t="s">
        <v>105</v>
      </c>
      <c r="BY2278" s="3">
        <v>91264</v>
      </c>
      <c r="BZ2278" s="3" t="s">
        <v>327</v>
      </c>
      <c r="CA2278" s="3" t="s">
        <v>345</v>
      </c>
      <c r="CC2278" s="3" t="s">
        <v>212</v>
      </c>
      <c r="CD2278" s="3">
        <v>2163</v>
      </c>
      <c r="CE2278" s="3" t="s">
        <v>86</v>
      </c>
      <c r="CF2278" s="4">
        <v>44588</v>
      </c>
      <c r="CI2278" s="3">
        <v>1</v>
      </c>
      <c r="CJ2278" s="3">
        <v>1</v>
      </c>
      <c r="CK2278" s="3">
        <v>42</v>
      </c>
      <c r="CL2278" s="3" t="s">
        <v>87</v>
      </c>
    </row>
    <row r="2279" spans="1:90" x14ac:dyDescent="0.2">
      <c r="A2279" s="3" t="s">
        <v>72</v>
      </c>
      <c r="B2279" s="3" t="s">
        <v>73</v>
      </c>
      <c r="C2279" s="3" t="s">
        <v>74</v>
      </c>
      <c r="E2279" s="3" t="str">
        <f>"FES1162846755"</f>
        <v>FES1162846755</v>
      </c>
      <c r="F2279" s="4">
        <v>44586</v>
      </c>
      <c r="G2279" s="3">
        <v>202207</v>
      </c>
      <c r="H2279" s="3" t="s">
        <v>75</v>
      </c>
      <c r="I2279" s="3" t="s">
        <v>76</v>
      </c>
      <c r="J2279" s="3" t="s">
        <v>77</v>
      </c>
      <c r="K2279" s="3" t="s">
        <v>78</v>
      </c>
      <c r="L2279" s="3" t="s">
        <v>97</v>
      </c>
      <c r="M2279" s="3" t="s">
        <v>98</v>
      </c>
      <c r="N2279" s="3" t="s">
        <v>232</v>
      </c>
      <c r="O2279" s="3" t="s">
        <v>82</v>
      </c>
      <c r="P2279" s="3" t="str">
        <f>"2170816113                    "</f>
        <v xml:space="preserve">2170816113                    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12.07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0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3">
        <v>0</v>
      </c>
      <c r="AY2279" s="3">
        <v>0</v>
      </c>
      <c r="AZ2279" s="3">
        <v>0</v>
      </c>
      <c r="BA2279" s="3">
        <v>0</v>
      </c>
      <c r="BB2279" s="3">
        <v>0</v>
      </c>
      <c r="BC2279" s="3">
        <v>0</v>
      </c>
      <c r="BD2279" s="3">
        <v>0</v>
      </c>
      <c r="BE2279" s="3">
        <v>0</v>
      </c>
      <c r="BF2279" s="3">
        <v>0</v>
      </c>
      <c r="BG2279" s="3">
        <v>0</v>
      </c>
      <c r="BH2279" s="3">
        <v>1</v>
      </c>
      <c r="BI2279" s="3">
        <v>1</v>
      </c>
      <c r="BJ2279" s="3">
        <v>0.2</v>
      </c>
      <c r="BK2279" s="3">
        <v>1</v>
      </c>
      <c r="BL2279" s="3">
        <v>46.08</v>
      </c>
      <c r="BM2279" s="3">
        <v>6.91</v>
      </c>
      <c r="BN2279" s="3">
        <v>52.99</v>
      </c>
      <c r="BO2279" s="3">
        <v>52.99</v>
      </c>
      <c r="BQ2279" s="3" t="s">
        <v>83</v>
      </c>
      <c r="BR2279" s="3" t="s">
        <v>84</v>
      </c>
      <c r="BS2279" s="4">
        <v>44587</v>
      </c>
      <c r="BT2279" s="5">
        <v>0.39097222222222222</v>
      </c>
      <c r="BU2279" s="3" t="s">
        <v>1190</v>
      </c>
      <c r="BV2279" s="3" t="s">
        <v>105</v>
      </c>
      <c r="BY2279" s="3">
        <v>1200</v>
      </c>
      <c r="BZ2279" s="3" t="s">
        <v>165</v>
      </c>
      <c r="CA2279" s="3" t="s">
        <v>297</v>
      </c>
      <c r="CC2279" s="3" t="s">
        <v>98</v>
      </c>
      <c r="CD2279" s="3">
        <v>2091</v>
      </c>
      <c r="CE2279" s="3" t="s">
        <v>86</v>
      </c>
      <c r="CF2279" s="4">
        <v>44588</v>
      </c>
      <c r="CI2279" s="3">
        <v>1</v>
      </c>
      <c r="CJ2279" s="3">
        <v>1</v>
      </c>
      <c r="CK2279" s="3">
        <v>22</v>
      </c>
      <c r="CL2279" s="3" t="s">
        <v>87</v>
      </c>
    </row>
    <row r="2280" spans="1:90" x14ac:dyDescent="0.2">
      <c r="A2280" s="3" t="s">
        <v>72</v>
      </c>
      <c r="B2280" s="3" t="s">
        <v>73</v>
      </c>
      <c r="C2280" s="3" t="s">
        <v>74</v>
      </c>
      <c r="E2280" s="3" t="str">
        <f>"FES1162846630"</f>
        <v>FES1162846630</v>
      </c>
      <c r="F2280" s="4">
        <v>44586</v>
      </c>
      <c r="G2280" s="3">
        <v>202207</v>
      </c>
      <c r="H2280" s="3" t="s">
        <v>75</v>
      </c>
      <c r="I2280" s="3" t="s">
        <v>76</v>
      </c>
      <c r="J2280" s="3" t="s">
        <v>77</v>
      </c>
      <c r="K2280" s="3" t="s">
        <v>78</v>
      </c>
      <c r="L2280" s="3" t="s">
        <v>90</v>
      </c>
      <c r="M2280" s="3" t="s">
        <v>91</v>
      </c>
      <c r="N2280" s="3" t="s">
        <v>735</v>
      </c>
      <c r="O2280" s="3" t="s">
        <v>82</v>
      </c>
      <c r="P2280" s="3" t="str">
        <f>"2170816821                    "</f>
        <v xml:space="preserve">2170816821                    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15.46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0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3">
        <v>0</v>
      </c>
      <c r="AY2280" s="3">
        <v>0</v>
      </c>
      <c r="AZ2280" s="3">
        <v>0</v>
      </c>
      <c r="BA2280" s="3">
        <v>0</v>
      </c>
      <c r="BB2280" s="3">
        <v>0</v>
      </c>
      <c r="BC2280" s="3">
        <v>0</v>
      </c>
      <c r="BD2280" s="3">
        <v>0</v>
      </c>
      <c r="BE2280" s="3">
        <v>0</v>
      </c>
      <c r="BF2280" s="3">
        <v>0</v>
      </c>
      <c r="BG2280" s="3">
        <v>0</v>
      </c>
      <c r="BH2280" s="3">
        <v>1</v>
      </c>
      <c r="BI2280" s="3">
        <v>1</v>
      </c>
      <c r="BJ2280" s="3">
        <v>0.2</v>
      </c>
      <c r="BK2280" s="3">
        <v>1</v>
      </c>
      <c r="BL2280" s="3">
        <v>59</v>
      </c>
      <c r="BM2280" s="3">
        <v>8.85</v>
      </c>
      <c r="BN2280" s="3">
        <v>67.849999999999994</v>
      </c>
      <c r="BO2280" s="3">
        <v>67.849999999999994</v>
      </c>
      <c r="BQ2280" s="3" t="s">
        <v>273</v>
      </c>
      <c r="BR2280" s="3" t="s">
        <v>84</v>
      </c>
      <c r="BS2280" s="4">
        <v>44587</v>
      </c>
      <c r="BT2280" s="5">
        <v>0.32500000000000001</v>
      </c>
      <c r="BU2280" s="3" t="s">
        <v>1804</v>
      </c>
      <c r="BV2280" s="3" t="s">
        <v>105</v>
      </c>
      <c r="BY2280" s="3">
        <v>1200</v>
      </c>
      <c r="BZ2280" s="3" t="s">
        <v>165</v>
      </c>
      <c r="CA2280" s="3" t="s">
        <v>566</v>
      </c>
      <c r="CC2280" s="3" t="s">
        <v>91</v>
      </c>
      <c r="CD2280" s="3">
        <v>7460</v>
      </c>
      <c r="CE2280" s="3" t="s">
        <v>93</v>
      </c>
      <c r="CF2280" s="4">
        <v>44588</v>
      </c>
      <c r="CI2280" s="3">
        <v>1</v>
      </c>
      <c r="CJ2280" s="3">
        <v>1</v>
      </c>
      <c r="CK2280" s="3">
        <v>21</v>
      </c>
      <c r="CL2280" s="3" t="s">
        <v>87</v>
      </c>
    </row>
    <row r="2281" spans="1:90" x14ac:dyDescent="0.2">
      <c r="A2281" s="3" t="s">
        <v>72</v>
      </c>
      <c r="B2281" s="3" t="s">
        <v>73</v>
      </c>
      <c r="C2281" s="3" t="s">
        <v>74</v>
      </c>
      <c r="E2281" s="3" t="str">
        <f>"FES1162846551"</f>
        <v>FES1162846551</v>
      </c>
      <c r="F2281" s="4">
        <v>44586</v>
      </c>
      <c r="G2281" s="3">
        <v>202207</v>
      </c>
      <c r="H2281" s="3" t="s">
        <v>75</v>
      </c>
      <c r="I2281" s="3" t="s">
        <v>76</v>
      </c>
      <c r="J2281" s="3" t="s">
        <v>77</v>
      </c>
      <c r="K2281" s="3" t="s">
        <v>78</v>
      </c>
      <c r="L2281" s="3" t="s">
        <v>101</v>
      </c>
      <c r="M2281" s="3" t="s">
        <v>102</v>
      </c>
      <c r="N2281" s="3" t="s">
        <v>2339</v>
      </c>
      <c r="O2281" s="3" t="s">
        <v>148</v>
      </c>
      <c r="P2281" s="3" t="str">
        <f>"2170817951                    "</f>
        <v xml:space="preserve">2170817951                    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38.51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0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3">
        <v>0</v>
      </c>
      <c r="AY2281" s="3">
        <v>0</v>
      </c>
      <c r="AZ2281" s="3">
        <v>0</v>
      </c>
      <c r="BA2281" s="3">
        <v>0</v>
      </c>
      <c r="BB2281" s="3">
        <v>0</v>
      </c>
      <c r="BC2281" s="3">
        <v>0</v>
      </c>
      <c r="BD2281" s="3">
        <v>0</v>
      </c>
      <c r="BE2281" s="3">
        <v>0</v>
      </c>
      <c r="BF2281" s="3">
        <v>0</v>
      </c>
      <c r="BG2281" s="3">
        <v>0</v>
      </c>
      <c r="BH2281" s="3">
        <v>1</v>
      </c>
      <c r="BI2281" s="3">
        <v>22</v>
      </c>
      <c r="BJ2281" s="3">
        <v>18.3</v>
      </c>
      <c r="BK2281" s="3">
        <v>22</v>
      </c>
      <c r="BL2281" s="3">
        <v>152.25</v>
      </c>
      <c r="BM2281" s="3">
        <v>22.84</v>
      </c>
      <c r="BN2281" s="3">
        <v>175.09</v>
      </c>
      <c r="BO2281" s="3">
        <v>175.09</v>
      </c>
      <c r="BQ2281" s="3" t="s">
        <v>750</v>
      </c>
      <c r="BR2281" s="3" t="s">
        <v>84</v>
      </c>
      <c r="BS2281" s="4">
        <v>44589</v>
      </c>
      <c r="BT2281" s="5">
        <v>0.3756944444444445</v>
      </c>
      <c r="BU2281" s="3" t="s">
        <v>2340</v>
      </c>
      <c r="BV2281" s="3" t="s">
        <v>87</v>
      </c>
      <c r="BW2281" s="3" t="s">
        <v>457</v>
      </c>
      <c r="BX2281" s="3" t="s">
        <v>1878</v>
      </c>
      <c r="BY2281" s="3">
        <v>91264</v>
      </c>
      <c r="BZ2281" s="3" t="s">
        <v>327</v>
      </c>
      <c r="CA2281" s="3" t="s">
        <v>2341</v>
      </c>
      <c r="CC2281" s="3" t="s">
        <v>102</v>
      </c>
      <c r="CD2281" s="3">
        <v>4001</v>
      </c>
      <c r="CE2281" s="3" t="s">
        <v>86</v>
      </c>
      <c r="CI2281" s="3">
        <v>1</v>
      </c>
      <c r="CJ2281" s="3">
        <v>3</v>
      </c>
      <c r="CK2281" s="3">
        <v>41</v>
      </c>
      <c r="CL2281" s="3" t="s">
        <v>87</v>
      </c>
    </row>
    <row r="2282" spans="1:90" x14ac:dyDescent="0.2">
      <c r="A2282" s="3" t="s">
        <v>72</v>
      </c>
      <c r="B2282" s="3" t="s">
        <v>73</v>
      </c>
      <c r="C2282" s="3" t="s">
        <v>74</v>
      </c>
      <c r="E2282" s="3" t="str">
        <f>"FES1162846593"</f>
        <v>FES1162846593</v>
      </c>
      <c r="F2282" s="4">
        <v>44586</v>
      </c>
      <c r="G2282" s="3">
        <v>202207</v>
      </c>
      <c r="H2282" s="3" t="s">
        <v>75</v>
      </c>
      <c r="I2282" s="3" t="s">
        <v>76</v>
      </c>
      <c r="J2282" s="3" t="s">
        <v>77</v>
      </c>
      <c r="K2282" s="3" t="s">
        <v>78</v>
      </c>
      <c r="L2282" s="3" t="s">
        <v>176</v>
      </c>
      <c r="M2282" s="3" t="s">
        <v>177</v>
      </c>
      <c r="N2282" s="3" t="s">
        <v>178</v>
      </c>
      <c r="O2282" s="3" t="s">
        <v>82</v>
      </c>
      <c r="P2282" s="3" t="str">
        <f>"2170817995                    "</f>
        <v xml:space="preserve">2170817995                    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15.46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0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3">
        <v>0</v>
      </c>
      <c r="AY2282" s="3">
        <v>0</v>
      </c>
      <c r="AZ2282" s="3">
        <v>0</v>
      </c>
      <c r="BA2282" s="3">
        <v>0</v>
      </c>
      <c r="BB2282" s="3">
        <v>0</v>
      </c>
      <c r="BC2282" s="3">
        <v>0</v>
      </c>
      <c r="BD2282" s="3">
        <v>0</v>
      </c>
      <c r="BE2282" s="3">
        <v>0</v>
      </c>
      <c r="BF2282" s="3">
        <v>0</v>
      </c>
      <c r="BG2282" s="3">
        <v>0</v>
      </c>
      <c r="BH2282" s="3">
        <v>1</v>
      </c>
      <c r="BI2282" s="3">
        <v>1</v>
      </c>
      <c r="BJ2282" s="3">
        <v>0.2</v>
      </c>
      <c r="BK2282" s="3">
        <v>1</v>
      </c>
      <c r="BL2282" s="3">
        <v>59</v>
      </c>
      <c r="BM2282" s="3">
        <v>8.85</v>
      </c>
      <c r="BN2282" s="3">
        <v>67.849999999999994</v>
      </c>
      <c r="BO2282" s="3">
        <v>67.849999999999994</v>
      </c>
      <c r="BQ2282" s="3" t="s">
        <v>83</v>
      </c>
      <c r="BR2282" s="3" t="s">
        <v>84</v>
      </c>
      <c r="BS2282" s="4">
        <v>44587</v>
      </c>
      <c r="BT2282" s="5">
        <v>0.35138888888888892</v>
      </c>
      <c r="BU2282" s="3" t="s">
        <v>2342</v>
      </c>
      <c r="BV2282" s="3" t="s">
        <v>105</v>
      </c>
      <c r="BY2282" s="3">
        <v>1200</v>
      </c>
      <c r="BZ2282" s="3" t="s">
        <v>165</v>
      </c>
      <c r="CA2282" s="3" t="s">
        <v>528</v>
      </c>
      <c r="CC2282" s="3" t="s">
        <v>177</v>
      </c>
      <c r="CD2282" s="3">
        <v>4026</v>
      </c>
      <c r="CE2282" s="3" t="s">
        <v>93</v>
      </c>
      <c r="CF2282" s="4">
        <v>44588</v>
      </c>
      <c r="CI2282" s="3">
        <v>1</v>
      </c>
      <c r="CJ2282" s="3">
        <v>1</v>
      </c>
      <c r="CK2282" s="3">
        <v>21</v>
      </c>
      <c r="CL2282" s="3" t="s">
        <v>87</v>
      </c>
    </row>
    <row r="2283" spans="1:90" x14ac:dyDescent="0.2">
      <c r="A2283" s="3" t="s">
        <v>72</v>
      </c>
      <c r="B2283" s="3" t="s">
        <v>73</v>
      </c>
      <c r="C2283" s="3" t="s">
        <v>74</v>
      </c>
      <c r="E2283" s="3" t="str">
        <f>"FES1162846647"</f>
        <v>FES1162846647</v>
      </c>
      <c r="F2283" s="4">
        <v>44586</v>
      </c>
      <c r="G2283" s="3">
        <v>202207</v>
      </c>
      <c r="H2283" s="3" t="s">
        <v>75</v>
      </c>
      <c r="I2283" s="3" t="s">
        <v>76</v>
      </c>
      <c r="J2283" s="3" t="s">
        <v>77</v>
      </c>
      <c r="K2283" s="3" t="s">
        <v>78</v>
      </c>
      <c r="L2283" s="3" t="s">
        <v>97</v>
      </c>
      <c r="M2283" s="3" t="s">
        <v>98</v>
      </c>
      <c r="N2283" s="3" t="s">
        <v>2343</v>
      </c>
      <c r="O2283" s="3" t="s">
        <v>82</v>
      </c>
      <c r="P2283" s="3" t="str">
        <f>"2170818028                    "</f>
        <v xml:space="preserve">2170818028                    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12.07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0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3">
        <v>0</v>
      </c>
      <c r="AY2283" s="3">
        <v>0</v>
      </c>
      <c r="AZ2283" s="3">
        <v>0</v>
      </c>
      <c r="BA2283" s="3">
        <v>0</v>
      </c>
      <c r="BB2283" s="3">
        <v>0</v>
      </c>
      <c r="BC2283" s="3">
        <v>0</v>
      </c>
      <c r="BD2283" s="3">
        <v>0</v>
      </c>
      <c r="BE2283" s="3">
        <v>0</v>
      </c>
      <c r="BF2283" s="3">
        <v>0</v>
      </c>
      <c r="BG2283" s="3">
        <v>0</v>
      </c>
      <c r="BH2283" s="3">
        <v>1</v>
      </c>
      <c r="BI2283" s="3">
        <v>1</v>
      </c>
      <c r="BJ2283" s="3">
        <v>0.2</v>
      </c>
      <c r="BK2283" s="3">
        <v>1</v>
      </c>
      <c r="BL2283" s="3">
        <v>46.08</v>
      </c>
      <c r="BM2283" s="3">
        <v>6.91</v>
      </c>
      <c r="BN2283" s="3">
        <v>52.99</v>
      </c>
      <c r="BO2283" s="3">
        <v>52.99</v>
      </c>
      <c r="BQ2283" s="3" t="s">
        <v>89</v>
      </c>
      <c r="BR2283" s="3" t="s">
        <v>84</v>
      </c>
      <c r="BS2283" s="4">
        <v>44587</v>
      </c>
      <c r="BT2283" s="5">
        <v>0.33124999999999999</v>
      </c>
      <c r="BU2283" s="3" t="s">
        <v>1143</v>
      </c>
      <c r="BV2283" s="3" t="s">
        <v>105</v>
      </c>
      <c r="BY2283" s="3">
        <v>1200</v>
      </c>
      <c r="BZ2283" s="3" t="s">
        <v>165</v>
      </c>
      <c r="CA2283" s="3" t="s">
        <v>320</v>
      </c>
      <c r="CC2283" s="3" t="s">
        <v>98</v>
      </c>
      <c r="CD2283" s="3">
        <v>2042</v>
      </c>
      <c r="CE2283" s="3" t="s">
        <v>86</v>
      </c>
      <c r="CF2283" s="4">
        <v>44587</v>
      </c>
      <c r="CI2283" s="3">
        <v>1</v>
      </c>
      <c r="CJ2283" s="3">
        <v>1</v>
      </c>
      <c r="CK2283" s="3">
        <v>22</v>
      </c>
      <c r="CL2283" s="3" t="s">
        <v>87</v>
      </c>
    </row>
    <row r="2284" spans="1:90" x14ac:dyDescent="0.2">
      <c r="A2284" s="3" t="s">
        <v>72</v>
      </c>
      <c r="B2284" s="3" t="s">
        <v>73</v>
      </c>
      <c r="C2284" s="3" t="s">
        <v>74</v>
      </c>
      <c r="E2284" s="3" t="str">
        <f>"FES1162846568"</f>
        <v>FES1162846568</v>
      </c>
      <c r="F2284" s="4">
        <v>44586</v>
      </c>
      <c r="G2284" s="3">
        <v>202207</v>
      </c>
      <c r="H2284" s="3" t="s">
        <v>75</v>
      </c>
      <c r="I2284" s="3" t="s">
        <v>76</v>
      </c>
      <c r="J2284" s="3" t="s">
        <v>77</v>
      </c>
      <c r="K2284" s="3" t="s">
        <v>78</v>
      </c>
      <c r="L2284" s="3" t="s">
        <v>90</v>
      </c>
      <c r="M2284" s="3" t="s">
        <v>91</v>
      </c>
      <c r="N2284" s="3" t="s">
        <v>776</v>
      </c>
      <c r="O2284" s="3" t="s">
        <v>82</v>
      </c>
      <c r="P2284" s="3" t="str">
        <f>"2170817974                    "</f>
        <v xml:space="preserve">2170817974                    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15.46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0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3">
        <v>0</v>
      </c>
      <c r="AY2284" s="3">
        <v>0</v>
      </c>
      <c r="AZ2284" s="3">
        <v>0</v>
      </c>
      <c r="BA2284" s="3">
        <v>0</v>
      </c>
      <c r="BB2284" s="3">
        <v>0</v>
      </c>
      <c r="BC2284" s="3">
        <v>0</v>
      </c>
      <c r="BD2284" s="3">
        <v>0</v>
      </c>
      <c r="BE2284" s="3">
        <v>0</v>
      </c>
      <c r="BF2284" s="3">
        <v>0</v>
      </c>
      <c r="BG2284" s="3">
        <v>0</v>
      </c>
      <c r="BH2284" s="3">
        <v>1</v>
      </c>
      <c r="BI2284" s="3">
        <v>1</v>
      </c>
      <c r="BJ2284" s="3">
        <v>0.2</v>
      </c>
      <c r="BK2284" s="3">
        <v>1</v>
      </c>
      <c r="BL2284" s="3">
        <v>59</v>
      </c>
      <c r="BM2284" s="3">
        <v>8.85</v>
      </c>
      <c r="BN2284" s="3">
        <v>67.849999999999994</v>
      </c>
      <c r="BO2284" s="3">
        <v>67.849999999999994</v>
      </c>
      <c r="BQ2284" s="3" t="s">
        <v>83</v>
      </c>
      <c r="BR2284" s="3" t="s">
        <v>84</v>
      </c>
      <c r="BS2284" s="4">
        <v>44587</v>
      </c>
      <c r="BT2284" s="5">
        <v>0.61249999999999993</v>
      </c>
      <c r="BU2284" s="3" t="s">
        <v>2344</v>
      </c>
      <c r="BV2284" s="3" t="s">
        <v>87</v>
      </c>
      <c r="BW2284" s="3" t="s">
        <v>457</v>
      </c>
      <c r="BX2284" s="3" t="s">
        <v>354</v>
      </c>
      <c r="BY2284" s="3">
        <v>1200</v>
      </c>
      <c r="BZ2284" s="3" t="s">
        <v>165</v>
      </c>
      <c r="CA2284" s="3" t="s">
        <v>603</v>
      </c>
      <c r="CC2284" s="3" t="s">
        <v>91</v>
      </c>
      <c r="CD2284" s="3">
        <v>7975</v>
      </c>
      <c r="CE2284" s="3" t="s">
        <v>93</v>
      </c>
      <c r="CF2284" s="4">
        <v>44588</v>
      </c>
      <c r="CI2284" s="3">
        <v>1</v>
      </c>
      <c r="CJ2284" s="3">
        <v>1</v>
      </c>
      <c r="CK2284" s="3">
        <v>21</v>
      </c>
      <c r="CL2284" s="3" t="s">
        <v>87</v>
      </c>
    </row>
    <row r="2285" spans="1:90" x14ac:dyDescent="0.2">
      <c r="A2285" s="3" t="s">
        <v>72</v>
      </c>
      <c r="B2285" s="3" t="s">
        <v>73</v>
      </c>
      <c r="C2285" s="3" t="s">
        <v>74</v>
      </c>
      <c r="E2285" s="3" t="str">
        <f>"FES1162846565"</f>
        <v>FES1162846565</v>
      </c>
      <c r="F2285" s="4">
        <v>44586</v>
      </c>
      <c r="G2285" s="3">
        <v>202207</v>
      </c>
      <c r="H2285" s="3" t="s">
        <v>75</v>
      </c>
      <c r="I2285" s="3" t="s">
        <v>76</v>
      </c>
      <c r="J2285" s="3" t="s">
        <v>77</v>
      </c>
      <c r="K2285" s="3" t="s">
        <v>78</v>
      </c>
      <c r="L2285" s="3" t="s">
        <v>138</v>
      </c>
      <c r="M2285" s="3" t="s">
        <v>139</v>
      </c>
      <c r="N2285" s="3" t="s">
        <v>238</v>
      </c>
      <c r="O2285" s="3" t="s">
        <v>82</v>
      </c>
      <c r="P2285" s="3" t="str">
        <f>"2170817969                    "</f>
        <v xml:space="preserve">2170817969                    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15.46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0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3">
        <v>0</v>
      </c>
      <c r="AY2285" s="3">
        <v>0</v>
      </c>
      <c r="AZ2285" s="3">
        <v>0</v>
      </c>
      <c r="BA2285" s="3">
        <v>0</v>
      </c>
      <c r="BB2285" s="3">
        <v>0</v>
      </c>
      <c r="BC2285" s="3">
        <v>0</v>
      </c>
      <c r="BD2285" s="3">
        <v>0</v>
      </c>
      <c r="BE2285" s="3">
        <v>0</v>
      </c>
      <c r="BF2285" s="3">
        <v>0</v>
      </c>
      <c r="BG2285" s="3">
        <v>0</v>
      </c>
      <c r="BH2285" s="3">
        <v>1</v>
      </c>
      <c r="BI2285" s="3">
        <v>1</v>
      </c>
      <c r="BJ2285" s="3">
        <v>0.2</v>
      </c>
      <c r="BK2285" s="3">
        <v>1</v>
      </c>
      <c r="BL2285" s="3">
        <v>59</v>
      </c>
      <c r="BM2285" s="3">
        <v>8.85</v>
      </c>
      <c r="BN2285" s="3">
        <v>67.849999999999994</v>
      </c>
      <c r="BO2285" s="3">
        <v>67.849999999999994</v>
      </c>
      <c r="BQ2285" s="3" t="s">
        <v>89</v>
      </c>
      <c r="BR2285" s="3" t="s">
        <v>84</v>
      </c>
      <c r="BS2285" s="4">
        <v>44587</v>
      </c>
      <c r="BT2285" s="5">
        <v>0.34861111111111115</v>
      </c>
      <c r="BU2285" s="3" t="s">
        <v>469</v>
      </c>
      <c r="BV2285" s="3" t="s">
        <v>105</v>
      </c>
      <c r="BY2285" s="3">
        <v>1200</v>
      </c>
      <c r="BZ2285" s="3" t="s">
        <v>165</v>
      </c>
      <c r="CA2285" s="3" t="s">
        <v>303</v>
      </c>
      <c r="CC2285" s="3" t="s">
        <v>139</v>
      </c>
      <c r="CD2285" s="3">
        <v>3610</v>
      </c>
      <c r="CE2285" s="3" t="s">
        <v>93</v>
      </c>
      <c r="CF2285" s="4">
        <v>44588</v>
      </c>
      <c r="CI2285" s="3">
        <v>1</v>
      </c>
      <c r="CJ2285" s="3">
        <v>1</v>
      </c>
      <c r="CK2285" s="3">
        <v>21</v>
      </c>
      <c r="CL2285" s="3" t="s">
        <v>87</v>
      </c>
    </row>
    <row r="2286" spans="1:90" x14ac:dyDescent="0.2">
      <c r="A2286" s="3" t="s">
        <v>72</v>
      </c>
      <c r="B2286" s="3" t="s">
        <v>73</v>
      </c>
      <c r="C2286" s="3" t="s">
        <v>74</v>
      </c>
      <c r="E2286" s="3" t="str">
        <f>"FES1162846869"</f>
        <v>FES1162846869</v>
      </c>
      <c r="F2286" s="4">
        <v>44586</v>
      </c>
      <c r="G2286" s="3">
        <v>202207</v>
      </c>
      <c r="H2286" s="3" t="s">
        <v>75</v>
      </c>
      <c r="I2286" s="3" t="s">
        <v>76</v>
      </c>
      <c r="J2286" s="3" t="s">
        <v>77</v>
      </c>
      <c r="K2286" s="3" t="s">
        <v>78</v>
      </c>
      <c r="L2286" s="3" t="s">
        <v>90</v>
      </c>
      <c r="M2286" s="3" t="s">
        <v>91</v>
      </c>
      <c r="N2286" s="3" t="s">
        <v>630</v>
      </c>
      <c r="O2286" s="3" t="s">
        <v>82</v>
      </c>
      <c r="P2286" s="3" t="str">
        <f>"2170818147                    "</f>
        <v xml:space="preserve">2170818147                    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15.46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0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3">
        <v>0</v>
      </c>
      <c r="AY2286" s="3">
        <v>0</v>
      </c>
      <c r="AZ2286" s="3">
        <v>0</v>
      </c>
      <c r="BA2286" s="3">
        <v>0</v>
      </c>
      <c r="BB2286" s="3">
        <v>0</v>
      </c>
      <c r="BC2286" s="3">
        <v>0</v>
      </c>
      <c r="BD2286" s="3">
        <v>0</v>
      </c>
      <c r="BE2286" s="3">
        <v>0</v>
      </c>
      <c r="BF2286" s="3">
        <v>0</v>
      </c>
      <c r="BG2286" s="3">
        <v>0</v>
      </c>
      <c r="BH2286" s="3">
        <v>1</v>
      </c>
      <c r="BI2286" s="3">
        <v>1</v>
      </c>
      <c r="BJ2286" s="3">
        <v>0.2</v>
      </c>
      <c r="BK2286" s="3">
        <v>1</v>
      </c>
      <c r="BL2286" s="3">
        <v>59</v>
      </c>
      <c r="BM2286" s="3">
        <v>8.85</v>
      </c>
      <c r="BN2286" s="3">
        <v>67.849999999999994</v>
      </c>
      <c r="BO2286" s="3">
        <v>67.849999999999994</v>
      </c>
      <c r="BQ2286" s="3" t="s">
        <v>89</v>
      </c>
      <c r="BR2286" s="3" t="s">
        <v>84</v>
      </c>
      <c r="BS2286" s="4">
        <v>44587</v>
      </c>
      <c r="BT2286" s="5">
        <v>0.43194444444444446</v>
      </c>
      <c r="BU2286" s="3" t="s">
        <v>631</v>
      </c>
      <c r="BV2286" s="3" t="s">
        <v>105</v>
      </c>
      <c r="BY2286" s="3">
        <v>1200</v>
      </c>
      <c r="BZ2286" s="3" t="s">
        <v>165</v>
      </c>
      <c r="CA2286" s="3" t="s">
        <v>2345</v>
      </c>
      <c r="CC2286" s="3" t="s">
        <v>91</v>
      </c>
      <c r="CD2286" s="3">
        <v>7780</v>
      </c>
      <c r="CE2286" s="3" t="s">
        <v>93</v>
      </c>
      <c r="CF2286" s="4">
        <v>44588</v>
      </c>
      <c r="CI2286" s="3">
        <v>1</v>
      </c>
      <c r="CJ2286" s="3">
        <v>1</v>
      </c>
      <c r="CK2286" s="3">
        <v>21</v>
      </c>
      <c r="CL2286" s="3" t="s">
        <v>87</v>
      </c>
    </row>
    <row r="2287" spans="1:90" x14ac:dyDescent="0.2">
      <c r="A2287" s="3" t="s">
        <v>72</v>
      </c>
      <c r="B2287" s="3" t="s">
        <v>73</v>
      </c>
      <c r="C2287" s="3" t="s">
        <v>74</v>
      </c>
      <c r="E2287" s="3" t="str">
        <f>"FES1162841630"</f>
        <v>FES1162841630</v>
      </c>
      <c r="F2287" s="4">
        <v>44586</v>
      </c>
      <c r="G2287" s="3">
        <v>202207</v>
      </c>
      <c r="H2287" s="3" t="s">
        <v>75</v>
      </c>
      <c r="I2287" s="3" t="s">
        <v>76</v>
      </c>
      <c r="J2287" s="3" t="s">
        <v>77</v>
      </c>
      <c r="K2287" s="3" t="s">
        <v>78</v>
      </c>
      <c r="L2287" s="3" t="s">
        <v>90</v>
      </c>
      <c r="M2287" s="3" t="s">
        <v>91</v>
      </c>
      <c r="N2287" s="3" t="s">
        <v>2116</v>
      </c>
      <c r="O2287" s="3" t="s">
        <v>82</v>
      </c>
      <c r="P2287" s="3" t="str">
        <f>"2170809792                    "</f>
        <v xml:space="preserve">2170809792                    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15.46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0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3">
        <v>0</v>
      </c>
      <c r="AY2287" s="3">
        <v>0</v>
      </c>
      <c r="AZ2287" s="3">
        <v>0</v>
      </c>
      <c r="BA2287" s="3">
        <v>0</v>
      </c>
      <c r="BB2287" s="3">
        <v>0</v>
      </c>
      <c r="BC2287" s="3">
        <v>0</v>
      </c>
      <c r="BD2287" s="3">
        <v>0</v>
      </c>
      <c r="BE2287" s="3">
        <v>0</v>
      </c>
      <c r="BF2287" s="3">
        <v>0</v>
      </c>
      <c r="BG2287" s="3">
        <v>0</v>
      </c>
      <c r="BH2287" s="3">
        <v>1</v>
      </c>
      <c r="BI2287" s="3">
        <v>1</v>
      </c>
      <c r="BJ2287" s="3">
        <v>0.2</v>
      </c>
      <c r="BK2287" s="3">
        <v>1</v>
      </c>
      <c r="BL2287" s="3">
        <v>59</v>
      </c>
      <c r="BM2287" s="3">
        <v>8.85</v>
      </c>
      <c r="BN2287" s="3">
        <v>67.849999999999994</v>
      </c>
      <c r="BO2287" s="3">
        <v>67.849999999999994</v>
      </c>
      <c r="BQ2287" s="3" t="s">
        <v>2117</v>
      </c>
      <c r="BR2287" s="3" t="s">
        <v>84</v>
      </c>
      <c r="BS2287" s="4">
        <v>44587</v>
      </c>
      <c r="BT2287" s="5">
        <v>0.36180555555555555</v>
      </c>
      <c r="BU2287" s="3" t="s">
        <v>925</v>
      </c>
      <c r="BV2287" s="3" t="s">
        <v>105</v>
      </c>
      <c r="BY2287" s="3">
        <v>1200</v>
      </c>
      <c r="BZ2287" s="3" t="s">
        <v>165</v>
      </c>
      <c r="CA2287" s="3" t="s">
        <v>289</v>
      </c>
      <c r="CC2287" s="3" t="s">
        <v>91</v>
      </c>
      <c r="CD2287" s="3">
        <v>7405</v>
      </c>
      <c r="CE2287" s="3" t="s">
        <v>93</v>
      </c>
      <c r="CF2287" s="4">
        <v>44588</v>
      </c>
      <c r="CI2287" s="3">
        <v>1</v>
      </c>
      <c r="CJ2287" s="3">
        <v>1</v>
      </c>
      <c r="CK2287" s="3">
        <v>21</v>
      </c>
      <c r="CL2287" s="3" t="s">
        <v>87</v>
      </c>
    </row>
    <row r="2288" spans="1:90" x14ac:dyDescent="0.2">
      <c r="A2288" s="3" t="s">
        <v>72</v>
      </c>
      <c r="B2288" s="3" t="s">
        <v>73</v>
      </c>
      <c r="C2288" s="3" t="s">
        <v>74</v>
      </c>
      <c r="E2288" s="3" t="str">
        <f>"FES1162846684"</f>
        <v>FES1162846684</v>
      </c>
      <c r="F2288" s="4">
        <v>44586</v>
      </c>
      <c r="G2288" s="3">
        <v>202207</v>
      </c>
      <c r="H2288" s="3" t="s">
        <v>75</v>
      </c>
      <c r="I2288" s="3" t="s">
        <v>76</v>
      </c>
      <c r="J2288" s="3" t="s">
        <v>77</v>
      </c>
      <c r="K2288" s="3" t="s">
        <v>78</v>
      </c>
      <c r="L2288" s="3" t="s">
        <v>75</v>
      </c>
      <c r="M2288" s="3" t="s">
        <v>76</v>
      </c>
      <c r="N2288" s="3" t="s">
        <v>147</v>
      </c>
      <c r="O2288" s="3" t="s">
        <v>82</v>
      </c>
      <c r="P2288" s="3" t="str">
        <f>"2170816236                    "</f>
        <v xml:space="preserve">2170816236                    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12.07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0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3">
        <v>0</v>
      </c>
      <c r="AY2288" s="3">
        <v>0</v>
      </c>
      <c r="AZ2288" s="3">
        <v>0</v>
      </c>
      <c r="BA2288" s="3">
        <v>0</v>
      </c>
      <c r="BB2288" s="3">
        <v>0</v>
      </c>
      <c r="BC2288" s="3">
        <v>0</v>
      </c>
      <c r="BD2288" s="3">
        <v>0</v>
      </c>
      <c r="BE2288" s="3">
        <v>0</v>
      </c>
      <c r="BF2288" s="3">
        <v>0</v>
      </c>
      <c r="BG2288" s="3">
        <v>0</v>
      </c>
      <c r="BH2288" s="3">
        <v>1</v>
      </c>
      <c r="BI2288" s="3">
        <v>1</v>
      </c>
      <c r="BJ2288" s="3">
        <v>0.2</v>
      </c>
      <c r="BK2288" s="3">
        <v>1</v>
      </c>
      <c r="BL2288" s="3">
        <v>46.08</v>
      </c>
      <c r="BM2288" s="3">
        <v>6.91</v>
      </c>
      <c r="BN2288" s="3">
        <v>52.99</v>
      </c>
      <c r="BO2288" s="3">
        <v>52.99</v>
      </c>
      <c r="BQ2288" s="3" t="s">
        <v>89</v>
      </c>
      <c r="BR2288" s="3" t="s">
        <v>84</v>
      </c>
      <c r="BS2288" s="4">
        <v>44587</v>
      </c>
      <c r="BT2288" s="5">
        <v>0.4152777777777778</v>
      </c>
      <c r="BU2288" s="3" t="s">
        <v>476</v>
      </c>
      <c r="BV2288" s="3" t="s">
        <v>105</v>
      </c>
      <c r="BY2288" s="3">
        <v>1200</v>
      </c>
      <c r="BZ2288" s="3" t="s">
        <v>165</v>
      </c>
      <c r="CA2288" s="3" t="s">
        <v>477</v>
      </c>
      <c r="CC2288" s="3" t="s">
        <v>76</v>
      </c>
      <c r="CD2288" s="3">
        <v>1645</v>
      </c>
      <c r="CE2288" s="3" t="s">
        <v>86</v>
      </c>
      <c r="CF2288" s="4">
        <v>44588</v>
      </c>
      <c r="CI2288" s="3">
        <v>1</v>
      </c>
      <c r="CJ2288" s="3">
        <v>1</v>
      </c>
      <c r="CK2288" s="3">
        <v>22</v>
      </c>
      <c r="CL2288" s="3" t="s">
        <v>87</v>
      </c>
    </row>
    <row r="2289" spans="1:90" x14ac:dyDescent="0.2">
      <c r="A2289" s="3" t="s">
        <v>72</v>
      </c>
      <c r="B2289" s="3" t="s">
        <v>73</v>
      </c>
      <c r="C2289" s="3" t="s">
        <v>74</v>
      </c>
      <c r="E2289" s="3" t="str">
        <f>"FES1162846638"</f>
        <v>FES1162846638</v>
      </c>
      <c r="F2289" s="4">
        <v>44586</v>
      </c>
      <c r="G2289" s="3">
        <v>202207</v>
      </c>
      <c r="H2289" s="3" t="s">
        <v>75</v>
      </c>
      <c r="I2289" s="3" t="s">
        <v>76</v>
      </c>
      <c r="J2289" s="3" t="s">
        <v>77</v>
      </c>
      <c r="K2289" s="3" t="s">
        <v>78</v>
      </c>
      <c r="L2289" s="3" t="s">
        <v>110</v>
      </c>
      <c r="M2289" s="3" t="s">
        <v>110</v>
      </c>
      <c r="N2289" s="3" t="s">
        <v>954</v>
      </c>
      <c r="O2289" s="3" t="s">
        <v>82</v>
      </c>
      <c r="P2289" s="3" t="str">
        <f>"2170817871                    "</f>
        <v xml:space="preserve">2170817871                    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29.95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0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3">
        <v>0</v>
      </c>
      <c r="AY2289" s="3">
        <v>0</v>
      </c>
      <c r="AZ2289" s="3">
        <v>0</v>
      </c>
      <c r="BA2289" s="3">
        <v>0</v>
      </c>
      <c r="BB2289" s="3">
        <v>0</v>
      </c>
      <c r="BC2289" s="3">
        <v>0</v>
      </c>
      <c r="BD2289" s="3">
        <v>0</v>
      </c>
      <c r="BE2289" s="3">
        <v>0</v>
      </c>
      <c r="BF2289" s="3">
        <v>0</v>
      </c>
      <c r="BG2289" s="3">
        <v>0</v>
      </c>
      <c r="BH2289" s="3">
        <v>1</v>
      </c>
      <c r="BI2289" s="3">
        <v>2</v>
      </c>
      <c r="BJ2289" s="3">
        <v>2</v>
      </c>
      <c r="BK2289" s="3">
        <v>2</v>
      </c>
      <c r="BL2289" s="3">
        <v>114.31</v>
      </c>
      <c r="BM2289" s="3">
        <v>17.149999999999999</v>
      </c>
      <c r="BN2289" s="3">
        <v>131.46</v>
      </c>
      <c r="BO2289" s="3">
        <v>131.46</v>
      </c>
      <c r="BQ2289" s="3" t="s">
        <v>83</v>
      </c>
      <c r="BR2289" s="3" t="s">
        <v>84</v>
      </c>
      <c r="BS2289" s="4">
        <v>44587</v>
      </c>
      <c r="BT2289" s="5">
        <v>0.56111111111111112</v>
      </c>
      <c r="BU2289" s="3" t="s">
        <v>955</v>
      </c>
      <c r="BV2289" s="3" t="s">
        <v>87</v>
      </c>
      <c r="BW2289" s="3" t="s">
        <v>457</v>
      </c>
      <c r="BX2289" s="3" t="s">
        <v>354</v>
      </c>
      <c r="BY2289" s="3">
        <v>9900</v>
      </c>
      <c r="BZ2289" s="3" t="s">
        <v>165</v>
      </c>
      <c r="CA2289" s="3" t="s">
        <v>563</v>
      </c>
      <c r="CC2289" s="3" t="s">
        <v>110</v>
      </c>
      <c r="CD2289" s="3">
        <v>7646</v>
      </c>
      <c r="CE2289" s="3" t="s">
        <v>86</v>
      </c>
      <c r="CF2289" s="4">
        <v>44588</v>
      </c>
      <c r="CI2289" s="3">
        <v>1</v>
      </c>
      <c r="CJ2289" s="3">
        <v>1</v>
      </c>
      <c r="CK2289" s="3">
        <v>23</v>
      </c>
      <c r="CL2289" s="3" t="s">
        <v>87</v>
      </c>
    </row>
    <row r="2290" spans="1:90" x14ac:dyDescent="0.2">
      <c r="A2290" s="3" t="s">
        <v>72</v>
      </c>
      <c r="B2290" s="3" t="s">
        <v>73</v>
      </c>
      <c r="C2290" s="3" t="s">
        <v>74</v>
      </c>
      <c r="E2290" s="3" t="str">
        <f>"FES1162846774"</f>
        <v>FES1162846774</v>
      </c>
      <c r="F2290" s="4">
        <v>44586</v>
      </c>
      <c r="G2290" s="3">
        <v>202207</v>
      </c>
      <c r="H2290" s="3" t="s">
        <v>75</v>
      </c>
      <c r="I2290" s="3" t="s">
        <v>76</v>
      </c>
      <c r="J2290" s="3" t="s">
        <v>77</v>
      </c>
      <c r="K2290" s="3" t="s">
        <v>78</v>
      </c>
      <c r="L2290" s="3" t="s">
        <v>90</v>
      </c>
      <c r="M2290" s="3" t="s">
        <v>91</v>
      </c>
      <c r="N2290" s="3" t="s">
        <v>210</v>
      </c>
      <c r="O2290" s="3" t="s">
        <v>82</v>
      </c>
      <c r="P2290" s="3" t="str">
        <f>"2170816285                    "</f>
        <v xml:space="preserve">2170816285                    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15.46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Q2290" s="3">
        <v>0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3">
        <v>0</v>
      </c>
      <c r="AY2290" s="3">
        <v>0</v>
      </c>
      <c r="AZ2290" s="3">
        <v>0</v>
      </c>
      <c r="BA2290" s="3">
        <v>0</v>
      </c>
      <c r="BB2290" s="3">
        <v>0</v>
      </c>
      <c r="BC2290" s="3">
        <v>0</v>
      </c>
      <c r="BD2290" s="3">
        <v>0</v>
      </c>
      <c r="BE2290" s="3">
        <v>0</v>
      </c>
      <c r="BF2290" s="3">
        <v>0</v>
      </c>
      <c r="BG2290" s="3">
        <v>0</v>
      </c>
      <c r="BH2290" s="3">
        <v>1</v>
      </c>
      <c r="BI2290" s="3">
        <v>1</v>
      </c>
      <c r="BJ2290" s="3">
        <v>0.2</v>
      </c>
      <c r="BK2290" s="3">
        <v>1</v>
      </c>
      <c r="BL2290" s="3">
        <v>59</v>
      </c>
      <c r="BM2290" s="3">
        <v>8.85</v>
      </c>
      <c r="BN2290" s="3">
        <v>67.849999999999994</v>
      </c>
      <c r="BO2290" s="3">
        <v>67.849999999999994</v>
      </c>
      <c r="BQ2290" s="3" t="s">
        <v>89</v>
      </c>
      <c r="BR2290" s="3" t="s">
        <v>84</v>
      </c>
      <c r="BS2290" s="4">
        <v>44587</v>
      </c>
      <c r="BT2290" s="5">
        <v>0.47430555555555554</v>
      </c>
      <c r="BU2290" s="3" t="s">
        <v>1579</v>
      </c>
      <c r="BV2290" s="3" t="s">
        <v>87</v>
      </c>
      <c r="BW2290" s="3" t="s">
        <v>457</v>
      </c>
      <c r="BX2290" s="3" t="s">
        <v>602</v>
      </c>
      <c r="BY2290" s="3">
        <v>1200</v>
      </c>
      <c r="BZ2290" s="3" t="s">
        <v>165</v>
      </c>
      <c r="CA2290" s="3" t="s">
        <v>289</v>
      </c>
      <c r="CC2290" s="3" t="s">
        <v>91</v>
      </c>
      <c r="CD2290" s="3">
        <v>7441</v>
      </c>
      <c r="CE2290" s="3" t="s">
        <v>93</v>
      </c>
      <c r="CF2290" s="4">
        <v>44588</v>
      </c>
      <c r="CI2290" s="3">
        <v>1</v>
      </c>
      <c r="CJ2290" s="3">
        <v>1</v>
      </c>
      <c r="CK2290" s="3">
        <v>21</v>
      </c>
      <c r="CL2290" s="3" t="s">
        <v>87</v>
      </c>
    </row>
    <row r="2291" spans="1:90" x14ac:dyDescent="0.2">
      <c r="A2291" s="3" t="s">
        <v>72</v>
      </c>
      <c r="B2291" s="3" t="s">
        <v>73</v>
      </c>
      <c r="C2291" s="3" t="s">
        <v>74</v>
      </c>
      <c r="E2291" s="3" t="str">
        <f>"FES1162846573"</f>
        <v>FES1162846573</v>
      </c>
      <c r="F2291" s="4">
        <v>44586</v>
      </c>
      <c r="G2291" s="3">
        <v>202207</v>
      </c>
      <c r="H2291" s="3" t="s">
        <v>75</v>
      </c>
      <c r="I2291" s="3" t="s">
        <v>76</v>
      </c>
      <c r="J2291" s="3" t="s">
        <v>77</v>
      </c>
      <c r="K2291" s="3" t="s">
        <v>78</v>
      </c>
      <c r="L2291" s="3" t="s">
        <v>79</v>
      </c>
      <c r="M2291" s="3" t="s">
        <v>80</v>
      </c>
      <c r="N2291" s="3" t="s">
        <v>1719</v>
      </c>
      <c r="O2291" s="3" t="s">
        <v>82</v>
      </c>
      <c r="P2291" s="3" t="str">
        <f>"2170817896                    "</f>
        <v xml:space="preserve">2170817896                    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15.46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0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3">
        <v>0</v>
      </c>
      <c r="AY2291" s="3">
        <v>0</v>
      </c>
      <c r="AZ2291" s="3">
        <v>0</v>
      </c>
      <c r="BA2291" s="3">
        <v>0</v>
      </c>
      <c r="BB2291" s="3">
        <v>0</v>
      </c>
      <c r="BC2291" s="3">
        <v>0</v>
      </c>
      <c r="BD2291" s="3">
        <v>0</v>
      </c>
      <c r="BE2291" s="3">
        <v>0</v>
      </c>
      <c r="BF2291" s="3">
        <v>0</v>
      </c>
      <c r="BG2291" s="3">
        <v>0</v>
      </c>
      <c r="BH2291" s="3">
        <v>1</v>
      </c>
      <c r="BI2291" s="3">
        <v>1</v>
      </c>
      <c r="BJ2291" s="3">
        <v>0.2</v>
      </c>
      <c r="BK2291" s="3">
        <v>1</v>
      </c>
      <c r="BL2291" s="3">
        <v>59</v>
      </c>
      <c r="BM2291" s="3">
        <v>8.85</v>
      </c>
      <c r="BN2291" s="3">
        <v>67.849999999999994</v>
      </c>
      <c r="BO2291" s="3">
        <v>67.849999999999994</v>
      </c>
      <c r="BQ2291" s="3" t="s">
        <v>89</v>
      </c>
      <c r="BR2291" s="3" t="s">
        <v>84</v>
      </c>
      <c r="BS2291" s="4">
        <v>44587</v>
      </c>
      <c r="BT2291" s="5">
        <v>0.38194444444444442</v>
      </c>
      <c r="BU2291" s="3" t="s">
        <v>2122</v>
      </c>
      <c r="BV2291" s="3" t="s">
        <v>105</v>
      </c>
      <c r="BY2291" s="3">
        <v>1200</v>
      </c>
      <c r="BZ2291" s="3" t="s">
        <v>165</v>
      </c>
      <c r="CA2291" s="3" t="s">
        <v>366</v>
      </c>
      <c r="CC2291" s="3" t="s">
        <v>80</v>
      </c>
      <c r="CD2291" s="3">
        <v>200</v>
      </c>
      <c r="CE2291" s="3" t="s">
        <v>93</v>
      </c>
      <c r="CF2291" s="4">
        <v>44588</v>
      </c>
      <c r="CI2291" s="3">
        <v>1</v>
      </c>
      <c r="CJ2291" s="3">
        <v>1</v>
      </c>
      <c r="CK2291" s="3">
        <v>21</v>
      </c>
      <c r="CL2291" s="3" t="s">
        <v>87</v>
      </c>
    </row>
    <row r="2292" spans="1:90" x14ac:dyDescent="0.2">
      <c r="A2292" s="3" t="s">
        <v>72</v>
      </c>
      <c r="B2292" s="3" t="s">
        <v>73</v>
      </c>
      <c r="C2292" s="3" t="s">
        <v>74</v>
      </c>
      <c r="E2292" s="3" t="str">
        <f>"FES1162846851"</f>
        <v>FES1162846851</v>
      </c>
      <c r="F2292" s="4">
        <v>44586</v>
      </c>
      <c r="G2292" s="3">
        <v>202207</v>
      </c>
      <c r="H2292" s="3" t="s">
        <v>75</v>
      </c>
      <c r="I2292" s="3" t="s">
        <v>76</v>
      </c>
      <c r="J2292" s="3" t="s">
        <v>77</v>
      </c>
      <c r="K2292" s="3" t="s">
        <v>78</v>
      </c>
      <c r="L2292" s="3" t="s">
        <v>335</v>
      </c>
      <c r="M2292" s="3" t="s">
        <v>336</v>
      </c>
      <c r="N2292" s="3" t="s">
        <v>1197</v>
      </c>
      <c r="O2292" s="3" t="s">
        <v>82</v>
      </c>
      <c r="P2292" s="3" t="str">
        <f>"2170818019                    "</f>
        <v xml:space="preserve">2170818019                    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15.46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0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3">
        <v>0</v>
      </c>
      <c r="AY2292" s="3">
        <v>0</v>
      </c>
      <c r="AZ2292" s="3">
        <v>0</v>
      </c>
      <c r="BA2292" s="3">
        <v>0</v>
      </c>
      <c r="BB2292" s="3">
        <v>0</v>
      </c>
      <c r="BC2292" s="3">
        <v>0</v>
      </c>
      <c r="BD2292" s="3">
        <v>0</v>
      </c>
      <c r="BE2292" s="3">
        <v>0</v>
      </c>
      <c r="BF2292" s="3">
        <v>0</v>
      </c>
      <c r="BG2292" s="3">
        <v>0</v>
      </c>
      <c r="BH2292" s="3">
        <v>1</v>
      </c>
      <c r="BI2292" s="3">
        <v>1</v>
      </c>
      <c r="BJ2292" s="3">
        <v>0.2</v>
      </c>
      <c r="BK2292" s="3">
        <v>1</v>
      </c>
      <c r="BL2292" s="3">
        <v>59</v>
      </c>
      <c r="BM2292" s="3">
        <v>8.85</v>
      </c>
      <c r="BN2292" s="3">
        <v>67.849999999999994</v>
      </c>
      <c r="BO2292" s="3">
        <v>67.849999999999994</v>
      </c>
      <c r="BR2292" s="3" t="s">
        <v>84</v>
      </c>
      <c r="BS2292" s="4">
        <v>44587</v>
      </c>
      <c r="BT2292" s="5">
        <v>0.41180555555555554</v>
      </c>
      <c r="BU2292" s="3" t="s">
        <v>1198</v>
      </c>
      <c r="BV2292" s="3" t="s">
        <v>105</v>
      </c>
      <c r="BY2292" s="3">
        <v>1200</v>
      </c>
      <c r="BZ2292" s="3" t="s">
        <v>165</v>
      </c>
      <c r="CA2292" s="3" t="s">
        <v>528</v>
      </c>
      <c r="CC2292" s="3" t="s">
        <v>336</v>
      </c>
      <c r="CD2292" s="3">
        <v>4133</v>
      </c>
      <c r="CE2292" s="3" t="s">
        <v>93</v>
      </c>
      <c r="CF2292" s="4">
        <v>44588</v>
      </c>
      <c r="CI2292" s="3">
        <v>1</v>
      </c>
      <c r="CJ2292" s="3">
        <v>1</v>
      </c>
      <c r="CK2292" s="3">
        <v>21</v>
      </c>
      <c r="CL2292" s="3" t="s">
        <v>87</v>
      </c>
    </row>
    <row r="2293" spans="1:90" x14ac:dyDescent="0.2">
      <c r="A2293" s="3" t="s">
        <v>72</v>
      </c>
      <c r="B2293" s="3" t="s">
        <v>73</v>
      </c>
      <c r="C2293" s="3" t="s">
        <v>74</v>
      </c>
      <c r="E2293" s="3" t="str">
        <f>"FES1162846841"</f>
        <v>FES1162846841</v>
      </c>
      <c r="F2293" s="4">
        <v>44586</v>
      </c>
      <c r="G2293" s="3">
        <v>202207</v>
      </c>
      <c r="H2293" s="3" t="s">
        <v>75</v>
      </c>
      <c r="I2293" s="3" t="s">
        <v>76</v>
      </c>
      <c r="J2293" s="3" t="s">
        <v>77</v>
      </c>
      <c r="K2293" s="3" t="s">
        <v>78</v>
      </c>
      <c r="L2293" s="3" t="s">
        <v>90</v>
      </c>
      <c r="M2293" s="3" t="s">
        <v>91</v>
      </c>
      <c r="N2293" s="3" t="s">
        <v>157</v>
      </c>
      <c r="O2293" s="3" t="s">
        <v>82</v>
      </c>
      <c r="P2293" s="3" t="str">
        <f>"2170818134                    "</f>
        <v xml:space="preserve">2170818134                    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15.46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0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3">
        <v>0</v>
      </c>
      <c r="AY2293" s="3">
        <v>0</v>
      </c>
      <c r="AZ2293" s="3">
        <v>0</v>
      </c>
      <c r="BA2293" s="3">
        <v>0</v>
      </c>
      <c r="BB2293" s="3">
        <v>0</v>
      </c>
      <c r="BC2293" s="3">
        <v>0</v>
      </c>
      <c r="BD2293" s="3">
        <v>0</v>
      </c>
      <c r="BE2293" s="3">
        <v>0</v>
      </c>
      <c r="BF2293" s="3">
        <v>0</v>
      </c>
      <c r="BG2293" s="3">
        <v>0</v>
      </c>
      <c r="BH2293" s="3">
        <v>1</v>
      </c>
      <c r="BI2293" s="3">
        <v>1</v>
      </c>
      <c r="BJ2293" s="3">
        <v>0.2</v>
      </c>
      <c r="BK2293" s="3">
        <v>1</v>
      </c>
      <c r="BL2293" s="3">
        <v>59</v>
      </c>
      <c r="BM2293" s="3">
        <v>8.85</v>
      </c>
      <c r="BN2293" s="3">
        <v>67.849999999999994</v>
      </c>
      <c r="BO2293" s="3">
        <v>67.849999999999994</v>
      </c>
      <c r="BQ2293" s="3" t="s">
        <v>89</v>
      </c>
      <c r="BR2293" s="3" t="s">
        <v>84</v>
      </c>
      <c r="BS2293" s="4">
        <v>44587</v>
      </c>
      <c r="BT2293" s="5">
        <v>0.3923611111111111</v>
      </c>
      <c r="BU2293" s="3" t="s">
        <v>1825</v>
      </c>
      <c r="BV2293" s="3" t="s">
        <v>105</v>
      </c>
      <c r="BY2293" s="3">
        <v>1200</v>
      </c>
      <c r="BZ2293" s="3" t="s">
        <v>165</v>
      </c>
      <c r="CA2293" s="3" t="s">
        <v>289</v>
      </c>
      <c r="CC2293" s="3" t="s">
        <v>91</v>
      </c>
      <c r="CD2293" s="3">
        <v>7441</v>
      </c>
      <c r="CE2293" s="3" t="s">
        <v>93</v>
      </c>
      <c r="CF2293" s="4">
        <v>44588</v>
      </c>
      <c r="CI2293" s="3">
        <v>1</v>
      </c>
      <c r="CJ2293" s="3">
        <v>1</v>
      </c>
      <c r="CK2293" s="3">
        <v>21</v>
      </c>
      <c r="CL2293" s="3" t="s">
        <v>87</v>
      </c>
    </row>
    <row r="2294" spans="1:90" x14ac:dyDescent="0.2">
      <c r="A2294" s="3" t="s">
        <v>72</v>
      </c>
      <c r="B2294" s="3" t="s">
        <v>73</v>
      </c>
      <c r="C2294" s="3" t="s">
        <v>74</v>
      </c>
      <c r="E2294" s="3" t="str">
        <f>"FES1162846871"</f>
        <v>FES1162846871</v>
      </c>
      <c r="F2294" s="4">
        <v>44586</v>
      </c>
      <c r="G2294" s="3">
        <v>202207</v>
      </c>
      <c r="H2294" s="3" t="s">
        <v>75</v>
      </c>
      <c r="I2294" s="3" t="s">
        <v>76</v>
      </c>
      <c r="J2294" s="3" t="s">
        <v>77</v>
      </c>
      <c r="K2294" s="3" t="s">
        <v>78</v>
      </c>
      <c r="L2294" s="3" t="s">
        <v>101</v>
      </c>
      <c r="M2294" s="3" t="s">
        <v>102</v>
      </c>
      <c r="N2294" s="3" t="s">
        <v>170</v>
      </c>
      <c r="O2294" s="3" t="s">
        <v>82</v>
      </c>
      <c r="P2294" s="3" t="str">
        <f>"2170818149                    "</f>
        <v xml:space="preserve">2170818149                    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15.46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0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3">
        <v>0</v>
      </c>
      <c r="AY2294" s="3">
        <v>0</v>
      </c>
      <c r="AZ2294" s="3">
        <v>0</v>
      </c>
      <c r="BA2294" s="3">
        <v>0</v>
      </c>
      <c r="BB2294" s="3">
        <v>0</v>
      </c>
      <c r="BC2294" s="3">
        <v>0</v>
      </c>
      <c r="BD2294" s="3">
        <v>0</v>
      </c>
      <c r="BE2294" s="3">
        <v>0</v>
      </c>
      <c r="BF2294" s="3">
        <v>0</v>
      </c>
      <c r="BG2294" s="3">
        <v>0</v>
      </c>
      <c r="BH2294" s="3">
        <v>1</v>
      </c>
      <c r="BI2294" s="3">
        <v>1</v>
      </c>
      <c r="BJ2294" s="3">
        <v>0.2</v>
      </c>
      <c r="BK2294" s="3">
        <v>1</v>
      </c>
      <c r="BL2294" s="3">
        <v>59</v>
      </c>
      <c r="BM2294" s="3">
        <v>8.85</v>
      </c>
      <c r="BN2294" s="3">
        <v>67.849999999999994</v>
      </c>
      <c r="BO2294" s="3">
        <v>67.849999999999994</v>
      </c>
      <c r="BQ2294" s="3" t="s">
        <v>89</v>
      </c>
      <c r="BR2294" s="3" t="s">
        <v>84</v>
      </c>
      <c r="BS2294" s="4">
        <v>44587</v>
      </c>
      <c r="BT2294" s="5">
        <v>0.59236111111111112</v>
      </c>
      <c r="BU2294" s="3" t="s">
        <v>369</v>
      </c>
      <c r="BV2294" s="3" t="s">
        <v>87</v>
      </c>
      <c r="BW2294" s="3" t="s">
        <v>353</v>
      </c>
      <c r="BX2294" s="3" t="s">
        <v>1878</v>
      </c>
      <c r="BY2294" s="3">
        <v>1200</v>
      </c>
      <c r="BZ2294" s="3" t="s">
        <v>165</v>
      </c>
      <c r="CA2294" s="3" t="s">
        <v>280</v>
      </c>
      <c r="CC2294" s="3" t="s">
        <v>102</v>
      </c>
      <c r="CD2294" s="3">
        <v>4001</v>
      </c>
      <c r="CE2294" s="3" t="s">
        <v>93</v>
      </c>
      <c r="CF2294" s="4">
        <v>44588</v>
      </c>
      <c r="CI2294" s="3">
        <v>1</v>
      </c>
      <c r="CJ2294" s="3">
        <v>1</v>
      </c>
      <c r="CK2294" s="3">
        <v>21</v>
      </c>
      <c r="CL2294" s="3" t="s">
        <v>87</v>
      </c>
    </row>
    <row r="2295" spans="1:90" x14ac:dyDescent="0.2">
      <c r="A2295" s="3" t="s">
        <v>72</v>
      </c>
      <c r="B2295" s="3" t="s">
        <v>73</v>
      </c>
      <c r="C2295" s="3" t="s">
        <v>74</v>
      </c>
      <c r="E2295" s="3" t="str">
        <f>"FES1162846806"</f>
        <v>FES1162846806</v>
      </c>
      <c r="F2295" s="4">
        <v>44586</v>
      </c>
      <c r="G2295" s="3">
        <v>202207</v>
      </c>
      <c r="H2295" s="3" t="s">
        <v>75</v>
      </c>
      <c r="I2295" s="3" t="s">
        <v>76</v>
      </c>
      <c r="J2295" s="3" t="s">
        <v>77</v>
      </c>
      <c r="K2295" s="3" t="s">
        <v>78</v>
      </c>
      <c r="L2295" s="3" t="s">
        <v>79</v>
      </c>
      <c r="M2295" s="3" t="s">
        <v>80</v>
      </c>
      <c r="N2295" s="3" t="s">
        <v>248</v>
      </c>
      <c r="O2295" s="3" t="s">
        <v>82</v>
      </c>
      <c r="P2295" s="3" t="str">
        <f>"2170812273                    "</f>
        <v xml:space="preserve">2170812273                    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15.46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0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3">
        <v>0</v>
      </c>
      <c r="AY2295" s="3">
        <v>0</v>
      </c>
      <c r="AZ2295" s="3">
        <v>0</v>
      </c>
      <c r="BA2295" s="3">
        <v>0</v>
      </c>
      <c r="BB2295" s="3">
        <v>0</v>
      </c>
      <c r="BC2295" s="3">
        <v>0</v>
      </c>
      <c r="BD2295" s="3">
        <v>0</v>
      </c>
      <c r="BE2295" s="3">
        <v>0</v>
      </c>
      <c r="BF2295" s="3">
        <v>0</v>
      </c>
      <c r="BG2295" s="3">
        <v>0</v>
      </c>
      <c r="BH2295" s="3">
        <v>1</v>
      </c>
      <c r="BI2295" s="3">
        <v>1</v>
      </c>
      <c r="BJ2295" s="3">
        <v>0.2</v>
      </c>
      <c r="BK2295" s="3">
        <v>1</v>
      </c>
      <c r="BL2295" s="3">
        <v>59</v>
      </c>
      <c r="BM2295" s="3">
        <v>8.85</v>
      </c>
      <c r="BN2295" s="3">
        <v>67.849999999999994</v>
      </c>
      <c r="BO2295" s="3">
        <v>67.849999999999994</v>
      </c>
      <c r="BQ2295" s="3" t="s">
        <v>83</v>
      </c>
      <c r="BR2295" s="3" t="s">
        <v>84</v>
      </c>
      <c r="BS2295" s="4">
        <v>44587</v>
      </c>
      <c r="BT2295" s="5">
        <v>0.41319444444444442</v>
      </c>
      <c r="BU2295" s="3" t="s">
        <v>2346</v>
      </c>
      <c r="BV2295" s="3" t="s">
        <v>105</v>
      </c>
      <c r="BY2295" s="3">
        <v>1200</v>
      </c>
      <c r="BZ2295" s="3" t="s">
        <v>165</v>
      </c>
      <c r="CA2295" s="3" t="s">
        <v>362</v>
      </c>
      <c r="CC2295" s="3" t="s">
        <v>80</v>
      </c>
      <c r="CD2295" s="3">
        <v>1</v>
      </c>
      <c r="CE2295" s="3" t="s">
        <v>93</v>
      </c>
      <c r="CF2295" s="4">
        <v>44588</v>
      </c>
      <c r="CI2295" s="3">
        <v>1</v>
      </c>
      <c r="CJ2295" s="3">
        <v>1</v>
      </c>
      <c r="CK2295" s="3">
        <v>21</v>
      </c>
      <c r="CL2295" s="3" t="s">
        <v>87</v>
      </c>
    </row>
    <row r="2296" spans="1:90" x14ac:dyDescent="0.2">
      <c r="A2296" s="3" t="s">
        <v>72</v>
      </c>
      <c r="B2296" s="3" t="s">
        <v>73</v>
      </c>
      <c r="C2296" s="3" t="s">
        <v>74</v>
      </c>
      <c r="E2296" s="3" t="str">
        <f>"FES1162846847"</f>
        <v>FES1162846847</v>
      </c>
      <c r="F2296" s="4">
        <v>44586</v>
      </c>
      <c r="G2296" s="3">
        <v>202207</v>
      </c>
      <c r="H2296" s="3" t="s">
        <v>75</v>
      </c>
      <c r="I2296" s="3" t="s">
        <v>76</v>
      </c>
      <c r="J2296" s="3" t="s">
        <v>77</v>
      </c>
      <c r="K2296" s="3" t="s">
        <v>78</v>
      </c>
      <c r="L2296" s="3" t="s">
        <v>79</v>
      </c>
      <c r="M2296" s="3" t="s">
        <v>80</v>
      </c>
      <c r="N2296" s="3" t="s">
        <v>248</v>
      </c>
      <c r="O2296" s="3" t="s">
        <v>82</v>
      </c>
      <c r="P2296" s="3" t="str">
        <f>"2170816919                    "</f>
        <v xml:space="preserve">2170816919                    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15.46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0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0</v>
      </c>
      <c r="AX2296" s="3">
        <v>0</v>
      </c>
      <c r="AY2296" s="3">
        <v>0</v>
      </c>
      <c r="AZ2296" s="3">
        <v>0</v>
      </c>
      <c r="BA2296" s="3">
        <v>0</v>
      </c>
      <c r="BB2296" s="3">
        <v>0</v>
      </c>
      <c r="BC2296" s="3">
        <v>0</v>
      </c>
      <c r="BD2296" s="3">
        <v>0</v>
      </c>
      <c r="BE2296" s="3">
        <v>0</v>
      </c>
      <c r="BF2296" s="3">
        <v>0</v>
      </c>
      <c r="BG2296" s="3">
        <v>0</v>
      </c>
      <c r="BH2296" s="3">
        <v>1</v>
      </c>
      <c r="BI2296" s="3">
        <v>1</v>
      </c>
      <c r="BJ2296" s="3">
        <v>0.2</v>
      </c>
      <c r="BK2296" s="3">
        <v>1</v>
      </c>
      <c r="BL2296" s="3">
        <v>59</v>
      </c>
      <c r="BM2296" s="3">
        <v>8.85</v>
      </c>
      <c r="BN2296" s="3">
        <v>67.849999999999994</v>
      </c>
      <c r="BO2296" s="3">
        <v>67.849999999999994</v>
      </c>
      <c r="BQ2296" s="3" t="s">
        <v>83</v>
      </c>
      <c r="BR2296" s="3" t="s">
        <v>84</v>
      </c>
      <c r="BS2296" s="4">
        <v>44587</v>
      </c>
      <c r="BT2296" s="5">
        <v>0.41319444444444442</v>
      </c>
      <c r="BU2296" s="3" t="s">
        <v>1023</v>
      </c>
      <c r="BV2296" s="3" t="s">
        <v>105</v>
      </c>
      <c r="BY2296" s="3">
        <v>1200</v>
      </c>
      <c r="BZ2296" s="3" t="s">
        <v>165</v>
      </c>
      <c r="CA2296" s="3" t="s">
        <v>362</v>
      </c>
      <c r="CC2296" s="3" t="s">
        <v>80</v>
      </c>
      <c r="CD2296" s="3">
        <v>1</v>
      </c>
      <c r="CE2296" s="3" t="s">
        <v>93</v>
      </c>
      <c r="CF2296" s="4">
        <v>44588</v>
      </c>
      <c r="CI2296" s="3">
        <v>1</v>
      </c>
      <c r="CJ2296" s="3">
        <v>1</v>
      </c>
      <c r="CK2296" s="3">
        <v>21</v>
      </c>
      <c r="CL2296" s="3" t="s">
        <v>87</v>
      </c>
    </row>
    <row r="2297" spans="1:90" x14ac:dyDescent="0.2">
      <c r="A2297" s="3" t="s">
        <v>72</v>
      </c>
      <c r="B2297" s="3" t="s">
        <v>73</v>
      </c>
      <c r="C2297" s="3" t="s">
        <v>74</v>
      </c>
      <c r="E2297" s="3" t="str">
        <f>"FES1162846812"</f>
        <v>FES1162846812</v>
      </c>
      <c r="F2297" s="4">
        <v>44586</v>
      </c>
      <c r="G2297" s="3">
        <v>202207</v>
      </c>
      <c r="H2297" s="3" t="s">
        <v>75</v>
      </c>
      <c r="I2297" s="3" t="s">
        <v>76</v>
      </c>
      <c r="J2297" s="3" t="s">
        <v>77</v>
      </c>
      <c r="K2297" s="3" t="s">
        <v>78</v>
      </c>
      <c r="L2297" s="3" t="s">
        <v>101</v>
      </c>
      <c r="M2297" s="3" t="s">
        <v>102</v>
      </c>
      <c r="N2297" s="3" t="s">
        <v>628</v>
      </c>
      <c r="O2297" s="3" t="s">
        <v>82</v>
      </c>
      <c r="P2297" s="3" t="str">
        <f>"2170816145                    "</f>
        <v xml:space="preserve">2170816145                    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15.46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0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3">
        <v>0</v>
      </c>
      <c r="AY2297" s="3">
        <v>0</v>
      </c>
      <c r="AZ2297" s="3">
        <v>0</v>
      </c>
      <c r="BA2297" s="3">
        <v>0</v>
      </c>
      <c r="BB2297" s="3">
        <v>0</v>
      </c>
      <c r="BC2297" s="3">
        <v>0</v>
      </c>
      <c r="BD2297" s="3">
        <v>0</v>
      </c>
      <c r="BE2297" s="3">
        <v>0</v>
      </c>
      <c r="BF2297" s="3">
        <v>0</v>
      </c>
      <c r="BG2297" s="3">
        <v>0</v>
      </c>
      <c r="BH2297" s="3">
        <v>1</v>
      </c>
      <c r="BI2297" s="3">
        <v>1</v>
      </c>
      <c r="BJ2297" s="3">
        <v>0.2</v>
      </c>
      <c r="BK2297" s="3">
        <v>1</v>
      </c>
      <c r="BL2297" s="3">
        <v>59</v>
      </c>
      <c r="BM2297" s="3">
        <v>8.85</v>
      </c>
      <c r="BN2297" s="3">
        <v>67.849999999999994</v>
      </c>
      <c r="BO2297" s="3">
        <v>67.849999999999994</v>
      </c>
      <c r="BQ2297" s="3" t="s">
        <v>83</v>
      </c>
      <c r="BR2297" s="3" t="s">
        <v>84</v>
      </c>
      <c r="BS2297" s="4">
        <v>44587</v>
      </c>
      <c r="BT2297" s="5">
        <v>0.42708333333333331</v>
      </c>
      <c r="BU2297" s="3" t="s">
        <v>629</v>
      </c>
      <c r="BV2297" s="3" t="s">
        <v>105</v>
      </c>
      <c r="BY2297" s="3">
        <v>1200</v>
      </c>
      <c r="BZ2297" s="3" t="s">
        <v>165</v>
      </c>
      <c r="CA2297" s="3" t="s">
        <v>528</v>
      </c>
      <c r="CC2297" s="3" t="s">
        <v>102</v>
      </c>
      <c r="CD2297" s="3">
        <v>4052</v>
      </c>
      <c r="CE2297" s="3" t="s">
        <v>93</v>
      </c>
      <c r="CF2297" s="4">
        <v>44588</v>
      </c>
      <c r="CI2297" s="3">
        <v>1</v>
      </c>
      <c r="CJ2297" s="3">
        <v>1</v>
      </c>
      <c r="CK2297" s="3">
        <v>21</v>
      </c>
      <c r="CL2297" s="3" t="s">
        <v>87</v>
      </c>
    </row>
    <row r="2298" spans="1:90" x14ac:dyDescent="0.2">
      <c r="A2298" s="3" t="s">
        <v>72</v>
      </c>
      <c r="B2298" s="3" t="s">
        <v>73</v>
      </c>
      <c r="C2298" s="3" t="s">
        <v>74</v>
      </c>
      <c r="E2298" s="3" t="str">
        <f>"FES1162846930"</f>
        <v>FES1162846930</v>
      </c>
      <c r="F2298" s="4">
        <v>44586</v>
      </c>
      <c r="G2298" s="3">
        <v>202207</v>
      </c>
      <c r="H2298" s="3" t="s">
        <v>75</v>
      </c>
      <c r="I2298" s="3" t="s">
        <v>76</v>
      </c>
      <c r="J2298" s="3" t="s">
        <v>77</v>
      </c>
      <c r="K2298" s="3" t="s">
        <v>78</v>
      </c>
      <c r="L2298" s="3" t="s">
        <v>97</v>
      </c>
      <c r="M2298" s="3" t="s">
        <v>98</v>
      </c>
      <c r="N2298" s="3" t="s">
        <v>482</v>
      </c>
      <c r="O2298" s="3" t="s">
        <v>82</v>
      </c>
      <c r="P2298" s="3" t="str">
        <f>"2170818209                    "</f>
        <v xml:space="preserve">2170818209                    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12.07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0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3">
        <v>0</v>
      </c>
      <c r="AY2298" s="3">
        <v>0</v>
      </c>
      <c r="AZ2298" s="3">
        <v>0</v>
      </c>
      <c r="BA2298" s="3">
        <v>0</v>
      </c>
      <c r="BB2298" s="3">
        <v>0</v>
      </c>
      <c r="BC2298" s="3">
        <v>0</v>
      </c>
      <c r="BD2298" s="3">
        <v>0</v>
      </c>
      <c r="BE2298" s="3">
        <v>0</v>
      </c>
      <c r="BF2298" s="3">
        <v>0</v>
      </c>
      <c r="BG2298" s="3">
        <v>0</v>
      </c>
      <c r="BH2298" s="3">
        <v>1</v>
      </c>
      <c r="BI2298" s="3">
        <v>1</v>
      </c>
      <c r="BJ2298" s="3">
        <v>0.2</v>
      </c>
      <c r="BK2298" s="3">
        <v>1</v>
      </c>
      <c r="BL2298" s="3">
        <v>46.08</v>
      </c>
      <c r="BM2298" s="3">
        <v>6.91</v>
      </c>
      <c r="BN2298" s="3">
        <v>52.99</v>
      </c>
      <c r="BO2298" s="3">
        <v>52.99</v>
      </c>
      <c r="BQ2298" s="3" t="s">
        <v>89</v>
      </c>
      <c r="BR2298" s="3" t="s">
        <v>84</v>
      </c>
      <c r="BS2298" s="4">
        <v>44587</v>
      </c>
      <c r="BT2298" s="5">
        <v>0.40208333333333335</v>
      </c>
      <c r="BU2298" s="3" t="s">
        <v>1380</v>
      </c>
      <c r="BV2298" s="3" t="s">
        <v>105</v>
      </c>
      <c r="BY2298" s="3">
        <v>1200</v>
      </c>
      <c r="BZ2298" s="3" t="s">
        <v>165</v>
      </c>
      <c r="CA2298" s="3" t="s">
        <v>2185</v>
      </c>
      <c r="CC2298" s="3" t="s">
        <v>98</v>
      </c>
      <c r="CD2298" s="3">
        <v>2197</v>
      </c>
      <c r="CE2298" s="3" t="s">
        <v>86</v>
      </c>
      <c r="CF2298" s="4">
        <v>44587</v>
      </c>
      <c r="CI2298" s="3">
        <v>1</v>
      </c>
      <c r="CJ2298" s="3">
        <v>1</v>
      </c>
      <c r="CK2298" s="3">
        <v>22</v>
      </c>
      <c r="CL2298" s="3" t="s">
        <v>87</v>
      </c>
    </row>
    <row r="2299" spans="1:90" x14ac:dyDescent="0.2">
      <c r="A2299" s="3" t="s">
        <v>72</v>
      </c>
      <c r="B2299" s="3" t="s">
        <v>73</v>
      </c>
      <c r="C2299" s="3" t="s">
        <v>74</v>
      </c>
      <c r="E2299" s="3" t="str">
        <f>"FES1162846698"</f>
        <v>FES1162846698</v>
      </c>
      <c r="F2299" s="4">
        <v>44586</v>
      </c>
      <c r="G2299" s="3">
        <v>202207</v>
      </c>
      <c r="H2299" s="3" t="s">
        <v>75</v>
      </c>
      <c r="I2299" s="3" t="s">
        <v>76</v>
      </c>
      <c r="J2299" s="3" t="s">
        <v>77</v>
      </c>
      <c r="K2299" s="3" t="s">
        <v>78</v>
      </c>
      <c r="L2299" s="3" t="s">
        <v>142</v>
      </c>
      <c r="M2299" s="3" t="s">
        <v>143</v>
      </c>
      <c r="N2299" s="3" t="s">
        <v>1767</v>
      </c>
      <c r="O2299" s="3" t="s">
        <v>82</v>
      </c>
      <c r="P2299" s="3" t="str">
        <f>"2170817369                    "</f>
        <v xml:space="preserve">2170817369                    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12.07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0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3">
        <v>0</v>
      </c>
      <c r="AY2299" s="3">
        <v>0</v>
      </c>
      <c r="AZ2299" s="3">
        <v>0</v>
      </c>
      <c r="BA2299" s="3">
        <v>0</v>
      </c>
      <c r="BB2299" s="3">
        <v>0</v>
      </c>
      <c r="BC2299" s="3">
        <v>0</v>
      </c>
      <c r="BD2299" s="3">
        <v>0</v>
      </c>
      <c r="BE2299" s="3">
        <v>0</v>
      </c>
      <c r="BF2299" s="3">
        <v>0</v>
      </c>
      <c r="BG2299" s="3">
        <v>0</v>
      </c>
      <c r="BH2299" s="3">
        <v>1</v>
      </c>
      <c r="BI2299" s="3">
        <v>1</v>
      </c>
      <c r="BJ2299" s="3">
        <v>0.2</v>
      </c>
      <c r="BK2299" s="3">
        <v>1</v>
      </c>
      <c r="BL2299" s="3">
        <v>46.08</v>
      </c>
      <c r="BM2299" s="3">
        <v>6.91</v>
      </c>
      <c r="BN2299" s="3">
        <v>52.99</v>
      </c>
      <c r="BO2299" s="3">
        <v>52.99</v>
      </c>
      <c r="BQ2299" s="3" t="s">
        <v>83</v>
      </c>
      <c r="BR2299" s="3" t="s">
        <v>84</v>
      </c>
      <c r="BS2299" s="4">
        <v>44587</v>
      </c>
      <c r="BT2299" s="5">
        <v>0.36458333333333331</v>
      </c>
      <c r="BU2299" s="3" t="s">
        <v>2347</v>
      </c>
      <c r="BV2299" s="3" t="s">
        <v>105</v>
      </c>
      <c r="BY2299" s="3">
        <v>1200</v>
      </c>
      <c r="BZ2299" s="3" t="s">
        <v>165</v>
      </c>
      <c r="CA2299" s="3" t="s">
        <v>471</v>
      </c>
      <c r="CC2299" s="3" t="s">
        <v>143</v>
      </c>
      <c r="CD2299" s="3">
        <v>1451</v>
      </c>
      <c r="CE2299" s="3" t="s">
        <v>86</v>
      </c>
      <c r="CF2299" s="4">
        <v>44587</v>
      </c>
      <c r="CI2299" s="3">
        <v>1</v>
      </c>
      <c r="CJ2299" s="3">
        <v>1</v>
      </c>
      <c r="CK2299" s="3">
        <v>22</v>
      </c>
      <c r="CL2299" s="3" t="s">
        <v>87</v>
      </c>
    </row>
    <row r="2300" spans="1:90" x14ac:dyDescent="0.2">
      <c r="A2300" s="3" t="s">
        <v>72</v>
      </c>
      <c r="B2300" s="3" t="s">
        <v>73</v>
      </c>
      <c r="C2300" s="3" t="s">
        <v>74</v>
      </c>
      <c r="E2300" s="3" t="str">
        <f>"FES1162846876"</f>
        <v>FES1162846876</v>
      </c>
      <c r="F2300" s="4">
        <v>44586</v>
      </c>
      <c r="G2300" s="3">
        <v>202207</v>
      </c>
      <c r="H2300" s="3" t="s">
        <v>75</v>
      </c>
      <c r="I2300" s="3" t="s">
        <v>76</v>
      </c>
      <c r="J2300" s="3" t="s">
        <v>77</v>
      </c>
      <c r="K2300" s="3" t="s">
        <v>78</v>
      </c>
      <c r="L2300" s="3" t="s">
        <v>75</v>
      </c>
      <c r="M2300" s="3" t="s">
        <v>76</v>
      </c>
      <c r="N2300" s="3" t="s">
        <v>2220</v>
      </c>
      <c r="O2300" s="3" t="s">
        <v>82</v>
      </c>
      <c r="P2300" s="3" t="str">
        <f>"2170818153                    "</f>
        <v xml:space="preserve">2170818153                    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16.420000000000002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0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3">
        <v>0</v>
      </c>
      <c r="AY2300" s="3">
        <v>0</v>
      </c>
      <c r="AZ2300" s="3">
        <v>0</v>
      </c>
      <c r="BA2300" s="3">
        <v>0</v>
      </c>
      <c r="BB2300" s="3">
        <v>0</v>
      </c>
      <c r="BC2300" s="3">
        <v>0</v>
      </c>
      <c r="BD2300" s="3">
        <v>0</v>
      </c>
      <c r="BE2300" s="3">
        <v>0</v>
      </c>
      <c r="BF2300" s="3">
        <v>0</v>
      </c>
      <c r="BG2300" s="3">
        <v>0</v>
      </c>
      <c r="BH2300" s="3">
        <v>1</v>
      </c>
      <c r="BI2300" s="3">
        <v>4</v>
      </c>
      <c r="BJ2300" s="3">
        <v>9.1</v>
      </c>
      <c r="BK2300" s="3">
        <v>9.5</v>
      </c>
      <c r="BL2300" s="3">
        <v>62.67</v>
      </c>
      <c r="BM2300" s="3">
        <v>9.4</v>
      </c>
      <c r="BN2300" s="3">
        <v>72.069999999999993</v>
      </c>
      <c r="BO2300" s="3">
        <v>72.069999999999993</v>
      </c>
      <c r="BQ2300" s="3" t="s">
        <v>2221</v>
      </c>
      <c r="BR2300" s="3" t="s">
        <v>84</v>
      </c>
      <c r="BS2300" s="4">
        <v>44587</v>
      </c>
      <c r="BT2300" s="5">
        <v>0.31944444444444448</v>
      </c>
      <c r="BU2300" s="3" t="s">
        <v>2222</v>
      </c>
      <c r="BV2300" s="3" t="s">
        <v>105</v>
      </c>
      <c r="BY2300" s="3">
        <v>45632</v>
      </c>
      <c r="BZ2300" s="3" t="s">
        <v>165</v>
      </c>
      <c r="CA2300" s="3" t="s">
        <v>378</v>
      </c>
      <c r="CC2300" s="3" t="s">
        <v>76</v>
      </c>
      <c r="CD2300" s="3">
        <v>1600</v>
      </c>
      <c r="CE2300" s="3" t="s">
        <v>86</v>
      </c>
      <c r="CF2300" s="4">
        <v>44587</v>
      </c>
      <c r="CI2300" s="3">
        <v>1</v>
      </c>
      <c r="CJ2300" s="3">
        <v>1</v>
      </c>
      <c r="CK2300" s="3">
        <v>22</v>
      </c>
      <c r="CL2300" s="3" t="s">
        <v>87</v>
      </c>
    </row>
    <row r="2301" spans="1:90" x14ac:dyDescent="0.2">
      <c r="A2301" s="3" t="s">
        <v>72</v>
      </c>
      <c r="B2301" s="3" t="s">
        <v>73</v>
      </c>
      <c r="C2301" s="3" t="s">
        <v>74</v>
      </c>
      <c r="E2301" s="3" t="str">
        <f>"FES1162846474"</f>
        <v>FES1162846474</v>
      </c>
      <c r="F2301" s="4">
        <v>44586</v>
      </c>
      <c r="G2301" s="3">
        <v>202207</v>
      </c>
      <c r="H2301" s="3" t="s">
        <v>75</v>
      </c>
      <c r="I2301" s="3" t="s">
        <v>76</v>
      </c>
      <c r="J2301" s="3" t="s">
        <v>77</v>
      </c>
      <c r="K2301" s="3" t="s">
        <v>78</v>
      </c>
      <c r="L2301" s="3" t="s">
        <v>184</v>
      </c>
      <c r="M2301" s="3" t="s">
        <v>185</v>
      </c>
      <c r="N2301" s="3" t="s">
        <v>186</v>
      </c>
      <c r="O2301" s="3" t="s">
        <v>82</v>
      </c>
      <c r="P2301" s="3" t="str">
        <f>"2170815679                    "</f>
        <v xml:space="preserve">2170815679                    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15.46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3">
        <v>0</v>
      </c>
      <c r="AY2301" s="3">
        <v>0</v>
      </c>
      <c r="AZ2301" s="3">
        <v>0</v>
      </c>
      <c r="BA2301" s="3">
        <v>0</v>
      </c>
      <c r="BB2301" s="3">
        <v>0</v>
      </c>
      <c r="BC2301" s="3">
        <v>0</v>
      </c>
      <c r="BD2301" s="3">
        <v>0</v>
      </c>
      <c r="BE2301" s="3">
        <v>0</v>
      </c>
      <c r="BF2301" s="3">
        <v>0</v>
      </c>
      <c r="BG2301" s="3">
        <v>0</v>
      </c>
      <c r="BH2301" s="3">
        <v>1</v>
      </c>
      <c r="BI2301" s="3">
        <v>1</v>
      </c>
      <c r="BJ2301" s="3">
        <v>0.2</v>
      </c>
      <c r="BK2301" s="3">
        <v>1</v>
      </c>
      <c r="BL2301" s="3">
        <v>59</v>
      </c>
      <c r="BM2301" s="3">
        <v>8.85</v>
      </c>
      <c r="BN2301" s="3">
        <v>67.849999999999994</v>
      </c>
      <c r="BO2301" s="3">
        <v>67.849999999999994</v>
      </c>
      <c r="BQ2301" s="3" t="s">
        <v>83</v>
      </c>
      <c r="BR2301" s="3" t="s">
        <v>84</v>
      </c>
      <c r="BS2301" s="4">
        <v>44588</v>
      </c>
      <c r="BT2301" s="5">
        <v>0.56874999999999998</v>
      </c>
      <c r="BU2301" s="3" t="s">
        <v>1680</v>
      </c>
      <c r="BV2301" s="3" t="s">
        <v>87</v>
      </c>
      <c r="BW2301" s="3" t="s">
        <v>353</v>
      </c>
      <c r="BX2301" s="3" t="s">
        <v>605</v>
      </c>
      <c r="BY2301" s="3">
        <v>1200</v>
      </c>
      <c r="BZ2301" s="3" t="s">
        <v>165</v>
      </c>
      <c r="CA2301" s="3" t="s">
        <v>1681</v>
      </c>
      <c r="CC2301" s="3" t="s">
        <v>185</v>
      </c>
      <c r="CD2301" s="3">
        <v>5201</v>
      </c>
      <c r="CE2301" s="3" t="s">
        <v>93</v>
      </c>
      <c r="CF2301" s="4">
        <v>44588</v>
      </c>
      <c r="CI2301" s="3">
        <v>1</v>
      </c>
      <c r="CJ2301" s="3">
        <v>2</v>
      </c>
      <c r="CK2301" s="3">
        <v>21</v>
      </c>
      <c r="CL2301" s="3" t="s">
        <v>87</v>
      </c>
    </row>
    <row r="2302" spans="1:90" x14ac:dyDescent="0.2">
      <c r="A2302" s="3" t="s">
        <v>72</v>
      </c>
      <c r="B2302" s="3" t="s">
        <v>73</v>
      </c>
      <c r="C2302" s="3" t="s">
        <v>74</v>
      </c>
      <c r="E2302" s="3" t="str">
        <f>"FES1162846692"</f>
        <v>FES1162846692</v>
      </c>
      <c r="F2302" s="4">
        <v>44586</v>
      </c>
      <c r="G2302" s="3">
        <v>202207</v>
      </c>
      <c r="H2302" s="3" t="s">
        <v>75</v>
      </c>
      <c r="I2302" s="3" t="s">
        <v>76</v>
      </c>
      <c r="J2302" s="3" t="s">
        <v>77</v>
      </c>
      <c r="K2302" s="3" t="s">
        <v>78</v>
      </c>
      <c r="L2302" s="3" t="s">
        <v>167</v>
      </c>
      <c r="M2302" s="3" t="s">
        <v>168</v>
      </c>
      <c r="N2302" s="3" t="s">
        <v>2015</v>
      </c>
      <c r="O2302" s="3" t="s">
        <v>82</v>
      </c>
      <c r="P2302" s="3" t="str">
        <f>"2170816323                    "</f>
        <v xml:space="preserve">2170816323                    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15.46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0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3">
        <v>0</v>
      </c>
      <c r="AY2302" s="3">
        <v>0</v>
      </c>
      <c r="AZ2302" s="3">
        <v>0</v>
      </c>
      <c r="BA2302" s="3">
        <v>0</v>
      </c>
      <c r="BB2302" s="3">
        <v>0</v>
      </c>
      <c r="BC2302" s="3">
        <v>0</v>
      </c>
      <c r="BD2302" s="3">
        <v>0</v>
      </c>
      <c r="BE2302" s="3">
        <v>0</v>
      </c>
      <c r="BF2302" s="3">
        <v>0</v>
      </c>
      <c r="BG2302" s="3">
        <v>0</v>
      </c>
      <c r="BH2302" s="3">
        <v>1</v>
      </c>
      <c r="BI2302" s="3">
        <v>1</v>
      </c>
      <c r="BJ2302" s="3">
        <v>0.2</v>
      </c>
      <c r="BK2302" s="3">
        <v>1</v>
      </c>
      <c r="BL2302" s="3">
        <v>59</v>
      </c>
      <c r="BM2302" s="3">
        <v>8.85</v>
      </c>
      <c r="BN2302" s="3">
        <v>67.849999999999994</v>
      </c>
      <c r="BO2302" s="3">
        <v>67.849999999999994</v>
      </c>
      <c r="BQ2302" s="3" t="s">
        <v>126</v>
      </c>
      <c r="BR2302" s="3" t="s">
        <v>84</v>
      </c>
      <c r="BS2302" s="4">
        <v>44587</v>
      </c>
      <c r="BT2302" s="5">
        <v>0.35416666666666669</v>
      </c>
      <c r="BU2302" s="3" t="s">
        <v>2062</v>
      </c>
      <c r="BV2302" s="3" t="s">
        <v>105</v>
      </c>
      <c r="BY2302" s="3">
        <v>1080</v>
      </c>
      <c r="BZ2302" s="3" t="s">
        <v>165</v>
      </c>
      <c r="CA2302" s="3" t="s">
        <v>553</v>
      </c>
      <c r="CC2302" s="3" t="s">
        <v>168</v>
      </c>
      <c r="CD2302" s="3">
        <v>6229</v>
      </c>
      <c r="CE2302" s="3" t="s">
        <v>86</v>
      </c>
      <c r="CF2302" s="4">
        <v>44587</v>
      </c>
      <c r="CI2302" s="3">
        <v>1</v>
      </c>
      <c r="CJ2302" s="3">
        <v>1</v>
      </c>
      <c r="CK2302" s="3">
        <v>21</v>
      </c>
      <c r="CL2302" s="3" t="s">
        <v>87</v>
      </c>
    </row>
    <row r="2303" spans="1:90" x14ac:dyDescent="0.2">
      <c r="A2303" s="3" t="s">
        <v>72</v>
      </c>
      <c r="B2303" s="3" t="s">
        <v>73</v>
      </c>
      <c r="C2303" s="3" t="s">
        <v>74</v>
      </c>
      <c r="E2303" s="3" t="str">
        <f>"FES1162846902"</f>
        <v>FES1162846902</v>
      </c>
      <c r="F2303" s="4">
        <v>44586</v>
      </c>
      <c r="G2303" s="3">
        <v>202207</v>
      </c>
      <c r="H2303" s="3" t="s">
        <v>75</v>
      </c>
      <c r="I2303" s="3" t="s">
        <v>76</v>
      </c>
      <c r="J2303" s="3" t="s">
        <v>77</v>
      </c>
      <c r="K2303" s="3" t="s">
        <v>78</v>
      </c>
      <c r="L2303" s="3" t="s">
        <v>75</v>
      </c>
      <c r="M2303" s="3" t="s">
        <v>76</v>
      </c>
      <c r="N2303" s="3" t="s">
        <v>153</v>
      </c>
      <c r="O2303" s="3" t="s">
        <v>148</v>
      </c>
      <c r="P2303" s="3" t="str">
        <f>"2170818189                    "</f>
        <v xml:space="preserve">2170818189                    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25.76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0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3">
        <v>0</v>
      </c>
      <c r="AY2303" s="3">
        <v>0</v>
      </c>
      <c r="AZ2303" s="3">
        <v>0</v>
      </c>
      <c r="BA2303" s="3">
        <v>0</v>
      </c>
      <c r="BB2303" s="3">
        <v>0</v>
      </c>
      <c r="BC2303" s="3">
        <v>0</v>
      </c>
      <c r="BD2303" s="3">
        <v>0</v>
      </c>
      <c r="BE2303" s="3">
        <v>0</v>
      </c>
      <c r="BF2303" s="3">
        <v>0</v>
      </c>
      <c r="BG2303" s="3">
        <v>0</v>
      </c>
      <c r="BH2303" s="3">
        <v>1</v>
      </c>
      <c r="BI2303" s="3">
        <v>13</v>
      </c>
      <c r="BJ2303" s="3">
        <v>18.3</v>
      </c>
      <c r="BK2303" s="3">
        <v>19</v>
      </c>
      <c r="BL2303" s="3">
        <v>103.58</v>
      </c>
      <c r="BM2303" s="3">
        <v>15.54</v>
      </c>
      <c r="BN2303" s="3">
        <v>119.12</v>
      </c>
      <c r="BO2303" s="3">
        <v>119.12</v>
      </c>
      <c r="BR2303" s="3" t="s">
        <v>84</v>
      </c>
      <c r="BS2303" s="4">
        <v>44587</v>
      </c>
      <c r="BT2303" s="5">
        <v>0.36041666666666666</v>
      </c>
      <c r="BU2303" s="3" t="s">
        <v>804</v>
      </c>
      <c r="BV2303" s="3" t="s">
        <v>105</v>
      </c>
      <c r="BY2303" s="3">
        <v>91264</v>
      </c>
      <c r="BZ2303" s="3" t="s">
        <v>327</v>
      </c>
      <c r="CA2303" s="3" t="s">
        <v>227</v>
      </c>
      <c r="CC2303" s="3" t="s">
        <v>76</v>
      </c>
      <c r="CD2303" s="3">
        <v>1600</v>
      </c>
      <c r="CE2303" s="3" t="s">
        <v>86</v>
      </c>
      <c r="CF2303" s="4">
        <v>44587</v>
      </c>
      <c r="CI2303" s="3">
        <v>1</v>
      </c>
      <c r="CJ2303" s="3">
        <v>1</v>
      </c>
      <c r="CK2303" s="3">
        <v>42</v>
      </c>
      <c r="CL2303" s="3" t="s">
        <v>87</v>
      </c>
    </row>
    <row r="2304" spans="1:90" x14ac:dyDescent="0.2">
      <c r="A2304" s="3" t="s">
        <v>72</v>
      </c>
      <c r="B2304" s="3" t="s">
        <v>73</v>
      </c>
      <c r="C2304" s="3" t="s">
        <v>74</v>
      </c>
      <c r="E2304" s="3" t="str">
        <f>"FES1162846908"</f>
        <v>FES1162846908</v>
      </c>
      <c r="F2304" s="4">
        <v>44586</v>
      </c>
      <c r="G2304" s="3">
        <v>202207</v>
      </c>
      <c r="H2304" s="3" t="s">
        <v>75</v>
      </c>
      <c r="I2304" s="3" t="s">
        <v>76</v>
      </c>
      <c r="J2304" s="3" t="s">
        <v>77</v>
      </c>
      <c r="K2304" s="3" t="s">
        <v>78</v>
      </c>
      <c r="L2304" s="3" t="s">
        <v>90</v>
      </c>
      <c r="M2304" s="3" t="s">
        <v>91</v>
      </c>
      <c r="N2304" s="3" t="s">
        <v>1903</v>
      </c>
      <c r="O2304" s="3" t="s">
        <v>82</v>
      </c>
      <c r="P2304" s="3" t="str">
        <f>"2170817870                    "</f>
        <v xml:space="preserve">2170817870                    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46.36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0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3">
        <v>0</v>
      </c>
      <c r="AY2304" s="3">
        <v>0</v>
      </c>
      <c r="AZ2304" s="3">
        <v>0</v>
      </c>
      <c r="BA2304" s="3">
        <v>0</v>
      </c>
      <c r="BB2304" s="3">
        <v>0</v>
      </c>
      <c r="BC2304" s="3">
        <v>0</v>
      </c>
      <c r="BD2304" s="3">
        <v>0</v>
      </c>
      <c r="BE2304" s="3">
        <v>0</v>
      </c>
      <c r="BF2304" s="3">
        <v>0</v>
      </c>
      <c r="BG2304" s="3">
        <v>0</v>
      </c>
      <c r="BH2304" s="3">
        <v>1</v>
      </c>
      <c r="BI2304" s="3">
        <v>6</v>
      </c>
      <c r="BJ2304" s="3">
        <v>4.7</v>
      </c>
      <c r="BK2304" s="3">
        <v>6</v>
      </c>
      <c r="BL2304" s="3">
        <v>176.94</v>
      </c>
      <c r="BM2304" s="3">
        <v>26.54</v>
      </c>
      <c r="BN2304" s="3">
        <v>203.48</v>
      </c>
      <c r="BO2304" s="3">
        <v>203.48</v>
      </c>
      <c r="BQ2304" s="3" t="s">
        <v>83</v>
      </c>
      <c r="BR2304" s="3" t="s">
        <v>84</v>
      </c>
      <c r="BS2304" s="4">
        <v>44587</v>
      </c>
      <c r="BT2304" s="5">
        <v>0.54166666666666663</v>
      </c>
      <c r="BU2304" s="3" t="s">
        <v>2348</v>
      </c>
      <c r="BV2304" s="3" t="s">
        <v>87</v>
      </c>
      <c r="BW2304" s="3" t="s">
        <v>457</v>
      </c>
      <c r="BX2304" s="3" t="s">
        <v>354</v>
      </c>
      <c r="BY2304" s="3">
        <v>23625</v>
      </c>
      <c r="BZ2304" s="3" t="s">
        <v>165</v>
      </c>
      <c r="CA2304" s="3" t="s">
        <v>2345</v>
      </c>
      <c r="CC2304" s="3" t="s">
        <v>91</v>
      </c>
      <c r="CD2304" s="3">
        <v>7800</v>
      </c>
      <c r="CE2304" s="3" t="s">
        <v>86</v>
      </c>
      <c r="CF2304" s="4">
        <v>44588</v>
      </c>
      <c r="CI2304" s="3">
        <v>1</v>
      </c>
      <c r="CJ2304" s="3">
        <v>1</v>
      </c>
      <c r="CK2304" s="3">
        <v>21</v>
      </c>
      <c r="CL2304" s="3" t="s">
        <v>87</v>
      </c>
    </row>
    <row r="2305" spans="1:90" x14ac:dyDescent="0.2">
      <c r="A2305" s="3" t="s">
        <v>72</v>
      </c>
      <c r="B2305" s="3" t="s">
        <v>73</v>
      </c>
      <c r="C2305" s="3" t="s">
        <v>74</v>
      </c>
      <c r="E2305" s="3" t="str">
        <f>"FES1162846900"</f>
        <v>FES1162846900</v>
      </c>
      <c r="F2305" s="4">
        <v>44586</v>
      </c>
      <c r="G2305" s="3">
        <v>202207</v>
      </c>
      <c r="H2305" s="3" t="s">
        <v>75</v>
      </c>
      <c r="I2305" s="3" t="s">
        <v>76</v>
      </c>
      <c r="J2305" s="3" t="s">
        <v>77</v>
      </c>
      <c r="K2305" s="3" t="s">
        <v>78</v>
      </c>
      <c r="L2305" s="3" t="s">
        <v>90</v>
      </c>
      <c r="M2305" s="3" t="s">
        <v>91</v>
      </c>
      <c r="N2305" s="3" t="s">
        <v>584</v>
      </c>
      <c r="O2305" s="3" t="s">
        <v>82</v>
      </c>
      <c r="P2305" s="3" t="str">
        <f>"2170818184                    "</f>
        <v xml:space="preserve">2170818184                    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34.770000000000003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0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3">
        <v>0</v>
      </c>
      <c r="AY2305" s="3">
        <v>0</v>
      </c>
      <c r="AZ2305" s="3">
        <v>0</v>
      </c>
      <c r="BA2305" s="3">
        <v>0</v>
      </c>
      <c r="BB2305" s="3">
        <v>0</v>
      </c>
      <c r="BC2305" s="3">
        <v>0</v>
      </c>
      <c r="BD2305" s="3">
        <v>0</v>
      </c>
      <c r="BE2305" s="3">
        <v>0</v>
      </c>
      <c r="BF2305" s="3">
        <v>0</v>
      </c>
      <c r="BG2305" s="3">
        <v>0</v>
      </c>
      <c r="BH2305" s="3">
        <v>1</v>
      </c>
      <c r="BI2305" s="3">
        <v>3</v>
      </c>
      <c r="BJ2305" s="3">
        <v>4.0999999999999996</v>
      </c>
      <c r="BK2305" s="3">
        <v>4.5</v>
      </c>
      <c r="BL2305" s="3">
        <v>132.71</v>
      </c>
      <c r="BM2305" s="3">
        <v>19.91</v>
      </c>
      <c r="BN2305" s="3">
        <v>152.62</v>
      </c>
      <c r="BO2305" s="3">
        <v>152.62</v>
      </c>
      <c r="BQ2305" s="3" t="s">
        <v>83</v>
      </c>
      <c r="BR2305" s="3" t="s">
        <v>84</v>
      </c>
      <c r="BS2305" s="4">
        <v>44587</v>
      </c>
      <c r="BT2305" s="5">
        <v>0.32847222222222222</v>
      </c>
      <c r="BU2305" s="3" t="s">
        <v>959</v>
      </c>
      <c r="BV2305" s="3" t="s">
        <v>105</v>
      </c>
      <c r="BY2305" s="3">
        <v>20358</v>
      </c>
      <c r="BZ2305" s="3" t="s">
        <v>165</v>
      </c>
      <c r="CA2305" s="3" t="s">
        <v>543</v>
      </c>
      <c r="CC2305" s="3" t="s">
        <v>91</v>
      </c>
      <c r="CD2305" s="3">
        <v>7530</v>
      </c>
      <c r="CE2305" s="3" t="s">
        <v>86</v>
      </c>
      <c r="CF2305" s="4">
        <v>44588</v>
      </c>
      <c r="CI2305" s="3">
        <v>1</v>
      </c>
      <c r="CJ2305" s="3">
        <v>1</v>
      </c>
      <c r="CK2305" s="3">
        <v>21</v>
      </c>
      <c r="CL2305" s="3" t="s">
        <v>87</v>
      </c>
    </row>
    <row r="2306" spans="1:90" x14ac:dyDescent="0.2">
      <c r="A2306" s="3" t="s">
        <v>72</v>
      </c>
      <c r="B2306" s="3" t="s">
        <v>73</v>
      </c>
      <c r="C2306" s="3" t="s">
        <v>74</v>
      </c>
      <c r="E2306" s="3" t="str">
        <f>"FES1162846621"</f>
        <v>FES1162846621</v>
      </c>
      <c r="F2306" s="4">
        <v>44586</v>
      </c>
      <c r="G2306" s="3">
        <v>202207</v>
      </c>
      <c r="H2306" s="3" t="s">
        <v>75</v>
      </c>
      <c r="I2306" s="3" t="s">
        <v>76</v>
      </c>
      <c r="J2306" s="3" t="s">
        <v>77</v>
      </c>
      <c r="K2306" s="3" t="s">
        <v>78</v>
      </c>
      <c r="L2306" s="3" t="s">
        <v>90</v>
      </c>
      <c r="M2306" s="3" t="s">
        <v>91</v>
      </c>
      <c r="N2306" s="3" t="s">
        <v>2145</v>
      </c>
      <c r="O2306" s="3" t="s">
        <v>82</v>
      </c>
      <c r="P2306" s="3" t="str">
        <f>"2170814806                    "</f>
        <v xml:space="preserve">2170814806                    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69.53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0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3">
        <v>0</v>
      </c>
      <c r="AY2306" s="3">
        <v>0</v>
      </c>
      <c r="AZ2306" s="3">
        <v>0</v>
      </c>
      <c r="BA2306" s="3">
        <v>0</v>
      </c>
      <c r="BB2306" s="3">
        <v>0</v>
      </c>
      <c r="BC2306" s="3">
        <v>0</v>
      </c>
      <c r="BD2306" s="3">
        <v>0</v>
      </c>
      <c r="BE2306" s="3">
        <v>0</v>
      </c>
      <c r="BF2306" s="3">
        <v>0</v>
      </c>
      <c r="BG2306" s="3">
        <v>0</v>
      </c>
      <c r="BH2306" s="3">
        <v>1</v>
      </c>
      <c r="BI2306" s="3">
        <v>9</v>
      </c>
      <c r="BJ2306" s="3">
        <v>4.0999999999999996</v>
      </c>
      <c r="BK2306" s="3">
        <v>9</v>
      </c>
      <c r="BL2306" s="3">
        <v>265.39</v>
      </c>
      <c r="BM2306" s="3">
        <v>39.81</v>
      </c>
      <c r="BN2306" s="3">
        <v>305.2</v>
      </c>
      <c r="BO2306" s="3">
        <v>305.2</v>
      </c>
      <c r="BQ2306" s="3" t="s">
        <v>89</v>
      </c>
      <c r="BR2306" s="3" t="s">
        <v>84</v>
      </c>
      <c r="BS2306" s="4">
        <v>44587</v>
      </c>
      <c r="BT2306" s="5">
        <v>0.54166666666666663</v>
      </c>
      <c r="BU2306" s="3" t="s">
        <v>2146</v>
      </c>
      <c r="BV2306" s="3" t="s">
        <v>87</v>
      </c>
      <c r="BW2306" s="3" t="s">
        <v>457</v>
      </c>
      <c r="BX2306" s="3" t="s">
        <v>602</v>
      </c>
      <c r="BY2306" s="3">
        <v>20358</v>
      </c>
      <c r="BZ2306" s="3" t="s">
        <v>165</v>
      </c>
      <c r="CA2306" s="3" t="s">
        <v>623</v>
      </c>
      <c r="CC2306" s="3" t="s">
        <v>91</v>
      </c>
      <c r="CD2306" s="3">
        <v>7945</v>
      </c>
      <c r="CE2306" s="3" t="s">
        <v>86</v>
      </c>
      <c r="CF2306" s="4">
        <v>44588</v>
      </c>
      <c r="CI2306" s="3">
        <v>1</v>
      </c>
      <c r="CJ2306" s="3">
        <v>1</v>
      </c>
      <c r="CK2306" s="3">
        <v>21</v>
      </c>
      <c r="CL2306" s="3" t="s">
        <v>87</v>
      </c>
    </row>
    <row r="2307" spans="1:90" x14ac:dyDescent="0.2">
      <c r="A2307" s="3" t="s">
        <v>72</v>
      </c>
      <c r="B2307" s="3" t="s">
        <v>73</v>
      </c>
      <c r="C2307" s="3" t="s">
        <v>74</v>
      </c>
      <c r="E2307" s="3" t="str">
        <f>"FES1162846921"</f>
        <v>FES1162846921</v>
      </c>
      <c r="F2307" s="4">
        <v>44586</v>
      </c>
      <c r="G2307" s="3">
        <v>202207</v>
      </c>
      <c r="H2307" s="3" t="s">
        <v>75</v>
      </c>
      <c r="I2307" s="3" t="s">
        <v>76</v>
      </c>
      <c r="J2307" s="3" t="s">
        <v>77</v>
      </c>
      <c r="K2307" s="3" t="s">
        <v>78</v>
      </c>
      <c r="L2307" s="3" t="s">
        <v>218</v>
      </c>
      <c r="M2307" s="3" t="s">
        <v>219</v>
      </c>
      <c r="N2307" s="3" t="s">
        <v>766</v>
      </c>
      <c r="O2307" s="3" t="s">
        <v>82</v>
      </c>
      <c r="P2307" s="3" t="str">
        <f>"2170818168                    "</f>
        <v xml:space="preserve">2170818168                    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15.46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0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3">
        <v>0</v>
      </c>
      <c r="AY2307" s="3">
        <v>0</v>
      </c>
      <c r="AZ2307" s="3">
        <v>0</v>
      </c>
      <c r="BA2307" s="3">
        <v>0</v>
      </c>
      <c r="BB2307" s="3">
        <v>0</v>
      </c>
      <c r="BC2307" s="3">
        <v>0</v>
      </c>
      <c r="BD2307" s="3">
        <v>0</v>
      </c>
      <c r="BE2307" s="3">
        <v>0</v>
      </c>
      <c r="BF2307" s="3">
        <v>0</v>
      </c>
      <c r="BG2307" s="3">
        <v>0</v>
      </c>
      <c r="BH2307" s="3">
        <v>1</v>
      </c>
      <c r="BI2307" s="3">
        <v>2</v>
      </c>
      <c r="BJ2307" s="3">
        <v>1.5</v>
      </c>
      <c r="BK2307" s="3">
        <v>2</v>
      </c>
      <c r="BL2307" s="3">
        <v>59</v>
      </c>
      <c r="BM2307" s="3">
        <v>8.85</v>
      </c>
      <c r="BN2307" s="3">
        <v>67.849999999999994</v>
      </c>
      <c r="BO2307" s="3">
        <v>67.849999999999994</v>
      </c>
      <c r="BQ2307" s="3" t="s">
        <v>89</v>
      </c>
      <c r="BR2307" s="3" t="s">
        <v>84</v>
      </c>
      <c r="BS2307" s="4">
        <v>44587</v>
      </c>
      <c r="BT2307" s="5">
        <v>0.42777777777777781</v>
      </c>
      <c r="BU2307" s="3" t="s">
        <v>1007</v>
      </c>
      <c r="BV2307" s="3" t="s">
        <v>105</v>
      </c>
      <c r="BY2307" s="3">
        <v>7540</v>
      </c>
      <c r="BZ2307" s="3" t="s">
        <v>165</v>
      </c>
      <c r="CA2307" s="3" t="s">
        <v>362</v>
      </c>
      <c r="CC2307" s="3" t="s">
        <v>219</v>
      </c>
      <c r="CD2307" s="3">
        <v>157</v>
      </c>
      <c r="CE2307" s="3" t="s">
        <v>86</v>
      </c>
      <c r="CF2307" s="4">
        <v>44588</v>
      </c>
      <c r="CI2307" s="3">
        <v>1</v>
      </c>
      <c r="CJ2307" s="3">
        <v>1</v>
      </c>
      <c r="CK2307" s="3">
        <v>21</v>
      </c>
      <c r="CL2307" s="3" t="s">
        <v>87</v>
      </c>
    </row>
    <row r="2308" spans="1:90" x14ac:dyDescent="0.2">
      <c r="A2308" s="3" t="s">
        <v>72</v>
      </c>
      <c r="B2308" s="3" t="s">
        <v>73</v>
      </c>
      <c r="C2308" s="3" t="s">
        <v>74</v>
      </c>
      <c r="E2308" s="3" t="str">
        <f>"FES1162846802"</f>
        <v>FES1162846802</v>
      </c>
      <c r="F2308" s="4">
        <v>44586</v>
      </c>
      <c r="G2308" s="3">
        <v>202207</v>
      </c>
      <c r="H2308" s="3" t="s">
        <v>75</v>
      </c>
      <c r="I2308" s="3" t="s">
        <v>76</v>
      </c>
      <c r="J2308" s="3" t="s">
        <v>77</v>
      </c>
      <c r="K2308" s="3" t="s">
        <v>78</v>
      </c>
      <c r="L2308" s="3" t="s">
        <v>510</v>
      </c>
      <c r="M2308" s="3" t="s">
        <v>511</v>
      </c>
      <c r="N2308" s="3" t="s">
        <v>2349</v>
      </c>
      <c r="O2308" s="3" t="s">
        <v>82</v>
      </c>
      <c r="P2308" s="3" t="str">
        <f>"2170798850                    "</f>
        <v xml:space="preserve">2170798850                    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12.07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0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3">
        <v>0</v>
      </c>
      <c r="AY2308" s="3">
        <v>0</v>
      </c>
      <c r="AZ2308" s="3">
        <v>0</v>
      </c>
      <c r="BA2308" s="3">
        <v>0</v>
      </c>
      <c r="BB2308" s="3">
        <v>0</v>
      </c>
      <c r="BC2308" s="3">
        <v>0</v>
      </c>
      <c r="BD2308" s="3">
        <v>0</v>
      </c>
      <c r="BE2308" s="3">
        <v>0</v>
      </c>
      <c r="BF2308" s="3">
        <v>0</v>
      </c>
      <c r="BG2308" s="3">
        <v>0</v>
      </c>
      <c r="BH2308" s="3">
        <v>1</v>
      </c>
      <c r="BI2308" s="3">
        <v>1</v>
      </c>
      <c r="BJ2308" s="3">
        <v>2</v>
      </c>
      <c r="BK2308" s="3">
        <v>2</v>
      </c>
      <c r="BL2308" s="3">
        <v>46.08</v>
      </c>
      <c r="BM2308" s="3">
        <v>6.91</v>
      </c>
      <c r="BN2308" s="3">
        <v>52.99</v>
      </c>
      <c r="BO2308" s="3">
        <v>52.99</v>
      </c>
      <c r="BR2308" s="3" t="s">
        <v>84</v>
      </c>
      <c r="BS2308" s="4">
        <v>44587</v>
      </c>
      <c r="BT2308" s="5">
        <v>0.4368055555555555</v>
      </c>
      <c r="BU2308" s="3" t="s">
        <v>2350</v>
      </c>
      <c r="BV2308" s="3" t="s">
        <v>105</v>
      </c>
      <c r="BY2308" s="3">
        <v>9918</v>
      </c>
      <c r="BZ2308" s="3" t="s">
        <v>165</v>
      </c>
      <c r="CA2308" s="3" t="s">
        <v>514</v>
      </c>
      <c r="CC2308" s="3" t="s">
        <v>511</v>
      </c>
      <c r="CD2308" s="3">
        <v>1540</v>
      </c>
      <c r="CE2308" s="3" t="s">
        <v>86</v>
      </c>
      <c r="CF2308" s="4">
        <v>44588</v>
      </c>
      <c r="CI2308" s="3">
        <v>1</v>
      </c>
      <c r="CJ2308" s="3">
        <v>1</v>
      </c>
      <c r="CK2308" s="3">
        <v>22</v>
      </c>
      <c r="CL2308" s="3" t="s">
        <v>87</v>
      </c>
    </row>
    <row r="2309" spans="1:90" x14ac:dyDescent="0.2">
      <c r="A2309" s="3" t="s">
        <v>72</v>
      </c>
      <c r="B2309" s="3" t="s">
        <v>73</v>
      </c>
      <c r="C2309" s="3" t="s">
        <v>74</v>
      </c>
      <c r="E2309" s="3" t="str">
        <f>"FES1162846648"</f>
        <v>FES1162846648</v>
      </c>
      <c r="F2309" s="4">
        <v>44586</v>
      </c>
      <c r="G2309" s="3">
        <v>202207</v>
      </c>
      <c r="H2309" s="3" t="s">
        <v>75</v>
      </c>
      <c r="I2309" s="3" t="s">
        <v>76</v>
      </c>
      <c r="J2309" s="3" t="s">
        <v>77</v>
      </c>
      <c r="K2309" s="3" t="s">
        <v>78</v>
      </c>
      <c r="L2309" s="3" t="s">
        <v>228</v>
      </c>
      <c r="M2309" s="3" t="s">
        <v>229</v>
      </c>
      <c r="N2309" s="3" t="s">
        <v>2351</v>
      </c>
      <c r="O2309" s="3" t="s">
        <v>82</v>
      </c>
      <c r="P2309" s="3" t="str">
        <f>"2170818030                    "</f>
        <v xml:space="preserve">2170818030                    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29.95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0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3">
        <v>0</v>
      </c>
      <c r="AY2309" s="3">
        <v>0</v>
      </c>
      <c r="AZ2309" s="3">
        <v>0</v>
      </c>
      <c r="BA2309" s="3">
        <v>0</v>
      </c>
      <c r="BB2309" s="3">
        <v>0</v>
      </c>
      <c r="BC2309" s="3">
        <v>0</v>
      </c>
      <c r="BD2309" s="3">
        <v>0</v>
      </c>
      <c r="BE2309" s="3">
        <v>0</v>
      </c>
      <c r="BF2309" s="3">
        <v>0</v>
      </c>
      <c r="BG2309" s="3">
        <v>0</v>
      </c>
      <c r="BH2309" s="3">
        <v>1</v>
      </c>
      <c r="BI2309" s="3">
        <v>1</v>
      </c>
      <c r="BJ2309" s="3">
        <v>0.3</v>
      </c>
      <c r="BK2309" s="3">
        <v>1</v>
      </c>
      <c r="BL2309" s="3">
        <v>114.31</v>
      </c>
      <c r="BM2309" s="3">
        <v>17.149999999999999</v>
      </c>
      <c r="BN2309" s="3">
        <v>131.46</v>
      </c>
      <c r="BO2309" s="3">
        <v>131.46</v>
      </c>
      <c r="BR2309" s="3" t="s">
        <v>84</v>
      </c>
      <c r="BS2309" s="4">
        <v>44587</v>
      </c>
      <c r="BT2309" s="5">
        <v>0.61875000000000002</v>
      </c>
      <c r="BU2309" s="3" t="s">
        <v>2352</v>
      </c>
      <c r="BV2309" s="3" t="s">
        <v>105</v>
      </c>
      <c r="BY2309" s="3">
        <v>1470</v>
      </c>
      <c r="BZ2309" s="3" t="s">
        <v>165</v>
      </c>
      <c r="CA2309" s="3" t="s">
        <v>1030</v>
      </c>
      <c r="CC2309" s="3" t="s">
        <v>229</v>
      </c>
      <c r="CD2309" s="3">
        <v>4252</v>
      </c>
      <c r="CE2309" s="3" t="s">
        <v>86</v>
      </c>
      <c r="CF2309" s="4">
        <v>44588</v>
      </c>
      <c r="CI2309" s="3">
        <v>2</v>
      </c>
      <c r="CJ2309" s="3">
        <v>1</v>
      </c>
      <c r="CK2309" s="3">
        <v>23</v>
      </c>
      <c r="CL2309" s="3" t="s">
        <v>87</v>
      </c>
    </row>
    <row r="2310" spans="1:90" x14ac:dyDescent="0.2">
      <c r="A2310" s="3" t="s">
        <v>72</v>
      </c>
      <c r="B2310" s="3" t="s">
        <v>73</v>
      </c>
      <c r="C2310" s="3" t="s">
        <v>74</v>
      </c>
      <c r="E2310" s="3" t="str">
        <f>"FES1162846677"</f>
        <v>FES1162846677</v>
      </c>
      <c r="F2310" s="4">
        <v>44586</v>
      </c>
      <c r="G2310" s="3">
        <v>202207</v>
      </c>
      <c r="H2310" s="3" t="s">
        <v>75</v>
      </c>
      <c r="I2310" s="3" t="s">
        <v>76</v>
      </c>
      <c r="J2310" s="3" t="s">
        <v>77</v>
      </c>
      <c r="K2310" s="3" t="s">
        <v>78</v>
      </c>
      <c r="L2310" s="3" t="s">
        <v>97</v>
      </c>
      <c r="M2310" s="3" t="s">
        <v>98</v>
      </c>
      <c r="N2310" s="3" t="s">
        <v>1068</v>
      </c>
      <c r="O2310" s="3" t="s">
        <v>82</v>
      </c>
      <c r="P2310" s="3" t="str">
        <f>"2170815729                    "</f>
        <v xml:space="preserve">2170815729                    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12.07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0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3">
        <v>0</v>
      </c>
      <c r="AY2310" s="3">
        <v>0</v>
      </c>
      <c r="AZ2310" s="3">
        <v>0</v>
      </c>
      <c r="BA2310" s="3">
        <v>0</v>
      </c>
      <c r="BB2310" s="3">
        <v>0</v>
      </c>
      <c r="BC2310" s="3">
        <v>0</v>
      </c>
      <c r="BD2310" s="3">
        <v>0</v>
      </c>
      <c r="BE2310" s="3">
        <v>0</v>
      </c>
      <c r="BF2310" s="3">
        <v>0</v>
      </c>
      <c r="BG2310" s="3">
        <v>0</v>
      </c>
      <c r="BH2310" s="3">
        <v>1</v>
      </c>
      <c r="BI2310" s="3">
        <v>2</v>
      </c>
      <c r="BJ2310" s="3">
        <v>1.1000000000000001</v>
      </c>
      <c r="BK2310" s="3">
        <v>2</v>
      </c>
      <c r="BL2310" s="3">
        <v>46.08</v>
      </c>
      <c r="BM2310" s="3">
        <v>6.91</v>
      </c>
      <c r="BN2310" s="3">
        <v>52.99</v>
      </c>
      <c r="BO2310" s="3">
        <v>52.99</v>
      </c>
      <c r="BR2310" s="3" t="s">
        <v>84</v>
      </c>
      <c r="BS2310" s="4">
        <v>44587</v>
      </c>
      <c r="BT2310" s="5">
        <v>0.3263888888888889</v>
      </c>
      <c r="BU2310" s="3" t="s">
        <v>1374</v>
      </c>
      <c r="BV2310" s="3" t="s">
        <v>105</v>
      </c>
      <c r="BY2310" s="3">
        <v>5320</v>
      </c>
      <c r="BZ2310" s="3" t="s">
        <v>165</v>
      </c>
      <c r="CA2310" s="3" t="s">
        <v>297</v>
      </c>
      <c r="CC2310" s="3" t="s">
        <v>98</v>
      </c>
      <c r="CD2310" s="3">
        <v>2013</v>
      </c>
      <c r="CE2310" s="3" t="s">
        <v>86</v>
      </c>
      <c r="CF2310" s="4">
        <v>44588</v>
      </c>
      <c r="CI2310" s="3">
        <v>1</v>
      </c>
      <c r="CJ2310" s="3">
        <v>1</v>
      </c>
      <c r="CK2310" s="3">
        <v>22</v>
      </c>
      <c r="CL2310" s="3" t="s">
        <v>87</v>
      </c>
    </row>
    <row r="2311" spans="1:90" x14ac:dyDescent="0.2">
      <c r="A2311" s="3" t="s">
        <v>72</v>
      </c>
      <c r="B2311" s="3" t="s">
        <v>73</v>
      </c>
      <c r="C2311" s="3" t="s">
        <v>74</v>
      </c>
      <c r="E2311" s="3" t="str">
        <f>"FES1162846860"</f>
        <v>FES1162846860</v>
      </c>
      <c r="F2311" s="4">
        <v>44586</v>
      </c>
      <c r="G2311" s="3">
        <v>202207</v>
      </c>
      <c r="H2311" s="3" t="s">
        <v>75</v>
      </c>
      <c r="I2311" s="3" t="s">
        <v>76</v>
      </c>
      <c r="J2311" s="3" t="s">
        <v>77</v>
      </c>
      <c r="K2311" s="3" t="s">
        <v>78</v>
      </c>
      <c r="L2311" s="3" t="s">
        <v>218</v>
      </c>
      <c r="M2311" s="3" t="s">
        <v>219</v>
      </c>
      <c r="N2311" s="3" t="s">
        <v>766</v>
      </c>
      <c r="O2311" s="3" t="s">
        <v>82</v>
      </c>
      <c r="P2311" s="3" t="str">
        <f>"2170818123                    "</f>
        <v xml:space="preserve">2170818123                    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15.46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0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3">
        <v>0</v>
      </c>
      <c r="AY2311" s="3">
        <v>0</v>
      </c>
      <c r="AZ2311" s="3">
        <v>0</v>
      </c>
      <c r="BA2311" s="3">
        <v>0</v>
      </c>
      <c r="BB2311" s="3">
        <v>0</v>
      </c>
      <c r="BC2311" s="3">
        <v>0</v>
      </c>
      <c r="BD2311" s="3">
        <v>0</v>
      </c>
      <c r="BE2311" s="3">
        <v>0</v>
      </c>
      <c r="BF2311" s="3">
        <v>0</v>
      </c>
      <c r="BG2311" s="3">
        <v>0</v>
      </c>
      <c r="BH2311" s="3">
        <v>1</v>
      </c>
      <c r="BI2311" s="3">
        <v>2</v>
      </c>
      <c r="BJ2311" s="3">
        <v>2</v>
      </c>
      <c r="BK2311" s="3">
        <v>2</v>
      </c>
      <c r="BL2311" s="3">
        <v>59</v>
      </c>
      <c r="BM2311" s="3">
        <v>8.85</v>
      </c>
      <c r="BN2311" s="3">
        <v>67.849999999999994</v>
      </c>
      <c r="BO2311" s="3">
        <v>67.849999999999994</v>
      </c>
      <c r="BQ2311" s="3" t="s">
        <v>89</v>
      </c>
      <c r="BR2311" s="3" t="s">
        <v>84</v>
      </c>
      <c r="BS2311" s="4">
        <v>44587</v>
      </c>
      <c r="BT2311" s="5">
        <v>0.42777777777777781</v>
      </c>
      <c r="BU2311" s="3" t="s">
        <v>1007</v>
      </c>
      <c r="BV2311" s="3" t="s">
        <v>105</v>
      </c>
      <c r="BY2311" s="3">
        <v>9900</v>
      </c>
      <c r="BZ2311" s="3" t="s">
        <v>165</v>
      </c>
      <c r="CA2311" s="3" t="s">
        <v>362</v>
      </c>
      <c r="CC2311" s="3" t="s">
        <v>219</v>
      </c>
      <c r="CD2311" s="3">
        <v>157</v>
      </c>
      <c r="CE2311" s="3" t="s">
        <v>86</v>
      </c>
      <c r="CF2311" s="4">
        <v>44588</v>
      </c>
      <c r="CI2311" s="3">
        <v>1</v>
      </c>
      <c r="CJ2311" s="3">
        <v>1</v>
      </c>
      <c r="CK2311" s="3">
        <v>21</v>
      </c>
      <c r="CL2311" s="3" t="s">
        <v>87</v>
      </c>
    </row>
    <row r="2312" spans="1:90" x14ac:dyDescent="0.2">
      <c r="A2312" s="3" t="s">
        <v>72</v>
      </c>
      <c r="B2312" s="3" t="s">
        <v>73</v>
      </c>
      <c r="C2312" s="3" t="s">
        <v>74</v>
      </c>
      <c r="E2312" s="3" t="str">
        <f>"FES1162846731"</f>
        <v>FES1162846731</v>
      </c>
      <c r="F2312" s="4">
        <v>44586</v>
      </c>
      <c r="G2312" s="3">
        <v>202207</v>
      </c>
      <c r="H2312" s="3" t="s">
        <v>75</v>
      </c>
      <c r="I2312" s="3" t="s">
        <v>76</v>
      </c>
      <c r="J2312" s="3" t="s">
        <v>77</v>
      </c>
      <c r="K2312" s="3" t="s">
        <v>78</v>
      </c>
      <c r="L2312" s="3" t="s">
        <v>123</v>
      </c>
      <c r="M2312" s="3" t="s">
        <v>124</v>
      </c>
      <c r="N2312" s="3" t="s">
        <v>1969</v>
      </c>
      <c r="O2312" s="3" t="s">
        <v>82</v>
      </c>
      <c r="P2312" s="3" t="str">
        <f>"2170815384                    "</f>
        <v xml:space="preserve">2170815384                    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12.07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0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3">
        <v>0</v>
      </c>
      <c r="AY2312" s="3">
        <v>0</v>
      </c>
      <c r="AZ2312" s="3">
        <v>0</v>
      </c>
      <c r="BA2312" s="3">
        <v>0</v>
      </c>
      <c r="BB2312" s="3">
        <v>0</v>
      </c>
      <c r="BC2312" s="3">
        <v>0</v>
      </c>
      <c r="BD2312" s="3">
        <v>0</v>
      </c>
      <c r="BE2312" s="3">
        <v>0</v>
      </c>
      <c r="BF2312" s="3">
        <v>0</v>
      </c>
      <c r="BG2312" s="3">
        <v>0</v>
      </c>
      <c r="BH2312" s="3">
        <v>1</v>
      </c>
      <c r="BI2312" s="3">
        <v>1</v>
      </c>
      <c r="BJ2312" s="3">
        <v>2</v>
      </c>
      <c r="BK2312" s="3">
        <v>2</v>
      </c>
      <c r="BL2312" s="3">
        <v>46.08</v>
      </c>
      <c r="BM2312" s="3">
        <v>6.91</v>
      </c>
      <c r="BN2312" s="3">
        <v>52.99</v>
      </c>
      <c r="BO2312" s="3">
        <v>52.99</v>
      </c>
      <c r="BR2312" s="3" t="s">
        <v>84</v>
      </c>
      <c r="BS2312" s="4">
        <v>44592</v>
      </c>
      <c r="BT2312" s="5">
        <v>0.31944444444444448</v>
      </c>
      <c r="BU2312" s="3" t="s">
        <v>2353</v>
      </c>
      <c r="BV2312" s="3" t="s">
        <v>87</v>
      </c>
      <c r="BY2312" s="3">
        <v>9918</v>
      </c>
      <c r="BZ2312" s="3" t="s">
        <v>165</v>
      </c>
      <c r="CA2312" s="3" t="s">
        <v>1703</v>
      </c>
      <c r="CC2312" s="3" t="s">
        <v>124</v>
      </c>
      <c r="CD2312" s="3">
        <v>1709</v>
      </c>
      <c r="CE2312" s="3" t="s">
        <v>86</v>
      </c>
      <c r="CI2312" s="3">
        <v>1</v>
      </c>
      <c r="CJ2312" s="3">
        <v>4</v>
      </c>
      <c r="CK2312" s="3">
        <v>22</v>
      </c>
      <c r="CL2312" s="3" t="s">
        <v>87</v>
      </c>
    </row>
    <row r="2313" spans="1:90" x14ac:dyDescent="0.2">
      <c r="A2313" s="3" t="s">
        <v>72</v>
      </c>
      <c r="B2313" s="3" t="s">
        <v>73</v>
      </c>
      <c r="C2313" s="3" t="s">
        <v>74</v>
      </c>
      <c r="E2313" s="3" t="str">
        <f>"FES1162846815"</f>
        <v>FES1162846815</v>
      </c>
      <c r="F2313" s="4">
        <v>44586</v>
      </c>
      <c r="G2313" s="3">
        <v>202207</v>
      </c>
      <c r="H2313" s="3" t="s">
        <v>75</v>
      </c>
      <c r="I2313" s="3" t="s">
        <v>76</v>
      </c>
      <c r="J2313" s="3" t="s">
        <v>77</v>
      </c>
      <c r="K2313" s="3" t="s">
        <v>78</v>
      </c>
      <c r="L2313" s="3" t="s">
        <v>138</v>
      </c>
      <c r="M2313" s="3" t="s">
        <v>139</v>
      </c>
      <c r="N2313" s="3" t="s">
        <v>546</v>
      </c>
      <c r="O2313" s="3" t="s">
        <v>82</v>
      </c>
      <c r="P2313" s="3" t="str">
        <f>"2170817779                    "</f>
        <v xml:space="preserve">2170817779                    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15.46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0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3">
        <v>0</v>
      </c>
      <c r="AY2313" s="3">
        <v>0</v>
      </c>
      <c r="AZ2313" s="3">
        <v>0</v>
      </c>
      <c r="BA2313" s="3">
        <v>0</v>
      </c>
      <c r="BB2313" s="3">
        <v>0</v>
      </c>
      <c r="BC2313" s="3">
        <v>0</v>
      </c>
      <c r="BD2313" s="3">
        <v>0</v>
      </c>
      <c r="BE2313" s="3">
        <v>0</v>
      </c>
      <c r="BF2313" s="3">
        <v>0</v>
      </c>
      <c r="BG2313" s="3">
        <v>0</v>
      </c>
      <c r="BH2313" s="3">
        <v>1</v>
      </c>
      <c r="BI2313" s="3">
        <v>1</v>
      </c>
      <c r="BJ2313" s="3">
        <v>0.9</v>
      </c>
      <c r="BK2313" s="3">
        <v>1</v>
      </c>
      <c r="BL2313" s="3">
        <v>59</v>
      </c>
      <c r="BM2313" s="3">
        <v>8.85</v>
      </c>
      <c r="BN2313" s="3">
        <v>67.849999999999994</v>
      </c>
      <c r="BO2313" s="3">
        <v>67.849999999999994</v>
      </c>
      <c r="BQ2313" s="3" t="s">
        <v>83</v>
      </c>
      <c r="BR2313" s="3" t="s">
        <v>84</v>
      </c>
      <c r="BS2313" s="4">
        <v>44587</v>
      </c>
      <c r="BT2313" s="5">
        <v>0.38263888888888892</v>
      </c>
      <c r="BU2313" s="3" t="s">
        <v>547</v>
      </c>
      <c r="BV2313" s="3" t="s">
        <v>105</v>
      </c>
      <c r="BY2313" s="3">
        <v>4455</v>
      </c>
      <c r="BZ2313" s="3" t="s">
        <v>165</v>
      </c>
      <c r="CA2313" s="3" t="s">
        <v>334</v>
      </c>
      <c r="CC2313" s="3" t="s">
        <v>139</v>
      </c>
      <c r="CD2313" s="3">
        <v>3610</v>
      </c>
      <c r="CE2313" s="3" t="s">
        <v>86</v>
      </c>
      <c r="CF2313" s="4">
        <v>44588</v>
      </c>
      <c r="CI2313" s="3">
        <v>1</v>
      </c>
      <c r="CJ2313" s="3">
        <v>1</v>
      </c>
      <c r="CK2313" s="3">
        <v>21</v>
      </c>
      <c r="CL2313" s="3" t="s">
        <v>87</v>
      </c>
    </row>
    <row r="2314" spans="1:90" x14ac:dyDescent="0.2">
      <c r="A2314" s="3" t="s">
        <v>72</v>
      </c>
      <c r="B2314" s="3" t="s">
        <v>73</v>
      </c>
      <c r="C2314" s="3" t="s">
        <v>74</v>
      </c>
      <c r="E2314" s="3" t="str">
        <f>"FES1162846654"</f>
        <v>FES1162846654</v>
      </c>
      <c r="F2314" s="4">
        <v>44586</v>
      </c>
      <c r="G2314" s="3">
        <v>202207</v>
      </c>
      <c r="H2314" s="3" t="s">
        <v>75</v>
      </c>
      <c r="I2314" s="3" t="s">
        <v>76</v>
      </c>
      <c r="J2314" s="3" t="s">
        <v>77</v>
      </c>
      <c r="K2314" s="3" t="s">
        <v>78</v>
      </c>
      <c r="L2314" s="3" t="s">
        <v>920</v>
      </c>
      <c r="M2314" s="3" t="s">
        <v>921</v>
      </c>
      <c r="N2314" s="3" t="s">
        <v>922</v>
      </c>
      <c r="O2314" s="3" t="s">
        <v>82</v>
      </c>
      <c r="P2314" s="3" t="str">
        <f>"2170818043                    "</f>
        <v xml:space="preserve">2170818043                    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29.95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0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3">
        <v>0</v>
      </c>
      <c r="AY2314" s="3">
        <v>0</v>
      </c>
      <c r="AZ2314" s="3">
        <v>0</v>
      </c>
      <c r="BA2314" s="3">
        <v>0</v>
      </c>
      <c r="BB2314" s="3">
        <v>0</v>
      </c>
      <c r="BC2314" s="3">
        <v>0</v>
      </c>
      <c r="BD2314" s="3">
        <v>0</v>
      </c>
      <c r="BE2314" s="3">
        <v>0</v>
      </c>
      <c r="BF2314" s="3">
        <v>0</v>
      </c>
      <c r="BG2314" s="3">
        <v>0</v>
      </c>
      <c r="BH2314" s="3">
        <v>1</v>
      </c>
      <c r="BI2314" s="3">
        <v>1</v>
      </c>
      <c r="BJ2314" s="3">
        <v>1.5</v>
      </c>
      <c r="BK2314" s="3">
        <v>1.5</v>
      </c>
      <c r="BL2314" s="3">
        <v>114.31</v>
      </c>
      <c r="BM2314" s="3">
        <v>17.149999999999999</v>
      </c>
      <c r="BN2314" s="3">
        <v>131.46</v>
      </c>
      <c r="BO2314" s="3">
        <v>131.46</v>
      </c>
      <c r="BQ2314" s="3" t="s">
        <v>89</v>
      </c>
      <c r="BR2314" s="3" t="s">
        <v>84</v>
      </c>
      <c r="BS2314" s="4">
        <v>44587</v>
      </c>
      <c r="BT2314" s="5">
        <v>0.39444444444444443</v>
      </c>
      <c r="BU2314" s="3" t="s">
        <v>2354</v>
      </c>
      <c r="BV2314" s="3" t="s">
        <v>105</v>
      </c>
      <c r="BY2314" s="3">
        <v>7540</v>
      </c>
      <c r="BZ2314" s="3" t="s">
        <v>165</v>
      </c>
      <c r="CA2314" s="3" t="s">
        <v>2355</v>
      </c>
      <c r="CC2314" s="3" t="s">
        <v>921</v>
      </c>
      <c r="CD2314" s="3">
        <v>9700</v>
      </c>
      <c r="CE2314" s="3" t="s">
        <v>86</v>
      </c>
      <c r="CF2314" s="4">
        <v>44587</v>
      </c>
      <c r="CI2314" s="3">
        <v>1</v>
      </c>
      <c r="CJ2314" s="3">
        <v>1</v>
      </c>
      <c r="CK2314" s="3">
        <v>23</v>
      </c>
      <c r="CL2314" s="3" t="s">
        <v>87</v>
      </c>
    </row>
    <row r="2315" spans="1:90" x14ac:dyDescent="0.2">
      <c r="A2315" s="3" t="s">
        <v>72</v>
      </c>
      <c r="B2315" s="3" t="s">
        <v>73</v>
      </c>
      <c r="C2315" s="3" t="s">
        <v>74</v>
      </c>
      <c r="E2315" s="3" t="str">
        <f>"FES1162846680"</f>
        <v>FES1162846680</v>
      </c>
      <c r="F2315" s="4">
        <v>44586</v>
      </c>
      <c r="G2315" s="3">
        <v>202207</v>
      </c>
      <c r="H2315" s="3" t="s">
        <v>75</v>
      </c>
      <c r="I2315" s="3" t="s">
        <v>76</v>
      </c>
      <c r="J2315" s="3" t="s">
        <v>77</v>
      </c>
      <c r="K2315" s="3" t="s">
        <v>78</v>
      </c>
      <c r="L2315" s="3" t="s">
        <v>94</v>
      </c>
      <c r="M2315" s="3" t="s">
        <v>95</v>
      </c>
      <c r="N2315" s="3" t="s">
        <v>613</v>
      </c>
      <c r="O2315" s="3" t="s">
        <v>82</v>
      </c>
      <c r="P2315" s="3" t="str">
        <f>"2170816165                    "</f>
        <v xml:space="preserve">2170816165                    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69.53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0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3">
        <v>0</v>
      </c>
      <c r="AY2315" s="3">
        <v>0</v>
      </c>
      <c r="AZ2315" s="3">
        <v>0</v>
      </c>
      <c r="BA2315" s="3">
        <v>0</v>
      </c>
      <c r="BB2315" s="3">
        <v>0</v>
      </c>
      <c r="BC2315" s="3">
        <v>0</v>
      </c>
      <c r="BD2315" s="3">
        <v>0</v>
      </c>
      <c r="BE2315" s="3">
        <v>0</v>
      </c>
      <c r="BF2315" s="3">
        <v>0</v>
      </c>
      <c r="BG2315" s="3">
        <v>0</v>
      </c>
      <c r="BH2315" s="3">
        <v>1</v>
      </c>
      <c r="BI2315" s="3">
        <v>9</v>
      </c>
      <c r="BJ2315" s="3">
        <v>4.0999999999999996</v>
      </c>
      <c r="BK2315" s="3">
        <v>9</v>
      </c>
      <c r="BL2315" s="3">
        <v>265.39</v>
      </c>
      <c r="BM2315" s="3">
        <v>39.81</v>
      </c>
      <c r="BN2315" s="3">
        <v>305.2</v>
      </c>
      <c r="BO2315" s="3">
        <v>305.2</v>
      </c>
      <c r="BQ2315" s="3" t="s">
        <v>89</v>
      </c>
      <c r="BR2315" s="3" t="s">
        <v>84</v>
      </c>
      <c r="BS2315" s="4">
        <v>44587</v>
      </c>
      <c r="BT2315" s="5">
        <v>0.38541666666666669</v>
      </c>
      <c r="BU2315" s="3" t="s">
        <v>1824</v>
      </c>
      <c r="BV2315" s="3" t="s">
        <v>105</v>
      </c>
      <c r="BY2315" s="3">
        <v>20358</v>
      </c>
      <c r="BZ2315" s="3" t="s">
        <v>165</v>
      </c>
      <c r="CC2315" s="3" t="s">
        <v>95</v>
      </c>
      <c r="CD2315" s="3">
        <v>3212</v>
      </c>
      <c r="CE2315" s="3" t="s">
        <v>86</v>
      </c>
      <c r="CF2315" s="4">
        <v>44589</v>
      </c>
      <c r="CI2315" s="3">
        <v>1</v>
      </c>
      <c r="CJ2315" s="3">
        <v>1</v>
      </c>
      <c r="CK2315" s="3">
        <v>21</v>
      </c>
      <c r="CL2315" s="3" t="s">
        <v>87</v>
      </c>
    </row>
    <row r="2316" spans="1:90" x14ac:dyDescent="0.2">
      <c r="A2316" s="3" t="s">
        <v>72</v>
      </c>
      <c r="B2316" s="3" t="s">
        <v>73</v>
      </c>
      <c r="C2316" s="3" t="s">
        <v>74</v>
      </c>
      <c r="E2316" s="3" t="str">
        <f>"FES1162846695"</f>
        <v>FES1162846695</v>
      </c>
      <c r="F2316" s="4">
        <v>44586</v>
      </c>
      <c r="G2316" s="3">
        <v>202207</v>
      </c>
      <c r="H2316" s="3" t="s">
        <v>75</v>
      </c>
      <c r="I2316" s="3" t="s">
        <v>76</v>
      </c>
      <c r="J2316" s="3" t="s">
        <v>77</v>
      </c>
      <c r="K2316" s="3" t="s">
        <v>78</v>
      </c>
      <c r="L2316" s="3" t="s">
        <v>90</v>
      </c>
      <c r="M2316" s="3" t="s">
        <v>91</v>
      </c>
      <c r="N2316" s="3" t="s">
        <v>827</v>
      </c>
      <c r="O2316" s="3" t="s">
        <v>82</v>
      </c>
      <c r="P2316" s="3" t="str">
        <f>"2170816335                    "</f>
        <v xml:space="preserve">2170816335                    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84.98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0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3">
        <v>0</v>
      </c>
      <c r="AY2316" s="3">
        <v>0</v>
      </c>
      <c r="AZ2316" s="3">
        <v>0</v>
      </c>
      <c r="BA2316" s="3">
        <v>0</v>
      </c>
      <c r="BB2316" s="3">
        <v>0</v>
      </c>
      <c r="BC2316" s="3">
        <v>0</v>
      </c>
      <c r="BD2316" s="3">
        <v>0</v>
      </c>
      <c r="BE2316" s="3">
        <v>0</v>
      </c>
      <c r="BF2316" s="3">
        <v>0</v>
      </c>
      <c r="BG2316" s="3">
        <v>0</v>
      </c>
      <c r="BH2316" s="3">
        <v>1</v>
      </c>
      <c r="BI2316" s="3">
        <v>9</v>
      </c>
      <c r="BJ2316" s="3">
        <v>10.6</v>
      </c>
      <c r="BK2316" s="3">
        <v>11</v>
      </c>
      <c r="BL2316" s="3">
        <v>324.36</v>
      </c>
      <c r="BM2316" s="3">
        <v>48.65</v>
      </c>
      <c r="BN2316" s="3">
        <v>373.01</v>
      </c>
      <c r="BO2316" s="3">
        <v>373.01</v>
      </c>
      <c r="BQ2316" s="3" t="s">
        <v>83</v>
      </c>
      <c r="BR2316" s="3" t="s">
        <v>84</v>
      </c>
      <c r="BS2316" s="4">
        <v>44587</v>
      </c>
      <c r="BT2316" s="5">
        <v>0.32916666666666666</v>
      </c>
      <c r="BU2316" s="3" t="s">
        <v>2356</v>
      </c>
      <c r="BV2316" s="3" t="s">
        <v>105</v>
      </c>
      <c r="BY2316" s="3">
        <v>52992</v>
      </c>
      <c r="BZ2316" s="3" t="s">
        <v>165</v>
      </c>
      <c r="CA2316" s="3" t="s">
        <v>2141</v>
      </c>
      <c r="CC2316" s="3" t="s">
        <v>91</v>
      </c>
      <c r="CD2316" s="3">
        <v>7499</v>
      </c>
      <c r="CE2316" s="3" t="s">
        <v>86</v>
      </c>
      <c r="CF2316" s="4">
        <v>44588</v>
      </c>
      <c r="CI2316" s="3">
        <v>1</v>
      </c>
      <c r="CJ2316" s="3">
        <v>1</v>
      </c>
      <c r="CK2316" s="3">
        <v>21</v>
      </c>
      <c r="CL2316" s="3" t="s">
        <v>87</v>
      </c>
    </row>
    <row r="2317" spans="1:90" x14ac:dyDescent="0.2">
      <c r="A2317" s="3" t="s">
        <v>72</v>
      </c>
      <c r="B2317" s="3" t="s">
        <v>73</v>
      </c>
      <c r="C2317" s="3" t="s">
        <v>74</v>
      </c>
      <c r="E2317" s="3" t="str">
        <f>"FES1162846782"</f>
        <v>FES1162846782</v>
      </c>
      <c r="F2317" s="4">
        <v>44586</v>
      </c>
      <c r="G2317" s="3">
        <v>202207</v>
      </c>
      <c r="H2317" s="3" t="s">
        <v>75</v>
      </c>
      <c r="I2317" s="3" t="s">
        <v>76</v>
      </c>
      <c r="J2317" s="3" t="s">
        <v>77</v>
      </c>
      <c r="K2317" s="3" t="s">
        <v>78</v>
      </c>
      <c r="L2317" s="3" t="s">
        <v>90</v>
      </c>
      <c r="M2317" s="3" t="s">
        <v>91</v>
      </c>
      <c r="N2317" s="3" t="s">
        <v>827</v>
      </c>
      <c r="O2317" s="3" t="s">
        <v>82</v>
      </c>
      <c r="P2317" s="3" t="str">
        <f>"2170816338                    "</f>
        <v xml:space="preserve">2170816338                    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69.53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0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3">
        <v>0</v>
      </c>
      <c r="AY2317" s="3">
        <v>0</v>
      </c>
      <c r="AZ2317" s="3">
        <v>0</v>
      </c>
      <c r="BA2317" s="3">
        <v>0</v>
      </c>
      <c r="BB2317" s="3">
        <v>0</v>
      </c>
      <c r="BC2317" s="3">
        <v>0</v>
      </c>
      <c r="BD2317" s="3">
        <v>0</v>
      </c>
      <c r="BE2317" s="3">
        <v>0</v>
      </c>
      <c r="BF2317" s="3">
        <v>0</v>
      </c>
      <c r="BG2317" s="3">
        <v>0</v>
      </c>
      <c r="BH2317" s="3">
        <v>1</v>
      </c>
      <c r="BI2317" s="3">
        <v>9</v>
      </c>
      <c r="BJ2317" s="3">
        <v>4.0999999999999996</v>
      </c>
      <c r="BK2317" s="3">
        <v>9</v>
      </c>
      <c r="BL2317" s="3">
        <v>265.39</v>
      </c>
      <c r="BM2317" s="3">
        <v>39.81</v>
      </c>
      <c r="BN2317" s="3">
        <v>305.2</v>
      </c>
      <c r="BO2317" s="3">
        <v>305.2</v>
      </c>
      <c r="BQ2317" s="3" t="s">
        <v>83</v>
      </c>
      <c r="BR2317" s="3" t="s">
        <v>84</v>
      </c>
      <c r="BS2317" s="4">
        <v>44587</v>
      </c>
      <c r="BT2317" s="5">
        <v>0.32916666666666666</v>
      </c>
      <c r="BU2317" s="3" t="s">
        <v>2356</v>
      </c>
      <c r="BV2317" s="3" t="s">
        <v>105</v>
      </c>
      <c r="BY2317" s="3">
        <v>20358</v>
      </c>
      <c r="BZ2317" s="3" t="s">
        <v>165</v>
      </c>
      <c r="CA2317" s="3" t="s">
        <v>2141</v>
      </c>
      <c r="CC2317" s="3" t="s">
        <v>91</v>
      </c>
      <c r="CD2317" s="3">
        <v>7499</v>
      </c>
      <c r="CE2317" s="3" t="s">
        <v>86</v>
      </c>
      <c r="CF2317" s="4">
        <v>44588</v>
      </c>
      <c r="CI2317" s="3">
        <v>1</v>
      </c>
      <c r="CJ2317" s="3">
        <v>1</v>
      </c>
      <c r="CK2317" s="3">
        <v>21</v>
      </c>
      <c r="CL2317" s="3" t="s">
        <v>87</v>
      </c>
    </row>
    <row r="2318" spans="1:90" x14ac:dyDescent="0.2">
      <c r="A2318" s="3" t="s">
        <v>72</v>
      </c>
      <c r="B2318" s="3" t="s">
        <v>73</v>
      </c>
      <c r="C2318" s="3" t="s">
        <v>74</v>
      </c>
      <c r="E2318" s="3" t="str">
        <f>"FES1162846672"</f>
        <v>FES1162846672</v>
      </c>
      <c r="F2318" s="4">
        <v>44586</v>
      </c>
      <c r="G2318" s="3">
        <v>202207</v>
      </c>
      <c r="H2318" s="3" t="s">
        <v>75</v>
      </c>
      <c r="I2318" s="3" t="s">
        <v>76</v>
      </c>
      <c r="J2318" s="3" t="s">
        <v>77</v>
      </c>
      <c r="K2318" s="3" t="s">
        <v>78</v>
      </c>
      <c r="L2318" s="3" t="s">
        <v>244</v>
      </c>
      <c r="M2318" s="3" t="s">
        <v>245</v>
      </c>
      <c r="N2318" s="3" t="s">
        <v>400</v>
      </c>
      <c r="O2318" s="3" t="s">
        <v>82</v>
      </c>
      <c r="P2318" s="3" t="str">
        <f>"2170818065                    "</f>
        <v xml:space="preserve">2170818065                    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29.95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Q2318" s="3">
        <v>0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3">
        <v>0</v>
      </c>
      <c r="AY2318" s="3">
        <v>0</v>
      </c>
      <c r="AZ2318" s="3">
        <v>0</v>
      </c>
      <c r="BA2318" s="3">
        <v>0</v>
      </c>
      <c r="BB2318" s="3">
        <v>0</v>
      </c>
      <c r="BC2318" s="3">
        <v>0</v>
      </c>
      <c r="BD2318" s="3">
        <v>0</v>
      </c>
      <c r="BE2318" s="3">
        <v>0</v>
      </c>
      <c r="BF2318" s="3">
        <v>0</v>
      </c>
      <c r="BG2318" s="3">
        <v>0</v>
      </c>
      <c r="BH2318" s="3">
        <v>1</v>
      </c>
      <c r="BI2318" s="3">
        <v>2</v>
      </c>
      <c r="BJ2318" s="3">
        <v>0.9</v>
      </c>
      <c r="BK2318" s="3">
        <v>2</v>
      </c>
      <c r="BL2318" s="3">
        <v>114.31</v>
      </c>
      <c r="BM2318" s="3">
        <v>17.149999999999999</v>
      </c>
      <c r="BN2318" s="3">
        <v>131.46</v>
      </c>
      <c r="BO2318" s="3">
        <v>131.46</v>
      </c>
      <c r="BQ2318" s="3" t="s">
        <v>83</v>
      </c>
      <c r="BR2318" s="3" t="s">
        <v>84</v>
      </c>
      <c r="BS2318" s="4">
        <v>44587</v>
      </c>
      <c r="BT2318" s="5">
        <v>0.45</v>
      </c>
      <c r="BU2318" s="3" t="s">
        <v>401</v>
      </c>
      <c r="BV2318" s="3" t="s">
        <v>87</v>
      </c>
      <c r="BW2318" s="3" t="s">
        <v>353</v>
      </c>
      <c r="BX2318" s="3" t="s">
        <v>723</v>
      </c>
      <c r="BY2318" s="3">
        <v>4320</v>
      </c>
      <c r="BZ2318" s="3" t="s">
        <v>165</v>
      </c>
      <c r="CA2318" s="3" t="s">
        <v>402</v>
      </c>
      <c r="CC2318" s="3" t="s">
        <v>245</v>
      </c>
      <c r="CD2318" s="3">
        <v>1947</v>
      </c>
      <c r="CE2318" s="3" t="s">
        <v>86</v>
      </c>
      <c r="CF2318" s="4">
        <v>44588</v>
      </c>
      <c r="CI2318" s="3">
        <v>1</v>
      </c>
      <c r="CJ2318" s="3">
        <v>1</v>
      </c>
      <c r="CK2318" s="3">
        <v>23</v>
      </c>
      <c r="CL2318" s="3" t="s">
        <v>87</v>
      </c>
    </row>
    <row r="2319" spans="1:90" x14ac:dyDescent="0.2">
      <c r="A2319" s="3" t="s">
        <v>72</v>
      </c>
      <c r="B2319" s="3" t="s">
        <v>73</v>
      </c>
      <c r="C2319" s="3" t="s">
        <v>74</v>
      </c>
      <c r="E2319" s="3" t="str">
        <f>"FES1162846556"</f>
        <v>FES1162846556</v>
      </c>
      <c r="F2319" s="4">
        <v>44586</v>
      </c>
      <c r="G2319" s="3">
        <v>202207</v>
      </c>
      <c r="H2319" s="3" t="s">
        <v>75</v>
      </c>
      <c r="I2319" s="3" t="s">
        <v>76</v>
      </c>
      <c r="J2319" s="3" t="s">
        <v>77</v>
      </c>
      <c r="K2319" s="3" t="s">
        <v>78</v>
      </c>
      <c r="L2319" s="3" t="s">
        <v>90</v>
      </c>
      <c r="M2319" s="3" t="s">
        <v>91</v>
      </c>
      <c r="N2319" s="3" t="s">
        <v>577</v>
      </c>
      <c r="O2319" s="3" t="s">
        <v>82</v>
      </c>
      <c r="P2319" s="3" t="str">
        <f>"2170817957                    "</f>
        <v xml:space="preserve">2170817957                    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15.46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0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3">
        <v>0</v>
      </c>
      <c r="AY2319" s="3">
        <v>0</v>
      </c>
      <c r="AZ2319" s="3">
        <v>0</v>
      </c>
      <c r="BA2319" s="3">
        <v>0</v>
      </c>
      <c r="BB2319" s="3">
        <v>0</v>
      </c>
      <c r="BC2319" s="3">
        <v>0</v>
      </c>
      <c r="BD2319" s="3">
        <v>0</v>
      </c>
      <c r="BE2319" s="3">
        <v>0</v>
      </c>
      <c r="BF2319" s="3">
        <v>0</v>
      </c>
      <c r="BG2319" s="3">
        <v>0</v>
      </c>
      <c r="BH2319" s="3">
        <v>1</v>
      </c>
      <c r="BI2319" s="3">
        <v>2</v>
      </c>
      <c r="BJ2319" s="3">
        <v>1.1000000000000001</v>
      </c>
      <c r="BK2319" s="3">
        <v>2</v>
      </c>
      <c r="BL2319" s="3">
        <v>59</v>
      </c>
      <c r="BM2319" s="3">
        <v>8.85</v>
      </c>
      <c r="BN2319" s="3">
        <v>67.849999999999994</v>
      </c>
      <c r="BO2319" s="3">
        <v>67.849999999999994</v>
      </c>
      <c r="BQ2319" s="3" t="s">
        <v>126</v>
      </c>
      <c r="BR2319" s="3" t="s">
        <v>84</v>
      </c>
      <c r="BS2319" s="4">
        <v>44587</v>
      </c>
      <c r="BT2319" s="5">
        <v>0.35902777777777778</v>
      </c>
      <c r="BU2319" s="3" t="s">
        <v>1208</v>
      </c>
      <c r="BV2319" s="3" t="s">
        <v>105</v>
      </c>
      <c r="BY2319" s="3">
        <v>5320</v>
      </c>
      <c r="BZ2319" s="3" t="s">
        <v>165</v>
      </c>
      <c r="CA2319" s="3" t="s">
        <v>271</v>
      </c>
      <c r="CC2319" s="3" t="s">
        <v>91</v>
      </c>
      <c r="CD2319" s="3">
        <v>7441</v>
      </c>
      <c r="CE2319" s="3" t="s">
        <v>86</v>
      </c>
      <c r="CF2319" s="4">
        <v>44588</v>
      </c>
      <c r="CI2319" s="3">
        <v>1</v>
      </c>
      <c r="CJ2319" s="3">
        <v>1</v>
      </c>
      <c r="CK2319" s="3">
        <v>21</v>
      </c>
      <c r="CL2319" s="3" t="s">
        <v>87</v>
      </c>
    </row>
    <row r="2320" spans="1:90" x14ac:dyDescent="0.2">
      <c r="A2320" s="3" t="s">
        <v>72</v>
      </c>
      <c r="B2320" s="3" t="s">
        <v>73</v>
      </c>
      <c r="C2320" s="3" t="s">
        <v>74</v>
      </c>
      <c r="E2320" s="3" t="str">
        <f>"FES1162846766"</f>
        <v>FES1162846766</v>
      </c>
      <c r="F2320" s="4">
        <v>44586</v>
      </c>
      <c r="G2320" s="3">
        <v>202207</v>
      </c>
      <c r="H2320" s="3" t="s">
        <v>75</v>
      </c>
      <c r="I2320" s="3" t="s">
        <v>76</v>
      </c>
      <c r="J2320" s="3" t="s">
        <v>77</v>
      </c>
      <c r="K2320" s="3" t="s">
        <v>78</v>
      </c>
      <c r="L2320" s="3" t="s">
        <v>90</v>
      </c>
      <c r="M2320" s="3" t="s">
        <v>91</v>
      </c>
      <c r="N2320" s="3" t="s">
        <v>564</v>
      </c>
      <c r="O2320" s="3" t="s">
        <v>82</v>
      </c>
      <c r="P2320" s="3" t="str">
        <f>"2170816199                    "</f>
        <v xml:space="preserve">2170816199                    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54.08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0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3">
        <v>0</v>
      </c>
      <c r="AY2320" s="3">
        <v>0</v>
      </c>
      <c r="AZ2320" s="3">
        <v>0</v>
      </c>
      <c r="BA2320" s="3">
        <v>0</v>
      </c>
      <c r="BB2320" s="3">
        <v>0</v>
      </c>
      <c r="BC2320" s="3">
        <v>0</v>
      </c>
      <c r="BD2320" s="3">
        <v>0</v>
      </c>
      <c r="BE2320" s="3">
        <v>0</v>
      </c>
      <c r="BF2320" s="3">
        <v>0</v>
      </c>
      <c r="BG2320" s="3">
        <v>0</v>
      </c>
      <c r="BH2320" s="3">
        <v>1</v>
      </c>
      <c r="BI2320" s="3">
        <v>7</v>
      </c>
      <c r="BJ2320" s="3">
        <v>4.0999999999999996</v>
      </c>
      <c r="BK2320" s="3">
        <v>7</v>
      </c>
      <c r="BL2320" s="3">
        <v>206.42</v>
      </c>
      <c r="BM2320" s="3">
        <v>30.96</v>
      </c>
      <c r="BN2320" s="3">
        <v>237.38</v>
      </c>
      <c r="BO2320" s="3">
        <v>237.38</v>
      </c>
      <c r="BQ2320" s="3" t="s">
        <v>83</v>
      </c>
      <c r="BR2320" s="3" t="s">
        <v>84</v>
      </c>
      <c r="BS2320" s="4">
        <v>44587</v>
      </c>
      <c r="BT2320" s="5">
        <v>0.3840277777777778</v>
      </c>
      <c r="BU2320" s="3" t="s">
        <v>1592</v>
      </c>
      <c r="BV2320" s="3" t="s">
        <v>105</v>
      </c>
      <c r="BY2320" s="3">
        <v>20358</v>
      </c>
      <c r="BZ2320" s="3" t="s">
        <v>165</v>
      </c>
      <c r="CA2320" s="3" t="s">
        <v>566</v>
      </c>
      <c r="CC2320" s="3" t="s">
        <v>91</v>
      </c>
      <c r="CD2320" s="3">
        <v>7460</v>
      </c>
      <c r="CE2320" s="3" t="s">
        <v>86</v>
      </c>
      <c r="CF2320" s="4">
        <v>44588</v>
      </c>
      <c r="CI2320" s="3">
        <v>1</v>
      </c>
      <c r="CJ2320" s="3">
        <v>1</v>
      </c>
      <c r="CK2320" s="3">
        <v>21</v>
      </c>
      <c r="CL2320" s="3" t="s">
        <v>87</v>
      </c>
    </row>
    <row r="2321" spans="1:90" x14ac:dyDescent="0.2">
      <c r="A2321" s="3" t="s">
        <v>72</v>
      </c>
      <c r="B2321" s="3" t="s">
        <v>73</v>
      </c>
      <c r="C2321" s="3" t="s">
        <v>74</v>
      </c>
      <c r="E2321" s="3" t="str">
        <f>"FES1162846963"</f>
        <v>FES1162846963</v>
      </c>
      <c r="F2321" s="4">
        <v>44586</v>
      </c>
      <c r="G2321" s="3">
        <v>202207</v>
      </c>
      <c r="H2321" s="3" t="s">
        <v>75</v>
      </c>
      <c r="I2321" s="3" t="s">
        <v>76</v>
      </c>
      <c r="J2321" s="3" t="s">
        <v>77</v>
      </c>
      <c r="K2321" s="3" t="s">
        <v>78</v>
      </c>
      <c r="L2321" s="3" t="s">
        <v>464</v>
      </c>
      <c r="M2321" s="3" t="s">
        <v>465</v>
      </c>
      <c r="N2321" s="3" t="s">
        <v>1682</v>
      </c>
      <c r="O2321" s="3" t="s">
        <v>82</v>
      </c>
      <c r="P2321" s="3" t="str">
        <f>"2170818262                    "</f>
        <v xml:space="preserve">2170818262                    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12.07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0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3">
        <v>0</v>
      </c>
      <c r="AY2321" s="3">
        <v>0</v>
      </c>
      <c r="AZ2321" s="3">
        <v>0</v>
      </c>
      <c r="BA2321" s="3">
        <v>0</v>
      </c>
      <c r="BB2321" s="3">
        <v>0</v>
      </c>
      <c r="BC2321" s="3">
        <v>0</v>
      </c>
      <c r="BD2321" s="3">
        <v>0</v>
      </c>
      <c r="BE2321" s="3">
        <v>0</v>
      </c>
      <c r="BF2321" s="3">
        <v>0</v>
      </c>
      <c r="BG2321" s="3">
        <v>0</v>
      </c>
      <c r="BH2321" s="3">
        <v>1</v>
      </c>
      <c r="BI2321" s="3">
        <v>1</v>
      </c>
      <c r="BJ2321" s="3">
        <v>0.2</v>
      </c>
      <c r="BK2321" s="3">
        <v>1</v>
      </c>
      <c r="BL2321" s="3">
        <v>46.08</v>
      </c>
      <c r="BM2321" s="3">
        <v>6.91</v>
      </c>
      <c r="BN2321" s="3">
        <v>52.99</v>
      </c>
      <c r="BO2321" s="3">
        <v>52.99</v>
      </c>
      <c r="BQ2321" s="3" t="s">
        <v>89</v>
      </c>
      <c r="BR2321" s="3" t="s">
        <v>84</v>
      </c>
      <c r="BS2321" s="4">
        <v>44587</v>
      </c>
      <c r="BT2321" s="5">
        <v>0.39999999999999997</v>
      </c>
      <c r="BU2321" s="3" t="s">
        <v>2357</v>
      </c>
      <c r="BV2321" s="3" t="s">
        <v>105</v>
      </c>
      <c r="BY2321" s="3">
        <v>1200</v>
      </c>
      <c r="BZ2321" s="3" t="s">
        <v>165</v>
      </c>
      <c r="CA2321" s="3" t="s">
        <v>1684</v>
      </c>
      <c r="CC2321" s="3" t="s">
        <v>465</v>
      </c>
      <c r="CD2321" s="3">
        <v>1501</v>
      </c>
      <c r="CE2321" s="3" t="s">
        <v>93</v>
      </c>
      <c r="CF2321" s="4">
        <v>44588</v>
      </c>
      <c r="CI2321" s="3">
        <v>1</v>
      </c>
      <c r="CJ2321" s="3">
        <v>1</v>
      </c>
      <c r="CK2321" s="3">
        <v>22</v>
      </c>
      <c r="CL2321" s="3" t="s">
        <v>87</v>
      </c>
    </row>
    <row r="2322" spans="1:90" x14ac:dyDescent="0.2">
      <c r="A2322" s="3" t="s">
        <v>72</v>
      </c>
      <c r="B2322" s="3" t="s">
        <v>73</v>
      </c>
      <c r="C2322" s="3" t="s">
        <v>74</v>
      </c>
      <c r="E2322" s="3" t="str">
        <f>"FES1162846780"</f>
        <v>FES1162846780</v>
      </c>
      <c r="F2322" s="4">
        <v>44586</v>
      </c>
      <c r="G2322" s="3">
        <v>202207</v>
      </c>
      <c r="H2322" s="3" t="s">
        <v>75</v>
      </c>
      <c r="I2322" s="3" t="s">
        <v>76</v>
      </c>
      <c r="J2322" s="3" t="s">
        <v>77</v>
      </c>
      <c r="K2322" s="3" t="s">
        <v>78</v>
      </c>
      <c r="L2322" s="3" t="s">
        <v>123</v>
      </c>
      <c r="M2322" s="3" t="s">
        <v>124</v>
      </c>
      <c r="N2322" s="3" t="s">
        <v>264</v>
      </c>
      <c r="O2322" s="3" t="s">
        <v>82</v>
      </c>
      <c r="P2322" s="3" t="str">
        <f>"2170816328                    "</f>
        <v xml:space="preserve">2170816328                    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12.07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0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0</v>
      </c>
      <c r="AX2322" s="3">
        <v>0</v>
      </c>
      <c r="AY2322" s="3">
        <v>0</v>
      </c>
      <c r="AZ2322" s="3">
        <v>0</v>
      </c>
      <c r="BA2322" s="3">
        <v>0</v>
      </c>
      <c r="BB2322" s="3">
        <v>0</v>
      </c>
      <c r="BC2322" s="3">
        <v>0</v>
      </c>
      <c r="BD2322" s="3">
        <v>0</v>
      </c>
      <c r="BE2322" s="3">
        <v>0</v>
      </c>
      <c r="BF2322" s="3">
        <v>0</v>
      </c>
      <c r="BG2322" s="3">
        <v>0</v>
      </c>
      <c r="BH2322" s="3">
        <v>1</v>
      </c>
      <c r="BI2322" s="3">
        <v>1</v>
      </c>
      <c r="BJ2322" s="3">
        <v>0.2</v>
      </c>
      <c r="BK2322" s="3">
        <v>1</v>
      </c>
      <c r="BL2322" s="3">
        <v>46.08</v>
      </c>
      <c r="BM2322" s="3">
        <v>6.91</v>
      </c>
      <c r="BN2322" s="3">
        <v>52.99</v>
      </c>
      <c r="BO2322" s="3">
        <v>52.99</v>
      </c>
      <c r="BQ2322" s="3" t="s">
        <v>89</v>
      </c>
      <c r="BR2322" s="3" t="s">
        <v>84</v>
      </c>
      <c r="BS2322" s="4">
        <v>44587</v>
      </c>
      <c r="BT2322" s="5">
        <v>0.33888888888888885</v>
      </c>
      <c r="BU2322" s="3" t="s">
        <v>865</v>
      </c>
      <c r="BV2322" s="3" t="s">
        <v>105</v>
      </c>
      <c r="BY2322" s="3">
        <v>1200</v>
      </c>
      <c r="BZ2322" s="3" t="s">
        <v>165</v>
      </c>
      <c r="CA2322" s="3" t="s">
        <v>266</v>
      </c>
      <c r="CC2322" s="3" t="s">
        <v>124</v>
      </c>
      <c r="CD2322" s="3">
        <v>1724</v>
      </c>
      <c r="CE2322" s="3" t="s">
        <v>86</v>
      </c>
      <c r="CF2322" s="4">
        <v>44588</v>
      </c>
      <c r="CI2322" s="3">
        <v>1</v>
      </c>
      <c r="CJ2322" s="3">
        <v>1</v>
      </c>
      <c r="CK2322" s="3">
        <v>22</v>
      </c>
      <c r="CL2322" s="3" t="s">
        <v>87</v>
      </c>
    </row>
    <row r="2323" spans="1:90" x14ac:dyDescent="0.2">
      <c r="A2323" s="3" t="s">
        <v>72</v>
      </c>
      <c r="B2323" s="3" t="s">
        <v>73</v>
      </c>
      <c r="C2323" s="3" t="s">
        <v>74</v>
      </c>
      <c r="E2323" s="3" t="str">
        <f>"FES1162846814"</f>
        <v>FES1162846814</v>
      </c>
      <c r="F2323" s="4">
        <v>44586</v>
      </c>
      <c r="G2323" s="3">
        <v>202207</v>
      </c>
      <c r="H2323" s="3" t="s">
        <v>75</v>
      </c>
      <c r="I2323" s="3" t="s">
        <v>76</v>
      </c>
      <c r="J2323" s="3" t="s">
        <v>77</v>
      </c>
      <c r="K2323" s="3" t="s">
        <v>78</v>
      </c>
      <c r="L2323" s="3" t="s">
        <v>101</v>
      </c>
      <c r="M2323" s="3" t="s">
        <v>102</v>
      </c>
      <c r="N2323" s="3" t="s">
        <v>103</v>
      </c>
      <c r="O2323" s="3" t="s">
        <v>82</v>
      </c>
      <c r="P2323" s="3" t="str">
        <f>"2170816385                    "</f>
        <v xml:space="preserve">2170816385                    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15.46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0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3">
        <v>0</v>
      </c>
      <c r="AY2323" s="3">
        <v>0</v>
      </c>
      <c r="AZ2323" s="3">
        <v>0</v>
      </c>
      <c r="BA2323" s="3">
        <v>0</v>
      </c>
      <c r="BB2323" s="3">
        <v>0</v>
      </c>
      <c r="BC2323" s="3">
        <v>0</v>
      </c>
      <c r="BD2323" s="3">
        <v>0</v>
      </c>
      <c r="BE2323" s="3">
        <v>0</v>
      </c>
      <c r="BF2323" s="3">
        <v>0</v>
      </c>
      <c r="BG2323" s="3">
        <v>0</v>
      </c>
      <c r="BH2323" s="3">
        <v>1</v>
      </c>
      <c r="BI2323" s="3">
        <v>1</v>
      </c>
      <c r="BJ2323" s="3">
        <v>0.2</v>
      </c>
      <c r="BK2323" s="3">
        <v>1</v>
      </c>
      <c r="BL2323" s="3">
        <v>59</v>
      </c>
      <c r="BM2323" s="3">
        <v>8.85</v>
      </c>
      <c r="BN2323" s="3">
        <v>67.849999999999994</v>
      </c>
      <c r="BO2323" s="3">
        <v>67.849999999999994</v>
      </c>
      <c r="BQ2323" s="3" t="s">
        <v>83</v>
      </c>
      <c r="BR2323" s="3" t="s">
        <v>84</v>
      </c>
      <c r="BS2323" s="4">
        <v>44587</v>
      </c>
      <c r="BT2323" s="5">
        <v>0.32013888888888892</v>
      </c>
      <c r="BU2323" s="3" t="s">
        <v>463</v>
      </c>
      <c r="BV2323" s="3" t="s">
        <v>105</v>
      </c>
      <c r="BY2323" s="3">
        <v>1200</v>
      </c>
      <c r="BZ2323" s="3" t="s">
        <v>165</v>
      </c>
      <c r="CA2323" s="3" t="s">
        <v>334</v>
      </c>
      <c r="CC2323" s="3" t="s">
        <v>102</v>
      </c>
      <c r="CD2323" s="3">
        <v>4001</v>
      </c>
      <c r="CE2323" s="3" t="s">
        <v>93</v>
      </c>
      <c r="CF2323" s="4">
        <v>44588</v>
      </c>
      <c r="CI2323" s="3">
        <v>1</v>
      </c>
      <c r="CJ2323" s="3">
        <v>1</v>
      </c>
      <c r="CK2323" s="3">
        <v>21</v>
      </c>
      <c r="CL2323" s="3" t="s">
        <v>87</v>
      </c>
    </row>
    <row r="2324" spans="1:90" x14ac:dyDescent="0.2">
      <c r="A2324" s="3" t="s">
        <v>72</v>
      </c>
      <c r="B2324" s="3" t="s">
        <v>73</v>
      </c>
      <c r="C2324" s="3" t="s">
        <v>74</v>
      </c>
      <c r="E2324" s="3" t="str">
        <f>"FES1162846510"</f>
        <v>FES1162846510</v>
      </c>
      <c r="F2324" s="4">
        <v>44586</v>
      </c>
      <c r="G2324" s="3">
        <v>202207</v>
      </c>
      <c r="H2324" s="3" t="s">
        <v>75</v>
      </c>
      <c r="I2324" s="3" t="s">
        <v>76</v>
      </c>
      <c r="J2324" s="3" t="s">
        <v>77</v>
      </c>
      <c r="K2324" s="3" t="s">
        <v>78</v>
      </c>
      <c r="L2324" s="3" t="s">
        <v>110</v>
      </c>
      <c r="M2324" s="3" t="s">
        <v>110</v>
      </c>
      <c r="N2324" s="3" t="s">
        <v>111</v>
      </c>
      <c r="O2324" s="3" t="s">
        <v>82</v>
      </c>
      <c r="P2324" s="3" t="str">
        <f>"2170815975                    "</f>
        <v xml:space="preserve">2170815975                    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29.95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0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3">
        <v>0</v>
      </c>
      <c r="AY2324" s="3">
        <v>0</v>
      </c>
      <c r="AZ2324" s="3">
        <v>0</v>
      </c>
      <c r="BA2324" s="3">
        <v>0</v>
      </c>
      <c r="BB2324" s="3">
        <v>0</v>
      </c>
      <c r="BC2324" s="3">
        <v>0</v>
      </c>
      <c r="BD2324" s="3">
        <v>0</v>
      </c>
      <c r="BE2324" s="3">
        <v>0</v>
      </c>
      <c r="BF2324" s="3">
        <v>0</v>
      </c>
      <c r="BG2324" s="3">
        <v>0</v>
      </c>
      <c r="BH2324" s="3">
        <v>1</v>
      </c>
      <c r="BI2324" s="3">
        <v>1</v>
      </c>
      <c r="BJ2324" s="3">
        <v>0.2</v>
      </c>
      <c r="BK2324" s="3">
        <v>1</v>
      </c>
      <c r="BL2324" s="3">
        <v>114.31</v>
      </c>
      <c r="BM2324" s="3">
        <v>17.149999999999999</v>
      </c>
      <c r="BN2324" s="3">
        <v>131.46</v>
      </c>
      <c r="BO2324" s="3">
        <v>131.46</v>
      </c>
      <c r="BQ2324" s="3" t="s">
        <v>89</v>
      </c>
      <c r="BR2324" s="3" t="s">
        <v>84</v>
      </c>
      <c r="BS2324" s="4">
        <v>44587</v>
      </c>
      <c r="BT2324" s="5">
        <v>0.52986111111111112</v>
      </c>
      <c r="BU2324" s="3" t="s">
        <v>1675</v>
      </c>
      <c r="BV2324" s="3" t="s">
        <v>105</v>
      </c>
      <c r="BY2324" s="3">
        <v>1200</v>
      </c>
      <c r="BZ2324" s="3" t="s">
        <v>165</v>
      </c>
      <c r="CA2324" s="3" t="s">
        <v>563</v>
      </c>
      <c r="CC2324" s="3" t="s">
        <v>110</v>
      </c>
      <c r="CD2324" s="3">
        <v>7646</v>
      </c>
      <c r="CE2324" s="3" t="s">
        <v>93</v>
      </c>
      <c r="CF2324" s="4">
        <v>44588</v>
      </c>
      <c r="CI2324" s="3">
        <v>1</v>
      </c>
      <c r="CJ2324" s="3">
        <v>1</v>
      </c>
      <c r="CK2324" s="3">
        <v>23</v>
      </c>
      <c r="CL2324" s="3" t="s">
        <v>87</v>
      </c>
    </row>
    <row r="2325" spans="1:90" x14ac:dyDescent="0.2">
      <c r="A2325" s="3" t="s">
        <v>72</v>
      </c>
      <c r="B2325" s="3" t="s">
        <v>73</v>
      </c>
      <c r="C2325" s="3" t="s">
        <v>74</v>
      </c>
      <c r="E2325" s="3" t="str">
        <f>"FES1162846783"</f>
        <v>FES1162846783</v>
      </c>
      <c r="F2325" s="4">
        <v>44586</v>
      </c>
      <c r="G2325" s="3">
        <v>202207</v>
      </c>
      <c r="H2325" s="3" t="s">
        <v>75</v>
      </c>
      <c r="I2325" s="3" t="s">
        <v>76</v>
      </c>
      <c r="J2325" s="3" t="s">
        <v>77</v>
      </c>
      <c r="K2325" s="3" t="s">
        <v>78</v>
      </c>
      <c r="L2325" s="3" t="s">
        <v>138</v>
      </c>
      <c r="M2325" s="3" t="s">
        <v>139</v>
      </c>
      <c r="N2325" s="3" t="s">
        <v>214</v>
      </c>
      <c r="O2325" s="3" t="s">
        <v>82</v>
      </c>
      <c r="P2325" s="3" t="str">
        <f>"2170816345                    "</f>
        <v xml:space="preserve">2170816345                    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15.46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0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3">
        <v>0</v>
      </c>
      <c r="AY2325" s="3">
        <v>0</v>
      </c>
      <c r="AZ2325" s="3">
        <v>0</v>
      </c>
      <c r="BA2325" s="3">
        <v>0</v>
      </c>
      <c r="BB2325" s="3">
        <v>0</v>
      </c>
      <c r="BC2325" s="3">
        <v>0</v>
      </c>
      <c r="BD2325" s="3">
        <v>0</v>
      </c>
      <c r="BE2325" s="3">
        <v>0</v>
      </c>
      <c r="BF2325" s="3">
        <v>0</v>
      </c>
      <c r="BG2325" s="3">
        <v>0</v>
      </c>
      <c r="BH2325" s="3">
        <v>1</v>
      </c>
      <c r="BI2325" s="3">
        <v>1</v>
      </c>
      <c r="BJ2325" s="3">
        <v>0.2</v>
      </c>
      <c r="BK2325" s="3">
        <v>1</v>
      </c>
      <c r="BL2325" s="3">
        <v>59</v>
      </c>
      <c r="BM2325" s="3">
        <v>8.85</v>
      </c>
      <c r="BN2325" s="3">
        <v>67.849999999999994</v>
      </c>
      <c r="BO2325" s="3">
        <v>67.849999999999994</v>
      </c>
      <c r="BQ2325" s="3" t="s">
        <v>126</v>
      </c>
      <c r="BR2325" s="3" t="s">
        <v>84</v>
      </c>
      <c r="BS2325" s="4">
        <v>44587</v>
      </c>
      <c r="BT2325" s="5">
        <v>0.45416666666666666</v>
      </c>
      <c r="BU2325" s="3" t="s">
        <v>770</v>
      </c>
      <c r="BV2325" s="3" t="s">
        <v>105</v>
      </c>
      <c r="BY2325" s="3">
        <v>1200</v>
      </c>
      <c r="BZ2325" s="3" t="s">
        <v>165</v>
      </c>
      <c r="CA2325" s="3" t="s">
        <v>303</v>
      </c>
      <c r="CC2325" s="3" t="s">
        <v>139</v>
      </c>
      <c r="CD2325" s="3">
        <v>3610</v>
      </c>
      <c r="CE2325" s="3" t="s">
        <v>93</v>
      </c>
      <c r="CF2325" s="4">
        <v>44588</v>
      </c>
      <c r="CI2325" s="3">
        <v>1</v>
      </c>
      <c r="CJ2325" s="3">
        <v>1</v>
      </c>
      <c r="CK2325" s="3">
        <v>21</v>
      </c>
      <c r="CL2325" s="3" t="s">
        <v>87</v>
      </c>
    </row>
    <row r="2326" spans="1:90" x14ac:dyDescent="0.2">
      <c r="A2326" s="3" t="s">
        <v>72</v>
      </c>
      <c r="B2326" s="3" t="s">
        <v>73</v>
      </c>
      <c r="C2326" s="3" t="s">
        <v>74</v>
      </c>
      <c r="E2326" s="3" t="str">
        <f>"FES1162846468"</f>
        <v>FES1162846468</v>
      </c>
      <c r="F2326" s="4">
        <v>44586</v>
      </c>
      <c r="G2326" s="3">
        <v>202207</v>
      </c>
      <c r="H2326" s="3" t="s">
        <v>75</v>
      </c>
      <c r="I2326" s="3" t="s">
        <v>76</v>
      </c>
      <c r="J2326" s="3" t="s">
        <v>77</v>
      </c>
      <c r="K2326" s="3" t="s">
        <v>78</v>
      </c>
      <c r="L2326" s="3" t="s">
        <v>110</v>
      </c>
      <c r="M2326" s="3" t="s">
        <v>110</v>
      </c>
      <c r="N2326" s="3" t="s">
        <v>146</v>
      </c>
      <c r="O2326" s="3" t="s">
        <v>82</v>
      </c>
      <c r="P2326" s="3" t="str">
        <f>"2170815607                    "</f>
        <v xml:space="preserve">2170815607                    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29.95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0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3">
        <v>0</v>
      </c>
      <c r="AY2326" s="3">
        <v>0</v>
      </c>
      <c r="AZ2326" s="3">
        <v>0</v>
      </c>
      <c r="BA2326" s="3">
        <v>0</v>
      </c>
      <c r="BB2326" s="3">
        <v>0</v>
      </c>
      <c r="BC2326" s="3">
        <v>0</v>
      </c>
      <c r="BD2326" s="3">
        <v>0</v>
      </c>
      <c r="BE2326" s="3">
        <v>0</v>
      </c>
      <c r="BF2326" s="3">
        <v>0</v>
      </c>
      <c r="BG2326" s="3">
        <v>0</v>
      </c>
      <c r="BH2326" s="3">
        <v>1</v>
      </c>
      <c r="BI2326" s="3">
        <v>1</v>
      </c>
      <c r="BJ2326" s="3">
        <v>0.2</v>
      </c>
      <c r="BK2326" s="3">
        <v>1</v>
      </c>
      <c r="BL2326" s="3">
        <v>114.31</v>
      </c>
      <c r="BM2326" s="3">
        <v>17.149999999999999</v>
      </c>
      <c r="BN2326" s="3">
        <v>131.46</v>
      </c>
      <c r="BO2326" s="3">
        <v>131.46</v>
      </c>
      <c r="BQ2326" s="3" t="s">
        <v>89</v>
      </c>
      <c r="BR2326" s="3" t="s">
        <v>84</v>
      </c>
      <c r="BS2326" s="4">
        <v>44587</v>
      </c>
      <c r="BT2326" s="5">
        <v>0.53888888888888886</v>
      </c>
      <c r="BU2326" s="3" t="s">
        <v>1177</v>
      </c>
      <c r="BV2326" s="3" t="s">
        <v>105</v>
      </c>
      <c r="BY2326" s="3">
        <v>1200</v>
      </c>
      <c r="BZ2326" s="3" t="s">
        <v>165</v>
      </c>
      <c r="CA2326" s="3" t="s">
        <v>563</v>
      </c>
      <c r="CC2326" s="3" t="s">
        <v>110</v>
      </c>
      <c r="CD2326" s="3">
        <v>7646</v>
      </c>
      <c r="CE2326" s="3" t="s">
        <v>93</v>
      </c>
      <c r="CF2326" s="4">
        <v>44588</v>
      </c>
      <c r="CI2326" s="3">
        <v>0</v>
      </c>
      <c r="CJ2326" s="3">
        <v>0</v>
      </c>
      <c r="CK2326" s="3">
        <v>23</v>
      </c>
      <c r="CL2326" s="3" t="s">
        <v>87</v>
      </c>
    </row>
    <row r="2327" spans="1:90" x14ac:dyDescent="0.2">
      <c r="A2327" s="3" t="s">
        <v>72</v>
      </c>
      <c r="B2327" s="3" t="s">
        <v>73</v>
      </c>
      <c r="C2327" s="3" t="s">
        <v>74</v>
      </c>
      <c r="E2327" s="3" t="str">
        <f>"RFES1162845610"</f>
        <v>RFES1162845610</v>
      </c>
      <c r="F2327" s="4">
        <v>44586</v>
      </c>
      <c r="G2327" s="3">
        <v>202207</v>
      </c>
      <c r="H2327" s="3" t="s">
        <v>123</v>
      </c>
      <c r="I2327" s="3" t="s">
        <v>124</v>
      </c>
      <c r="J2327" s="3" t="s">
        <v>261</v>
      </c>
      <c r="K2327" s="3" t="s">
        <v>78</v>
      </c>
      <c r="L2327" s="3" t="s">
        <v>75</v>
      </c>
      <c r="M2327" s="3" t="s">
        <v>76</v>
      </c>
      <c r="N2327" s="3" t="s">
        <v>77</v>
      </c>
      <c r="O2327" s="3" t="s">
        <v>82</v>
      </c>
      <c r="P2327" s="3" t="str">
        <f>"2170815203 client             "</f>
        <v xml:space="preserve">2170815203 client             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12.07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0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3">
        <v>0</v>
      </c>
      <c r="AY2327" s="3">
        <v>0</v>
      </c>
      <c r="AZ2327" s="3">
        <v>0</v>
      </c>
      <c r="BA2327" s="3">
        <v>0</v>
      </c>
      <c r="BB2327" s="3">
        <v>0</v>
      </c>
      <c r="BC2327" s="3">
        <v>0</v>
      </c>
      <c r="BD2327" s="3">
        <v>0</v>
      </c>
      <c r="BE2327" s="3">
        <v>0</v>
      </c>
      <c r="BF2327" s="3">
        <v>0</v>
      </c>
      <c r="BG2327" s="3">
        <v>0</v>
      </c>
      <c r="BH2327" s="3">
        <v>1</v>
      </c>
      <c r="BI2327" s="3">
        <v>1</v>
      </c>
      <c r="BJ2327" s="3">
        <v>0.2</v>
      </c>
      <c r="BK2327" s="3">
        <v>1</v>
      </c>
      <c r="BL2327" s="3">
        <v>46.08</v>
      </c>
      <c r="BM2327" s="3">
        <v>6.91</v>
      </c>
      <c r="BN2327" s="3">
        <v>52.99</v>
      </c>
      <c r="BO2327" s="3">
        <v>52.99</v>
      </c>
      <c r="BQ2327" s="3" t="s">
        <v>84</v>
      </c>
      <c r="BR2327" s="3" t="s">
        <v>83</v>
      </c>
      <c r="BS2327" s="4">
        <v>44587</v>
      </c>
      <c r="BT2327" s="5">
        <v>0.35347222222222219</v>
      </c>
      <c r="BU2327" s="3" t="s">
        <v>1517</v>
      </c>
      <c r="BV2327" s="3" t="s">
        <v>105</v>
      </c>
      <c r="BY2327" s="3">
        <v>1200</v>
      </c>
      <c r="CA2327" s="3" t="s">
        <v>378</v>
      </c>
      <c r="CC2327" s="3" t="s">
        <v>76</v>
      </c>
      <c r="CD2327" s="3">
        <v>1601</v>
      </c>
      <c r="CE2327" s="3" t="s">
        <v>93</v>
      </c>
      <c r="CF2327" s="4">
        <v>44587</v>
      </c>
      <c r="CI2327" s="3">
        <v>1</v>
      </c>
      <c r="CJ2327" s="3">
        <v>1</v>
      </c>
      <c r="CK2327" s="3">
        <v>22</v>
      </c>
      <c r="CL2327" s="3" t="s">
        <v>87</v>
      </c>
    </row>
    <row r="2328" spans="1:90" x14ac:dyDescent="0.2">
      <c r="A2328" s="3" t="s">
        <v>72</v>
      </c>
      <c r="B2328" s="3" t="s">
        <v>73</v>
      </c>
      <c r="C2328" s="3" t="s">
        <v>74</v>
      </c>
      <c r="E2328" s="3" t="str">
        <f>"FES1162846495"</f>
        <v>FES1162846495</v>
      </c>
      <c r="F2328" s="4">
        <v>44586</v>
      </c>
      <c r="G2328" s="3">
        <v>202207</v>
      </c>
      <c r="H2328" s="3" t="s">
        <v>75</v>
      </c>
      <c r="I2328" s="3" t="s">
        <v>76</v>
      </c>
      <c r="J2328" s="3" t="s">
        <v>77</v>
      </c>
      <c r="K2328" s="3" t="s">
        <v>78</v>
      </c>
      <c r="L2328" s="3" t="s">
        <v>162</v>
      </c>
      <c r="M2328" s="3" t="s">
        <v>163</v>
      </c>
      <c r="N2328" s="3" t="s">
        <v>2358</v>
      </c>
      <c r="O2328" s="3" t="s">
        <v>82</v>
      </c>
      <c r="P2328" s="3" t="str">
        <f>"2170815858                    "</f>
        <v xml:space="preserve">2170815858                    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12.07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0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3">
        <v>0</v>
      </c>
      <c r="AY2328" s="3">
        <v>0</v>
      </c>
      <c r="AZ2328" s="3">
        <v>0</v>
      </c>
      <c r="BA2328" s="3">
        <v>0</v>
      </c>
      <c r="BB2328" s="3">
        <v>0</v>
      </c>
      <c r="BC2328" s="3">
        <v>0</v>
      </c>
      <c r="BD2328" s="3">
        <v>0</v>
      </c>
      <c r="BE2328" s="3">
        <v>0</v>
      </c>
      <c r="BF2328" s="3">
        <v>0</v>
      </c>
      <c r="BG2328" s="3">
        <v>0</v>
      </c>
      <c r="BH2328" s="3">
        <v>1</v>
      </c>
      <c r="BI2328" s="3">
        <v>1</v>
      </c>
      <c r="BJ2328" s="3">
        <v>0.2</v>
      </c>
      <c r="BK2328" s="3">
        <v>1</v>
      </c>
      <c r="BL2328" s="3">
        <v>46.08</v>
      </c>
      <c r="BM2328" s="3">
        <v>6.91</v>
      </c>
      <c r="BN2328" s="3">
        <v>52.99</v>
      </c>
      <c r="BO2328" s="3">
        <v>52.99</v>
      </c>
      <c r="BQ2328" s="3" t="s">
        <v>89</v>
      </c>
      <c r="BR2328" s="3" t="s">
        <v>84</v>
      </c>
      <c r="BS2328" s="4">
        <v>44587</v>
      </c>
      <c r="BT2328" s="5">
        <v>0.36388888888888887</v>
      </c>
      <c r="BU2328" s="3" t="s">
        <v>2359</v>
      </c>
      <c r="BV2328" s="3" t="s">
        <v>105</v>
      </c>
      <c r="BY2328" s="3">
        <v>1200</v>
      </c>
      <c r="BZ2328" s="3" t="s">
        <v>165</v>
      </c>
      <c r="CA2328" s="3" t="s">
        <v>1080</v>
      </c>
      <c r="CC2328" s="3" t="s">
        <v>163</v>
      </c>
      <c r="CD2328" s="3">
        <v>1401</v>
      </c>
      <c r="CE2328" s="3" t="s">
        <v>93</v>
      </c>
      <c r="CF2328" s="4">
        <v>44587</v>
      </c>
      <c r="CI2328" s="3">
        <v>1</v>
      </c>
      <c r="CJ2328" s="3">
        <v>1</v>
      </c>
      <c r="CK2328" s="3">
        <v>22</v>
      </c>
      <c r="CL2328" s="3" t="s">
        <v>87</v>
      </c>
    </row>
    <row r="2329" spans="1:90" x14ac:dyDescent="0.2">
      <c r="A2329" s="3" t="s">
        <v>72</v>
      </c>
      <c r="B2329" s="3" t="s">
        <v>73</v>
      </c>
      <c r="C2329" s="3" t="s">
        <v>74</v>
      </c>
      <c r="E2329" s="3" t="str">
        <f>"FES1162846639"</f>
        <v>FES1162846639</v>
      </c>
      <c r="F2329" s="4">
        <v>44586</v>
      </c>
      <c r="G2329" s="3">
        <v>202207</v>
      </c>
      <c r="H2329" s="3" t="s">
        <v>75</v>
      </c>
      <c r="I2329" s="3" t="s">
        <v>76</v>
      </c>
      <c r="J2329" s="3" t="s">
        <v>77</v>
      </c>
      <c r="K2329" s="3" t="s">
        <v>78</v>
      </c>
      <c r="L2329" s="3" t="s">
        <v>133</v>
      </c>
      <c r="M2329" s="3" t="s">
        <v>134</v>
      </c>
      <c r="N2329" s="3" t="s">
        <v>135</v>
      </c>
      <c r="O2329" s="3" t="s">
        <v>82</v>
      </c>
      <c r="P2329" s="3" t="str">
        <f>"2170817952                    "</f>
        <v xml:space="preserve">2170817952                    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37.619999999999997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0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3">
        <v>0</v>
      </c>
      <c r="AY2329" s="3">
        <v>0</v>
      </c>
      <c r="AZ2329" s="3">
        <v>0</v>
      </c>
      <c r="BA2329" s="3">
        <v>0</v>
      </c>
      <c r="BB2329" s="3">
        <v>0</v>
      </c>
      <c r="BC2329" s="3">
        <v>0</v>
      </c>
      <c r="BD2329" s="3">
        <v>0</v>
      </c>
      <c r="BE2329" s="3">
        <v>0</v>
      </c>
      <c r="BF2329" s="3">
        <v>0</v>
      </c>
      <c r="BG2329" s="3">
        <v>0</v>
      </c>
      <c r="BH2329" s="3">
        <v>1</v>
      </c>
      <c r="BI2329" s="3">
        <v>2</v>
      </c>
      <c r="BJ2329" s="3">
        <v>3.3</v>
      </c>
      <c r="BK2329" s="3">
        <v>3.5</v>
      </c>
      <c r="BL2329" s="3">
        <v>143.59</v>
      </c>
      <c r="BM2329" s="3">
        <v>21.54</v>
      </c>
      <c r="BN2329" s="3">
        <v>165.13</v>
      </c>
      <c r="BO2329" s="3">
        <v>165.13</v>
      </c>
      <c r="BQ2329" s="3" t="s">
        <v>83</v>
      </c>
      <c r="BR2329" s="3" t="s">
        <v>84</v>
      </c>
      <c r="BS2329" s="4">
        <v>44587</v>
      </c>
      <c r="BT2329" s="5">
        <v>0.39652777777777781</v>
      </c>
      <c r="BU2329" s="3" t="s">
        <v>2360</v>
      </c>
      <c r="BV2329" s="3" t="s">
        <v>105</v>
      </c>
      <c r="BY2329" s="3">
        <v>16384</v>
      </c>
      <c r="BZ2329" s="3" t="s">
        <v>165</v>
      </c>
      <c r="CA2329" s="3" t="s">
        <v>673</v>
      </c>
      <c r="CC2329" s="3" t="s">
        <v>134</v>
      </c>
      <c r="CD2329" s="3">
        <v>1911</v>
      </c>
      <c r="CE2329" s="3" t="s">
        <v>86</v>
      </c>
      <c r="CF2329" s="4">
        <v>44588</v>
      </c>
      <c r="CI2329" s="3">
        <v>1</v>
      </c>
      <c r="CJ2329" s="3">
        <v>1</v>
      </c>
      <c r="CK2329" s="3">
        <v>24</v>
      </c>
      <c r="CL2329" s="3" t="s">
        <v>87</v>
      </c>
    </row>
    <row r="2330" spans="1:90" x14ac:dyDescent="0.2">
      <c r="A2330" s="3" t="s">
        <v>72</v>
      </c>
      <c r="B2330" s="3" t="s">
        <v>73</v>
      </c>
      <c r="C2330" s="3" t="s">
        <v>74</v>
      </c>
      <c r="E2330" s="3" t="str">
        <f>"FES1162846706"</f>
        <v>FES1162846706</v>
      </c>
      <c r="F2330" s="4">
        <v>44586</v>
      </c>
      <c r="G2330" s="3">
        <v>202207</v>
      </c>
      <c r="H2330" s="3" t="s">
        <v>75</v>
      </c>
      <c r="I2330" s="3" t="s">
        <v>76</v>
      </c>
      <c r="J2330" s="3" t="s">
        <v>77</v>
      </c>
      <c r="K2330" s="3" t="s">
        <v>78</v>
      </c>
      <c r="L2330" s="3" t="s">
        <v>75</v>
      </c>
      <c r="M2330" s="3" t="s">
        <v>76</v>
      </c>
      <c r="N2330" s="3" t="s">
        <v>688</v>
      </c>
      <c r="O2330" s="3" t="s">
        <v>82</v>
      </c>
      <c r="P2330" s="3" t="str">
        <f>"2170795971                    "</f>
        <v xml:space="preserve">2170795971                    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12.07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0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3">
        <v>0</v>
      </c>
      <c r="AY2330" s="3">
        <v>0</v>
      </c>
      <c r="AZ2330" s="3">
        <v>0</v>
      </c>
      <c r="BA2330" s="3">
        <v>0</v>
      </c>
      <c r="BB2330" s="3">
        <v>0</v>
      </c>
      <c r="BC2330" s="3">
        <v>0</v>
      </c>
      <c r="BD2330" s="3">
        <v>0</v>
      </c>
      <c r="BE2330" s="3">
        <v>0</v>
      </c>
      <c r="BF2330" s="3">
        <v>0</v>
      </c>
      <c r="BG2330" s="3">
        <v>0</v>
      </c>
      <c r="BH2330" s="3">
        <v>1</v>
      </c>
      <c r="BI2330" s="3">
        <v>2</v>
      </c>
      <c r="BJ2330" s="3">
        <v>4.0999999999999996</v>
      </c>
      <c r="BK2330" s="3">
        <v>4.5</v>
      </c>
      <c r="BL2330" s="3">
        <v>46.08</v>
      </c>
      <c r="BM2330" s="3">
        <v>6.91</v>
      </c>
      <c r="BN2330" s="3">
        <v>52.99</v>
      </c>
      <c r="BO2330" s="3">
        <v>52.99</v>
      </c>
      <c r="BQ2330" s="3" t="s">
        <v>83</v>
      </c>
      <c r="BR2330" s="3" t="s">
        <v>84</v>
      </c>
      <c r="BS2330" s="4">
        <v>44587</v>
      </c>
      <c r="BT2330" s="5">
        <v>0.32222222222222224</v>
      </c>
      <c r="BU2330" s="3" t="s">
        <v>1173</v>
      </c>
      <c r="BV2330" s="3" t="s">
        <v>105</v>
      </c>
      <c r="BY2330" s="3">
        <v>20358</v>
      </c>
      <c r="BZ2330" s="3" t="s">
        <v>165</v>
      </c>
      <c r="CA2330" s="3" t="s">
        <v>227</v>
      </c>
      <c r="CC2330" s="3" t="s">
        <v>76</v>
      </c>
      <c r="CD2330" s="3">
        <v>1620</v>
      </c>
      <c r="CE2330" s="3" t="s">
        <v>86</v>
      </c>
      <c r="CF2330" s="4">
        <v>44587</v>
      </c>
      <c r="CI2330" s="3">
        <v>1</v>
      </c>
      <c r="CJ2330" s="3">
        <v>1</v>
      </c>
      <c r="CK2330" s="3">
        <v>22</v>
      </c>
      <c r="CL2330" s="3" t="s">
        <v>87</v>
      </c>
    </row>
    <row r="2331" spans="1:90" x14ac:dyDescent="0.2">
      <c r="A2331" s="3" t="s">
        <v>72</v>
      </c>
      <c r="B2331" s="3" t="s">
        <v>73</v>
      </c>
      <c r="C2331" s="3" t="s">
        <v>74</v>
      </c>
      <c r="E2331" s="3" t="str">
        <f>"FES1162846775"</f>
        <v>FES1162846775</v>
      </c>
      <c r="F2331" s="4">
        <v>44586</v>
      </c>
      <c r="G2331" s="3">
        <v>202207</v>
      </c>
      <c r="H2331" s="3" t="s">
        <v>75</v>
      </c>
      <c r="I2331" s="3" t="s">
        <v>76</v>
      </c>
      <c r="J2331" s="3" t="s">
        <v>77</v>
      </c>
      <c r="K2331" s="3" t="s">
        <v>78</v>
      </c>
      <c r="L2331" s="3" t="s">
        <v>187</v>
      </c>
      <c r="M2331" s="3" t="s">
        <v>188</v>
      </c>
      <c r="N2331" s="3" t="s">
        <v>189</v>
      </c>
      <c r="O2331" s="3" t="s">
        <v>82</v>
      </c>
      <c r="P2331" s="3" t="str">
        <f>"2170816286                    "</f>
        <v xml:space="preserve">2170816286                    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29.95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Q2331" s="3">
        <v>0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3">
        <v>0</v>
      </c>
      <c r="AY2331" s="3">
        <v>0</v>
      </c>
      <c r="AZ2331" s="3">
        <v>0</v>
      </c>
      <c r="BA2331" s="3">
        <v>0</v>
      </c>
      <c r="BB2331" s="3">
        <v>0</v>
      </c>
      <c r="BC2331" s="3">
        <v>0</v>
      </c>
      <c r="BD2331" s="3">
        <v>0</v>
      </c>
      <c r="BE2331" s="3">
        <v>0</v>
      </c>
      <c r="BF2331" s="3">
        <v>0</v>
      </c>
      <c r="BG2331" s="3">
        <v>0</v>
      </c>
      <c r="BH2331" s="3">
        <v>1</v>
      </c>
      <c r="BI2331" s="3">
        <v>1</v>
      </c>
      <c r="BJ2331" s="3">
        <v>0.2</v>
      </c>
      <c r="BK2331" s="3">
        <v>1</v>
      </c>
      <c r="BL2331" s="3">
        <v>114.31</v>
      </c>
      <c r="BM2331" s="3">
        <v>17.149999999999999</v>
      </c>
      <c r="BN2331" s="3">
        <v>131.46</v>
      </c>
      <c r="BO2331" s="3">
        <v>131.46</v>
      </c>
      <c r="BQ2331" s="3" t="s">
        <v>83</v>
      </c>
      <c r="BR2331" s="3" t="s">
        <v>84</v>
      </c>
      <c r="BS2331" s="4">
        <v>44587</v>
      </c>
      <c r="BT2331" s="5">
        <v>0.55138888888888882</v>
      </c>
      <c r="BU2331" s="3" t="s">
        <v>854</v>
      </c>
      <c r="BV2331" s="3" t="s">
        <v>87</v>
      </c>
      <c r="BW2331" s="3" t="s">
        <v>457</v>
      </c>
      <c r="BX2331" s="3" t="s">
        <v>602</v>
      </c>
      <c r="BY2331" s="3">
        <v>1200</v>
      </c>
      <c r="BZ2331" s="3" t="s">
        <v>165</v>
      </c>
      <c r="CA2331" s="3" t="s">
        <v>268</v>
      </c>
      <c r="CC2331" s="3" t="s">
        <v>188</v>
      </c>
      <c r="CD2331" s="3">
        <v>7300</v>
      </c>
      <c r="CE2331" s="3" t="s">
        <v>93</v>
      </c>
      <c r="CF2331" s="4">
        <v>44588</v>
      </c>
      <c r="CI2331" s="3">
        <v>1</v>
      </c>
      <c r="CJ2331" s="3">
        <v>1</v>
      </c>
      <c r="CK2331" s="3">
        <v>23</v>
      </c>
      <c r="CL2331" s="3" t="s">
        <v>87</v>
      </c>
    </row>
    <row r="2332" spans="1:90" x14ac:dyDescent="0.2">
      <c r="A2332" s="3" t="s">
        <v>72</v>
      </c>
      <c r="B2332" s="3" t="s">
        <v>73</v>
      </c>
      <c r="C2332" s="3" t="s">
        <v>74</v>
      </c>
      <c r="E2332" s="3" t="str">
        <f>"FES1162846809"</f>
        <v>FES1162846809</v>
      </c>
      <c r="F2332" s="4">
        <v>44586</v>
      </c>
      <c r="G2332" s="3">
        <v>202207</v>
      </c>
      <c r="H2332" s="3" t="s">
        <v>75</v>
      </c>
      <c r="I2332" s="3" t="s">
        <v>76</v>
      </c>
      <c r="J2332" s="3" t="s">
        <v>77</v>
      </c>
      <c r="K2332" s="3" t="s">
        <v>78</v>
      </c>
      <c r="L2332" s="3" t="s">
        <v>120</v>
      </c>
      <c r="M2332" s="3" t="s">
        <v>121</v>
      </c>
      <c r="N2332" s="3" t="s">
        <v>122</v>
      </c>
      <c r="O2332" s="3" t="s">
        <v>82</v>
      </c>
      <c r="P2332" s="3" t="str">
        <f>"2170816056                    "</f>
        <v xml:space="preserve">2170816056                    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50.22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Q2332" s="3">
        <v>0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3">
        <v>0</v>
      </c>
      <c r="AY2332" s="3">
        <v>0</v>
      </c>
      <c r="AZ2332" s="3">
        <v>0</v>
      </c>
      <c r="BA2332" s="3">
        <v>0</v>
      </c>
      <c r="BB2332" s="3">
        <v>0</v>
      </c>
      <c r="BC2332" s="3">
        <v>0</v>
      </c>
      <c r="BD2332" s="3">
        <v>0</v>
      </c>
      <c r="BE2332" s="3">
        <v>0</v>
      </c>
      <c r="BF2332" s="3">
        <v>0</v>
      </c>
      <c r="BG2332" s="3">
        <v>0</v>
      </c>
      <c r="BH2332" s="3">
        <v>1</v>
      </c>
      <c r="BI2332" s="3">
        <v>6</v>
      </c>
      <c r="BJ2332" s="3">
        <v>6.2</v>
      </c>
      <c r="BK2332" s="3">
        <v>6.5</v>
      </c>
      <c r="BL2332" s="3">
        <v>191.68</v>
      </c>
      <c r="BM2332" s="3">
        <v>28.75</v>
      </c>
      <c r="BN2332" s="3">
        <v>220.43</v>
      </c>
      <c r="BO2332" s="3">
        <v>220.43</v>
      </c>
      <c r="BQ2332" s="3" t="s">
        <v>89</v>
      </c>
      <c r="BR2332" s="3" t="s">
        <v>84</v>
      </c>
      <c r="BS2332" s="4">
        <v>44587</v>
      </c>
      <c r="BT2332" s="5">
        <v>0.3298611111111111</v>
      </c>
      <c r="BU2332" s="3" t="s">
        <v>2361</v>
      </c>
      <c r="BV2332" s="3" t="s">
        <v>105</v>
      </c>
      <c r="BY2332" s="3">
        <v>30926</v>
      </c>
      <c r="BZ2332" s="3" t="s">
        <v>165</v>
      </c>
      <c r="CA2332" s="3" t="s">
        <v>553</v>
      </c>
      <c r="CC2332" s="3" t="s">
        <v>121</v>
      </c>
      <c r="CD2332" s="3">
        <v>6230</v>
      </c>
      <c r="CE2332" s="3" t="s">
        <v>86</v>
      </c>
      <c r="CF2332" s="4">
        <v>44587</v>
      </c>
      <c r="CI2332" s="3">
        <v>1</v>
      </c>
      <c r="CJ2332" s="3">
        <v>1</v>
      </c>
      <c r="CK2332" s="3">
        <v>21</v>
      </c>
      <c r="CL2332" s="3" t="s">
        <v>87</v>
      </c>
    </row>
    <row r="2333" spans="1:90" x14ac:dyDescent="0.2">
      <c r="A2333" s="3" t="s">
        <v>72</v>
      </c>
      <c r="B2333" s="3" t="s">
        <v>73</v>
      </c>
      <c r="C2333" s="3" t="s">
        <v>74</v>
      </c>
      <c r="E2333" s="3" t="str">
        <f>"FES1162846886"</f>
        <v>FES1162846886</v>
      </c>
      <c r="F2333" s="4">
        <v>44586</v>
      </c>
      <c r="G2333" s="3">
        <v>202207</v>
      </c>
      <c r="H2333" s="3" t="s">
        <v>75</v>
      </c>
      <c r="I2333" s="3" t="s">
        <v>76</v>
      </c>
      <c r="J2333" s="3" t="s">
        <v>77</v>
      </c>
      <c r="K2333" s="3" t="s">
        <v>78</v>
      </c>
      <c r="L2333" s="3" t="s">
        <v>90</v>
      </c>
      <c r="M2333" s="3" t="s">
        <v>91</v>
      </c>
      <c r="N2333" s="3" t="s">
        <v>516</v>
      </c>
      <c r="O2333" s="3" t="s">
        <v>148</v>
      </c>
      <c r="P2333" s="3" t="str">
        <f>"2170810967                    "</f>
        <v xml:space="preserve">2170810967                    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39.75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0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3">
        <v>0</v>
      </c>
      <c r="AY2333" s="3">
        <v>0</v>
      </c>
      <c r="AZ2333" s="3">
        <v>0</v>
      </c>
      <c r="BA2333" s="3">
        <v>0</v>
      </c>
      <c r="BB2333" s="3">
        <v>0</v>
      </c>
      <c r="BC2333" s="3">
        <v>0</v>
      </c>
      <c r="BD2333" s="3">
        <v>0</v>
      </c>
      <c r="BE2333" s="3">
        <v>0</v>
      </c>
      <c r="BF2333" s="3">
        <v>0</v>
      </c>
      <c r="BG2333" s="3">
        <v>0</v>
      </c>
      <c r="BH2333" s="3">
        <v>2</v>
      </c>
      <c r="BI2333" s="3">
        <v>10</v>
      </c>
      <c r="BJ2333" s="3">
        <v>22.6</v>
      </c>
      <c r="BK2333" s="3">
        <v>23</v>
      </c>
      <c r="BL2333" s="3">
        <v>156.96</v>
      </c>
      <c r="BM2333" s="3">
        <v>23.54</v>
      </c>
      <c r="BN2333" s="3">
        <v>180.5</v>
      </c>
      <c r="BO2333" s="3">
        <v>180.5</v>
      </c>
      <c r="BR2333" s="3" t="s">
        <v>84</v>
      </c>
      <c r="BS2333" s="4">
        <v>44589</v>
      </c>
      <c r="BT2333" s="5">
        <v>0.37986111111111115</v>
      </c>
      <c r="BU2333" s="3" t="s">
        <v>2362</v>
      </c>
      <c r="BV2333" s="3" t="s">
        <v>87</v>
      </c>
      <c r="BW2333" s="3" t="s">
        <v>353</v>
      </c>
      <c r="BX2333" s="3" t="s">
        <v>602</v>
      </c>
      <c r="BY2333" s="3">
        <v>112912</v>
      </c>
      <c r="BZ2333" s="3" t="s">
        <v>327</v>
      </c>
      <c r="CA2333" s="3" t="s">
        <v>603</v>
      </c>
      <c r="CC2333" s="3" t="s">
        <v>91</v>
      </c>
      <c r="CD2333" s="3">
        <v>7945</v>
      </c>
      <c r="CE2333" s="3" t="s">
        <v>221</v>
      </c>
      <c r="CI2333" s="3">
        <v>2</v>
      </c>
      <c r="CJ2333" s="3">
        <v>3</v>
      </c>
      <c r="CK2333" s="3">
        <v>41</v>
      </c>
      <c r="CL2333" s="3" t="s">
        <v>87</v>
      </c>
    </row>
    <row r="2334" spans="1:90" x14ac:dyDescent="0.2">
      <c r="A2334" s="3" t="s">
        <v>72</v>
      </c>
      <c r="B2334" s="3" t="s">
        <v>73</v>
      </c>
      <c r="C2334" s="3" t="s">
        <v>74</v>
      </c>
      <c r="E2334" s="3" t="str">
        <f>"FES1162846707"</f>
        <v>FES1162846707</v>
      </c>
      <c r="F2334" s="4">
        <v>44586</v>
      </c>
      <c r="G2334" s="3">
        <v>202207</v>
      </c>
      <c r="H2334" s="3" t="s">
        <v>75</v>
      </c>
      <c r="I2334" s="3" t="s">
        <v>76</v>
      </c>
      <c r="J2334" s="3" t="s">
        <v>77</v>
      </c>
      <c r="K2334" s="3" t="s">
        <v>78</v>
      </c>
      <c r="L2334" s="3" t="s">
        <v>101</v>
      </c>
      <c r="M2334" s="3" t="s">
        <v>102</v>
      </c>
      <c r="N2334" s="3" t="s">
        <v>272</v>
      </c>
      <c r="O2334" s="3" t="s">
        <v>148</v>
      </c>
      <c r="P2334" s="3" t="str">
        <f>"2170796080                    "</f>
        <v xml:space="preserve">2170796080                    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34.82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0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3">
        <v>0</v>
      </c>
      <c r="AY2334" s="3">
        <v>0</v>
      </c>
      <c r="AZ2334" s="3">
        <v>0</v>
      </c>
      <c r="BA2334" s="3">
        <v>0</v>
      </c>
      <c r="BB2334" s="3">
        <v>0</v>
      </c>
      <c r="BC2334" s="3">
        <v>0</v>
      </c>
      <c r="BD2334" s="3">
        <v>0</v>
      </c>
      <c r="BE2334" s="3">
        <v>0</v>
      </c>
      <c r="BF2334" s="3">
        <v>0</v>
      </c>
      <c r="BG2334" s="3">
        <v>0</v>
      </c>
      <c r="BH2334" s="3">
        <v>1</v>
      </c>
      <c r="BI2334" s="3">
        <v>6</v>
      </c>
      <c r="BJ2334" s="3">
        <v>18.3</v>
      </c>
      <c r="BK2334" s="3">
        <v>19</v>
      </c>
      <c r="BL2334" s="3">
        <v>138.15</v>
      </c>
      <c r="BM2334" s="3">
        <v>20.72</v>
      </c>
      <c r="BN2334" s="3">
        <v>158.87</v>
      </c>
      <c r="BO2334" s="3">
        <v>158.87</v>
      </c>
      <c r="BQ2334" s="3" t="s">
        <v>273</v>
      </c>
      <c r="BR2334" s="3" t="s">
        <v>84</v>
      </c>
      <c r="BS2334" s="4">
        <v>44587</v>
      </c>
      <c r="BT2334" s="5">
        <v>0.58680555555555558</v>
      </c>
      <c r="BU2334" s="3" t="s">
        <v>274</v>
      </c>
      <c r="BV2334" s="3" t="s">
        <v>105</v>
      </c>
      <c r="BY2334" s="3">
        <v>91264</v>
      </c>
      <c r="BZ2334" s="3" t="s">
        <v>327</v>
      </c>
      <c r="CA2334" s="3" t="s">
        <v>2363</v>
      </c>
      <c r="CC2334" s="3" t="s">
        <v>102</v>
      </c>
      <c r="CD2334" s="3">
        <v>4000</v>
      </c>
      <c r="CE2334" s="3" t="s">
        <v>86</v>
      </c>
      <c r="CF2334" s="4">
        <v>44588</v>
      </c>
      <c r="CI2334" s="3">
        <v>1</v>
      </c>
      <c r="CJ2334" s="3">
        <v>1</v>
      </c>
      <c r="CK2334" s="3">
        <v>41</v>
      </c>
      <c r="CL2334" s="3" t="s">
        <v>87</v>
      </c>
    </row>
    <row r="2335" spans="1:90" x14ac:dyDescent="0.2">
      <c r="A2335" s="3" t="s">
        <v>72</v>
      </c>
      <c r="B2335" s="3" t="s">
        <v>73</v>
      </c>
      <c r="C2335" s="3" t="s">
        <v>74</v>
      </c>
      <c r="E2335" s="3" t="str">
        <f>"FES1162846697"</f>
        <v>FES1162846697</v>
      </c>
      <c r="F2335" s="4">
        <v>44586</v>
      </c>
      <c r="G2335" s="3">
        <v>202207</v>
      </c>
      <c r="H2335" s="3" t="s">
        <v>75</v>
      </c>
      <c r="I2335" s="3" t="s">
        <v>76</v>
      </c>
      <c r="J2335" s="3" t="s">
        <v>77</v>
      </c>
      <c r="K2335" s="3" t="s">
        <v>78</v>
      </c>
      <c r="L2335" s="3" t="s">
        <v>101</v>
      </c>
      <c r="M2335" s="3" t="s">
        <v>102</v>
      </c>
      <c r="N2335" s="3" t="s">
        <v>103</v>
      </c>
      <c r="O2335" s="3" t="s">
        <v>82</v>
      </c>
      <c r="P2335" s="3" t="str">
        <f>"2170816385                    "</f>
        <v xml:space="preserve">2170816385                    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15.46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0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3">
        <v>0</v>
      </c>
      <c r="AY2335" s="3">
        <v>0</v>
      </c>
      <c r="AZ2335" s="3">
        <v>0</v>
      </c>
      <c r="BA2335" s="3">
        <v>0</v>
      </c>
      <c r="BB2335" s="3">
        <v>0</v>
      </c>
      <c r="BC2335" s="3">
        <v>0</v>
      </c>
      <c r="BD2335" s="3">
        <v>0</v>
      </c>
      <c r="BE2335" s="3">
        <v>0</v>
      </c>
      <c r="BF2335" s="3">
        <v>0</v>
      </c>
      <c r="BG2335" s="3">
        <v>0</v>
      </c>
      <c r="BH2335" s="3">
        <v>1</v>
      </c>
      <c r="BI2335" s="3">
        <v>1</v>
      </c>
      <c r="BJ2335" s="3">
        <v>0.2</v>
      </c>
      <c r="BK2335" s="3">
        <v>1</v>
      </c>
      <c r="BL2335" s="3">
        <v>59</v>
      </c>
      <c r="BM2335" s="3">
        <v>8.85</v>
      </c>
      <c r="BN2335" s="3">
        <v>67.849999999999994</v>
      </c>
      <c r="BO2335" s="3">
        <v>67.849999999999994</v>
      </c>
      <c r="BQ2335" s="3" t="s">
        <v>83</v>
      </c>
      <c r="BR2335" s="3" t="s">
        <v>84</v>
      </c>
      <c r="BS2335" s="4">
        <v>44587</v>
      </c>
      <c r="BT2335" s="5">
        <v>0.31944444444444448</v>
      </c>
      <c r="BU2335" s="3" t="s">
        <v>463</v>
      </c>
      <c r="BV2335" s="3" t="s">
        <v>105</v>
      </c>
      <c r="BY2335" s="3">
        <v>1200</v>
      </c>
      <c r="BZ2335" s="3" t="s">
        <v>165</v>
      </c>
      <c r="CA2335" s="3" t="s">
        <v>334</v>
      </c>
      <c r="CC2335" s="3" t="s">
        <v>102</v>
      </c>
      <c r="CD2335" s="3">
        <v>4001</v>
      </c>
      <c r="CE2335" s="3" t="s">
        <v>93</v>
      </c>
      <c r="CF2335" s="4">
        <v>44588</v>
      </c>
      <c r="CI2335" s="3">
        <v>1</v>
      </c>
      <c r="CJ2335" s="3">
        <v>1</v>
      </c>
      <c r="CK2335" s="3">
        <v>21</v>
      </c>
      <c r="CL2335" s="3" t="s">
        <v>87</v>
      </c>
    </row>
    <row r="2336" spans="1:90" x14ac:dyDescent="0.2">
      <c r="A2336" s="3" t="s">
        <v>72</v>
      </c>
      <c r="B2336" s="3" t="s">
        <v>73</v>
      </c>
      <c r="C2336" s="3" t="s">
        <v>74</v>
      </c>
      <c r="E2336" s="3" t="str">
        <f>"FES1162846601"</f>
        <v>FES1162846601</v>
      </c>
      <c r="F2336" s="4">
        <v>44586</v>
      </c>
      <c r="G2336" s="3">
        <v>202207</v>
      </c>
      <c r="H2336" s="3" t="s">
        <v>75</v>
      </c>
      <c r="I2336" s="3" t="s">
        <v>76</v>
      </c>
      <c r="J2336" s="3" t="s">
        <v>77</v>
      </c>
      <c r="K2336" s="3" t="s">
        <v>78</v>
      </c>
      <c r="L2336" s="3" t="s">
        <v>464</v>
      </c>
      <c r="M2336" s="3" t="s">
        <v>465</v>
      </c>
      <c r="N2336" s="3" t="s">
        <v>2364</v>
      </c>
      <c r="O2336" s="3" t="s">
        <v>82</v>
      </c>
      <c r="P2336" s="3" t="str">
        <f>"2170817689                    "</f>
        <v xml:space="preserve">2170817689                    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17.87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0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3">
        <v>0</v>
      </c>
      <c r="AY2336" s="3">
        <v>0</v>
      </c>
      <c r="AZ2336" s="3">
        <v>0</v>
      </c>
      <c r="BA2336" s="3">
        <v>0</v>
      </c>
      <c r="BB2336" s="3">
        <v>0</v>
      </c>
      <c r="BC2336" s="3">
        <v>0</v>
      </c>
      <c r="BD2336" s="3">
        <v>0</v>
      </c>
      <c r="BE2336" s="3">
        <v>0</v>
      </c>
      <c r="BF2336" s="3">
        <v>0</v>
      </c>
      <c r="BG2336" s="3">
        <v>0</v>
      </c>
      <c r="BH2336" s="3">
        <v>1</v>
      </c>
      <c r="BI2336" s="3">
        <v>10</v>
      </c>
      <c r="BJ2336" s="3">
        <v>2.1</v>
      </c>
      <c r="BK2336" s="3">
        <v>10</v>
      </c>
      <c r="BL2336" s="3">
        <v>68.2</v>
      </c>
      <c r="BM2336" s="3">
        <v>10.23</v>
      </c>
      <c r="BN2336" s="3">
        <v>78.430000000000007</v>
      </c>
      <c r="BO2336" s="3">
        <v>78.430000000000007</v>
      </c>
      <c r="BR2336" s="3" t="s">
        <v>84</v>
      </c>
      <c r="BS2336" s="4">
        <v>44587</v>
      </c>
      <c r="BT2336" s="5">
        <v>0.42569444444444443</v>
      </c>
      <c r="BU2336" s="3" t="s">
        <v>987</v>
      </c>
      <c r="BV2336" s="3" t="s">
        <v>105</v>
      </c>
      <c r="BY2336" s="3">
        <v>10350</v>
      </c>
      <c r="BZ2336" s="3" t="s">
        <v>165</v>
      </c>
      <c r="CA2336" s="3" t="s">
        <v>1684</v>
      </c>
      <c r="CC2336" s="3" t="s">
        <v>465</v>
      </c>
      <c r="CD2336" s="3">
        <v>1501</v>
      </c>
      <c r="CE2336" s="3" t="s">
        <v>86</v>
      </c>
      <c r="CF2336" s="4">
        <v>44588</v>
      </c>
      <c r="CI2336" s="3">
        <v>1</v>
      </c>
      <c r="CJ2336" s="3">
        <v>1</v>
      </c>
      <c r="CK2336" s="3">
        <v>22</v>
      </c>
      <c r="CL2336" s="3" t="s">
        <v>87</v>
      </c>
    </row>
    <row r="2337" spans="1:90" x14ac:dyDescent="0.2">
      <c r="A2337" s="3" t="s">
        <v>72</v>
      </c>
      <c r="B2337" s="3" t="s">
        <v>73</v>
      </c>
      <c r="C2337" s="3" t="s">
        <v>74</v>
      </c>
      <c r="E2337" s="3" t="str">
        <f>"FES1162846740"</f>
        <v>FES1162846740</v>
      </c>
      <c r="F2337" s="4">
        <v>44586</v>
      </c>
      <c r="G2337" s="3">
        <v>202207</v>
      </c>
      <c r="H2337" s="3" t="s">
        <v>75</v>
      </c>
      <c r="I2337" s="3" t="s">
        <v>76</v>
      </c>
      <c r="J2337" s="3" t="s">
        <v>77</v>
      </c>
      <c r="K2337" s="3" t="s">
        <v>78</v>
      </c>
      <c r="L2337" s="3" t="s">
        <v>138</v>
      </c>
      <c r="M2337" s="3" t="s">
        <v>139</v>
      </c>
      <c r="N2337" s="3" t="s">
        <v>332</v>
      </c>
      <c r="O2337" s="3" t="s">
        <v>82</v>
      </c>
      <c r="P2337" s="3" t="str">
        <f>"2170815765                    "</f>
        <v xml:space="preserve">2170815765                    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15.46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0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3">
        <v>0</v>
      </c>
      <c r="AY2337" s="3">
        <v>0</v>
      </c>
      <c r="AZ2337" s="3">
        <v>0</v>
      </c>
      <c r="BA2337" s="3">
        <v>0</v>
      </c>
      <c r="BB2337" s="3">
        <v>0</v>
      </c>
      <c r="BC2337" s="3">
        <v>0</v>
      </c>
      <c r="BD2337" s="3">
        <v>0</v>
      </c>
      <c r="BE2337" s="3">
        <v>0</v>
      </c>
      <c r="BF2337" s="3">
        <v>0</v>
      </c>
      <c r="BG2337" s="3">
        <v>0</v>
      </c>
      <c r="BH2337" s="3">
        <v>1</v>
      </c>
      <c r="BI2337" s="3">
        <v>1</v>
      </c>
      <c r="BJ2337" s="3">
        <v>0.2</v>
      </c>
      <c r="BK2337" s="3">
        <v>1</v>
      </c>
      <c r="BL2337" s="3">
        <v>59</v>
      </c>
      <c r="BM2337" s="3">
        <v>8.85</v>
      </c>
      <c r="BN2337" s="3">
        <v>67.849999999999994</v>
      </c>
      <c r="BO2337" s="3">
        <v>67.849999999999994</v>
      </c>
      <c r="BQ2337" s="3" t="s">
        <v>89</v>
      </c>
      <c r="BR2337" s="3" t="s">
        <v>84</v>
      </c>
      <c r="BS2337" s="4">
        <v>44587</v>
      </c>
      <c r="BT2337" s="5">
        <v>0.38194444444444442</v>
      </c>
      <c r="BU2337" s="3" t="s">
        <v>547</v>
      </c>
      <c r="BV2337" s="3" t="s">
        <v>105</v>
      </c>
      <c r="BY2337" s="3">
        <v>1200</v>
      </c>
      <c r="BZ2337" s="3" t="s">
        <v>165</v>
      </c>
      <c r="CA2337" s="3" t="s">
        <v>334</v>
      </c>
      <c r="CC2337" s="3" t="s">
        <v>139</v>
      </c>
      <c r="CD2337" s="3">
        <v>3600</v>
      </c>
      <c r="CE2337" s="3" t="s">
        <v>93</v>
      </c>
      <c r="CF2337" s="4">
        <v>44588</v>
      </c>
      <c r="CI2337" s="3">
        <v>1</v>
      </c>
      <c r="CJ2337" s="3">
        <v>1</v>
      </c>
      <c r="CK2337" s="3">
        <v>21</v>
      </c>
      <c r="CL2337" s="3" t="s">
        <v>87</v>
      </c>
    </row>
    <row r="2338" spans="1:90" x14ac:dyDescent="0.2">
      <c r="A2338" s="3" t="s">
        <v>72</v>
      </c>
      <c r="B2338" s="3" t="s">
        <v>73</v>
      </c>
      <c r="C2338" s="3" t="s">
        <v>74</v>
      </c>
      <c r="E2338" s="3" t="str">
        <f>"FES1162846594"</f>
        <v>FES1162846594</v>
      </c>
      <c r="F2338" s="4">
        <v>44586</v>
      </c>
      <c r="G2338" s="3">
        <v>202207</v>
      </c>
      <c r="H2338" s="3" t="s">
        <v>75</v>
      </c>
      <c r="I2338" s="3" t="s">
        <v>76</v>
      </c>
      <c r="J2338" s="3" t="s">
        <v>77</v>
      </c>
      <c r="K2338" s="3" t="s">
        <v>78</v>
      </c>
      <c r="L2338" s="3" t="s">
        <v>1307</v>
      </c>
      <c r="M2338" s="3" t="s">
        <v>1307</v>
      </c>
      <c r="N2338" s="3" t="s">
        <v>2365</v>
      </c>
      <c r="O2338" s="3" t="s">
        <v>82</v>
      </c>
      <c r="P2338" s="3" t="str">
        <f>"2170817996                    "</f>
        <v xml:space="preserve">2170817996                    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21.74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0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3">
        <v>0</v>
      </c>
      <c r="AY2338" s="3">
        <v>0</v>
      </c>
      <c r="AZ2338" s="3">
        <v>0</v>
      </c>
      <c r="BA2338" s="3">
        <v>0</v>
      </c>
      <c r="BB2338" s="3">
        <v>0</v>
      </c>
      <c r="BC2338" s="3">
        <v>0</v>
      </c>
      <c r="BD2338" s="3">
        <v>0</v>
      </c>
      <c r="BE2338" s="3">
        <v>0</v>
      </c>
      <c r="BF2338" s="3">
        <v>0</v>
      </c>
      <c r="BG2338" s="3">
        <v>0</v>
      </c>
      <c r="BH2338" s="3">
        <v>1</v>
      </c>
      <c r="BI2338" s="3">
        <v>2</v>
      </c>
      <c r="BJ2338" s="3">
        <v>0.9</v>
      </c>
      <c r="BK2338" s="3">
        <v>2</v>
      </c>
      <c r="BL2338" s="3">
        <v>82.98</v>
      </c>
      <c r="BM2338" s="3">
        <v>12.45</v>
      </c>
      <c r="BN2338" s="3">
        <v>95.43</v>
      </c>
      <c r="BO2338" s="3">
        <v>95.43</v>
      </c>
      <c r="BQ2338" s="3" t="s">
        <v>83</v>
      </c>
      <c r="BR2338" s="3" t="s">
        <v>84</v>
      </c>
      <c r="BS2338" s="4">
        <v>44588</v>
      </c>
      <c r="BT2338" s="5">
        <v>0.36180555555555555</v>
      </c>
      <c r="BU2338" s="3" t="s">
        <v>2366</v>
      </c>
      <c r="BV2338" s="3" t="s">
        <v>87</v>
      </c>
      <c r="BW2338" s="3" t="s">
        <v>617</v>
      </c>
      <c r="BX2338" s="3" t="s">
        <v>618</v>
      </c>
      <c r="BY2338" s="3">
        <v>4275</v>
      </c>
      <c r="BZ2338" s="3" t="s">
        <v>165</v>
      </c>
      <c r="CA2338" s="3" t="s">
        <v>1902</v>
      </c>
      <c r="CC2338" s="3" t="s">
        <v>1307</v>
      </c>
      <c r="CD2338" s="3">
        <v>1491</v>
      </c>
      <c r="CE2338" s="3" t="s">
        <v>86</v>
      </c>
      <c r="CF2338" s="4">
        <v>44589</v>
      </c>
      <c r="CI2338" s="3">
        <v>1</v>
      </c>
      <c r="CJ2338" s="3">
        <v>2</v>
      </c>
      <c r="CK2338" s="3">
        <v>24</v>
      </c>
      <c r="CL2338" s="3" t="s">
        <v>87</v>
      </c>
    </row>
    <row r="2339" spans="1:90" x14ac:dyDescent="0.2">
      <c r="A2339" s="3" t="s">
        <v>72</v>
      </c>
      <c r="B2339" s="3" t="s">
        <v>73</v>
      </c>
      <c r="C2339" s="3" t="s">
        <v>74</v>
      </c>
      <c r="E2339" s="3" t="str">
        <f>"FES1162846793"</f>
        <v>FES1162846793</v>
      </c>
      <c r="F2339" s="4">
        <v>44586</v>
      </c>
      <c r="G2339" s="3">
        <v>202207</v>
      </c>
      <c r="H2339" s="3" t="s">
        <v>75</v>
      </c>
      <c r="I2339" s="3" t="s">
        <v>76</v>
      </c>
      <c r="J2339" s="3" t="s">
        <v>77</v>
      </c>
      <c r="K2339" s="3" t="s">
        <v>78</v>
      </c>
      <c r="L2339" s="3" t="s">
        <v>335</v>
      </c>
      <c r="M2339" s="3" t="s">
        <v>336</v>
      </c>
      <c r="N2339" s="3" t="s">
        <v>337</v>
      </c>
      <c r="O2339" s="3" t="s">
        <v>82</v>
      </c>
      <c r="P2339" s="3" t="str">
        <f>"2170817949                    "</f>
        <v xml:space="preserve">2170817949                    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34.770000000000003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0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3">
        <v>0</v>
      </c>
      <c r="AY2339" s="3">
        <v>0</v>
      </c>
      <c r="AZ2339" s="3">
        <v>0</v>
      </c>
      <c r="BA2339" s="3">
        <v>0</v>
      </c>
      <c r="BB2339" s="3">
        <v>0</v>
      </c>
      <c r="BC2339" s="3">
        <v>0</v>
      </c>
      <c r="BD2339" s="3">
        <v>0</v>
      </c>
      <c r="BE2339" s="3">
        <v>0</v>
      </c>
      <c r="BF2339" s="3">
        <v>0</v>
      </c>
      <c r="BG2339" s="3">
        <v>0</v>
      </c>
      <c r="BH2339" s="3">
        <v>1</v>
      </c>
      <c r="BI2339" s="3">
        <v>4</v>
      </c>
      <c r="BJ2339" s="3">
        <v>4.0999999999999996</v>
      </c>
      <c r="BK2339" s="3">
        <v>4.5</v>
      </c>
      <c r="BL2339" s="3">
        <v>132.71</v>
      </c>
      <c r="BM2339" s="3">
        <v>19.91</v>
      </c>
      <c r="BN2339" s="3">
        <v>152.62</v>
      </c>
      <c r="BO2339" s="3">
        <v>152.62</v>
      </c>
      <c r="BQ2339" s="3" t="s">
        <v>89</v>
      </c>
      <c r="BR2339" s="3" t="s">
        <v>84</v>
      </c>
      <c r="BS2339" s="4">
        <v>44587</v>
      </c>
      <c r="BT2339" s="5">
        <v>0.38958333333333334</v>
      </c>
      <c r="BU2339" s="3" t="s">
        <v>2367</v>
      </c>
      <c r="BV2339" s="3" t="s">
        <v>105</v>
      </c>
      <c r="BY2339" s="3">
        <v>20358</v>
      </c>
      <c r="BZ2339" s="3" t="s">
        <v>165</v>
      </c>
      <c r="CA2339" s="3" t="s">
        <v>528</v>
      </c>
      <c r="CC2339" s="3" t="s">
        <v>336</v>
      </c>
      <c r="CD2339" s="3">
        <v>4133</v>
      </c>
      <c r="CE2339" s="3" t="s">
        <v>86</v>
      </c>
      <c r="CF2339" s="4">
        <v>44588</v>
      </c>
      <c r="CI2339" s="3">
        <v>1</v>
      </c>
      <c r="CJ2339" s="3">
        <v>1</v>
      </c>
      <c r="CK2339" s="3">
        <v>21</v>
      </c>
      <c r="CL2339" s="3" t="s">
        <v>87</v>
      </c>
    </row>
    <row r="2340" spans="1:90" x14ac:dyDescent="0.2">
      <c r="A2340" s="3" t="s">
        <v>72</v>
      </c>
      <c r="B2340" s="3" t="s">
        <v>73</v>
      </c>
      <c r="C2340" s="3" t="s">
        <v>74</v>
      </c>
      <c r="E2340" s="3" t="str">
        <f>"FES1162846600"</f>
        <v>FES1162846600</v>
      </c>
      <c r="F2340" s="4">
        <v>44586</v>
      </c>
      <c r="G2340" s="3">
        <v>202207</v>
      </c>
      <c r="H2340" s="3" t="s">
        <v>75</v>
      </c>
      <c r="I2340" s="3" t="s">
        <v>76</v>
      </c>
      <c r="J2340" s="3" t="s">
        <v>77</v>
      </c>
      <c r="K2340" s="3" t="s">
        <v>78</v>
      </c>
      <c r="L2340" s="3" t="s">
        <v>171</v>
      </c>
      <c r="M2340" s="3" t="s">
        <v>172</v>
      </c>
      <c r="N2340" s="3" t="s">
        <v>725</v>
      </c>
      <c r="O2340" s="3" t="s">
        <v>82</v>
      </c>
      <c r="P2340" s="3" t="str">
        <f>"2170816617                    "</f>
        <v xml:space="preserve">2170816617                    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15.46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Q2340" s="3">
        <v>0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3">
        <v>0</v>
      </c>
      <c r="AY2340" s="3">
        <v>0</v>
      </c>
      <c r="AZ2340" s="3">
        <v>0</v>
      </c>
      <c r="BA2340" s="3">
        <v>0</v>
      </c>
      <c r="BB2340" s="3">
        <v>0</v>
      </c>
      <c r="BC2340" s="3">
        <v>0</v>
      </c>
      <c r="BD2340" s="3">
        <v>0</v>
      </c>
      <c r="BE2340" s="3">
        <v>0</v>
      </c>
      <c r="BF2340" s="3">
        <v>0</v>
      </c>
      <c r="BG2340" s="3">
        <v>0</v>
      </c>
      <c r="BH2340" s="3">
        <v>1</v>
      </c>
      <c r="BI2340" s="3">
        <v>2</v>
      </c>
      <c r="BJ2340" s="3">
        <v>1.5</v>
      </c>
      <c r="BK2340" s="3">
        <v>2</v>
      </c>
      <c r="BL2340" s="3">
        <v>59</v>
      </c>
      <c r="BM2340" s="3">
        <v>8.85</v>
      </c>
      <c r="BN2340" s="3">
        <v>67.849999999999994</v>
      </c>
      <c r="BO2340" s="3">
        <v>67.849999999999994</v>
      </c>
      <c r="BQ2340" s="3" t="s">
        <v>83</v>
      </c>
      <c r="BR2340" s="3" t="s">
        <v>84</v>
      </c>
      <c r="BS2340" s="4">
        <v>44587</v>
      </c>
      <c r="BT2340" s="5">
        <v>0.34652777777777777</v>
      </c>
      <c r="BU2340" s="3" t="s">
        <v>2061</v>
      </c>
      <c r="BV2340" s="3" t="s">
        <v>105</v>
      </c>
      <c r="BY2340" s="3">
        <v>7540</v>
      </c>
      <c r="BZ2340" s="3" t="s">
        <v>165</v>
      </c>
      <c r="CA2340" s="3" t="s">
        <v>408</v>
      </c>
      <c r="CC2340" s="3" t="s">
        <v>172</v>
      </c>
      <c r="CD2340" s="3">
        <v>6001</v>
      </c>
      <c r="CE2340" s="3" t="s">
        <v>86</v>
      </c>
      <c r="CF2340" s="4">
        <v>44587</v>
      </c>
      <c r="CI2340" s="3">
        <v>1</v>
      </c>
      <c r="CJ2340" s="3">
        <v>1</v>
      </c>
      <c r="CK2340" s="3">
        <v>21</v>
      </c>
      <c r="CL2340" s="3" t="s">
        <v>87</v>
      </c>
    </row>
    <row r="2341" spans="1:90" x14ac:dyDescent="0.2">
      <c r="A2341" s="3" t="s">
        <v>72</v>
      </c>
      <c r="B2341" s="3" t="s">
        <v>73</v>
      </c>
      <c r="C2341" s="3" t="s">
        <v>74</v>
      </c>
      <c r="E2341" s="3" t="str">
        <f>"FES1162846699"</f>
        <v>FES1162846699</v>
      </c>
      <c r="F2341" s="4">
        <v>44586</v>
      </c>
      <c r="G2341" s="3">
        <v>202207</v>
      </c>
      <c r="H2341" s="3" t="s">
        <v>75</v>
      </c>
      <c r="I2341" s="3" t="s">
        <v>76</v>
      </c>
      <c r="J2341" s="3" t="s">
        <v>77</v>
      </c>
      <c r="K2341" s="3" t="s">
        <v>78</v>
      </c>
      <c r="L2341" s="3" t="s">
        <v>138</v>
      </c>
      <c r="M2341" s="3" t="s">
        <v>139</v>
      </c>
      <c r="N2341" s="3" t="s">
        <v>140</v>
      </c>
      <c r="O2341" s="3" t="s">
        <v>82</v>
      </c>
      <c r="P2341" s="3" t="str">
        <f>"2170817970                    "</f>
        <v xml:space="preserve">2170817970                    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34.770000000000003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0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3">
        <v>0</v>
      </c>
      <c r="AY2341" s="3">
        <v>0</v>
      </c>
      <c r="AZ2341" s="3">
        <v>0</v>
      </c>
      <c r="BA2341" s="3">
        <v>0</v>
      </c>
      <c r="BB2341" s="3">
        <v>0</v>
      </c>
      <c r="BC2341" s="3">
        <v>0</v>
      </c>
      <c r="BD2341" s="3">
        <v>0</v>
      </c>
      <c r="BE2341" s="3">
        <v>0</v>
      </c>
      <c r="BF2341" s="3">
        <v>0</v>
      </c>
      <c r="BG2341" s="3">
        <v>0</v>
      </c>
      <c r="BH2341" s="3">
        <v>1</v>
      </c>
      <c r="BI2341" s="3">
        <v>3</v>
      </c>
      <c r="BJ2341" s="3">
        <v>4.0999999999999996</v>
      </c>
      <c r="BK2341" s="3">
        <v>4.5</v>
      </c>
      <c r="BL2341" s="3">
        <v>132.71</v>
      </c>
      <c r="BM2341" s="3">
        <v>19.91</v>
      </c>
      <c r="BN2341" s="3">
        <v>152.62</v>
      </c>
      <c r="BO2341" s="3">
        <v>152.62</v>
      </c>
      <c r="BQ2341" s="3" t="s">
        <v>126</v>
      </c>
      <c r="BR2341" s="3" t="s">
        <v>84</v>
      </c>
      <c r="BS2341" s="4">
        <v>44587</v>
      </c>
      <c r="BT2341" s="5">
        <v>0.33749999999999997</v>
      </c>
      <c r="BU2341" s="3" t="s">
        <v>819</v>
      </c>
      <c r="BV2341" s="3" t="s">
        <v>105</v>
      </c>
      <c r="BY2341" s="3">
        <v>20358</v>
      </c>
      <c r="BZ2341" s="3" t="s">
        <v>165</v>
      </c>
      <c r="CA2341" s="3" t="s">
        <v>334</v>
      </c>
      <c r="CC2341" s="3" t="s">
        <v>139</v>
      </c>
      <c r="CD2341" s="3">
        <v>3610</v>
      </c>
      <c r="CE2341" s="3" t="s">
        <v>86</v>
      </c>
      <c r="CF2341" s="4">
        <v>44588</v>
      </c>
      <c r="CI2341" s="3">
        <v>1</v>
      </c>
      <c r="CJ2341" s="3">
        <v>1</v>
      </c>
      <c r="CK2341" s="3">
        <v>21</v>
      </c>
      <c r="CL2341" s="3" t="s">
        <v>87</v>
      </c>
    </row>
    <row r="2342" spans="1:90" x14ac:dyDescent="0.2">
      <c r="A2342" s="3" t="s">
        <v>72</v>
      </c>
      <c r="B2342" s="3" t="s">
        <v>73</v>
      </c>
      <c r="C2342" s="3" t="s">
        <v>74</v>
      </c>
      <c r="E2342" s="3" t="str">
        <f>"FES1162846553"</f>
        <v>FES1162846553</v>
      </c>
      <c r="F2342" s="4">
        <v>44586</v>
      </c>
      <c r="G2342" s="3">
        <v>202207</v>
      </c>
      <c r="H2342" s="3" t="s">
        <v>75</v>
      </c>
      <c r="I2342" s="3" t="s">
        <v>76</v>
      </c>
      <c r="J2342" s="3" t="s">
        <v>77</v>
      </c>
      <c r="K2342" s="3" t="s">
        <v>78</v>
      </c>
      <c r="L2342" s="3" t="s">
        <v>79</v>
      </c>
      <c r="M2342" s="3" t="s">
        <v>80</v>
      </c>
      <c r="N2342" s="3" t="s">
        <v>81</v>
      </c>
      <c r="O2342" s="3" t="s">
        <v>82</v>
      </c>
      <c r="P2342" s="3" t="str">
        <f>"2170817932                    "</f>
        <v xml:space="preserve">2170817932                    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15.46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0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3">
        <v>0</v>
      </c>
      <c r="AY2342" s="3">
        <v>0</v>
      </c>
      <c r="AZ2342" s="3">
        <v>0</v>
      </c>
      <c r="BA2342" s="3">
        <v>0</v>
      </c>
      <c r="BB2342" s="3">
        <v>0</v>
      </c>
      <c r="BC2342" s="3">
        <v>0</v>
      </c>
      <c r="BD2342" s="3">
        <v>0</v>
      </c>
      <c r="BE2342" s="3">
        <v>0</v>
      </c>
      <c r="BF2342" s="3">
        <v>0</v>
      </c>
      <c r="BG2342" s="3">
        <v>0</v>
      </c>
      <c r="BH2342" s="3">
        <v>1</v>
      </c>
      <c r="BI2342" s="3">
        <v>1</v>
      </c>
      <c r="BJ2342" s="3">
        <v>0.2</v>
      </c>
      <c r="BK2342" s="3">
        <v>1</v>
      </c>
      <c r="BL2342" s="3">
        <v>59</v>
      </c>
      <c r="BM2342" s="3">
        <v>8.85</v>
      </c>
      <c r="BN2342" s="3">
        <v>67.849999999999994</v>
      </c>
      <c r="BO2342" s="3">
        <v>67.849999999999994</v>
      </c>
      <c r="BQ2342" s="3" t="s">
        <v>83</v>
      </c>
      <c r="BR2342" s="3" t="s">
        <v>84</v>
      </c>
      <c r="BS2342" s="4">
        <v>44587</v>
      </c>
      <c r="BT2342" s="5">
        <v>0.40972222222222227</v>
      </c>
      <c r="BU2342" s="3" t="s">
        <v>2225</v>
      </c>
      <c r="BV2342" s="3" t="s">
        <v>105</v>
      </c>
      <c r="BY2342" s="3">
        <v>1200</v>
      </c>
      <c r="BZ2342" s="3" t="s">
        <v>165</v>
      </c>
      <c r="CA2342" s="3" t="s">
        <v>366</v>
      </c>
      <c r="CC2342" s="3" t="s">
        <v>80</v>
      </c>
      <c r="CD2342" s="3">
        <v>200</v>
      </c>
      <c r="CE2342" s="3" t="s">
        <v>93</v>
      </c>
      <c r="CF2342" s="4">
        <v>44588</v>
      </c>
      <c r="CI2342" s="3">
        <v>1</v>
      </c>
      <c r="CJ2342" s="3">
        <v>1</v>
      </c>
      <c r="CK2342" s="3">
        <v>21</v>
      </c>
      <c r="CL2342" s="3" t="s">
        <v>87</v>
      </c>
    </row>
    <row r="2343" spans="1:90" x14ac:dyDescent="0.2">
      <c r="A2343" s="3" t="s">
        <v>72</v>
      </c>
      <c r="B2343" s="3" t="s">
        <v>73</v>
      </c>
      <c r="C2343" s="3" t="s">
        <v>74</v>
      </c>
      <c r="E2343" s="3" t="str">
        <f>"FES1162846665"</f>
        <v>FES1162846665</v>
      </c>
      <c r="F2343" s="4">
        <v>44586</v>
      </c>
      <c r="G2343" s="3">
        <v>202207</v>
      </c>
      <c r="H2343" s="3" t="s">
        <v>75</v>
      </c>
      <c r="I2343" s="3" t="s">
        <v>76</v>
      </c>
      <c r="J2343" s="3" t="s">
        <v>77</v>
      </c>
      <c r="K2343" s="3" t="s">
        <v>78</v>
      </c>
      <c r="L2343" s="3" t="s">
        <v>427</v>
      </c>
      <c r="M2343" s="3" t="s">
        <v>428</v>
      </c>
      <c r="N2343" s="3" t="s">
        <v>447</v>
      </c>
      <c r="O2343" s="3" t="s">
        <v>82</v>
      </c>
      <c r="P2343" s="3" t="str">
        <f>"2170818054                    "</f>
        <v xml:space="preserve">2170818054                    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63.76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0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3">
        <v>0</v>
      </c>
      <c r="AY2343" s="3">
        <v>0</v>
      </c>
      <c r="AZ2343" s="3">
        <v>0</v>
      </c>
      <c r="BA2343" s="3">
        <v>0</v>
      </c>
      <c r="BB2343" s="3">
        <v>0</v>
      </c>
      <c r="BC2343" s="3">
        <v>0</v>
      </c>
      <c r="BD2343" s="3">
        <v>0</v>
      </c>
      <c r="BE2343" s="3">
        <v>0</v>
      </c>
      <c r="BF2343" s="3">
        <v>0</v>
      </c>
      <c r="BG2343" s="3">
        <v>0</v>
      </c>
      <c r="BH2343" s="3">
        <v>1</v>
      </c>
      <c r="BI2343" s="3">
        <v>3</v>
      </c>
      <c r="BJ2343" s="3">
        <v>4.0999999999999996</v>
      </c>
      <c r="BK2343" s="3">
        <v>4.5</v>
      </c>
      <c r="BL2343" s="3">
        <v>243.37</v>
      </c>
      <c r="BM2343" s="3">
        <v>36.51</v>
      </c>
      <c r="BN2343" s="3">
        <v>279.88</v>
      </c>
      <c r="BO2343" s="3">
        <v>279.88</v>
      </c>
      <c r="BQ2343" s="3" t="s">
        <v>89</v>
      </c>
      <c r="BR2343" s="3" t="s">
        <v>84</v>
      </c>
      <c r="BS2343" s="4">
        <v>44587</v>
      </c>
      <c r="BT2343" s="5">
        <v>0.64027777777777783</v>
      </c>
      <c r="BU2343" s="3" t="s">
        <v>2135</v>
      </c>
      <c r="BV2343" s="3" t="s">
        <v>87</v>
      </c>
      <c r="BW2343" s="3" t="s">
        <v>457</v>
      </c>
      <c r="BX2343" s="3" t="s">
        <v>602</v>
      </c>
      <c r="BY2343" s="3">
        <v>20358</v>
      </c>
      <c r="BZ2343" s="3" t="s">
        <v>165</v>
      </c>
      <c r="CA2343" s="3" t="s">
        <v>2136</v>
      </c>
      <c r="CC2343" s="3" t="s">
        <v>428</v>
      </c>
      <c r="CD2343" s="3">
        <v>7130</v>
      </c>
      <c r="CE2343" s="3" t="s">
        <v>86</v>
      </c>
      <c r="CF2343" s="4">
        <v>44588</v>
      </c>
      <c r="CI2343" s="3">
        <v>1</v>
      </c>
      <c r="CJ2343" s="3">
        <v>1</v>
      </c>
      <c r="CK2343" s="3">
        <v>23</v>
      </c>
      <c r="CL2343" s="3" t="s">
        <v>87</v>
      </c>
    </row>
    <row r="2344" spans="1:90" x14ac:dyDescent="0.2">
      <c r="A2344" s="3" t="s">
        <v>72</v>
      </c>
      <c r="B2344" s="3" t="s">
        <v>73</v>
      </c>
      <c r="C2344" s="3" t="s">
        <v>74</v>
      </c>
      <c r="E2344" s="3" t="str">
        <f>"FES1162846675"</f>
        <v>FES1162846675</v>
      </c>
      <c r="F2344" s="4">
        <v>44586</v>
      </c>
      <c r="G2344" s="3">
        <v>202207</v>
      </c>
      <c r="H2344" s="3" t="s">
        <v>75</v>
      </c>
      <c r="I2344" s="3" t="s">
        <v>76</v>
      </c>
      <c r="J2344" s="3" t="s">
        <v>77</v>
      </c>
      <c r="K2344" s="3" t="s">
        <v>78</v>
      </c>
      <c r="L2344" s="3" t="s">
        <v>90</v>
      </c>
      <c r="M2344" s="3" t="s">
        <v>91</v>
      </c>
      <c r="N2344" s="3" t="s">
        <v>1550</v>
      </c>
      <c r="O2344" s="3" t="s">
        <v>82</v>
      </c>
      <c r="P2344" s="3" t="str">
        <f>"217818069                     "</f>
        <v xml:space="preserve">217818069                     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15.46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0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3">
        <v>0</v>
      </c>
      <c r="AY2344" s="3">
        <v>0</v>
      </c>
      <c r="AZ2344" s="3">
        <v>0</v>
      </c>
      <c r="BA2344" s="3">
        <v>0</v>
      </c>
      <c r="BB2344" s="3">
        <v>0</v>
      </c>
      <c r="BC2344" s="3">
        <v>0</v>
      </c>
      <c r="BD2344" s="3">
        <v>0</v>
      </c>
      <c r="BE2344" s="3">
        <v>0</v>
      </c>
      <c r="BF2344" s="3">
        <v>0</v>
      </c>
      <c r="BG2344" s="3">
        <v>0</v>
      </c>
      <c r="BH2344" s="3">
        <v>1</v>
      </c>
      <c r="BI2344" s="3">
        <v>1</v>
      </c>
      <c r="BJ2344" s="3">
        <v>0.2</v>
      </c>
      <c r="BK2344" s="3">
        <v>1</v>
      </c>
      <c r="BL2344" s="3">
        <v>59</v>
      </c>
      <c r="BM2344" s="3">
        <v>8.85</v>
      </c>
      <c r="BN2344" s="3">
        <v>67.849999999999994</v>
      </c>
      <c r="BO2344" s="3">
        <v>67.849999999999994</v>
      </c>
      <c r="BQ2344" s="3" t="s">
        <v>83</v>
      </c>
      <c r="BR2344" s="3" t="s">
        <v>84</v>
      </c>
      <c r="BS2344" s="4">
        <v>44587</v>
      </c>
      <c r="BT2344" s="5">
        <v>0.36388888888888887</v>
      </c>
      <c r="BU2344" s="3" t="s">
        <v>2368</v>
      </c>
      <c r="BV2344" s="3" t="s">
        <v>105</v>
      </c>
      <c r="BY2344" s="3">
        <v>1200</v>
      </c>
      <c r="BZ2344" s="3" t="s">
        <v>165</v>
      </c>
      <c r="CA2344" s="3" t="s">
        <v>566</v>
      </c>
      <c r="CC2344" s="3" t="s">
        <v>91</v>
      </c>
      <c r="CD2344" s="3">
        <v>7460</v>
      </c>
      <c r="CE2344" s="3" t="s">
        <v>93</v>
      </c>
      <c r="CF2344" s="4">
        <v>44588</v>
      </c>
      <c r="CI2344" s="3">
        <v>1</v>
      </c>
      <c r="CJ2344" s="3">
        <v>1</v>
      </c>
      <c r="CK2344" s="3">
        <v>21</v>
      </c>
      <c r="CL2344" s="3" t="s">
        <v>87</v>
      </c>
    </row>
    <row r="2345" spans="1:90" x14ac:dyDescent="0.2">
      <c r="A2345" s="3" t="s">
        <v>72</v>
      </c>
      <c r="B2345" s="3" t="s">
        <v>73</v>
      </c>
      <c r="C2345" s="3" t="s">
        <v>74</v>
      </c>
      <c r="E2345" s="3" t="str">
        <f>"FES1162846701"</f>
        <v>FES1162846701</v>
      </c>
      <c r="F2345" s="4">
        <v>44586</v>
      </c>
      <c r="G2345" s="3">
        <v>202207</v>
      </c>
      <c r="H2345" s="3" t="s">
        <v>75</v>
      </c>
      <c r="I2345" s="3" t="s">
        <v>76</v>
      </c>
      <c r="J2345" s="3" t="s">
        <v>77</v>
      </c>
      <c r="K2345" s="3" t="s">
        <v>78</v>
      </c>
      <c r="L2345" s="3" t="s">
        <v>162</v>
      </c>
      <c r="M2345" s="3" t="s">
        <v>163</v>
      </c>
      <c r="N2345" s="3" t="s">
        <v>1433</v>
      </c>
      <c r="O2345" s="3" t="s">
        <v>82</v>
      </c>
      <c r="P2345" s="3" t="str">
        <f>"2170818078                    "</f>
        <v xml:space="preserve">2170818078                    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12.07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0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3">
        <v>0</v>
      </c>
      <c r="AY2345" s="3">
        <v>0</v>
      </c>
      <c r="AZ2345" s="3">
        <v>0</v>
      </c>
      <c r="BA2345" s="3">
        <v>0</v>
      </c>
      <c r="BB2345" s="3">
        <v>0</v>
      </c>
      <c r="BC2345" s="3">
        <v>0</v>
      </c>
      <c r="BD2345" s="3">
        <v>0</v>
      </c>
      <c r="BE2345" s="3">
        <v>0</v>
      </c>
      <c r="BF2345" s="3">
        <v>0</v>
      </c>
      <c r="BG2345" s="3">
        <v>0</v>
      </c>
      <c r="BH2345" s="3">
        <v>1</v>
      </c>
      <c r="BI2345" s="3">
        <v>1</v>
      </c>
      <c r="BJ2345" s="3">
        <v>0.2</v>
      </c>
      <c r="BK2345" s="3">
        <v>1</v>
      </c>
      <c r="BL2345" s="3">
        <v>46.08</v>
      </c>
      <c r="BM2345" s="3">
        <v>6.91</v>
      </c>
      <c r="BN2345" s="3">
        <v>52.99</v>
      </c>
      <c r="BO2345" s="3">
        <v>52.99</v>
      </c>
      <c r="BQ2345" s="3" t="s">
        <v>83</v>
      </c>
      <c r="BR2345" s="3" t="s">
        <v>84</v>
      </c>
      <c r="BS2345" s="4">
        <v>44587</v>
      </c>
      <c r="BT2345" s="5">
        <v>0.33402777777777781</v>
      </c>
      <c r="BU2345" s="3" t="s">
        <v>2369</v>
      </c>
      <c r="BV2345" s="3" t="s">
        <v>105</v>
      </c>
      <c r="BY2345" s="3">
        <v>1200</v>
      </c>
      <c r="BZ2345" s="3" t="s">
        <v>165</v>
      </c>
      <c r="CA2345" s="3" t="s">
        <v>293</v>
      </c>
      <c r="CC2345" s="3" t="s">
        <v>163</v>
      </c>
      <c r="CD2345" s="3">
        <v>1422</v>
      </c>
      <c r="CE2345" s="3" t="s">
        <v>86</v>
      </c>
      <c r="CF2345" s="4">
        <v>44587</v>
      </c>
      <c r="CI2345" s="3">
        <v>1</v>
      </c>
      <c r="CJ2345" s="3">
        <v>1</v>
      </c>
      <c r="CK2345" s="3">
        <v>22</v>
      </c>
      <c r="CL2345" s="3" t="s">
        <v>87</v>
      </c>
    </row>
    <row r="2346" spans="1:90" x14ac:dyDescent="0.2">
      <c r="A2346" s="3" t="s">
        <v>72</v>
      </c>
      <c r="B2346" s="3" t="s">
        <v>73</v>
      </c>
      <c r="C2346" s="3" t="s">
        <v>74</v>
      </c>
      <c r="E2346" s="3" t="str">
        <f>"FES1162847023"</f>
        <v>FES1162847023</v>
      </c>
      <c r="F2346" s="4">
        <v>44587</v>
      </c>
      <c r="G2346" s="3">
        <v>202207</v>
      </c>
      <c r="H2346" s="3" t="s">
        <v>75</v>
      </c>
      <c r="I2346" s="3" t="s">
        <v>76</v>
      </c>
      <c r="J2346" s="3" t="s">
        <v>77</v>
      </c>
      <c r="K2346" s="3" t="s">
        <v>78</v>
      </c>
      <c r="L2346" s="3" t="s">
        <v>90</v>
      </c>
      <c r="M2346" s="3" t="s">
        <v>91</v>
      </c>
      <c r="N2346" s="3" t="s">
        <v>541</v>
      </c>
      <c r="O2346" s="3" t="s">
        <v>82</v>
      </c>
      <c r="P2346" s="3" t="str">
        <f>"2170818313                    "</f>
        <v xml:space="preserve">2170818313                    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15.46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0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3">
        <v>0</v>
      </c>
      <c r="AY2346" s="3">
        <v>0</v>
      </c>
      <c r="AZ2346" s="3">
        <v>0</v>
      </c>
      <c r="BA2346" s="3">
        <v>0</v>
      </c>
      <c r="BB2346" s="3">
        <v>0</v>
      </c>
      <c r="BC2346" s="3">
        <v>0</v>
      </c>
      <c r="BD2346" s="3">
        <v>0</v>
      </c>
      <c r="BE2346" s="3">
        <v>0</v>
      </c>
      <c r="BF2346" s="3">
        <v>0</v>
      </c>
      <c r="BG2346" s="3">
        <v>0</v>
      </c>
      <c r="BH2346" s="3">
        <v>1</v>
      </c>
      <c r="BI2346" s="3">
        <v>1</v>
      </c>
      <c r="BJ2346" s="3">
        <v>0.2</v>
      </c>
      <c r="BK2346" s="3">
        <v>1</v>
      </c>
      <c r="BL2346" s="3">
        <v>59</v>
      </c>
      <c r="BM2346" s="3">
        <v>8.85</v>
      </c>
      <c r="BN2346" s="3">
        <v>67.849999999999994</v>
      </c>
      <c r="BO2346" s="3">
        <v>67.849999999999994</v>
      </c>
      <c r="BQ2346" s="3" t="s">
        <v>89</v>
      </c>
      <c r="BR2346" s="3" t="s">
        <v>84</v>
      </c>
      <c r="BS2346" s="4">
        <v>44588</v>
      </c>
      <c r="BT2346" s="5">
        <v>0.41180555555555554</v>
      </c>
      <c r="BU2346" s="3" t="s">
        <v>1904</v>
      </c>
      <c r="BV2346" s="3" t="s">
        <v>105</v>
      </c>
      <c r="BY2346" s="3">
        <v>1200</v>
      </c>
      <c r="BZ2346" s="3" t="s">
        <v>165</v>
      </c>
      <c r="CA2346" s="3" t="s">
        <v>543</v>
      </c>
      <c r="CC2346" s="3" t="s">
        <v>91</v>
      </c>
      <c r="CD2346" s="3">
        <v>7561</v>
      </c>
      <c r="CE2346" s="3" t="s">
        <v>1513</v>
      </c>
      <c r="CF2346" s="4">
        <v>44589</v>
      </c>
      <c r="CI2346" s="3">
        <v>1</v>
      </c>
      <c r="CJ2346" s="3">
        <v>1</v>
      </c>
      <c r="CK2346" s="3">
        <v>21</v>
      </c>
      <c r="CL2346" s="3" t="s">
        <v>87</v>
      </c>
    </row>
    <row r="2347" spans="1:90" x14ac:dyDescent="0.2">
      <c r="A2347" s="3" t="s">
        <v>72</v>
      </c>
      <c r="B2347" s="3" t="s">
        <v>73</v>
      </c>
      <c r="C2347" s="3" t="s">
        <v>74</v>
      </c>
      <c r="E2347" s="3" t="str">
        <f>"FES1162846995"</f>
        <v>FES1162846995</v>
      </c>
      <c r="F2347" s="4">
        <v>44587</v>
      </c>
      <c r="G2347" s="3">
        <v>202207</v>
      </c>
      <c r="H2347" s="3" t="s">
        <v>75</v>
      </c>
      <c r="I2347" s="3" t="s">
        <v>76</v>
      </c>
      <c r="J2347" s="3" t="s">
        <v>77</v>
      </c>
      <c r="K2347" s="3" t="s">
        <v>78</v>
      </c>
      <c r="L2347" s="3" t="s">
        <v>75</v>
      </c>
      <c r="M2347" s="3" t="s">
        <v>76</v>
      </c>
      <c r="N2347" s="3" t="s">
        <v>560</v>
      </c>
      <c r="O2347" s="3" t="s">
        <v>82</v>
      </c>
      <c r="P2347" s="3" t="str">
        <f>"2170818202                    "</f>
        <v xml:space="preserve">2170818202                    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12.07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0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3">
        <v>0</v>
      </c>
      <c r="AY2347" s="3">
        <v>0</v>
      </c>
      <c r="AZ2347" s="3">
        <v>0</v>
      </c>
      <c r="BA2347" s="3">
        <v>0</v>
      </c>
      <c r="BB2347" s="3">
        <v>0</v>
      </c>
      <c r="BC2347" s="3">
        <v>0</v>
      </c>
      <c r="BD2347" s="3">
        <v>0</v>
      </c>
      <c r="BE2347" s="3">
        <v>0</v>
      </c>
      <c r="BF2347" s="3">
        <v>0</v>
      </c>
      <c r="BG2347" s="3">
        <v>0</v>
      </c>
      <c r="BH2347" s="3">
        <v>1</v>
      </c>
      <c r="BI2347" s="3">
        <v>1</v>
      </c>
      <c r="BJ2347" s="3">
        <v>0.2</v>
      </c>
      <c r="BK2347" s="3">
        <v>1</v>
      </c>
      <c r="BL2347" s="3">
        <v>46.08</v>
      </c>
      <c r="BM2347" s="3">
        <v>6.91</v>
      </c>
      <c r="BN2347" s="3">
        <v>52.99</v>
      </c>
      <c r="BO2347" s="3">
        <v>52.99</v>
      </c>
      <c r="BQ2347" s="3" t="s">
        <v>83</v>
      </c>
      <c r="BR2347" s="3" t="s">
        <v>84</v>
      </c>
      <c r="BS2347" s="4">
        <v>44588</v>
      </c>
      <c r="BT2347" s="5">
        <v>0.34791666666666665</v>
      </c>
      <c r="BU2347" s="3" t="s">
        <v>1123</v>
      </c>
      <c r="BV2347" s="3" t="s">
        <v>105</v>
      </c>
      <c r="BY2347" s="3">
        <v>1200</v>
      </c>
      <c r="BZ2347" s="3" t="s">
        <v>165</v>
      </c>
      <c r="CA2347" s="3" t="s">
        <v>378</v>
      </c>
      <c r="CC2347" s="3" t="s">
        <v>76</v>
      </c>
      <c r="CD2347" s="3">
        <v>1601</v>
      </c>
      <c r="CE2347" s="3" t="s">
        <v>93</v>
      </c>
      <c r="CF2347" s="4">
        <v>44588</v>
      </c>
      <c r="CI2347" s="3">
        <v>1</v>
      </c>
      <c r="CJ2347" s="3">
        <v>1</v>
      </c>
      <c r="CK2347" s="3">
        <v>22</v>
      </c>
      <c r="CL2347" s="3" t="s">
        <v>87</v>
      </c>
    </row>
    <row r="2348" spans="1:90" x14ac:dyDescent="0.2">
      <c r="A2348" s="3" t="s">
        <v>72</v>
      </c>
      <c r="B2348" s="3" t="s">
        <v>73</v>
      </c>
      <c r="C2348" s="3" t="s">
        <v>74</v>
      </c>
      <c r="E2348" s="3" t="str">
        <f>"FES1162847020"</f>
        <v>FES1162847020</v>
      </c>
      <c r="F2348" s="4">
        <v>44587</v>
      </c>
      <c r="G2348" s="3">
        <v>202207</v>
      </c>
      <c r="H2348" s="3" t="s">
        <v>75</v>
      </c>
      <c r="I2348" s="3" t="s">
        <v>76</v>
      </c>
      <c r="J2348" s="3" t="s">
        <v>77</v>
      </c>
      <c r="K2348" s="3" t="s">
        <v>78</v>
      </c>
      <c r="L2348" s="3" t="s">
        <v>187</v>
      </c>
      <c r="M2348" s="3" t="s">
        <v>188</v>
      </c>
      <c r="N2348" s="3" t="s">
        <v>189</v>
      </c>
      <c r="O2348" s="3" t="s">
        <v>82</v>
      </c>
      <c r="P2348" s="3" t="str">
        <f>"2170818309                    "</f>
        <v xml:space="preserve">2170818309                    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29.95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0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3">
        <v>0</v>
      </c>
      <c r="AY2348" s="3">
        <v>0</v>
      </c>
      <c r="AZ2348" s="3">
        <v>0</v>
      </c>
      <c r="BA2348" s="3">
        <v>0</v>
      </c>
      <c r="BB2348" s="3">
        <v>0</v>
      </c>
      <c r="BC2348" s="3">
        <v>0</v>
      </c>
      <c r="BD2348" s="3">
        <v>0</v>
      </c>
      <c r="BE2348" s="3">
        <v>0</v>
      </c>
      <c r="BF2348" s="3">
        <v>0</v>
      </c>
      <c r="BG2348" s="3">
        <v>0</v>
      </c>
      <c r="BH2348" s="3">
        <v>1</v>
      </c>
      <c r="BI2348" s="3">
        <v>1</v>
      </c>
      <c r="BJ2348" s="3">
        <v>0.2</v>
      </c>
      <c r="BK2348" s="3">
        <v>1</v>
      </c>
      <c r="BL2348" s="3">
        <v>114.31</v>
      </c>
      <c r="BM2348" s="3">
        <v>17.149999999999999</v>
      </c>
      <c r="BN2348" s="3">
        <v>131.46</v>
      </c>
      <c r="BO2348" s="3">
        <v>131.46</v>
      </c>
      <c r="BQ2348" s="3" t="s">
        <v>83</v>
      </c>
      <c r="BR2348" s="3" t="s">
        <v>84</v>
      </c>
      <c r="BS2348" s="4">
        <v>44588</v>
      </c>
      <c r="BT2348" s="5">
        <v>0.57013888888888886</v>
      </c>
      <c r="BU2348" s="3" t="s">
        <v>267</v>
      </c>
      <c r="BV2348" s="3" t="s">
        <v>87</v>
      </c>
      <c r="BW2348" s="3" t="s">
        <v>353</v>
      </c>
      <c r="BX2348" s="3" t="s">
        <v>354</v>
      </c>
      <c r="BY2348" s="3">
        <v>1200</v>
      </c>
      <c r="BZ2348" s="3" t="s">
        <v>165</v>
      </c>
      <c r="CA2348" s="3" t="s">
        <v>268</v>
      </c>
      <c r="CC2348" s="3" t="s">
        <v>188</v>
      </c>
      <c r="CD2348" s="3">
        <v>7300</v>
      </c>
      <c r="CE2348" s="3" t="s">
        <v>1513</v>
      </c>
      <c r="CF2348" s="4">
        <v>44589</v>
      </c>
      <c r="CI2348" s="3">
        <v>1</v>
      </c>
      <c r="CJ2348" s="3">
        <v>1</v>
      </c>
      <c r="CK2348" s="3">
        <v>23</v>
      </c>
      <c r="CL2348" s="3" t="s">
        <v>87</v>
      </c>
    </row>
    <row r="2349" spans="1:90" x14ac:dyDescent="0.2">
      <c r="A2349" s="3" t="s">
        <v>72</v>
      </c>
      <c r="B2349" s="3" t="s">
        <v>73</v>
      </c>
      <c r="C2349" s="3" t="s">
        <v>74</v>
      </c>
      <c r="E2349" s="3" t="str">
        <f>"FES1162847076"</f>
        <v>FES1162847076</v>
      </c>
      <c r="F2349" s="4">
        <v>44587</v>
      </c>
      <c r="G2349" s="3">
        <v>202207</v>
      </c>
      <c r="H2349" s="3" t="s">
        <v>75</v>
      </c>
      <c r="I2349" s="3" t="s">
        <v>76</v>
      </c>
      <c r="J2349" s="3" t="s">
        <v>77</v>
      </c>
      <c r="K2349" s="3" t="s">
        <v>78</v>
      </c>
      <c r="L2349" s="3" t="s">
        <v>90</v>
      </c>
      <c r="M2349" s="3" t="s">
        <v>91</v>
      </c>
      <c r="N2349" s="3" t="s">
        <v>2305</v>
      </c>
      <c r="O2349" s="3" t="s">
        <v>82</v>
      </c>
      <c r="P2349" s="3" t="str">
        <f>"2170818370                    "</f>
        <v xml:space="preserve">2170818370                    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15.46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0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3">
        <v>0</v>
      </c>
      <c r="AY2349" s="3">
        <v>0</v>
      </c>
      <c r="AZ2349" s="3">
        <v>0</v>
      </c>
      <c r="BA2349" s="3">
        <v>0</v>
      </c>
      <c r="BB2349" s="3">
        <v>0</v>
      </c>
      <c r="BC2349" s="3">
        <v>0</v>
      </c>
      <c r="BD2349" s="3">
        <v>0</v>
      </c>
      <c r="BE2349" s="3">
        <v>0</v>
      </c>
      <c r="BF2349" s="3">
        <v>0</v>
      </c>
      <c r="BG2349" s="3">
        <v>0</v>
      </c>
      <c r="BH2349" s="3">
        <v>1</v>
      </c>
      <c r="BI2349" s="3">
        <v>1</v>
      </c>
      <c r="BJ2349" s="3">
        <v>0.2</v>
      </c>
      <c r="BK2349" s="3">
        <v>1</v>
      </c>
      <c r="BL2349" s="3">
        <v>59</v>
      </c>
      <c r="BM2349" s="3">
        <v>8.85</v>
      </c>
      <c r="BN2349" s="3">
        <v>67.849999999999994</v>
      </c>
      <c r="BO2349" s="3">
        <v>67.849999999999994</v>
      </c>
      <c r="BR2349" s="3" t="s">
        <v>84</v>
      </c>
      <c r="BS2349" s="4">
        <v>44588</v>
      </c>
      <c r="BT2349" s="5">
        <v>0.49791666666666662</v>
      </c>
      <c r="BU2349" s="3" t="s">
        <v>2370</v>
      </c>
      <c r="BV2349" s="3" t="s">
        <v>87</v>
      </c>
      <c r="BW2349" s="3" t="s">
        <v>353</v>
      </c>
      <c r="BX2349" s="3" t="s">
        <v>354</v>
      </c>
      <c r="BY2349" s="3">
        <v>1200</v>
      </c>
      <c r="BZ2349" s="3" t="s">
        <v>165</v>
      </c>
      <c r="CA2349" s="3" t="s">
        <v>2371</v>
      </c>
      <c r="CC2349" s="3" t="s">
        <v>91</v>
      </c>
      <c r="CD2349" s="3">
        <v>7535</v>
      </c>
      <c r="CE2349" s="3" t="s">
        <v>1513</v>
      </c>
      <c r="CF2349" s="4">
        <v>44589</v>
      </c>
      <c r="CI2349" s="3">
        <v>1</v>
      </c>
      <c r="CJ2349" s="3">
        <v>1</v>
      </c>
      <c r="CK2349" s="3">
        <v>21</v>
      </c>
      <c r="CL2349" s="3" t="s">
        <v>87</v>
      </c>
    </row>
    <row r="2350" spans="1:90" x14ac:dyDescent="0.2">
      <c r="A2350" s="3" t="s">
        <v>72</v>
      </c>
      <c r="B2350" s="3" t="s">
        <v>73</v>
      </c>
      <c r="C2350" s="3" t="s">
        <v>74</v>
      </c>
      <c r="E2350" s="3" t="str">
        <f>"FES1162847018"</f>
        <v>FES1162847018</v>
      </c>
      <c r="F2350" s="4">
        <v>44587</v>
      </c>
      <c r="G2350" s="3">
        <v>202207</v>
      </c>
      <c r="H2350" s="3" t="s">
        <v>75</v>
      </c>
      <c r="I2350" s="3" t="s">
        <v>76</v>
      </c>
      <c r="J2350" s="3" t="s">
        <v>77</v>
      </c>
      <c r="K2350" s="3" t="s">
        <v>78</v>
      </c>
      <c r="L2350" s="3" t="s">
        <v>1491</v>
      </c>
      <c r="M2350" s="3" t="s">
        <v>1492</v>
      </c>
      <c r="N2350" s="3" t="s">
        <v>1493</v>
      </c>
      <c r="O2350" s="3" t="s">
        <v>82</v>
      </c>
      <c r="P2350" s="3" t="str">
        <f>"2170818307                    "</f>
        <v xml:space="preserve">2170818307                    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30.91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0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3">
        <v>0</v>
      </c>
      <c r="AY2350" s="3">
        <v>0</v>
      </c>
      <c r="AZ2350" s="3">
        <v>0</v>
      </c>
      <c r="BA2350" s="3">
        <v>0</v>
      </c>
      <c r="BB2350" s="3">
        <v>0</v>
      </c>
      <c r="BC2350" s="3">
        <v>0</v>
      </c>
      <c r="BD2350" s="3">
        <v>0</v>
      </c>
      <c r="BE2350" s="3">
        <v>0</v>
      </c>
      <c r="BF2350" s="3">
        <v>0</v>
      </c>
      <c r="BG2350" s="3">
        <v>0</v>
      </c>
      <c r="BH2350" s="3">
        <v>1</v>
      </c>
      <c r="BI2350" s="3">
        <v>4</v>
      </c>
      <c r="BJ2350" s="3">
        <v>1.1000000000000001</v>
      </c>
      <c r="BK2350" s="3">
        <v>4</v>
      </c>
      <c r="BL2350" s="3">
        <v>117.97</v>
      </c>
      <c r="BM2350" s="3">
        <v>17.7</v>
      </c>
      <c r="BN2350" s="3">
        <v>135.66999999999999</v>
      </c>
      <c r="BO2350" s="3">
        <v>135.66999999999999</v>
      </c>
      <c r="BQ2350" s="3" t="s">
        <v>1494</v>
      </c>
      <c r="BR2350" s="3" t="s">
        <v>84</v>
      </c>
      <c r="BS2350" s="4">
        <v>44588</v>
      </c>
      <c r="BT2350" s="5">
        <v>0.38194444444444442</v>
      </c>
      <c r="BU2350" s="3" t="s">
        <v>1974</v>
      </c>
      <c r="BV2350" s="3" t="s">
        <v>105</v>
      </c>
      <c r="BY2350" s="3">
        <v>5320</v>
      </c>
      <c r="BZ2350" s="3" t="s">
        <v>165</v>
      </c>
      <c r="CA2350" s="3" t="s">
        <v>1496</v>
      </c>
      <c r="CC2350" s="3" t="s">
        <v>1492</v>
      </c>
      <c r="CD2350" s="3">
        <v>4120</v>
      </c>
      <c r="CE2350" s="3" t="s">
        <v>221</v>
      </c>
      <c r="CF2350" s="4">
        <v>44589</v>
      </c>
      <c r="CI2350" s="3">
        <v>1</v>
      </c>
      <c r="CJ2350" s="3">
        <v>1</v>
      </c>
      <c r="CK2350" s="3">
        <v>21</v>
      </c>
      <c r="CL2350" s="3" t="s">
        <v>87</v>
      </c>
    </row>
    <row r="2351" spans="1:90" x14ac:dyDescent="0.2">
      <c r="A2351" s="3" t="s">
        <v>72</v>
      </c>
      <c r="B2351" s="3" t="s">
        <v>73</v>
      </c>
      <c r="C2351" s="3" t="s">
        <v>74</v>
      </c>
      <c r="E2351" s="3" t="str">
        <f>"FES1162846970"</f>
        <v>FES1162846970</v>
      </c>
      <c r="F2351" s="4">
        <v>44587</v>
      </c>
      <c r="G2351" s="3">
        <v>202207</v>
      </c>
      <c r="H2351" s="3" t="s">
        <v>75</v>
      </c>
      <c r="I2351" s="3" t="s">
        <v>76</v>
      </c>
      <c r="J2351" s="3" t="s">
        <v>77</v>
      </c>
      <c r="K2351" s="3" t="s">
        <v>78</v>
      </c>
      <c r="L2351" s="3" t="s">
        <v>171</v>
      </c>
      <c r="M2351" s="3" t="s">
        <v>172</v>
      </c>
      <c r="N2351" s="3" t="s">
        <v>200</v>
      </c>
      <c r="O2351" s="3" t="s">
        <v>82</v>
      </c>
      <c r="P2351" s="3" t="str">
        <f>"2170818270                    "</f>
        <v xml:space="preserve">2170818270                    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30.91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0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3">
        <v>0</v>
      </c>
      <c r="AY2351" s="3">
        <v>0</v>
      </c>
      <c r="AZ2351" s="3">
        <v>0</v>
      </c>
      <c r="BA2351" s="3">
        <v>0</v>
      </c>
      <c r="BB2351" s="3">
        <v>0</v>
      </c>
      <c r="BC2351" s="3">
        <v>0</v>
      </c>
      <c r="BD2351" s="3">
        <v>0</v>
      </c>
      <c r="BE2351" s="3">
        <v>0</v>
      </c>
      <c r="BF2351" s="3">
        <v>0</v>
      </c>
      <c r="BG2351" s="3">
        <v>0</v>
      </c>
      <c r="BH2351" s="3">
        <v>1</v>
      </c>
      <c r="BI2351" s="3">
        <v>2</v>
      </c>
      <c r="BJ2351" s="3">
        <v>3.7</v>
      </c>
      <c r="BK2351" s="3">
        <v>4</v>
      </c>
      <c r="BL2351" s="3">
        <v>117.97</v>
      </c>
      <c r="BM2351" s="3">
        <v>17.7</v>
      </c>
      <c r="BN2351" s="3">
        <v>135.66999999999999</v>
      </c>
      <c r="BO2351" s="3">
        <v>135.66999999999999</v>
      </c>
      <c r="BQ2351" s="3" t="s">
        <v>89</v>
      </c>
      <c r="BR2351" s="3" t="s">
        <v>84</v>
      </c>
      <c r="BS2351" s="4">
        <v>44588</v>
      </c>
      <c r="BT2351" s="5">
        <v>0.36736111111111108</v>
      </c>
      <c r="BU2351" s="3" t="s">
        <v>908</v>
      </c>
      <c r="BV2351" s="3" t="s">
        <v>105</v>
      </c>
      <c r="BY2351" s="3">
        <v>18502</v>
      </c>
      <c r="BZ2351" s="3" t="s">
        <v>165</v>
      </c>
      <c r="CA2351" s="3" t="s">
        <v>814</v>
      </c>
      <c r="CC2351" s="3" t="s">
        <v>172</v>
      </c>
      <c r="CD2351" s="3">
        <v>6001</v>
      </c>
      <c r="CE2351" s="3" t="s">
        <v>221</v>
      </c>
      <c r="CF2351" s="4">
        <v>44588</v>
      </c>
      <c r="CI2351" s="3">
        <v>1</v>
      </c>
      <c r="CJ2351" s="3">
        <v>1</v>
      </c>
      <c r="CK2351" s="3">
        <v>21</v>
      </c>
      <c r="CL2351" s="3" t="s">
        <v>87</v>
      </c>
    </row>
    <row r="2352" spans="1:90" x14ac:dyDescent="0.2">
      <c r="A2352" s="3" t="s">
        <v>72</v>
      </c>
      <c r="B2352" s="3" t="s">
        <v>73</v>
      </c>
      <c r="C2352" s="3" t="s">
        <v>74</v>
      </c>
      <c r="E2352" s="3" t="str">
        <f>"FES1162846974"</f>
        <v>FES1162846974</v>
      </c>
      <c r="F2352" s="4">
        <v>44587</v>
      </c>
      <c r="G2352" s="3">
        <v>202207</v>
      </c>
      <c r="H2352" s="3" t="s">
        <v>75</v>
      </c>
      <c r="I2352" s="3" t="s">
        <v>76</v>
      </c>
      <c r="J2352" s="3" t="s">
        <v>77</v>
      </c>
      <c r="K2352" s="3" t="s">
        <v>78</v>
      </c>
      <c r="L2352" s="3" t="s">
        <v>90</v>
      </c>
      <c r="M2352" s="3" t="s">
        <v>91</v>
      </c>
      <c r="N2352" s="3" t="s">
        <v>516</v>
      </c>
      <c r="O2352" s="3" t="s">
        <v>82</v>
      </c>
      <c r="P2352" s="3" t="str">
        <f>"2170810967                    "</f>
        <v xml:space="preserve">2170810967                    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15.46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0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3">
        <v>0</v>
      </c>
      <c r="AY2352" s="3">
        <v>0</v>
      </c>
      <c r="AZ2352" s="3">
        <v>0</v>
      </c>
      <c r="BA2352" s="3">
        <v>0</v>
      </c>
      <c r="BB2352" s="3">
        <v>0</v>
      </c>
      <c r="BC2352" s="3">
        <v>0</v>
      </c>
      <c r="BD2352" s="3">
        <v>0</v>
      </c>
      <c r="BE2352" s="3">
        <v>0</v>
      </c>
      <c r="BF2352" s="3">
        <v>0</v>
      </c>
      <c r="BG2352" s="3">
        <v>0</v>
      </c>
      <c r="BH2352" s="3">
        <v>1</v>
      </c>
      <c r="BI2352" s="3">
        <v>2</v>
      </c>
      <c r="BJ2352" s="3">
        <v>2</v>
      </c>
      <c r="BK2352" s="3">
        <v>2</v>
      </c>
      <c r="BL2352" s="3">
        <v>59</v>
      </c>
      <c r="BM2352" s="3">
        <v>8.85</v>
      </c>
      <c r="BN2352" s="3">
        <v>67.849999999999994</v>
      </c>
      <c r="BO2352" s="3">
        <v>67.849999999999994</v>
      </c>
      <c r="BR2352" s="3" t="s">
        <v>84</v>
      </c>
      <c r="BS2352" s="4">
        <v>44588</v>
      </c>
      <c r="BT2352" s="5">
        <v>0.34513888888888888</v>
      </c>
      <c r="BU2352" s="3" t="s">
        <v>2362</v>
      </c>
      <c r="BV2352" s="3" t="s">
        <v>105</v>
      </c>
      <c r="BY2352" s="3">
        <v>9900</v>
      </c>
      <c r="BZ2352" s="3" t="s">
        <v>165</v>
      </c>
      <c r="CA2352" s="3" t="s">
        <v>603</v>
      </c>
      <c r="CC2352" s="3" t="s">
        <v>91</v>
      </c>
      <c r="CD2352" s="3">
        <v>7945</v>
      </c>
      <c r="CE2352" s="3" t="s">
        <v>221</v>
      </c>
      <c r="CF2352" s="4">
        <v>44589</v>
      </c>
      <c r="CI2352" s="3">
        <v>1</v>
      </c>
      <c r="CJ2352" s="3">
        <v>1</v>
      </c>
      <c r="CK2352" s="3">
        <v>21</v>
      </c>
      <c r="CL2352" s="3" t="s">
        <v>87</v>
      </c>
    </row>
    <row r="2353" spans="1:90" x14ac:dyDescent="0.2">
      <c r="A2353" s="3" t="s">
        <v>72</v>
      </c>
      <c r="B2353" s="3" t="s">
        <v>73</v>
      </c>
      <c r="C2353" s="3" t="s">
        <v>74</v>
      </c>
      <c r="E2353" s="3" t="str">
        <f>"FES1162847145"</f>
        <v>FES1162847145</v>
      </c>
      <c r="F2353" s="4">
        <v>44587</v>
      </c>
      <c r="G2353" s="3">
        <v>202207</v>
      </c>
      <c r="H2353" s="3" t="s">
        <v>75</v>
      </c>
      <c r="I2353" s="3" t="s">
        <v>76</v>
      </c>
      <c r="J2353" s="3" t="s">
        <v>77</v>
      </c>
      <c r="K2353" s="3" t="s">
        <v>78</v>
      </c>
      <c r="L2353" s="3" t="s">
        <v>195</v>
      </c>
      <c r="M2353" s="3" t="s">
        <v>196</v>
      </c>
      <c r="N2353" s="3" t="s">
        <v>197</v>
      </c>
      <c r="O2353" s="3" t="s">
        <v>82</v>
      </c>
      <c r="P2353" s="3" t="str">
        <f>"2170812326                    "</f>
        <v xml:space="preserve">2170812326                    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15.46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Q2353" s="3">
        <v>0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3">
        <v>0</v>
      </c>
      <c r="AY2353" s="3">
        <v>0</v>
      </c>
      <c r="AZ2353" s="3">
        <v>0</v>
      </c>
      <c r="BA2353" s="3">
        <v>0</v>
      </c>
      <c r="BB2353" s="3">
        <v>0</v>
      </c>
      <c r="BC2353" s="3">
        <v>0</v>
      </c>
      <c r="BD2353" s="3">
        <v>0</v>
      </c>
      <c r="BE2353" s="3">
        <v>0</v>
      </c>
      <c r="BF2353" s="3">
        <v>0</v>
      </c>
      <c r="BG2353" s="3">
        <v>0</v>
      </c>
      <c r="BH2353" s="3">
        <v>1</v>
      </c>
      <c r="BI2353" s="3">
        <v>1</v>
      </c>
      <c r="BJ2353" s="3">
        <v>0.2</v>
      </c>
      <c r="BK2353" s="3">
        <v>1</v>
      </c>
      <c r="BL2353" s="3">
        <v>59</v>
      </c>
      <c r="BM2353" s="3">
        <v>8.85</v>
      </c>
      <c r="BN2353" s="3">
        <v>67.849999999999994</v>
      </c>
      <c r="BO2353" s="3">
        <v>67.849999999999994</v>
      </c>
      <c r="BQ2353" s="3" t="s">
        <v>89</v>
      </c>
      <c r="BR2353" s="3" t="s">
        <v>84</v>
      </c>
      <c r="BS2353" s="4">
        <v>44588</v>
      </c>
      <c r="BT2353" s="5">
        <v>0.33888888888888885</v>
      </c>
      <c r="BU2353" s="3" t="s">
        <v>2372</v>
      </c>
      <c r="BV2353" s="3" t="s">
        <v>105</v>
      </c>
      <c r="BY2353" s="3">
        <v>1200</v>
      </c>
      <c r="BZ2353" s="3" t="s">
        <v>165</v>
      </c>
      <c r="CA2353" s="3" t="s">
        <v>1442</v>
      </c>
      <c r="CC2353" s="3" t="s">
        <v>196</v>
      </c>
      <c r="CD2353" s="3">
        <v>4302</v>
      </c>
      <c r="CE2353" s="3" t="s">
        <v>93</v>
      </c>
      <c r="CF2353" s="4">
        <v>44589</v>
      </c>
      <c r="CI2353" s="3">
        <v>1</v>
      </c>
      <c r="CJ2353" s="3">
        <v>1</v>
      </c>
      <c r="CK2353" s="3">
        <v>21</v>
      </c>
      <c r="CL2353" s="3" t="s">
        <v>87</v>
      </c>
    </row>
    <row r="2354" spans="1:90" x14ac:dyDescent="0.2">
      <c r="A2354" s="3" t="s">
        <v>72</v>
      </c>
      <c r="B2354" s="3" t="s">
        <v>73</v>
      </c>
      <c r="C2354" s="3" t="s">
        <v>74</v>
      </c>
      <c r="E2354" s="3" t="str">
        <f>"FES1162847022"</f>
        <v>FES1162847022</v>
      </c>
      <c r="F2354" s="4">
        <v>44587</v>
      </c>
      <c r="G2354" s="3">
        <v>202207</v>
      </c>
      <c r="H2354" s="3" t="s">
        <v>75</v>
      </c>
      <c r="I2354" s="3" t="s">
        <v>76</v>
      </c>
      <c r="J2354" s="3" t="s">
        <v>77</v>
      </c>
      <c r="K2354" s="3" t="s">
        <v>78</v>
      </c>
      <c r="L2354" s="3" t="s">
        <v>948</v>
      </c>
      <c r="M2354" s="3" t="s">
        <v>949</v>
      </c>
      <c r="N2354" s="3" t="s">
        <v>1294</v>
      </c>
      <c r="O2354" s="3" t="s">
        <v>82</v>
      </c>
      <c r="P2354" s="3" t="str">
        <f>"2170818310                    "</f>
        <v xml:space="preserve">2170818310                    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74.67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Q2354" s="3">
        <v>0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3">
        <v>0</v>
      </c>
      <c r="AY2354" s="3">
        <v>0</v>
      </c>
      <c r="AZ2354" s="3">
        <v>0</v>
      </c>
      <c r="BA2354" s="3">
        <v>0</v>
      </c>
      <c r="BB2354" s="3">
        <v>0</v>
      </c>
      <c r="BC2354" s="3">
        <v>0</v>
      </c>
      <c r="BD2354" s="3">
        <v>0</v>
      </c>
      <c r="BE2354" s="3">
        <v>0</v>
      </c>
      <c r="BF2354" s="3">
        <v>0</v>
      </c>
      <c r="BG2354" s="3">
        <v>0</v>
      </c>
      <c r="BH2354" s="3">
        <v>1</v>
      </c>
      <c r="BI2354" s="3">
        <v>7</v>
      </c>
      <c r="BJ2354" s="3">
        <v>4.0999999999999996</v>
      </c>
      <c r="BK2354" s="3">
        <v>7</v>
      </c>
      <c r="BL2354" s="3">
        <v>285.01</v>
      </c>
      <c r="BM2354" s="3">
        <v>42.75</v>
      </c>
      <c r="BN2354" s="3">
        <v>327.76</v>
      </c>
      <c r="BO2354" s="3">
        <v>327.76</v>
      </c>
      <c r="BR2354" s="3" t="s">
        <v>84</v>
      </c>
      <c r="BS2354" s="4">
        <v>44588</v>
      </c>
      <c r="BT2354" s="5">
        <v>0.51180555555555551</v>
      </c>
      <c r="BU2354" s="3" t="s">
        <v>1627</v>
      </c>
      <c r="BV2354" s="3" t="s">
        <v>105</v>
      </c>
      <c r="BY2354" s="3">
        <v>20358</v>
      </c>
      <c r="BZ2354" s="3" t="s">
        <v>165</v>
      </c>
      <c r="CA2354" s="3" t="s">
        <v>952</v>
      </c>
      <c r="CC2354" s="3" t="s">
        <v>949</v>
      </c>
      <c r="CD2354" s="3">
        <v>1759</v>
      </c>
      <c r="CE2354" s="3" t="s">
        <v>86</v>
      </c>
      <c r="CF2354" s="4">
        <v>44588</v>
      </c>
      <c r="CI2354" s="3">
        <v>1</v>
      </c>
      <c r="CJ2354" s="3">
        <v>1</v>
      </c>
      <c r="CK2354" s="3">
        <v>24</v>
      </c>
      <c r="CL2354" s="3" t="s">
        <v>87</v>
      </c>
    </row>
    <row r="2355" spans="1:90" x14ac:dyDescent="0.2">
      <c r="A2355" s="3" t="s">
        <v>72</v>
      </c>
      <c r="B2355" s="3" t="s">
        <v>73</v>
      </c>
      <c r="C2355" s="3" t="s">
        <v>74</v>
      </c>
      <c r="E2355" s="3" t="str">
        <f>"FES1162846983"</f>
        <v>FES1162846983</v>
      </c>
      <c r="F2355" s="4">
        <v>44587</v>
      </c>
      <c r="G2355" s="3">
        <v>202207</v>
      </c>
      <c r="H2355" s="3" t="s">
        <v>75</v>
      </c>
      <c r="I2355" s="3" t="s">
        <v>76</v>
      </c>
      <c r="J2355" s="3" t="s">
        <v>77</v>
      </c>
      <c r="K2355" s="3" t="s">
        <v>78</v>
      </c>
      <c r="L2355" s="3" t="s">
        <v>75</v>
      </c>
      <c r="M2355" s="3" t="s">
        <v>76</v>
      </c>
      <c r="N2355" s="3" t="s">
        <v>2373</v>
      </c>
      <c r="O2355" s="3" t="s">
        <v>82</v>
      </c>
      <c r="P2355" s="3" t="str">
        <f>"2170816827                    "</f>
        <v xml:space="preserve">2170816827                    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12.07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0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3">
        <v>0</v>
      </c>
      <c r="AY2355" s="3">
        <v>0</v>
      </c>
      <c r="AZ2355" s="3">
        <v>0</v>
      </c>
      <c r="BA2355" s="3">
        <v>0</v>
      </c>
      <c r="BB2355" s="3">
        <v>0</v>
      </c>
      <c r="BC2355" s="3">
        <v>0</v>
      </c>
      <c r="BD2355" s="3">
        <v>0</v>
      </c>
      <c r="BE2355" s="3">
        <v>0</v>
      </c>
      <c r="BF2355" s="3">
        <v>0</v>
      </c>
      <c r="BG2355" s="3">
        <v>0</v>
      </c>
      <c r="BH2355" s="3">
        <v>1</v>
      </c>
      <c r="BI2355" s="3">
        <v>1</v>
      </c>
      <c r="BJ2355" s="3">
        <v>0.2</v>
      </c>
      <c r="BK2355" s="3">
        <v>1</v>
      </c>
      <c r="BL2355" s="3">
        <v>46.08</v>
      </c>
      <c r="BM2355" s="3">
        <v>6.91</v>
      </c>
      <c r="BN2355" s="3">
        <v>52.99</v>
      </c>
      <c r="BO2355" s="3">
        <v>52.99</v>
      </c>
      <c r="BQ2355" s="3" t="s">
        <v>145</v>
      </c>
      <c r="BR2355" s="3" t="s">
        <v>84</v>
      </c>
      <c r="BS2355" s="4">
        <v>44588</v>
      </c>
      <c r="BT2355" s="5">
        <v>0.37222222222222223</v>
      </c>
      <c r="BU2355" s="3" t="s">
        <v>1675</v>
      </c>
      <c r="BV2355" s="3" t="s">
        <v>105</v>
      </c>
      <c r="BY2355" s="3">
        <v>1200</v>
      </c>
      <c r="BZ2355" s="3" t="s">
        <v>165</v>
      </c>
      <c r="CA2355" s="3" t="s">
        <v>1051</v>
      </c>
      <c r="CC2355" s="3" t="s">
        <v>76</v>
      </c>
      <c r="CD2355" s="3">
        <v>1614</v>
      </c>
      <c r="CE2355" s="3" t="s">
        <v>93</v>
      </c>
      <c r="CF2355" s="4">
        <v>44589</v>
      </c>
      <c r="CI2355" s="3">
        <v>1</v>
      </c>
      <c r="CJ2355" s="3">
        <v>1</v>
      </c>
      <c r="CK2355" s="3">
        <v>22</v>
      </c>
      <c r="CL2355" s="3" t="s">
        <v>87</v>
      </c>
    </row>
    <row r="2356" spans="1:90" x14ac:dyDescent="0.2">
      <c r="A2356" s="3" t="s">
        <v>72</v>
      </c>
      <c r="B2356" s="3" t="s">
        <v>73</v>
      </c>
      <c r="C2356" s="3" t="s">
        <v>74</v>
      </c>
      <c r="E2356" s="3" t="str">
        <f>"FES1162846907"</f>
        <v>FES1162846907</v>
      </c>
      <c r="F2356" s="4">
        <v>44586</v>
      </c>
      <c r="G2356" s="3">
        <v>202207</v>
      </c>
      <c r="H2356" s="3" t="s">
        <v>75</v>
      </c>
      <c r="I2356" s="3" t="s">
        <v>76</v>
      </c>
      <c r="J2356" s="3" t="s">
        <v>77</v>
      </c>
      <c r="K2356" s="3" t="s">
        <v>78</v>
      </c>
      <c r="L2356" s="3" t="s">
        <v>427</v>
      </c>
      <c r="M2356" s="3" t="s">
        <v>428</v>
      </c>
      <c r="N2356" s="3" t="s">
        <v>429</v>
      </c>
      <c r="O2356" s="3" t="s">
        <v>82</v>
      </c>
      <c r="P2356" s="3" t="str">
        <f>"2170801614                    "</f>
        <v xml:space="preserve">2170801614                    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97.58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0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3">
        <v>0</v>
      </c>
      <c r="AY2356" s="3">
        <v>0</v>
      </c>
      <c r="AZ2356" s="3">
        <v>0</v>
      </c>
      <c r="BA2356" s="3">
        <v>0</v>
      </c>
      <c r="BB2356" s="3">
        <v>0</v>
      </c>
      <c r="BC2356" s="3">
        <v>0</v>
      </c>
      <c r="BD2356" s="3">
        <v>0</v>
      </c>
      <c r="BE2356" s="3">
        <v>0</v>
      </c>
      <c r="BF2356" s="3">
        <v>0</v>
      </c>
      <c r="BG2356" s="3">
        <v>0</v>
      </c>
      <c r="BH2356" s="3">
        <v>1</v>
      </c>
      <c r="BI2356" s="3">
        <v>6</v>
      </c>
      <c r="BJ2356" s="3">
        <v>6.7</v>
      </c>
      <c r="BK2356" s="3">
        <v>7</v>
      </c>
      <c r="BL2356" s="3">
        <v>372.44</v>
      </c>
      <c r="BM2356" s="3">
        <v>55.87</v>
      </c>
      <c r="BN2356" s="3">
        <v>428.31</v>
      </c>
      <c r="BO2356" s="3">
        <v>428.31</v>
      </c>
      <c r="BQ2356" s="3" t="s">
        <v>83</v>
      </c>
      <c r="BR2356" s="3" t="s">
        <v>84</v>
      </c>
      <c r="BS2356" s="4">
        <v>44587</v>
      </c>
      <c r="BT2356" s="5">
        <v>0.69305555555555554</v>
      </c>
      <c r="BU2356" s="3" t="s">
        <v>1753</v>
      </c>
      <c r="BV2356" s="3" t="s">
        <v>87</v>
      </c>
      <c r="BW2356" s="3" t="s">
        <v>457</v>
      </c>
      <c r="BX2356" s="3" t="s">
        <v>602</v>
      </c>
      <c r="BY2356" s="3">
        <v>33696</v>
      </c>
      <c r="BZ2356" s="3" t="s">
        <v>165</v>
      </c>
      <c r="CA2356" s="3" t="s">
        <v>2136</v>
      </c>
      <c r="CC2356" s="3" t="s">
        <v>428</v>
      </c>
      <c r="CD2356" s="3">
        <v>7130</v>
      </c>
      <c r="CE2356" s="3" t="s">
        <v>86</v>
      </c>
      <c r="CF2356" s="4">
        <v>44588</v>
      </c>
      <c r="CI2356" s="3">
        <v>1</v>
      </c>
      <c r="CJ2356" s="3">
        <v>1</v>
      </c>
      <c r="CK2356" s="3">
        <v>23</v>
      </c>
      <c r="CL2356" s="3" t="s">
        <v>87</v>
      </c>
    </row>
    <row r="2357" spans="1:90" x14ac:dyDescent="0.2">
      <c r="A2357" s="3" t="s">
        <v>72</v>
      </c>
      <c r="B2357" s="3" t="s">
        <v>73</v>
      </c>
      <c r="C2357" s="3" t="s">
        <v>74</v>
      </c>
      <c r="E2357" s="3" t="str">
        <f>"FES1162846964"</f>
        <v>FES1162846964</v>
      </c>
      <c r="F2357" s="4">
        <v>44586</v>
      </c>
      <c r="G2357" s="3">
        <v>202207</v>
      </c>
      <c r="H2357" s="3" t="s">
        <v>75</v>
      </c>
      <c r="I2357" s="3" t="s">
        <v>76</v>
      </c>
      <c r="J2357" s="3" t="s">
        <v>77</v>
      </c>
      <c r="K2357" s="3" t="s">
        <v>78</v>
      </c>
      <c r="L2357" s="3" t="s">
        <v>75</v>
      </c>
      <c r="M2357" s="3" t="s">
        <v>76</v>
      </c>
      <c r="N2357" s="3" t="s">
        <v>147</v>
      </c>
      <c r="O2357" s="3" t="s">
        <v>82</v>
      </c>
      <c r="P2357" s="3" t="str">
        <f>"2170818263                    "</f>
        <v xml:space="preserve">2170818263                    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12.07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0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3">
        <v>0</v>
      </c>
      <c r="AY2357" s="3">
        <v>0</v>
      </c>
      <c r="AZ2357" s="3">
        <v>0</v>
      </c>
      <c r="BA2357" s="3">
        <v>0</v>
      </c>
      <c r="BB2357" s="3">
        <v>0</v>
      </c>
      <c r="BC2357" s="3">
        <v>0</v>
      </c>
      <c r="BD2357" s="3">
        <v>0</v>
      </c>
      <c r="BE2357" s="3">
        <v>0</v>
      </c>
      <c r="BF2357" s="3">
        <v>0</v>
      </c>
      <c r="BG2357" s="3">
        <v>0</v>
      </c>
      <c r="BH2357" s="3">
        <v>1</v>
      </c>
      <c r="BI2357" s="3">
        <v>2</v>
      </c>
      <c r="BJ2357" s="3">
        <v>1.5</v>
      </c>
      <c r="BK2357" s="3">
        <v>2</v>
      </c>
      <c r="BL2357" s="3">
        <v>46.08</v>
      </c>
      <c r="BM2357" s="3">
        <v>6.91</v>
      </c>
      <c r="BN2357" s="3">
        <v>52.99</v>
      </c>
      <c r="BO2357" s="3">
        <v>52.99</v>
      </c>
      <c r="BQ2357" s="3" t="s">
        <v>89</v>
      </c>
      <c r="BR2357" s="3" t="s">
        <v>84</v>
      </c>
      <c r="BS2357" s="4">
        <v>44589</v>
      </c>
      <c r="BT2357" s="5">
        <v>0.3923611111111111</v>
      </c>
      <c r="BU2357" s="3" t="s">
        <v>2374</v>
      </c>
      <c r="BV2357" s="3" t="s">
        <v>87</v>
      </c>
      <c r="BW2357" s="3" t="s">
        <v>639</v>
      </c>
      <c r="BX2357" s="3" t="s">
        <v>723</v>
      </c>
      <c r="BY2357" s="3">
        <v>7540</v>
      </c>
      <c r="BZ2357" s="3" t="s">
        <v>165</v>
      </c>
      <c r="CA2357" s="3" t="s">
        <v>1311</v>
      </c>
      <c r="CC2357" s="3" t="s">
        <v>76</v>
      </c>
      <c r="CD2357" s="3">
        <v>1645</v>
      </c>
      <c r="CE2357" s="3" t="s">
        <v>86</v>
      </c>
      <c r="CI2357" s="3">
        <v>1</v>
      </c>
      <c r="CJ2357" s="3">
        <v>3</v>
      </c>
      <c r="CK2357" s="3">
        <v>22</v>
      </c>
      <c r="CL2357" s="3" t="s">
        <v>87</v>
      </c>
    </row>
    <row r="2358" spans="1:90" x14ac:dyDescent="0.2">
      <c r="A2358" s="3" t="s">
        <v>72</v>
      </c>
      <c r="B2358" s="3" t="s">
        <v>73</v>
      </c>
      <c r="C2358" s="3" t="s">
        <v>74</v>
      </c>
      <c r="E2358" s="3" t="str">
        <f>"FES1162846721"</f>
        <v>FES1162846721</v>
      </c>
      <c r="F2358" s="4">
        <v>44586</v>
      </c>
      <c r="G2358" s="3">
        <v>202207</v>
      </c>
      <c r="H2358" s="3" t="s">
        <v>75</v>
      </c>
      <c r="I2358" s="3" t="s">
        <v>76</v>
      </c>
      <c r="J2358" s="3" t="s">
        <v>77</v>
      </c>
      <c r="K2358" s="3" t="s">
        <v>78</v>
      </c>
      <c r="L2358" s="3" t="s">
        <v>90</v>
      </c>
      <c r="M2358" s="3" t="s">
        <v>91</v>
      </c>
      <c r="N2358" s="3" t="s">
        <v>600</v>
      </c>
      <c r="O2358" s="3" t="s">
        <v>82</v>
      </c>
      <c r="P2358" s="3" t="str">
        <f>"2170810193                    "</f>
        <v xml:space="preserve">2170810193                    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15.46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0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3">
        <v>0</v>
      </c>
      <c r="AY2358" s="3">
        <v>0</v>
      </c>
      <c r="AZ2358" s="3">
        <v>0</v>
      </c>
      <c r="BA2358" s="3">
        <v>0</v>
      </c>
      <c r="BB2358" s="3">
        <v>0</v>
      </c>
      <c r="BC2358" s="3">
        <v>0</v>
      </c>
      <c r="BD2358" s="3">
        <v>0</v>
      </c>
      <c r="BE2358" s="3">
        <v>0</v>
      </c>
      <c r="BF2358" s="3">
        <v>0</v>
      </c>
      <c r="BG2358" s="3">
        <v>0</v>
      </c>
      <c r="BH2358" s="3">
        <v>1</v>
      </c>
      <c r="BI2358" s="3">
        <v>1</v>
      </c>
      <c r="BJ2358" s="3">
        <v>1.4</v>
      </c>
      <c r="BK2358" s="3">
        <v>1.5</v>
      </c>
      <c r="BL2358" s="3">
        <v>59</v>
      </c>
      <c r="BM2358" s="3">
        <v>8.85</v>
      </c>
      <c r="BN2358" s="3">
        <v>67.849999999999994</v>
      </c>
      <c r="BO2358" s="3">
        <v>67.849999999999994</v>
      </c>
      <c r="BQ2358" s="3" t="s">
        <v>89</v>
      </c>
      <c r="BR2358" s="3" t="s">
        <v>84</v>
      </c>
      <c r="BS2358" s="4">
        <v>44587</v>
      </c>
      <c r="BT2358" s="5">
        <v>0.36874999999999997</v>
      </c>
      <c r="BU2358" s="3" t="s">
        <v>1191</v>
      </c>
      <c r="BV2358" s="3" t="s">
        <v>105</v>
      </c>
      <c r="BY2358" s="3">
        <v>6750</v>
      </c>
      <c r="BZ2358" s="3" t="s">
        <v>165</v>
      </c>
      <c r="CA2358" s="3" t="s">
        <v>603</v>
      </c>
      <c r="CC2358" s="3" t="s">
        <v>91</v>
      </c>
      <c r="CD2358" s="3">
        <v>7945</v>
      </c>
      <c r="CE2358" s="3" t="s">
        <v>86</v>
      </c>
      <c r="CF2358" s="4">
        <v>44588</v>
      </c>
      <c r="CI2358" s="3">
        <v>1</v>
      </c>
      <c r="CJ2358" s="3">
        <v>1</v>
      </c>
      <c r="CK2358" s="3">
        <v>21</v>
      </c>
      <c r="CL2358" s="3" t="s">
        <v>87</v>
      </c>
    </row>
    <row r="2359" spans="1:90" x14ac:dyDescent="0.2">
      <c r="A2359" s="3" t="s">
        <v>72</v>
      </c>
      <c r="B2359" s="3" t="s">
        <v>73</v>
      </c>
      <c r="C2359" s="3" t="s">
        <v>74</v>
      </c>
      <c r="E2359" s="3" t="str">
        <f>"FES1162846666"</f>
        <v>FES1162846666</v>
      </c>
      <c r="F2359" s="4">
        <v>44586</v>
      </c>
      <c r="G2359" s="3">
        <v>202207</v>
      </c>
      <c r="H2359" s="3" t="s">
        <v>75</v>
      </c>
      <c r="I2359" s="3" t="s">
        <v>76</v>
      </c>
      <c r="J2359" s="3" t="s">
        <v>77</v>
      </c>
      <c r="K2359" s="3" t="s">
        <v>78</v>
      </c>
      <c r="L2359" s="3" t="s">
        <v>162</v>
      </c>
      <c r="M2359" s="3" t="s">
        <v>163</v>
      </c>
      <c r="N2359" s="3" t="s">
        <v>1077</v>
      </c>
      <c r="O2359" s="3" t="s">
        <v>82</v>
      </c>
      <c r="P2359" s="3" t="str">
        <f>"2170818058                    "</f>
        <v xml:space="preserve">2170818058                    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12.07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0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3">
        <v>0</v>
      </c>
      <c r="AY2359" s="3">
        <v>0</v>
      </c>
      <c r="AZ2359" s="3">
        <v>0</v>
      </c>
      <c r="BA2359" s="3">
        <v>0</v>
      </c>
      <c r="BB2359" s="3">
        <v>0</v>
      </c>
      <c r="BC2359" s="3">
        <v>0</v>
      </c>
      <c r="BD2359" s="3">
        <v>0</v>
      </c>
      <c r="BE2359" s="3">
        <v>0</v>
      </c>
      <c r="BF2359" s="3">
        <v>0</v>
      </c>
      <c r="BG2359" s="3">
        <v>0</v>
      </c>
      <c r="BH2359" s="3">
        <v>1</v>
      </c>
      <c r="BI2359" s="3">
        <v>2</v>
      </c>
      <c r="BJ2359" s="3">
        <v>2</v>
      </c>
      <c r="BK2359" s="3">
        <v>2</v>
      </c>
      <c r="BL2359" s="3">
        <v>46.08</v>
      </c>
      <c r="BM2359" s="3">
        <v>6.91</v>
      </c>
      <c r="BN2359" s="3">
        <v>52.99</v>
      </c>
      <c r="BO2359" s="3">
        <v>52.99</v>
      </c>
      <c r="BQ2359" s="3" t="s">
        <v>1078</v>
      </c>
      <c r="BR2359" s="3" t="s">
        <v>84</v>
      </c>
      <c r="BS2359" s="4">
        <v>44587</v>
      </c>
      <c r="BT2359" s="5">
        <v>0.39444444444444443</v>
      </c>
      <c r="BU2359" s="3" t="s">
        <v>2375</v>
      </c>
      <c r="BV2359" s="3" t="s">
        <v>105</v>
      </c>
      <c r="BY2359" s="3">
        <v>9918</v>
      </c>
      <c r="BZ2359" s="3" t="s">
        <v>165</v>
      </c>
      <c r="CA2359" s="3" t="s">
        <v>1080</v>
      </c>
      <c r="CC2359" s="3" t="s">
        <v>163</v>
      </c>
      <c r="CD2359" s="3">
        <v>1401</v>
      </c>
      <c r="CE2359" s="3" t="s">
        <v>86</v>
      </c>
      <c r="CF2359" s="4">
        <v>44587</v>
      </c>
      <c r="CI2359" s="3">
        <v>1</v>
      </c>
      <c r="CJ2359" s="3">
        <v>1</v>
      </c>
      <c r="CK2359" s="3">
        <v>22</v>
      </c>
      <c r="CL2359" s="3" t="s">
        <v>87</v>
      </c>
    </row>
    <row r="2360" spans="1:90" x14ac:dyDescent="0.2">
      <c r="A2360" s="3" t="s">
        <v>72</v>
      </c>
      <c r="B2360" s="3" t="s">
        <v>73</v>
      </c>
      <c r="C2360" s="3" t="s">
        <v>74</v>
      </c>
      <c r="E2360" s="3" t="str">
        <f>"FES1162846659"</f>
        <v>FES1162846659</v>
      </c>
      <c r="F2360" s="4">
        <v>44586</v>
      </c>
      <c r="G2360" s="3">
        <v>202207</v>
      </c>
      <c r="H2360" s="3" t="s">
        <v>75</v>
      </c>
      <c r="I2360" s="3" t="s">
        <v>76</v>
      </c>
      <c r="J2360" s="3" t="s">
        <v>77</v>
      </c>
      <c r="K2360" s="3" t="s">
        <v>78</v>
      </c>
      <c r="L2360" s="3" t="s">
        <v>184</v>
      </c>
      <c r="M2360" s="3" t="s">
        <v>185</v>
      </c>
      <c r="N2360" s="3" t="s">
        <v>186</v>
      </c>
      <c r="O2360" s="3" t="s">
        <v>82</v>
      </c>
      <c r="P2360" s="3" t="str">
        <f>"2170817696                    "</f>
        <v xml:space="preserve">2170817696                    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54.08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Q2360" s="3">
        <v>0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3">
        <v>0</v>
      </c>
      <c r="AY2360" s="3">
        <v>0</v>
      </c>
      <c r="AZ2360" s="3">
        <v>0</v>
      </c>
      <c r="BA2360" s="3">
        <v>0</v>
      </c>
      <c r="BB2360" s="3">
        <v>0</v>
      </c>
      <c r="BC2360" s="3">
        <v>0</v>
      </c>
      <c r="BD2360" s="3">
        <v>0</v>
      </c>
      <c r="BE2360" s="3">
        <v>0</v>
      </c>
      <c r="BF2360" s="3">
        <v>0</v>
      </c>
      <c r="BG2360" s="3">
        <v>0</v>
      </c>
      <c r="BH2360" s="3">
        <v>1</v>
      </c>
      <c r="BI2360" s="3">
        <v>7</v>
      </c>
      <c r="BJ2360" s="3">
        <v>2.2000000000000002</v>
      </c>
      <c r="BK2360" s="3">
        <v>7</v>
      </c>
      <c r="BL2360" s="3">
        <v>206.42</v>
      </c>
      <c r="BM2360" s="3">
        <v>30.96</v>
      </c>
      <c r="BN2360" s="3">
        <v>237.38</v>
      </c>
      <c r="BO2360" s="3">
        <v>237.38</v>
      </c>
      <c r="BQ2360" s="3" t="s">
        <v>83</v>
      </c>
      <c r="BR2360" s="3" t="s">
        <v>84</v>
      </c>
      <c r="BS2360" s="4">
        <v>44588</v>
      </c>
      <c r="BT2360" s="5">
        <v>0.56805555555555554</v>
      </c>
      <c r="BU2360" s="3" t="s">
        <v>2376</v>
      </c>
      <c r="BV2360" s="3" t="s">
        <v>87</v>
      </c>
      <c r="BW2360" s="3" t="s">
        <v>353</v>
      </c>
      <c r="BX2360" s="3" t="s">
        <v>605</v>
      </c>
      <c r="BY2360" s="3">
        <v>10976</v>
      </c>
      <c r="BZ2360" s="3" t="s">
        <v>165</v>
      </c>
      <c r="CA2360" s="3" t="s">
        <v>1681</v>
      </c>
      <c r="CC2360" s="3" t="s">
        <v>185</v>
      </c>
      <c r="CD2360" s="3">
        <v>5201</v>
      </c>
      <c r="CE2360" s="3" t="s">
        <v>86</v>
      </c>
      <c r="CF2360" s="4">
        <v>44588</v>
      </c>
      <c r="CI2360" s="3">
        <v>1</v>
      </c>
      <c r="CJ2360" s="3">
        <v>2</v>
      </c>
      <c r="CK2360" s="3">
        <v>21</v>
      </c>
      <c r="CL2360" s="3" t="s">
        <v>87</v>
      </c>
    </row>
    <row r="2361" spans="1:90" x14ac:dyDescent="0.2">
      <c r="A2361" s="3" t="s">
        <v>72</v>
      </c>
      <c r="B2361" s="3" t="s">
        <v>73</v>
      </c>
      <c r="C2361" s="3" t="s">
        <v>74</v>
      </c>
      <c r="E2361" s="3" t="str">
        <f>"FES1162846598"</f>
        <v>FES1162846598</v>
      </c>
      <c r="F2361" s="4">
        <v>44586</v>
      </c>
      <c r="G2361" s="3">
        <v>202207</v>
      </c>
      <c r="H2361" s="3" t="s">
        <v>75</v>
      </c>
      <c r="I2361" s="3" t="s">
        <v>76</v>
      </c>
      <c r="J2361" s="3" t="s">
        <v>77</v>
      </c>
      <c r="K2361" s="3" t="s">
        <v>78</v>
      </c>
      <c r="L2361" s="3" t="s">
        <v>90</v>
      </c>
      <c r="M2361" s="3" t="s">
        <v>91</v>
      </c>
      <c r="N2361" s="3" t="s">
        <v>776</v>
      </c>
      <c r="O2361" s="3" t="s">
        <v>82</v>
      </c>
      <c r="P2361" s="3" t="str">
        <f>"2170817999                    "</f>
        <v xml:space="preserve">2170817999                    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23.18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0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3">
        <v>0</v>
      </c>
      <c r="AY2361" s="3">
        <v>0</v>
      </c>
      <c r="AZ2361" s="3">
        <v>0</v>
      </c>
      <c r="BA2361" s="3">
        <v>0</v>
      </c>
      <c r="BB2361" s="3">
        <v>0</v>
      </c>
      <c r="BC2361" s="3">
        <v>0</v>
      </c>
      <c r="BD2361" s="3">
        <v>0</v>
      </c>
      <c r="BE2361" s="3">
        <v>0</v>
      </c>
      <c r="BF2361" s="3">
        <v>0</v>
      </c>
      <c r="BG2361" s="3">
        <v>0</v>
      </c>
      <c r="BH2361" s="3">
        <v>1</v>
      </c>
      <c r="BI2361" s="3">
        <v>3</v>
      </c>
      <c r="BJ2361" s="3">
        <v>2</v>
      </c>
      <c r="BK2361" s="3">
        <v>3</v>
      </c>
      <c r="BL2361" s="3">
        <v>88.48</v>
      </c>
      <c r="BM2361" s="3">
        <v>13.27</v>
      </c>
      <c r="BN2361" s="3">
        <v>101.75</v>
      </c>
      <c r="BO2361" s="3">
        <v>101.75</v>
      </c>
      <c r="BQ2361" s="3" t="s">
        <v>83</v>
      </c>
      <c r="BR2361" s="3" t="s">
        <v>84</v>
      </c>
      <c r="BS2361" s="4">
        <v>44587</v>
      </c>
      <c r="BT2361" s="5">
        <v>0.44236111111111115</v>
      </c>
      <c r="BU2361" s="3" t="s">
        <v>1079</v>
      </c>
      <c r="BV2361" s="3" t="s">
        <v>105</v>
      </c>
      <c r="BY2361" s="3">
        <v>9900</v>
      </c>
      <c r="BZ2361" s="3" t="s">
        <v>165</v>
      </c>
      <c r="CA2361" s="3" t="s">
        <v>603</v>
      </c>
      <c r="CC2361" s="3" t="s">
        <v>91</v>
      </c>
      <c r="CD2361" s="3">
        <v>7975</v>
      </c>
      <c r="CE2361" s="3" t="s">
        <v>86</v>
      </c>
      <c r="CF2361" s="4">
        <v>44588</v>
      </c>
      <c r="CI2361" s="3">
        <v>1</v>
      </c>
      <c r="CJ2361" s="3">
        <v>1</v>
      </c>
      <c r="CK2361" s="3">
        <v>21</v>
      </c>
      <c r="CL2361" s="3" t="s">
        <v>87</v>
      </c>
    </row>
    <row r="2362" spans="1:90" x14ac:dyDescent="0.2">
      <c r="A2362" s="3" t="s">
        <v>72</v>
      </c>
      <c r="B2362" s="3" t="s">
        <v>73</v>
      </c>
      <c r="C2362" s="3" t="s">
        <v>74</v>
      </c>
      <c r="E2362" s="3" t="str">
        <f>"FES1162846922"</f>
        <v>FES1162846922</v>
      </c>
      <c r="F2362" s="4">
        <v>44586</v>
      </c>
      <c r="G2362" s="3">
        <v>202207</v>
      </c>
      <c r="H2362" s="3" t="s">
        <v>75</v>
      </c>
      <c r="I2362" s="3" t="s">
        <v>76</v>
      </c>
      <c r="J2362" s="3" t="s">
        <v>77</v>
      </c>
      <c r="K2362" s="3" t="s">
        <v>78</v>
      </c>
      <c r="L2362" s="3" t="s">
        <v>218</v>
      </c>
      <c r="M2362" s="3" t="s">
        <v>219</v>
      </c>
      <c r="N2362" s="3" t="s">
        <v>766</v>
      </c>
      <c r="O2362" s="3" t="s">
        <v>82</v>
      </c>
      <c r="P2362" s="3" t="str">
        <f>"2170818173                    "</f>
        <v xml:space="preserve">2170818173                    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15.46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0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3">
        <v>0</v>
      </c>
      <c r="AY2362" s="3">
        <v>0</v>
      </c>
      <c r="AZ2362" s="3">
        <v>0</v>
      </c>
      <c r="BA2362" s="3">
        <v>0</v>
      </c>
      <c r="BB2362" s="3">
        <v>0</v>
      </c>
      <c r="BC2362" s="3">
        <v>0</v>
      </c>
      <c r="BD2362" s="3">
        <v>0</v>
      </c>
      <c r="BE2362" s="3">
        <v>0</v>
      </c>
      <c r="BF2362" s="3">
        <v>0</v>
      </c>
      <c r="BG2362" s="3">
        <v>0</v>
      </c>
      <c r="BH2362" s="3">
        <v>1</v>
      </c>
      <c r="BI2362" s="3">
        <v>1</v>
      </c>
      <c r="BJ2362" s="3">
        <v>0.2</v>
      </c>
      <c r="BK2362" s="3">
        <v>1</v>
      </c>
      <c r="BL2362" s="3">
        <v>59</v>
      </c>
      <c r="BM2362" s="3">
        <v>8.85</v>
      </c>
      <c r="BN2362" s="3">
        <v>67.849999999999994</v>
      </c>
      <c r="BO2362" s="3">
        <v>67.849999999999994</v>
      </c>
      <c r="BR2362" s="3" t="s">
        <v>84</v>
      </c>
      <c r="BS2362" s="4">
        <v>44587</v>
      </c>
      <c r="BT2362" s="5">
        <v>0.42777777777777781</v>
      </c>
      <c r="BU2362" s="3" t="s">
        <v>1007</v>
      </c>
      <c r="BV2362" s="3" t="s">
        <v>105</v>
      </c>
      <c r="BY2362" s="3">
        <v>1200</v>
      </c>
      <c r="BZ2362" s="3" t="s">
        <v>165</v>
      </c>
      <c r="CA2362" s="3" t="s">
        <v>362</v>
      </c>
      <c r="CC2362" s="3" t="s">
        <v>219</v>
      </c>
      <c r="CD2362" s="3">
        <v>157</v>
      </c>
      <c r="CE2362" s="3" t="s">
        <v>93</v>
      </c>
      <c r="CF2362" s="4">
        <v>44588</v>
      </c>
      <c r="CI2362" s="3">
        <v>1</v>
      </c>
      <c r="CJ2362" s="3">
        <v>1</v>
      </c>
      <c r="CK2362" s="3">
        <v>21</v>
      </c>
      <c r="CL2362" s="3" t="s">
        <v>87</v>
      </c>
    </row>
    <row r="2363" spans="1:90" x14ac:dyDescent="0.2">
      <c r="A2363" s="3" t="s">
        <v>72</v>
      </c>
      <c r="B2363" s="3" t="s">
        <v>73</v>
      </c>
      <c r="C2363" s="3" t="s">
        <v>74</v>
      </c>
      <c r="E2363" s="3" t="str">
        <f>"FES1162846800"</f>
        <v>FES1162846800</v>
      </c>
      <c r="F2363" s="4">
        <v>44586</v>
      </c>
      <c r="G2363" s="3">
        <v>202207</v>
      </c>
      <c r="H2363" s="3" t="s">
        <v>75</v>
      </c>
      <c r="I2363" s="3" t="s">
        <v>76</v>
      </c>
      <c r="J2363" s="3" t="s">
        <v>77</v>
      </c>
      <c r="K2363" s="3" t="s">
        <v>78</v>
      </c>
      <c r="L2363" s="3" t="s">
        <v>162</v>
      </c>
      <c r="M2363" s="3" t="s">
        <v>163</v>
      </c>
      <c r="N2363" s="3" t="s">
        <v>917</v>
      </c>
      <c r="O2363" s="3" t="s">
        <v>82</v>
      </c>
      <c r="P2363" s="3" t="str">
        <f>"2170818092                    "</f>
        <v xml:space="preserve">2170818092                    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0</v>
      </c>
      <c r="AJ2363" s="3">
        <v>0</v>
      </c>
      <c r="AK2363" s="3">
        <v>12.07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0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3">
        <v>0</v>
      </c>
      <c r="AY2363" s="3">
        <v>0</v>
      </c>
      <c r="AZ2363" s="3">
        <v>0</v>
      </c>
      <c r="BA2363" s="3">
        <v>0</v>
      </c>
      <c r="BB2363" s="3">
        <v>0</v>
      </c>
      <c r="BC2363" s="3">
        <v>0</v>
      </c>
      <c r="BD2363" s="3">
        <v>0</v>
      </c>
      <c r="BE2363" s="3">
        <v>0</v>
      </c>
      <c r="BF2363" s="3">
        <v>0</v>
      </c>
      <c r="BG2363" s="3">
        <v>0</v>
      </c>
      <c r="BH2363" s="3">
        <v>1</v>
      </c>
      <c r="BI2363" s="3">
        <v>4</v>
      </c>
      <c r="BJ2363" s="3">
        <v>4.7</v>
      </c>
      <c r="BK2363" s="3">
        <v>5</v>
      </c>
      <c r="BL2363" s="3">
        <v>46.08</v>
      </c>
      <c r="BM2363" s="3">
        <v>6.91</v>
      </c>
      <c r="BN2363" s="3">
        <v>52.99</v>
      </c>
      <c r="BO2363" s="3">
        <v>52.99</v>
      </c>
      <c r="BQ2363" s="3" t="s">
        <v>89</v>
      </c>
      <c r="BR2363" s="3" t="s">
        <v>84</v>
      </c>
      <c r="BS2363" s="4">
        <v>44587</v>
      </c>
      <c r="BT2363" s="5">
        <v>0.39583333333333331</v>
      </c>
      <c r="BU2363" s="3" t="s">
        <v>2224</v>
      </c>
      <c r="BV2363" s="3" t="s">
        <v>105</v>
      </c>
      <c r="BY2363" s="3">
        <v>23552</v>
      </c>
      <c r="BZ2363" s="3" t="s">
        <v>165</v>
      </c>
      <c r="CA2363" s="3" t="s">
        <v>1051</v>
      </c>
      <c r="CC2363" s="3" t="s">
        <v>163</v>
      </c>
      <c r="CD2363" s="3">
        <v>1401</v>
      </c>
      <c r="CE2363" s="3" t="s">
        <v>86</v>
      </c>
      <c r="CF2363" s="4">
        <v>44588</v>
      </c>
      <c r="CI2363" s="3">
        <v>1</v>
      </c>
      <c r="CJ2363" s="3">
        <v>1</v>
      </c>
      <c r="CK2363" s="3">
        <v>22</v>
      </c>
      <c r="CL2363" s="3" t="s">
        <v>87</v>
      </c>
    </row>
    <row r="2364" spans="1:90" x14ac:dyDescent="0.2">
      <c r="A2364" s="3" t="s">
        <v>72</v>
      </c>
      <c r="B2364" s="3" t="s">
        <v>73</v>
      </c>
      <c r="C2364" s="3" t="s">
        <v>74</v>
      </c>
      <c r="E2364" s="3" t="str">
        <f>"FES1162846848"</f>
        <v>FES1162846848</v>
      </c>
      <c r="F2364" s="4">
        <v>44586</v>
      </c>
      <c r="G2364" s="3">
        <v>202207</v>
      </c>
      <c r="H2364" s="3" t="s">
        <v>75</v>
      </c>
      <c r="I2364" s="3" t="s">
        <v>76</v>
      </c>
      <c r="J2364" s="3" t="s">
        <v>77</v>
      </c>
      <c r="K2364" s="3" t="s">
        <v>78</v>
      </c>
      <c r="L2364" s="3" t="s">
        <v>79</v>
      </c>
      <c r="M2364" s="3" t="s">
        <v>80</v>
      </c>
      <c r="N2364" s="3" t="s">
        <v>248</v>
      </c>
      <c r="O2364" s="3" t="s">
        <v>82</v>
      </c>
      <c r="P2364" s="3" t="str">
        <f>"2170817037                    "</f>
        <v xml:space="preserve">2170817037                    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0</v>
      </c>
      <c r="AJ2364" s="3">
        <v>0</v>
      </c>
      <c r="AK2364" s="3">
        <v>15.46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0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3">
        <v>0</v>
      </c>
      <c r="AY2364" s="3">
        <v>0</v>
      </c>
      <c r="AZ2364" s="3">
        <v>0</v>
      </c>
      <c r="BA2364" s="3">
        <v>0</v>
      </c>
      <c r="BB2364" s="3">
        <v>0</v>
      </c>
      <c r="BC2364" s="3">
        <v>0</v>
      </c>
      <c r="BD2364" s="3">
        <v>0</v>
      </c>
      <c r="BE2364" s="3">
        <v>0</v>
      </c>
      <c r="BF2364" s="3">
        <v>0</v>
      </c>
      <c r="BG2364" s="3">
        <v>0</v>
      </c>
      <c r="BH2364" s="3">
        <v>1</v>
      </c>
      <c r="BI2364" s="3">
        <v>1</v>
      </c>
      <c r="BJ2364" s="3">
        <v>0.2</v>
      </c>
      <c r="BK2364" s="3">
        <v>1</v>
      </c>
      <c r="BL2364" s="3">
        <v>59</v>
      </c>
      <c r="BM2364" s="3">
        <v>8.85</v>
      </c>
      <c r="BN2364" s="3">
        <v>67.849999999999994</v>
      </c>
      <c r="BO2364" s="3">
        <v>67.849999999999994</v>
      </c>
      <c r="BQ2364" s="3" t="s">
        <v>83</v>
      </c>
      <c r="BR2364" s="3" t="s">
        <v>84</v>
      </c>
      <c r="BS2364" s="4">
        <v>44587</v>
      </c>
      <c r="BT2364" s="5">
        <v>0.41319444444444442</v>
      </c>
      <c r="BU2364" s="3" t="s">
        <v>2346</v>
      </c>
      <c r="BV2364" s="3" t="s">
        <v>105</v>
      </c>
      <c r="BY2364" s="3">
        <v>1200</v>
      </c>
      <c r="BZ2364" s="3" t="s">
        <v>165</v>
      </c>
      <c r="CA2364" s="3" t="s">
        <v>362</v>
      </c>
      <c r="CC2364" s="3" t="s">
        <v>80</v>
      </c>
      <c r="CD2364" s="3">
        <v>1</v>
      </c>
      <c r="CE2364" s="3" t="s">
        <v>93</v>
      </c>
      <c r="CF2364" s="4">
        <v>44588</v>
      </c>
      <c r="CI2364" s="3">
        <v>1</v>
      </c>
      <c r="CJ2364" s="3">
        <v>1</v>
      </c>
      <c r="CK2364" s="3">
        <v>21</v>
      </c>
      <c r="CL2364" s="3" t="s">
        <v>87</v>
      </c>
    </row>
    <row r="2365" spans="1:90" x14ac:dyDescent="0.2">
      <c r="A2365" s="3" t="s">
        <v>72</v>
      </c>
      <c r="B2365" s="3" t="s">
        <v>73</v>
      </c>
      <c r="C2365" s="3" t="s">
        <v>74</v>
      </c>
      <c r="E2365" s="3" t="str">
        <f>"FES1162846567"</f>
        <v>FES1162846567</v>
      </c>
      <c r="F2365" s="4">
        <v>44586</v>
      </c>
      <c r="G2365" s="3">
        <v>202207</v>
      </c>
      <c r="H2365" s="3" t="s">
        <v>75</v>
      </c>
      <c r="I2365" s="3" t="s">
        <v>76</v>
      </c>
      <c r="J2365" s="3" t="s">
        <v>77</v>
      </c>
      <c r="K2365" s="3" t="s">
        <v>78</v>
      </c>
      <c r="L2365" s="3" t="s">
        <v>138</v>
      </c>
      <c r="M2365" s="3" t="s">
        <v>139</v>
      </c>
      <c r="N2365" s="3" t="s">
        <v>140</v>
      </c>
      <c r="O2365" s="3" t="s">
        <v>82</v>
      </c>
      <c r="P2365" s="3" t="str">
        <f>"2170817970                    "</f>
        <v xml:space="preserve">2170817970                    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0</v>
      </c>
      <c r="AJ2365" s="3">
        <v>0</v>
      </c>
      <c r="AK2365" s="3">
        <v>23.18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0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3">
        <v>0</v>
      </c>
      <c r="AY2365" s="3">
        <v>0</v>
      </c>
      <c r="AZ2365" s="3">
        <v>0</v>
      </c>
      <c r="BA2365" s="3">
        <v>0</v>
      </c>
      <c r="BB2365" s="3">
        <v>0</v>
      </c>
      <c r="BC2365" s="3">
        <v>0</v>
      </c>
      <c r="BD2365" s="3">
        <v>0</v>
      </c>
      <c r="BE2365" s="3">
        <v>0</v>
      </c>
      <c r="BF2365" s="3">
        <v>0</v>
      </c>
      <c r="BG2365" s="3">
        <v>0</v>
      </c>
      <c r="BH2365" s="3">
        <v>1</v>
      </c>
      <c r="BI2365" s="3">
        <v>3</v>
      </c>
      <c r="BJ2365" s="3">
        <v>2</v>
      </c>
      <c r="BK2365" s="3">
        <v>3</v>
      </c>
      <c r="BL2365" s="3">
        <v>88.48</v>
      </c>
      <c r="BM2365" s="3">
        <v>13.27</v>
      </c>
      <c r="BN2365" s="3">
        <v>101.75</v>
      </c>
      <c r="BO2365" s="3">
        <v>101.75</v>
      </c>
      <c r="BQ2365" s="3" t="s">
        <v>126</v>
      </c>
      <c r="BR2365" s="3" t="s">
        <v>84</v>
      </c>
      <c r="BS2365" s="4">
        <v>44587</v>
      </c>
      <c r="BT2365" s="5">
        <v>0.33749999999999997</v>
      </c>
      <c r="BU2365" s="3" t="s">
        <v>819</v>
      </c>
      <c r="BV2365" s="3" t="s">
        <v>105</v>
      </c>
      <c r="BY2365" s="3">
        <v>9900</v>
      </c>
      <c r="BZ2365" s="3" t="s">
        <v>165</v>
      </c>
      <c r="CA2365" s="3" t="s">
        <v>334</v>
      </c>
      <c r="CC2365" s="3" t="s">
        <v>139</v>
      </c>
      <c r="CD2365" s="3">
        <v>3610</v>
      </c>
      <c r="CE2365" s="3" t="s">
        <v>86</v>
      </c>
      <c r="CF2365" s="4">
        <v>44588</v>
      </c>
      <c r="CI2365" s="3">
        <v>1</v>
      </c>
      <c r="CJ2365" s="3">
        <v>1</v>
      </c>
      <c r="CK2365" s="3">
        <v>21</v>
      </c>
      <c r="CL2365" s="3" t="s">
        <v>87</v>
      </c>
    </row>
    <row r="2366" spans="1:90" x14ac:dyDescent="0.2">
      <c r="A2366" s="3" t="s">
        <v>72</v>
      </c>
      <c r="B2366" s="3" t="s">
        <v>73</v>
      </c>
      <c r="C2366" s="3" t="s">
        <v>74</v>
      </c>
      <c r="E2366" s="3" t="str">
        <f>"FES1162846715"</f>
        <v>FES1162846715</v>
      </c>
      <c r="F2366" s="4">
        <v>44586</v>
      </c>
      <c r="G2366" s="3">
        <v>202207</v>
      </c>
      <c r="H2366" s="3" t="s">
        <v>75</v>
      </c>
      <c r="I2366" s="3" t="s">
        <v>76</v>
      </c>
      <c r="J2366" s="3" t="s">
        <v>77</v>
      </c>
      <c r="K2366" s="3" t="s">
        <v>78</v>
      </c>
      <c r="L2366" s="3" t="s">
        <v>90</v>
      </c>
      <c r="M2366" s="3" t="s">
        <v>91</v>
      </c>
      <c r="N2366" s="3" t="s">
        <v>600</v>
      </c>
      <c r="O2366" s="3" t="s">
        <v>82</v>
      </c>
      <c r="P2366" s="3" t="str">
        <f>"2170806744                    "</f>
        <v xml:space="preserve">2170806744                    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0</v>
      </c>
      <c r="AJ2366" s="3">
        <v>0</v>
      </c>
      <c r="AK2366" s="3">
        <v>15.46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0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3">
        <v>0</v>
      </c>
      <c r="AY2366" s="3">
        <v>0</v>
      </c>
      <c r="AZ2366" s="3">
        <v>0</v>
      </c>
      <c r="BA2366" s="3">
        <v>0</v>
      </c>
      <c r="BB2366" s="3">
        <v>0</v>
      </c>
      <c r="BC2366" s="3">
        <v>0</v>
      </c>
      <c r="BD2366" s="3">
        <v>0</v>
      </c>
      <c r="BE2366" s="3">
        <v>0</v>
      </c>
      <c r="BF2366" s="3">
        <v>0</v>
      </c>
      <c r="BG2366" s="3">
        <v>0</v>
      </c>
      <c r="BH2366" s="3">
        <v>1</v>
      </c>
      <c r="BI2366" s="3">
        <v>1</v>
      </c>
      <c r="BJ2366" s="3">
        <v>1.3</v>
      </c>
      <c r="BK2366" s="3">
        <v>1.5</v>
      </c>
      <c r="BL2366" s="3">
        <v>59</v>
      </c>
      <c r="BM2366" s="3">
        <v>8.85</v>
      </c>
      <c r="BN2366" s="3">
        <v>67.849999999999994</v>
      </c>
      <c r="BO2366" s="3">
        <v>67.849999999999994</v>
      </c>
      <c r="BQ2366" s="3" t="s">
        <v>89</v>
      </c>
      <c r="BR2366" s="3" t="s">
        <v>84</v>
      </c>
      <c r="BS2366" s="4">
        <v>44587</v>
      </c>
      <c r="BT2366" s="5">
        <v>0.36874999999999997</v>
      </c>
      <c r="BU2366" s="3" t="s">
        <v>1191</v>
      </c>
      <c r="BV2366" s="3" t="s">
        <v>105</v>
      </c>
      <c r="BY2366" s="3">
        <v>6525</v>
      </c>
      <c r="BZ2366" s="3" t="s">
        <v>165</v>
      </c>
      <c r="CA2366" s="3" t="s">
        <v>603</v>
      </c>
      <c r="CC2366" s="3" t="s">
        <v>91</v>
      </c>
      <c r="CD2366" s="3">
        <v>7945</v>
      </c>
      <c r="CE2366" s="3" t="s">
        <v>86</v>
      </c>
      <c r="CF2366" s="4">
        <v>44588</v>
      </c>
      <c r="CI2366" s="3">
        <v>1</v>
      </c>
      <c r="CJ2366" s="3">
        <v>1</v>
      </c>
      <c r="CK2366" s="3">
        <v>21</v>
      </c>
      <c r="CL2366" s="3" t="s">
        <v>87</v>
      </c>
    </row>
    <row r="2367" spans="1:90" x14ac:dyDescent="0.2">
      <c r="A2367" s="3" t="s">
        <v>72</v>
      </c>
      <c r="B2367" s="3" t="s">
        <v>73</v>
      </c>
      <c r="C2367" s="3" t="s">
        <v>74</v>
      </c>
      <c r="E2367" s="3" t="str">
        <f>"FES1162846798"</f>
        <v>FES1162846798</v>
      </c>
      <c r="F2367" s="4">
        <v>44586</v>
      </c>
      <c r="G2367" s="3">
        <v>202207</v>
      </c>
      <c r="H2367" s="3" t="s">
        <v>75</v>
      </c>
      <c r="I2367" s="3" t="s">
        <v>76</v>
      </c>
      <c r="J2367" s="3" t="s">
        <v>77</v>
      </c>
      <c r="K2367" s="3" t="s">
        <v>78</v>
      </c>
      <c r="L2367" s="3" t="s">
        <v>90</v>
      </c>
      <c r="M2367" s="3" t="s">
        <v>91</v>
      </c>
      <c r="N2367" s="3" t="s">
        <v>157</v>
      </c>
      <c r="O2367" s="3" t="s">
        <v>82</v>
      </c>
      <c r="P2367" s="3" t="str">
        <f>"2170818086                    "</f>
        <v xml:space="preserve">2170818086                    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0</v>
      </c>
      <c r="AJ2367" s="3">
        <v>0</v>
      </c>
      <c r="AK2367" s="3">
        <v>30.91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0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3">
        <v>0</v>
      </c>
      <c r="AY2367" s="3">
        <v>0</v>
      </c>
      <c r="AZ2367" s="3">
        <v>0</v>
      </c>
      <c r="BA2367" s="3">
        <v>0</v>
      </c>
      <c r="BB2367" s="3">
        <v>0</v>
      </c>
      <c r="BC2367" s="3">
        <v>0</v>
      </c>
      <c r="BD2367" s="3">
        <v>0</v>
      </c>
      <c r="BE2367" s="3">
        <v>0</v>
      </c>
      <c r="BF2367" s="3">
        <v>0</v>
      </c>
      <c r="BG2367" s="3">
        <v>0</v>
      </c>
      <c r="BH2367" s="3">
        <v>1</v>
      </c>
      <c r="BI2367" s="3">
        <v>4</v>
      </c>
      <c r="BJ2367" s="3">
        <v>1</v>
      </c>
      <c r="BK2367" s="3">
        <v>4</v>
      </c>
      <c r="BL2367" s="3">
        <v>117.97</v>
      </c>
      <c r="BM2367" s="3">
        <v>17.7</v>
      </c>
      <c r="BN2367" s="3">
        <v>135.66999999999999</v>
      </c>
      <c r="BO2367" s="3">
        <v>135.66999999999999</v>
      </c>
      <c r="BQ2367" s="3" t="s">
        <v>89</v>
      </c>
      <c r="BR2367" s="3" t="s">
        <v>84</v>
      </c>
      <c r="BS2367" s="4">
        <v>44587</v>
      </c>
      <c r="BT2367" s="5">
        <v>0.3923611111111111</v>
      </c>
      <c r="BU2367" s="3" t="s">
        <v>1825</v>
      </c>
      <c r="BV2367" s="3" t="s">
        <v>105</v>
      </c>
      <c r="BY2367" s="3">
        <v>4914</v>
      </c>
      <c r="BZ2367" s="3" t="s">
        <v>165</v>
      </c>
      <c r="CA2367" s="3" t="s">
        <v>289</v>
      </c>
      <c r="CC2367" s="3" t="s">
        <v>91</v>
      </c>
      <c r="CD2367" s="3">
        <v>7441</v>
      </c>
      <c r="CE2367" s="3" t="s">
        <v>86</v>
      </c>
      <c r="CF2367" s="4">
        <v>44588</v>
      </c>
      <c r="CI2367" s="3">
        <v>1</v>
      </c>
      <c r="CJ2367" s="3">
        <v>1</v>
      </c>
      <c r="CK2367" s="3">
        <v>21</v>
      </c>
      <c r="CL2367" s="3" t="s">
        <v>87</v>
      </c>
    </row>
    <row r="2368" spans="1:90" x14ac:dyDescent="0.2">
      <c r="A2368" s="3" t="s">
        <v>72</v>
      </c>
      <c r="B2368" s="3" t="s">
        <v>73</v>
      </c>
      <c r="C2368" s="3" t="s">
        <v>74</v>
      </c>
      <c r="E2368" s="3" t="str">
        <f>"FES1162846720"</f>
        <v>FES1162846720</v>
      </c>
      <c r="F2368" s="4">
        <v>44586</v>
      </c>
      <c r="G2368" s="3">
        <v>202207</v>
      </c>
      <c r="H2368" s="3" t="s">
        <v>75</v>
      </c>
      <c r="I2368" s="3" t="s">
        <v>76</v>
      </c>
      <c r="J2368" s="3" t="s">
        <v>77</v>
      </c>
      <c r="K2368" s="3" t="s">
        <v>78</v>
      </c>
      <c r="L2368" s="3" t="s">
        <v>244</v>
      </c>
      <c r="M2368" s="3" t="s">
        <v>245</v>
      </c>
      <c r="N2368" s="3" t="s">
        <v>400</v>
      </c>
      <c r="O2368" s="3" t="s">
        <v>82</v>
      </c>
      <c r="P2368" s="3" t="str">
        <f>"2170810050                    "</f>
        <v xml:space="preserve">2170810050                    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0</v>
      </c>
      <c r="AJ2368" s="3">
        <v>0</v>
      </c>
      <c r="AK2368" s="3">
        <v>104.34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0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3">
        <v>0</v>
      </c>
      <c r="AY2368" s="3">
        <v>0</v>
      </c>
      <c r="AZ2368" s="3">
        <v>0</v>
      </c>
      <c r="BA2368" s="3">
        <v>0</v>
      </c>
      <c r="BB2368" s="3">
        <v>0</v>
      </c>
      <c r="BC2368" s="3">
        <v>0</v>
      </c>
      <c r="BD2368" s="3">
        <v>0</v>
      </c>
      <c r="BE2368" s="3">
        <v>0</v>
      </c>
      <c r="BF2368" s="3">
        <v>0</v>
      </c>
      <c r="BG2368" s="3">
        <v>0</v>
      </c>
      <c r="BH2368" s="3">
        <v>1</v>
      </c>
      <c r="BI2368" s="3">
        <v>4</v>
      </c>
      <c r="BJ2368" s="3">
        <v>7.4</v>
      </c>
      <c r="BK2368" s="3">
        <v>7.5</v>
      </c>
      <c r="BL2368" s="3">
        <v>398.25</v>
      </c>
      <c r="BM2368" s="3">
        <v>59.74</v>
      </c>
      <c r="BN2368" s="3">
        <v>457.99</v>
      </c>
      <c r="BO2368" s="3">
        <v>457.99</v>
      </c>
      <c r="BQ2368" s="3" t="s">
        <v>83</v>
      </c>
      <c r="BR2368" s="3" t="s">
        <v>84</v>
      </c>
      <c r="BS2368" s="4">
        <v>44587</v>
      </c>
      <c r="BT2368" s="5">
        <v>0.45069444444444445</v>
      </c>
      <c r="BU2368" s="3" t="s">
        <v>401</v>
      </c>
      <c r="BV2368" s="3" t="s">
        <v>87</v>
      </c>
      <c r="BW2368" s="3" t="s">
        <v>353</v>
      </c>
      <c r="BX2368" s="3" t="s">
        <v>723</v>
      </c>
      <c r="BY2368" s="3">
        <v>36822</v>
      </c>
      <c r="BZ2368" s="3" t="s">
        <v>165</v>
      </c>
      <c r="CA2368" s="3" t="s">
        <v>402</v>
      </c>
      <c r="CC2368" s="3" t="s">
        <v>245</v>
      </c>
      <c r="CD2368" s="3">
        <v>1947</v>
      </c>
      <c r="CE2368" s="3" t="s">
        <v>86</v>
      </c>
      <c r="CF2368" s="4">
        <v>44588</v>
      </c>
      <c r="CI2368" s="3">
        <v>1</v>
      </c>
      <c r="CJ2368" s="3">
        <v>1</v>
      </c>
      <c r="CK2368" s="3">
        <v>23</v>
      </c>
      <c r="CL2368" s="3" t="s">
        <v>87</v>
      </c>
    </row>
    <row r="2369" spans="1:90" x14ac:dyDescent="0.2">
      <c r="A2369" s="3" t="s">
        <v>72</v>
      </c>
      <c r="B2369" s="3" t="s">
        <v>73</v>
      </c>
      <c r="C2369" s="3" t="s">
        <v>74</v>
      </c>
      <c r="E2369" s="3" t="str">
        <f>"FES1162846936"</f>
        <v>FES1162846936</v>
      </c>
      <c r="F2369" s="4">
        <v>44586</v>
      </c>
      <c r="G2369" s="3">
        <v>202207</v>
      </c>
      <c r="H2369" s="3" t="s">
        <v>75</v>
      </c>
      <c r="I2369" s="3" t="s">
        <v>76</v>
      </c>
      <c r="J2369" s="3" t="s">
        <v>77</v>
      </c>
      <c r="K2369" s="3" t="s">
        <v>78</v>
      </c>
      <c r="L2369" s="3" t="s">
        <v>258</v>
      </c>
      <c r="M2369" s="3" t="s">
        <v>259</v>
      </c>
      <c r="N2369" s="3" t="s">
        <v>260</v>
      </c>
      <c r="O2369" s="3" t="s">
        <v>82</v>
      </c>
      <c r="P2369" s="3" t="str">
        <f>"2170818230                    "</f>
        <v xml:space="preserve">2170818230                    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0</v>
      </c>
      <c r="AJ2369" s="3">
        <v>0</v>
      </c>
      <c r="AK2369" s="3">
        <v>21.74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0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3">
        <v>0</v>
      </c>
      <c r="AY2369" s="3">
        <v>0</v>
      </c>
      <c r="AZ2369" s="3">
        <v>0</v>
      </c>
      <c r="BA2369" s="3">
        <v>0</v>
      </c>
      <c r="BB2369" s="3">
        <v>0</v>
      </c>
      <c r="BC2369" s="3">
        <v>0</v>
      </c>
      <c r="BD2369" s="3">
        <v>0</v>
      </c>
      <c r="BE2369" s="3">
        <v>0</v>
      </c>
      <c r="BF2369" s="3">
        <v>0</v>
      </c>
      <c r="BG2369" s="3">
        <v>0</v>
      </c>
      <c r="BH2369" s="3">
        <v>1</v>
      </c>
      <c r="BI2369" s="3">
        <v>1</v>
      </c>
      <c r="BJ2369" s="3">
        <v>0.2</v>
      </c>
      <c r="BK2369" s="3">
        <v>1</v>
      </c>
      <c r="BL2369" s="3">
        <v>82.98</v>
      </c>
      <c r="BM2369" s="3">
        <v>12.45</v>
      </c>
      <c r="BN2369" s="3">
        <v>95.43</v>
      </c>
      <c r="BO2369" s="3">
        <v>95.43</v>
      </c>
      <c r="BQ2369" s="3" t="s">
        <v>83</v>
      </c>
      <c r="BR2369" s="3" t="s">
        <v>84</v>
      </c>
      <c r="BS2369" s="4">
        <v>44587</v>
      </c>
      <c r="BT2369" s="5">
        <v>0.56805555555555554</v>
      </c>
      <c r="BU2369" s="3" t="s">
        <v>2126</v>
      </c>
      <c r="BV2369" s="3" t="s">
        <v>87</v>
      </c>
      <c r="BW2369" s="3" t="s">
        <v>353</v>
      </c>
      <c r="BX2369" s="3" t="s">
        <v>618</v>
      </c>
      <c r="BY2369" s="3">
        <v>1200</v>
      </c>
      <c r="BZ2369" s="3" t="s">
        <v>165</v>
      </c>
      <c r="CA2369" s="3" t="s">
        <v>724</v>
      </c>
      <c r="CC2369" s="3" t="s">
        <v>259</v>
      </c>
      <c r="CD2369" s="3">
        <v>2302</v>
      </c>
      <c r="CE2369" s="3" t="s">
        <v>93</v>
      </c>
      <c r="CF2369" s="4">
        <v>44588</v>
      </c>
      <c r="CI2369" s="3">
        <v>1</v>
      </c>
      <c r="CJ2369" s="3">
        <v>1</v>
      </c>
      <c r="CK2369" s="3">
        <v>24</v>
      </c>
      <c r="CL2369" s="3" t="s">
        <v>87</v>
      </c>
    </row>
    <row r="2370" spans="1:90" x14ac:dyDescent="0.2">
      <c r="A2370" s="3" t="s">
        <v>72</v>
      </c>
      <c r="B2370" s="3" t="s">
        <v>73</v>
      </c>
      <c r="C2370" s="3" t="s">
        <v>74</v>
      </c>
      <c r="E2370" s="3" t="str">
        <f>"FES1162846734"</f>
        <v>FES1162846734</v>
      </c>
      <c r="F2370" s="4">
        <v>44586</v>
      </c>
      <c r="G2370" s="3">
        <v>202207</v>
      </c>
      <c r="H2370" s="3" t="s">
        <v>75</v>
      </c>
      <c r="I2370" s="3" t="s">
        <v>76</v>
      </c>
      <c r="J2370" s="3" t="s">
        <v>77</v>
      </c>
      <c r="K2370" s="3" t="s">
        <v>78</v>
      </c>
      <c r="L2370" s="3" t="s">
        <v>180</v>
      </c>
      <c r="M2370" s="3" t="s">
        <v>181</v>
      </c>
      <c r="N2370" s="3" t="s">
        <v>1301</v>
      </c>
      <c r="O2370" s="3" t="s">
        <v>82</v>
      </c>
      <c r="P2370" s="3" t="str">
        <f>"2170815482                    "</f>
        <v xml:space="preserve">2170815482                    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0</v>
      </c>
      <c r="AJ2370" s="3">
        <v>0</v>
      </c>
      <c r="AK2370" s="3">
        <v>21.74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0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3">
        <v>0</v>
      </c>
      <c r="AY2370" s="3">
        <v>0</v>
      </c>
      <c r="AZ2370" s="3">
        <v>0</v>
      </c>
      <c r="BA2370" s="3">
        <v>0</v>
      </c>
      <c r="BB2370" s="3">
        <v>0</v>
      </c>
      <c r="BC2370" s="3">
        <v>0</v>
      </c>
      <c r="BD2370" s="3">
        <v>0</v>
      </c>
      <c r="BE2370" s="3">
        <v>0</v>
      </c>
      <c r="BF2370" s="3">
        <v>0</v>
      </c>
      <c r="BG2370" s="3">
        <v>0</v>
      </c>
      <c r="BH2370" s="3">
        <v>1</v>
      </c>
      <c r="BI2370" s="3">
        <v>2</v>
      </c>
      <c r="BJ2370" s="3">
        <v>2</v>
      </c>
      <c r="BK2370" s="3">
        <v>2</v>
      </c>
      <c r="BL2370" s="3">
        <v>82.98</v>
      </c>
      <c r="BM2370" s="3">
        <v>12.45</v>
      </c>
      <c r="BN2370" s="3">
        <v>95.43</v>
      </c>
      <c r="BO2370" s="3">
        <v>95.43</v>
      </c>
      <c r="BQ2370" s="3" t="s">
        <v>83</v>
      </c>
      <c r="BR2370" s="3" t="s">
        <v>84</v>
      </c>
      <c r="BS2370" s="4">
        <v>44587</v>
      </c>
      <c r="BT2370" s="5">
        <v>0.4381944444444445</v>
      </c>
      <c r="BU2370" s="3" t="s">
        <v>658</v>
      </c>
      <c r="BV2370" s="3" t="s">
        <v>87</v>
      </c>
      <c r="BW2370" s="3" t="s">
        <v>353</v>
      </c>
      <c r="BX2370" s="3" t="s">
        <v>723</v>
      </c>
      <c r="BY2370" s="3">
        <v>9918</v>
      </c>
      <c r="BZ2370" s="3" t="s">
        <v>165</v>
      </c>
      <c r="CA2370" s="3" t="s">
        <v>373</v>
      </c>
      <c r="CC2370" s="3" t="s">
        <v>181</v>
      </c>
      <c r="CD2370" s="3">
        <v>1961</v>
      </c>
      <c r="CE2370" s="3" t="s">
        <v>86</v>
      </c>
      <c r="CF2370" s="4">
        <v>44588</v>
      </c>
      <c r="CI2370" s="3">
        <v>1</v>
      </c>
      <c r="CJ2370" s="3">
        <v>1</v>
      </c>
      <c r="CK2370" s="3">
        <v>24</v>
      </c>
      <c r="CL2370" s="3" t="s">
        <v>87</v>
      </c>
    </row>
    <row r="2371" spans="1:90" x14ac:dyDescent="0.2">
      <c r="A2371" s="3" t="s">
        <v>72</v>
      </c>
      <c r="B2371" s="3" t="s">
        <v>73</v>
      </c>
      <c r="C2371" s="3" t="s">
        <v>74</v>
      </c>
      <c r="E2371" s="3" t="str">
        <f>"009940283989"</f>
        <v>009940283989</v>
      </c>
      <c r="F2371" s="4">
        <v>44586</v>
      </c>
      <c r="G2371" s="3">
        <v>202207</v>
      </c>
      <c r="H2371" s="3" t="s">
        <v>75</v>
      </c>
      <c r="I2371" s="3" t="s">
        <v>76</v>
      </c>
      <c r="J2371" s="3" t="s">
        <v>77</v>
      </c>
      <c r="K2371" s="3" t="s">
        <v>78</v>
      </c>
      <c r="L2371" s="3" t="s">
        <v>75</v>
      </c>
      <c r="M2371" s="3" t="s">
        <v>76</v>
      </c>
      <c r="N2371" s="3" t="s">
        <v>1599</v>
      </c>
      <c r="O2371" s="3" t="s">
        <v>82</v>
      </c>
      <c r="P2371" s="3" t="str">
        <f>"1162843692                    "</f>
        <v xml:space="preserve">1162843692                    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12.07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0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3">
        <v>0</v>
      </c>
      <c r="AY2371" s="3">
        <v>0</v>
      </c>
      <c r="AZ2371" s="3">
        <v>0</v>
      </c>
      <c r="BA2371" s="3">
        <v>0</v>
      </c>
      <c r="BB2371" s="3">
        <v>0</v>
      </c>
      <c r="BC2371" s="3">
        <v>0</v>
      </c>
      <c r="BD2371" s="3">
        <v>0</v>
      </c>
      <c r="BE2371" s="3">
        <v>0</v>
      </c>
      <c r="BF2371" s="3">
        <v>0</v>
      </c>
      <c r="BG2371" s="3">
        <v>0</v>
      </c>
      <c r="BH2371" s="3">
        <v>1</v>
      </c>
      <c r="BI2371" s="3">
        <v>1</v>
      </c>
      <c r="BJ2371" s="3">
        <v>0.2</v>
      </c>
      <c r="BK2371" s="3">
        <v>1</v>
      </c>
      <c r="BL2371" s="3">
        <v>46.08</v>
      </c>
      <c r="BM2371" s="3">
        <v>6.91</v>
      </c>
      <c r="BN2371" s="3">
        <v>52.99</v>
      </c>
      <c r="BO2371" s="3">
        <v>52.99</v>
      </c>
      <c r="BP2371" s="3" t="s">
        <v>899</v>
      </c>
      <c r="BQ2371" s="3" t="s">
        <v>83</v>
      </c>
      <c r="BR2371" s="3" t="s">
        <v>84</v>
      </c>
      <c r="BS2371" s="3" t="s">
        <v>85</v>
      </c>
      <c r="BY2371" s="3">
        <v>1200</v>
      </c>
      <c r="BZ2371" s="3" t="s">
        <v>165</v>
      </c>
      <c r="CC2371" s="3" t="s">
        <v>76</v>
      </c>
      <c r="CD2371" s="3">
        <v>1645</v>
      </c>
      <c r="CE2371" s="3" t="s">
        <v>86</v>
      </c>
      <c r="CI2371" s="3">
        <v>1</v>
      </c>
      <c r="CJ2371" s="3" t="s">
        <v>85</v>
      </c>
      <c r="CK2371" s="3">
        <v>22</v>
      </c>
      <c r="CL2371" s="3" t="s">
        <v>87</v>
      </c>
    </row>
    <row r="2372" spans="1:90" x14ac:dyDescent="0.2">
      <c r="A2372" s="3" t="s">
        <v>72</v>
      </c>
      <c r="B2372" s="3" t="s">
        <v>73</v>
      </c>
      <c r="C2372" s="3" t="s">
        <v>74</v>
      </c>
      <c r="E2372" s="3" t="str">
        <f>"FES1162846645"</f>
        <v>FES1162846645</v>
      </c>
      <c r="F2372" s="4">
        <v>44587</v>
      </c>
      <c r="G2372" s="3">
        <v>202207</v>
      </c>
      <c r="H2372" s="3" t="s">
        <v>75</v>
      </c>
      <c r="I2372" s="3" t="s">
        <v>76</v>
      </c>
      <c r="J2372" s="3" t="s">
        <v>77</v>
      </c>
      <c r="K2372" s="3" t="s">
        <v>78</v>
      </c>
      <c r="L2372" s="3" t="s">
        <v>101</v>
      </c>
      <c r="M2372" s="3" t="s">
        <v>102</v>
      </c>
      <c r="N2372" s="3" t="s">
        <v>1463</v>
      </c>
      <c r="O2372" s="3" t="s">
        <v>82</v>
      </c>
      <c r="P2372" s="3" t="str">
        <f>"2170818026                    "</f>
        <v xml:space="preserve">2170818026                    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0</v>
      </c>
      <c r="AJ2372" s="3">
        <v>0</v>
      </c>
      <c r="AK2372" s="3">
        <v>100.43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0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3">
        <v>0</v>
      </c>
      <c r="AY2372" s="3">
        <v>0</v>
      </c>
      <c r="AZ2372" s="3">
        <v>0</v>
      </c>
      <c r="BA2372" s="3">
        <v>0</v>
      </c>
      <c r="BB2372" s="3">
        <v>0</v>
      </c>
      <c r="BC2372" s="3">
        <v>0</v>
      </c>
      <c r="BD2372" s="3">
        <v>0</v>
      </c>
      <c r="BE2372" s="3">
        <v>0</v>
      </c>
      <c r="BF2372" s="3">
        <v>0</v>
      </c>
      <c r="BG2372" s="3">
        <v>0</v>
      </c>
      <c r="BH2372" s="3">
        <v>1</v>
      </c>
      <c r="BI2372" s="3">
        <v>9</v>
      </c>
      <c r="BJ2372" s="3">
        <v>13</v>
      </c>
      <c r="BK2372" s="3">
        <v>13</v>
      </c>
      <c r="BL2372" s="3">
        <v>383.33</v>
      </c>
      <c r="BM2372" s="3">
        <v>57.5</v>
      </c>
      <c r="BN2372" s="3">
        <v>440.83</v>
      </c>
      <c r="BO2372" s="3">
        <v>440.83</v>
      </c>
      <c r="BQ2372" s="3" t="s">
        <v>1464</v>
      </c>
      <c r="BR2372" s="3" t="s">
        <v>84</v>
      </c>
      <c r="BS2372" s="4">
        <v>44588</v>
      </c>
      <c r="BT2372" s="5">
        <v>0.38263888888888892</v>
      </c>
      <c r="BU2372" s="3" t="s">
        <v>2230</v>
      </c>
      <c r="BV2372" s="3" t="s">
        <v>105</v>
      </c>
      <c r="BY2372" s="3">
        <v>64980</v>
      </c>
      <c r="BZ2372" s="3" t="s">
        <v>165</v>
      </c>
      <c r="CA2372" s="3" t="s">
        <v>240</v>
      </c>
      <c r="CC2372" s="3" t="s">
        <v>102</v>
      </c>
      <c r="CD2372" s="3">
        <v>4001</v>
      </c>
      <c r="CE2372" s="3" t="s">
        <v>86</v>
      </c>
      <c r="CF2372" s="4">
        <v>44589</v>
      </c>
      <c r="CI2372" s="3">
        <v>1</v>
      </c>
      <c r="CJ2372" s="3">
        <v>1</v>
      </c>
      <c r="CK2372" s="3">
        <v>21</v>
      </c>
      <c r="CL2372" s="3" t="s">
        <v>87</v>
      </c>
    </row>
    <row r="2373" spans="1:90" x14ac:dyDescent="0.2">
      <c r="A2373" s="3" t="s">
        <v>72</v>
      </c>
      <c r="B2373" s="3" t="s">
        <v>73</v>
      </c>
      <c r="C2373" s="3" t="s">
        <v>74</v>
      </c>
      <c r="E2373" s="3" t="str">
        <f>"FES1162847168"</f>
        <v>FES1162847168</v>
      </c>
      <c r="F2373" s="4">
        <v>44587</v>
      </c>
      <c r="G2373" s="3">
        <v>202207</v>
      </c>
      <c r="H2373" s="3" t="s">
        <v>75</v>
      </c>
      <c r="I2373" s="3" t="s">
        <v>76</v>
      </c>
      <c r="J2373" s="3" t="s">
        <v>77</v>
      </c>
      <c r="K2373" s="3" t="s">
        <v>78</v>
      </c>
      <c r="L2373" s="3" t="s">
        <v>171</v>
      </c>
      <c r="M2373" s="3" t="s">
        <v>172</v>
      </c>
      <c r="N2373" s="3" t="s">
        <v>454</v>
      </c>
      <c r="O2373" s="3" t="s">
        <v>82</v>
      </c>
      <c r="P2373" s="3" t="str">
        <f>"2170818487                    "</f>
        <v xml:space="preserve">2170818487                    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0</v>
      </c>
      <c r="AJ2373" s="3">
        <v>0</v>
      </c>
      <c r="AK2373" s="3">
        <v>15.46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0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3">
        <v>0</v>
      </c>
      <c r="AY2373" s="3">
        <v>0</v>
      </c>
      <c r="AZ2373" s="3">
        <v>0</v>
      </c>
      <c r="BA2373" s="3">
        <v>0</v>
      </c>
      <c r="BB2373" s="3">
        <v>0</v>
      </c>
      <c r="BC2373" s="3">
        <v>0</v>
      </c>
      <c r="BD2373" s="3">
        <v>0</v>
      </c>
      <c r="BE2373" s="3">
        <v>0</v>
      </c>
      <c r="BF2373" s="3">
        <v>0</v>
      </c>
      <c r="BG2373" s="3">
        <v>0</v>
      </c>
      <c r="BH2373" s="3">
        <v>1</v>
      </c>
      <c r="BI2373" s="3">
        <v>1</v>
      </c>
      <c r="BJ2373" s="3">
        <v>0.2</v>
      </c>
      <c r="BK2373" s="3">
        <v>1</v>
      </c>
      <c r="BL2373" s="3">
        <v>59</v>
      </c>
      <c r="BM2373" s="3">
        <v>8.85</v>
      </c>
      <c r="BN2373" s="3">
        <v>67.849999999999994</v>
      </c>
      <c r="BO2373" s="3">
        <v>67.849999999999994</v>
      </c>
      <c r="BQ2373" s="3" t="s">
        <v>89</v>
      </c>
      <c r="BR2373" s="3" t="s">
        <v>84</v>
      </c>
      <c r="BS2373" s="4">
        <v>44588</v>
      </c>
      <c r="BT2373" s="5">
        <v>0.38194444444444442</v>
      </c>
      <c r="BU2373" s="3" t="s">
        <v>1155</v>
      </c>
      <c r="BV2373" s="3" t="s">
        <v>105</v>
      </c>
      <c r="BY2373" s="3">
        <v>1200</v>
      </c>
      <c r="BZ2373" s="3" t="s">
        <v>165</v>
      </c>
      <c r="CA2373" s="3" t="s">
        <v>509</v>
      </c>
      <c r="CC2373" s="3" t="s">
        <v>172</v>
      </c>
      <c r="CD2373" s="3">
        <v>6001</v>
      </c>
      <c r="CE2373" s="3" t="s">
        <v>93</v>
      </c>
      <c r="CF2373" s="4">
        <v>44588</v>
      </c>
      <c r="CI2373" s="3">
        <v>1</v>
      </c>
      <c r="CJ2373" s="3">
        <v>1</v>
      </c>
      <c r="CK2373" s="3">
        <v>21</v>
      </c>
      <c r="CL2373" s="3" t="s">
        <v>87</v>
      </c>
    </row>
    <row r="2374" spans="1:90" x14ac:dyDescent="0.2">
      <c r="A2374" s="3" t="s">
        <v>72</v>
      </c>
      <c r="B2374" s="3" t="s">
        <v>73</v>
      </c>
      <c r="C2374" s="3" t="s">
        <v>74</v>
      </c>
      <c r="E2374" s="3" t="str">
        <f>"FES1162847164"</f>
        <v>FES1162847164</v>
      </c>
      <c r="F2374" s="4">
        <v>44587</v>
      </c>
      <c r="G2374" s="3">
        <v>202207</v>
      </c>
      <c r="H2374" s="3" t="s">
        <v>75</v>
      </c>
      <c r="I2374" s="3" t="s">
        <v>76</v>
      </c>
      <c r="J2374" s="3" t="s">
        <v>77</v>
      </c>
      <c r="K2374" s="3" t="s">
        <v>78</v>
      </c>
      <c r="L2374" s="3" t="s">
        <v>79</v>
      </c>
      <c r="M2374" s="3" t="s">
        <v>80</v>
      </c>
      <c r="N2374" s="3" t="s">
        <v>771</v>
      </c>
      <c r="O2374" s="3" t="s">
        <v>82</v>
      </c>
      <c r="P2374" s="3" t="str">
        <f>"2170818482                    "</f>
        <v xml:space="preserve">2170818482                    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0</v>
      </c>
      <c r="AJ2374" s="3">
        <v>0</v>
      </c>
      <c r="AK2374" s="3">
        <v>15.46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0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3">
        <v>0</v>
      </c>
      <c r="AY2374" s="3">
        <v>0</v>
      </c>
      <c r="AZ2374" s="3">
        <v>0</v>
      </c>
      <c r="BA2374" s="3">
        <v>0</v>
      </c>
      <c r="BB2374" s="3">
        <v>0</v>
      </c>
      <c r="BC2374" s="3">
        <v>0</v>
      </c>
      <c r="BD2374" s="3">
        <v>0</v>
      </c>
      <c r="BE2374" s="3">
        <v>0</v>
      </c>
      <c r="BF2374" s="3">
        <v>0</v>
      </c>
      <c r="BG2374" s="3">
        <v>0</v>
      </c>
      <c r="BH2374" s="3">
        <v>1</v>
      </c>
      <c r="BI2374" s="3">
        <v>1</v>
      </c>
      <c r="BJ2374" s="3">
        <v>0.2</v>
      </c>
      <c r="BK2374" s="3">
        <v>1</v>
      </c>
      <c r="BL2374" s="3">
        <v>59</v>
      </c>
      <c r="BM2374" s="3">
        <v>8.85</v>
      </c>
      <c r="BN2374" s="3">
        <v>67.849999999999994</v>
      </c>
      <c r="BO2374" s="3">
        <v>67.849999999999994</v>
      </c>
      <c r="BQ2374" s="3" t="s">
        <v>89</v>
      </c>
      <c r="BR2374" s="3" t="s">
        <v>84</v>
      </c>
      <c r="BS2374" s="4">
        <v>44588</v>
      </c>
      <c r="BT2374" s="5">
        <v>0.38263888888888892</v>
      </c>
      <c r="BU2374" s="3" t="s">
        <v>1367</v>
      </c>
      <c r="BV2374" s="3" t="s">
        <v>105</v>
      </c>
      <c r="BY2374" s="3">
        <v>1200</v>
      </c>
      <c r="BZ2374" s="3" t="s">
        <v>165</v>
      </c>
      <c r="CA2374" s="3" t="s">
        <v>1358</v>
      </c>
      <c r="CC2374" s="3" t="s">
        <v>80</v>
      </c>
      <c r="CD2374" s="3">
        <v>1</v>
      </c>
      <c r="CE2374" s="3" t="s">
        <v>93</v>
      </c>
      <c r="CF2374" s="4">
        <v>44588</v>
      </c>
      <c r="CI2374" s="3">
        <v>1</v>
      </c>
      <c r="CJ2374" s="3">
        <v>1</v>
      </c>
      <c r="CK2374" s="3">
        <v>21</v>
      </c>
      <c r="CL2374" s="3" t="s">
        <v>87</v>
      </c>
    </row>
    <row r="2375" spans="1:90" x14ac:dyDescent="0.2">
      <c r="A2375" s="3" t="s">
        <v>72</v>
      </c>
      <c r="B2375" s="3" t="s">
        <v>73</v>
      </c>
      <c r="C2375" s="3" t="s">
        <v>74</v>
      </c>
      <c r="E2375" s="3" t="str">
        <f>"FES1162847161"</f>
        <v>FES1162847161</v>
      </c>
      <c r="F2375" s="4">
        <v>44587</v>
      </c>
      <c r="G2375" s="3">
        <v>202207</v>
      </c>
      <c r="H2375" s="3" t="s">
        <v>75</v>
      </c>
      <c r="I2375" s="3" t="s">
        <v>76</v>
      </c>
      <c r="J2375" s="3" t="s">
        <v>77</v>
      </c>
      <c r="K2375" s="3" t="s">
        <v>78</v>
      </c>
      <c r="L2375" s="3" t="s">
        <v>867</v>
      </c>
      <c r="M2375" s="3" t="s">
        <v>868</v>
      </c>
      <c r="N2375" s="3" t="s">
        <v>2377</v>
      </c>
      <c r="O2375" s="3" t="s">
        <v>82</v>
      </c>
      <c r="P2375" s="3" t="str">
        <f>"2170818479                    "</f>
        <v xml:space="preserve">2170818479                    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0</v>
      </c>
      <c r="AJ2375" s="3">
        <v>0</v>
      </c>
      <c r="AK2375" s="3">
        <v>29.95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15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3">
        <v>0</v>
      </c>
      <c r="AY2375" s="3">
        <v>0</v>
      </c>
      <c r="AZ2375" s="3">
        <v>0</v>
      </c>
      <c r="BA2375" s="3">
        <v>0</v>
      </c>
      <c r="BB2375" s="3">
        <v>0</v>
      </c>
      <c r="BC2375" s="3">
        <v>0</v>
      </c>
      <c r="BD2375" s="3">
        <v>0</v>
      </c>
      <c r="BE2375" s="3">
        <v>0</v>
      </c>
      <c r="BF2375" s="3">
        <v>0</v>
      </c>
      <c r="BG2375" s="3">
        <v>0</v>
      </c>
      <c r="BH2375" s="3">
        <v>1</v>
      </c>
      <c r="BI2375" s="3">
        <v>1</v>
      </c>
      <c r="BJ2375" s="3">
        <v>0.2</v>
      </c>
      <c r="BK2375" s="3">
        <v>1</v>
      </c>
      <c r="BL2375" s="3">
        <v>129.31</v>
      </c>
      <c r="BM2375" s="3">
        <v>19.399999999999999</v>
      </c>
      <c r="BN2375" s="3">
        <v>148.71</v>
      </c>
      <c r="BO2375" s="3">
        <v>148.71</v>
      </c>
      <c r="BQ2375" s="3" t="s">
        <v>89</v>
      </c>
      <c r="BR2375" s="3" t="s">
        <v>84</v>
      </c>
      <c r="BS2375" s="4">
        <v>44588</v>
      </c>
      <c r="BT2375" s="5">
        <v>0.52916666666666667</v>
      </c>
      <c r="BU2375" s="3" t="s">
        <v>2378</v>
      </c>
      <c r="BV2375" s="3" t="s">
        <v>105</v>
      </c>
      <c r="BY2375" s="3">
        <v>1200</v>
      </c>
      <c r="BZ2375" s="3" t="s">
        <v>446</v>
      </c>
      <c r="CA2375" s="3" t="s">
        <v>1991</v>
      </c>
      <c r="CC2375" s="3" t="s">
        <v>868</v>
      </c>
      <c r="CD2375" s="3">
        <v>4170</v>
      </c>
      <c r="CE2375" s="3" t="s">
        <v>93</v>
      </c>
      <c r="CF2375" s="4">
        <v>44589</v>
      </c>
      <c r="CI2375" s="3">
        <v>1</v>
      </c>
      <c r="CJ2375" s="3">
        <v>1</v>
      </c>
      <c r="CK2375" s="3">
        <v>23</v>
      </c>
      <c r="CL2375" s="3" t="s">
        <v>87</v>
      </c>
    </row>
    <row r="2376" spans="1:90" x14ac:dyDescent="0.2">
      <c r="A2376" s="3" t="s">
        <v>72</v>
      </c>
      <c r="B2376" s="3" t="s">
        <v>73</v>
      </c>
      <c r="C2376" s="3" t="s">
        <v>74</v>
      </c>
      <c r="E2376" s="3" t="str">
        <f>"FES1162846982"</f>
        <v>FES1162846982</v>
      </c>
      <c r="F2376" s="4">
        <v>44587</v>
      </c>
      <c r="G2376" s="3">
        <v>202207</v>
      </c>
      <c r="H2376" s="3" t="s">
        <v>75</v>
      </c>
      <c r="I2376" s="3" t="s">
        <v>76</v>
      </c>
      <c r="J2376" s="3" t="s">
        <v>77</v>
      </c>
      <c r="K2376" s="3" t="s">
        <v>78</v>
      </c>
      <c r="L2376" s="3" t="s">
        <v>184</v>
      </c>
      <c r="M2376" s="3" t="s">
        <v>185</v>
      </c>
      <c r="N2376" s="3" t="s">
        <v>2379</v>
      </c>
      <c r="O2376" s="3" t="s">
        <v>82</v>
      </c>
      <c r="P2376" s="3" t="str">
        <f>"2170816127                    "</f>
        <v xml:space="preserve">2170816127                    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15.46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0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3">
        <v>0</v>
      </c>
      <c r="AY2376" s="3">
        <v>0</v>
      </c>
      <c r="AZ2376" s="3">
        <v>0</v>
      </c>
      <c r="BA2376" s="3">
        <v>0</v>
      </c>
      <c r="BB2376" s="3">
        <v>0</v>
      </c>
      <c r="BC2376" s="3">
        <v>0</v>
      </c>
      <c r="BD2376" s="3">
        <v>0</v>
      </c>
      <c r="BE2376" s="3">
        <v>0</v>
      </c>
      <c r="BF2376" s="3">
        <v>0</v>
      </c>
      <c r="BG2376" s="3">
        <v>0</v>
      </c>
      <c r="BH2376" s="3">
        <v>1</v>
      </c>
      <c r="BI2376" s="3">
        <v>1</v>
      </c>
      <c r="BJ2376" s="3">
        <v>0.2</v>
      </c>
      <c r="BK2376" s="3">
        <v>1</v>
      </c>
      <c r="BL2376" s="3">
        <v>59</v>
      </c>
      <c r="BM2376" s="3">
        <v>8.85</v>
      </c>
      <c r="BN2376" s="3">
        <v>67.849999999999994</v>
      </c>
      <c r="BO2376" s="3">
        <v>67.849999999999994</v>
      </c>
      <c r="BQ2376" s="3" t="s">
        <v>83</v>
      </c>
      <c r="BR2376" s="3" t="s">
        <v>84</v>
      </c>
      <c r="BS2376" s="4">
        <v>44588</v>
      </c>
      <c r="BT2376" s="5">
        <v>0.49861111111111112</v>
      </c>
      <c r="BU2376" s="3" t="s">
        <v>2380</v>
      </c>
      <c r="BV2376" s="3" t="s">
        <v>87</v>
      </c>
      <c r="BW2376" s="3" t="s">
        <v>353</v>
      </c>
      <c r="BX2376" s="3" t="s">
        <v>605</v>
      </c>
      <c r="BY2376" s="3">
        <v>1200</v>
      </c>
      <c r="BZ2376" s="3" t="s">
        <v>165</v>
      </c>
      <c r="CA2376" s="3" t="s">
        <v>2125</v>
      </c>
      <c r="CC2376" s="3" t="s">
        <v>185</v>
      </c>
      <c r="CD2376" s="3">
        <v>5201</v>
      </c>
      <c r="CE2376" s="3" t="s">
        <v>1513</v>
      </c>
      <c r="CF2376" s="4">
        <v>44588</v>
      </c>
      <c r="CI2376" s="3">
        <v>1</v>
      </c>
      <c r="CJ2376" s="3">
        <v>1</v>
      </c>
      <c r="CK2376" s="3">
        <v>21</v>
      </c>
      <c r="CL2376" s="3" t="s">
        <v>87</v>
      </c>
    </row>
    <row r="2377" spans="1:90" x14ac:dyDescent="0.2">
      <c r="A2377" s="3" t="s">
        <v>72</v>
      </c>
      <c r="B2377" s="3" t="s">
        <v>73</v>
      </c>
      <c r="C2377" s="3" t="s">
        <v>74</v>
      </c>
      <c r="E2377" s="3" t="str">
        <f>"FES1162846986"</f>
        <v>FES1162846986</v>
      </c>
      <c r="F2377" s="4">
        <v>44587</v>
      </c>
      <c r="G2377" s="3">
        <v>202207</v>
      </c>
      <c r="H2377" s="3" t="s">
        <v>75</v>
      </c>
      <c r="I2377" s="3" t="s">
        <v>76</v>
      </c>
      <c r="J2377" s="3" t="s">
        <v>77</v>
      </c>
      <c r="K2377" s="3" t="s">
        <v>78</v>
      </c>
      <c r="L2377" s="3" t="s">
        <v>298</v>
      </c>
      <c r="M2377" s="3" t="s">
        <v>299</v>
      </c>
      <c r="N2377" s="3" t="s">
        <v>1567</v>
      </c>
      <c r="O2377" s="3" t="s">
        <v>82</v>
      </c>
      <c r="P2377" s="3" t="str">
        <f>"2170817465                    "</f>
        <v xml:space="preserve">2170817465                    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70.52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Q2377" s="3">
        <v>0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3">
        <v>0</v>
      </c>
      <c r="AY2377" s="3">
        <v>0</v>
      </c>
      <c r="AZ2377" s="3">
        <v>0</v>
      </c>
      <c r="BA2377" s="3">
        <v>0</v>
      </c>
      <c r="BB2377" s="3">
        <v>0</v>
      </c>
      <c r="BC2377" s="3">
        <v>0</v>
      </c>
      <c r="BD2377" s="3">
        <v>0</v>
      </c>
      <c r="BE2377" s="3">
        <v>0</v>
      </c>
      <c r="BF2377" s="3">
        <v>0</v>
      </c>
      <c r="BG2377" s="3">
        <v>0</v>
      </c>
      <c r="BH2377" s="3">
        <v>1</v>
      </c>
      <c r="BI2377" s="3">
        <v>5</v>
      </c>
      <c r="BJ2377" s="3">
        <v>4.0999999999999996</v>
      </c>
      <c r="BK2377" s="3">
        <v>5</v>
      </c>
      <c r="BL2377" s="3">
        <v>269.18</v>
      </c>
      <c r="BM2377" s="3">
        <v>40.380000000000003</v>
      </c>
      <c r="BN2377" s="3">
        <v>309.56</v>
      </c>
      <c r="BO2377" s="3">
        <v>309.56</v>
      </c>
      <c r="BQ2377" s="3" t="s">
        <v>89</v>
      </c>
      <c r="BR2377" s="3" t="s">
        <v>84</v>
      </c>
      <c r="BS2377" s="4">
        <v>44588</v>
      </c>
      <c r="BT2377" s="5">
        <v>0.43333333333333335</v>
      </c>
      <c r="BU2377" s="3" t="s">
        <v>2024</v>
      </c>
      <c r="BV2377" s="3" t="s">
        <v>105</v>
      </c>
      <c r="BY2377" s="3">
        <v>20358</v>
      </c>
      <c r="BZ2377" s="3" t="s">
        <v>165</v>
      </c>
      <c r="CA2377" s="3" t="s">
        <v>268</v>
      </c>
      <c r="CC2377" s="3" t="s">
        <v>299</v>
      </c>
      <c r="CD2377" s="3">
        <v>7349</v>
      </c>
      <c r="CE2377" s="3" t="s">
        <v>221</v>
      </c>
      <c r="CF2377" s="4">
        <v>44589</v>
      </c>
      <c r="CI2377" s="3">
        <v>1</v>
      </c>
      <c r="CJ2377" s="3">
        <v>1</v>
      </c>
      <c r="CK2377" s="3">
        <v>23</v>
      </c>
      <c r="CL2377" s="3" t="s">
        <v>87</v>
      </c>
    </row>
    <row r="2378" spans="1:90" x14ac:dyDescent="0.2">
      <c r="A2378" s="3" t="s">
        <v>72</v>
      </c>
      <c r="B2378" s="3" t="s">
        <v>73</v>
      </c>
      <c r="C2378" s="3" t="s">
        <v>74</v>
      </c>
      <c r="E2378" s="3" t="str">
        <f>"FES1162846844"</f>
        <v>FES1162846844</v>
      </c>
      <c r="F2378" s="4">
        <v>44587</v>
      </c>
      <c r="G2378" s="3">
        <v>202207</v>
      </c>
      <c r="H2378" s="3" t="s">
        <v>75</v>
      </c>
      <c r="I2378" s="3" t="s">
        <v>76</v>
      </c>
      <c r="J2378" s="3" t="s">
        <v>77</v>
      </c>
      <c r="K2378" s="3" t="s">
        <v>78</v>
      </c>
      <c r="L2378" s="3" t="s">
        <v>158</v>
      </c>
      <c r="M2378" s="3" t="s">
        <v>159</v>
      </c>
      <c r="N2378" s="3" t="s">
        <v>223</v>
      </c>
      <c r="O2378" s="3" t="s">
        <v>148</v>
      </c>
      <c r="P2378" s="3" t="str">
        <f>"2170818137                    "</f>
        <v xml:space="preserve">2170818137                    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27.79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0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3">
        <v>0</v>
      </c>
      <c r="AY2378" s="3">
        <v>0</v>
      </c>
      <c r="AZ2378" s="3">
        <v>0</v>
      </c>
      <c r="BA2378" s="3">
        <v>0</v>
      </c>
      <c r="BB2378" s="3">
        <v>0</v>
      </c>
      <c r="BC2378" s="3">
        <v>0</v>
      </c>
      <c r="BD2378" s="3">
        <v>0</v>
      </c>
      <c r="BE2378" s="3">
        <v>0</v>
      </c>
      <c r="BF2378" s="3">
        <v>0</v>
      </c>
      <c r="BG2378" s="3">
        <v>0</v>
      </c>
      <c r="BH2378" s="3">
        <v>2</v>
      </c>
      <c r="BI2378" s="3">
        <v>11</v>
      </c>
      <c r="BJ2378" s="3">
        <v>21.6</v>
      </c>
      <c r="BK2378" s="3">
        <v>22</v>
      </c>
      <c r="BL2378" s="3">
        <v>111.31</v>
      </c>
      <c r="BM2378" s="3">
        <v>16.7</v>
      </c>
      <c r="BN2378" s="3">
        <v>128.01</v>
      </c>
      <c r="BO2378" s="3">
        <v>128.01</v>
      </c>
      <c r="BQ2378" s="3" t="s">
        <v>89</v>
      </c>
      <c r="BR2378" s="3" t="s">
        <v>84</v>
      </c>
      <c r="BS2378" s="4">
        <v>44588</v>
      </c>
      <c r="BT2378" s="5">
        <v>0.32777777777777778</v>
      </c>
      <c r="BU2378" s="3" t="s">
        <v>2165</v>
      </c>
      <c r="BV2378" s="3" t="s">
        <v>105</v>
      </c>
      <c r="BY2378" s="3">
        <v>108084</v>
      </c>
      <c r="BZ2378" s="3" t="s">
        <v>327</v>
      </c>
      <c r="CA2378" s="3" t="s">
        <v>678</v>
      </c>
      <c r="CC2378" s="3" t="s">
        <v>159</v>
      </c>
      <c r="CD2378" s="3">
        <v>1459</v>
      </c>
      <c r="CE2378" s="3" t="s">
        <v>221</v>
      </c>
      <c r="CF2378" s="4">
        <v>44588</v>
      </c>
      <c r="CI2378" s="3">
        <v>1</v>
      </c>
      <c r="CJ2378" s="3">
        <v>1</v>
      </c>
      <c r="CK2378" s="3">
        <v>42</v>
      </c>
      <c r="CL2378" s="3" t="s">
        <v>87</v>
      </c>
    </row>
    <row r="2379" spans="1:90" x14ac:dyDescent="0.2">
      <c r="A2379" s="3" t="s">
        <v>72</v>
      </c>
      <c r="B2379" s="3" t="s">
        <v>73</v>
      </c>
      <c r="C2379" s="3" t="s">
        <v>74</v>
      </c>
      <c r="E2379" s="3" t="str">
        <f>"FES1162847002"</f>
        <v>FES1162847002</v>
      </c>
      <c r="F2379" s="4">
        <v>44587</v>
      </c>
      <c r="G2379" s="3">
        <v>202207</v>
      </c>
      <c r="H2379" s="3" t="s">
        <v>75</v>
      </c>
      <c r="I2379" s="3" t="s">
        <v>76</v>
      </c>
      <c r="J2379" s="3" t="s">
        <v>77</v>
      </c>
      <c r="K2379" s="3" t="s">
        <v>78</v>
      </c>
      <c r="L2379" s="3" t="s">
        <v>427</v>
      </c>
      <c r="M2379" s="3" t="s">
        <v>428</v>
      </c>
      <c r="N2379" s="3" t="s">
        <v>1867</v>
      </c>
      <c r="O2379" s="3" t="s">
        <v>82</v>
      </c>
      <c r="P2379" s="3" t="str">
        <f>"2170818281                    "</f>
        <v xml:space="preserve">2170818281                    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165.2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0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3">
        <v>0</v>
      </c>
      <c r="AY2379" s="3">
        <v>0</v>
      </c>
      <c r="AZ2379" s="3">
        <v>0</v>
      </c>
      <c r="BA2379" s="3">
        <v>0</v>
      </c>
      <c r="BB2379" s="3">
        <v>0</v>
      </c>
      <c r="BC2379" s="3">
        <v>0</v>
      </c>
      <c r="BD2379" s="3">
        <v>0</v>
      </c>
      <c r="BE2379" s="3">
        <v>0</v>
      </c>
      <c r="BF2379" s="3">
        <v>0</v>
      </c>
      <c r="BG2379" s="3">
        <v>0</v>
      </c>
      <c r="BH2379" s="3">
        <v>1</v>
      </c>
      <c r="BI2379" s="3">
        <v>4</v>
      </c>
      <c r="BJ2379" s="3">
        <v>11.6</v>
      </c>
      <c r="BK2379" s="3">
        <v>12</v>
      </c>
      <c r="BL2379" s="3">
        <v>630.55999999999995</v>
      </c>
      <c r="BM2379" s="3">
        <v>94.58</v>
      </c>
      <c r="BN2379" s="3">
        <v>725.14</v>
      </c>
      <c r="BO2379" s="3">
        <v>725.14</v>
      </c>
      <c r="BQ2379" s="3" t="s">
        <v>83</v>
      </c>
      <c r="BR2379" s="3" t="s">
        <v>84</v>
      </c>
      <c r="BS2379" s="4">
        <v>44588</v>
      </c>
      <c r="BT2379" s="5">
        <v>0.40416666666666662</v>
      </c>
      <c r="BU2379" s="3" t="s">
        <v>2153</v>
      </c>
      <c r="BV2379" s="3" t="s">
        <v>105</v>
      </c>
      <c r="BY2379" s="3">
        <v>57760</v>
      </c>
      <c r="BZ2379" s="3" t="s">
        <v>165</v>
      </c>
      <c r="CA2379" s="3" t="s">
        <v>488</v>
      </c>
      <c r="CC2379" s="3" t="s">
        <v>428</v>
      </c>
      <c r="CD2379" s="3">
        <v>7130</v>
      </c>
      <c r="CE2379" s="3" t="s">
        <v>221</v>
      </c>
      <c r="CF2379" s="4">
        <v>44589</v>
      </c>
      <c r="CI2379" s="3">
        <v>1</v>
      </c>
      <c r="CJ2379" s="3">
        <v>1</v>
      </c>
      <c r="CK2379" s="3">
        <v>23</v>
      </c>
      <c r="CL2379" s="3" t="s">
        <v>87</v>
      </c>
    </row>
    <row r="2380" spans="1:90" x14ac:dyDescent="0.2">
      <c r="A2380" s="3" t="s">
        <v>72</v>
      </c>
      <c r="B2380" s="3" t="s">
        <v>73</v>
      </c>
      <c r="C2380" s="3" t="s">
        <v>74</v>
      </c>
      <c r="E2380" s="3" t="str">
        <f>"FES1162847007"</f>
        <v>FES1162847007</v>
      </c>
      <c r="F2380" s="4">
        <v>44587</v>
      </c>
      <c r="G2380" s="3">
        <v>202207</v>
      </c>
      <c r="H2380" s="3" t="s">
        <v>75</v>
      </c>
      <c r="I2380" s="3" t="s">
        <v>76</v>
      </c>
      <c r="J2380" s="3" t="s">
        <v>77</v>
      </c>
      <c r="K2380" s="3" t="s">
        <v>78</v>
      </c>
      <c r="L2380" s="3" t="s">
        <v>799</v>
      </c>
      <c r="M2380" s="3" t="s">
        <v>800</v>
      </c>
      <c r="N2380" s="3" t="s">
        <v>2381</v>
      </c>
      <c r="O2380" s="3" t="s">
        <v>82</v>
      </c>
      <c r="P2380" s="3" t="str">
        <f>"2170818288                    "</f>
        <v xml:space="preserve">2170818288                    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21.74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0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3">
        <v>0</v>
      </c>
      <c r="AY2380" s="3">
        <v>0</v>
      </c>
      <c r="AZ2380" s="3">
        <v>0</v>
      </c>
      <c r="BA2380" s="3">
        <v>0</v>
      </c>
      <c r="BB2380" s="3">
        <v>0</v>
      </c>
      <c r="BC2380" s="3">
        <v>0</v>
      </c>
      <c r="BD2380" s="3">
        <v>0</v>
      </c>
      <c r="BE2380" s="3">
        <v>0</v>
      </c>
      <c r="BF2380" s="3">
        <v>0</v>
      </c>
      <c r="BG2380" s="3">
        <v>0</v>
      </c>
      <c r="BH2380" s="3">
        <v>1</v>
      </c>
      <c r="BI2380" s="3">
        <v>1</v>
      </c>
      <c r="BJ2380" s="3">
        <v>0.2</v>
      </c>
      <c r="BK2380" s="3">
        <v>1</v>
      </c>
      <c r="BL2380" s="3">
        <v>82.98</v>
      </c>
      <c r="BM2380" s="3">
        <v>12.45</v>
      </c>
      <c r="BN2380" s="3">
        <v>95.43</v>
      </c>
      <c r="BO2380" s="3">
        <v>95.43</v>
      </c>
      <c r="BR2380" s="3" t="s">
        <v>84</v>
      </c>
      <c r="BS2380" s="3" t="s">
        <v>85</v>
      </c>
      <c r="BW2380" s="3" t="s">
        <v>757</v>
      </c>
      <c r="BX2380" s="3" t="s">
        <v>758</v>
      </c>
      <c r="BY2380" s="3">
        <v>1200</v>
      </c>
      <c r="BZ2380" s="3" t="s">
        <v>165</v>
      </c>
      <c r="CC2380" s="3" t="s">
        <v>800</v>
      </c>
      <c r="CD2380" s="3">
        <v>2210</v>
      </c>
      <c r="CE2380" s="3" t="s">
        <v>93</v>
      </c>
      <c r="CI2380" s="3">
        <v>1</v>
      </c>
      <c r="CJ2380" s="3" t="s">
        <v>85</v>
      </c>
      <c r="CK2380" s="3">
        <v>24</v>
      </c>
      <c r="CL2380" s="3" t="s">
        <v>87</v>
      </c>
    </row>
    <row r="2381" spans="1:90" x14ac:dyDescent="0.2">
      <c r="A2381" s="3" t="s">
        <v>72</v>
      </c>
      <c r="B2381" s="3" t="s">
        <v>73</v>
      </c>
      <c r="C2381" s="3" t="s">
        <v>74</v>
      </c>
      <c r="E2381" s="3" t="str">
        <f>"FES1162846911"</f>
        <v>FES1162846911</v>
      </c>
      <c r="F2381" s="4">
        <v>44587</v>
      </c>
      <c r="G2381" s="3">
        <v>202207</v>
      </c>
      <c r="H2381" s="3" t="s">
        <v>75</v>
      </c>
      <c r="I2381" s="3" t="s">
        <v>76</v>
      </c>
      <c r="J2381" s="3" t="s">
        <v>77</v>
      </c>
      <c r="K2381" s="3" t="s">
        <v>78</v>
      </c>
      <c r="L2381" s="3" t="s">
        <v>133</v>
      </c>
      <c r="M2381" s="3" t="s">
        <v>134</v>
      </c>
      <c r="N2381" s="3" t="s">
        <v>135</v>
      </c>
      <c r="O2381" s="3" t="s">
        <v>82</v>
      </c>
      <c r="P2381" s="3" t="str">
        <f>"2170817952                    "</f>
        <v xml:space="preserve">2170817952                    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64.08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0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3">
        <v>0</v>
      </c>
      <c r="AY2381" s="3">
        <v>0</v>
      </c>
      <c r="AZ2381" s="3">
        <v>0</v>
      </c>
      <c r="BA2381" s="3">
        <v>0</v>
      </c>
      <c r="BB2381" s="3">
        <v>0</v>
      </c>
      <c r="BC2381" s="3">
        <v>0</v>
      </c>
      <c r="BD2381" s="3">
        <v>0</v>
      </c>
      <c r="BE2381" s="3">
        <v>0</v>
      </c>
      <c r="BF2381" s="3">
        <v>0</v>
      </c>
      <c r="BG2381" s="3">
        <v>0</v>
      </c>
      <c r="BH2381" s="3">
        <v>1</v>
      </c>
      <c r="BI2381" s="3">
        <v>6</v>
      </c>
      <c r="BJ2381" s="3">
        <v>1.9</v>
      </c>
      <c r="BK2381" s="3">
        <v>6</v>
      </c>
      <c r="BL2381" s="3">
        <v>244.6</v>
      </c>
      <c r="BM2381" s="3">
        <v>36.69</v>
      </c>
      <c r="BN2381" s="3">
        <v>281.29000000000002</v>
      </c>
      <c r="BO2381" s="3">
        <v>281.29000000000002</v>
      </c>
      <c r="BQ2381" s="3" t="s">
        <v>83</v>
      </c>
      <c r="BR2381" s="3" t="s">
        <v>84</v>
      </c>
      <c r="BS2381" s="4">
        <v>44588</v>
      </c>
      <c r="BT2381" s="5">
        <v>0.42499999999999999</v>
      </c>
      <c r="BU2381" s="3" t="s">
        <v>2382</v>
      </c>
      <c r="BV2381" s="3" t="s">
        <v>105</v>
      </c>
      <c r="BY2381" s="3">
        <v>9464</v>
      </c>
      <c r="BZ2381" s="3" t="s">
        <v>165</v>
      </c>
      <c r="CA2381" s="3" t="s">
        <v>673</v>
      </c>
      <c r="CC2381" s="3" t="s">
        <v>134</v>
      </c>
      <c r="CD2381" s="3">
        <v>1911</v>
      </c>
      <c r="CE2381" s="3" t="s">
        <v>86</v>
      </c>
      <c r="CF2381" s="4">
        <v>44589</v>
      </c>
      <c r="CI2381" s="3">
        <v>1</v>
      </c>
      <c r="CJ2381" s="3">
        <v>1</v>
      </c>
      <c r="CK2381" s="3">
        <v>24</v>
      </c>
      <c r="CL2381" s="3" t="s">
        <v>87</v>
      </c>
    </row>
    <row r="2382" spans="1:90" x14ac:dyDescent="0.2">
      <c r="A2382" s="3" t="s">
        <v>72</v>
      </c>
      <c r="B2382" s="3" t="s">
        <v>73</v>
      </c>
      <c r="C2382" s="3" t="s">
        <v>74</v>
      </c>
      <c r="E2382" s="3" t="str">
        <f>"FES1162847173"</f>
        <v>FES1162847173</v>
      </c>
      <c r="F2382" s="4">
        <v>44588</v>
      </c>
      <c r="G2382" s="3">
        <v>202207</v>
      </c>
      <c r="H2382" s="3" t="s">
        <v>75</v>
      </c>
      <c r="I2382" s="3" t="s">
        <v>76</v>
      </c>
      <c r="J2382" s="3" t="s">
        <v>77</v>
      </c>
      <c r="K2382" s="3" t="s">
        <v>78</v>
      </c>
      <c r="L2382" s="3" t="s">
        <v>2383</v>
      </c>
      <c r="M2382" s="3" t="s">
        <v>2384</v>
      </c>
      <c r="N2382" s="3" t="s">
        <v>2385</v>
      </c>
      <c r="O2382" s="3" t="s">
        <v>148</v>
      </c>
      <c r="P2382" s="3" t="str">
        <f>"2170814271                    "</f>
        <v xml:space="preserve">2170814271                    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59.4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0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3">
        <v>0</v>
      </c>
      <c r="AY2382" s="3">
        <v>0</v>
      </c>
      <c r="AZ2382" s="3">
        <v>0</v>
      </c>
      <c r="BA2382" s="3">
        <v>0</v>
      </c>
      <c r="BB2382" s="3">
        <v>0</v>
      </c>
      <c r="BC2382" s="3">
        <v>0</v>
      </c>
      <c r="BD2382" s="3">
        <v>0</v>
      </c>
      <c r="BE2382" s="3">
        <v>0</v>
      </c>
      <c r="BF2382" s="3">
        <v>0</v>
      </c>
      <c r="BG2382" s="3">
        <v>0</v>
      </c>
      <c r="BH2382" s="3">
        <v>1</v>
      </c>
      <c r="BI2382" s="3">
        <v>23</v>
      </c>
      <c r="BJ2382" s="3">
        <v>18.3</v>
      </c>
      <c r="BK2382" s="3">
        <v>23</v>
      </c>
      <c r="BL2382" s="3">
        <v>231.96</v>
      </c>
      <c r="BM2382" s="3">
        <v>34.79</v>
      </c>
      <c r="BN2382" s="3">
        <v>266.75</v>
      </c>
      <c r="BO2382" s="3">
        <v>266.75</v>
      </c>
      <c r="BQ2382" s="3" t="s">
        <v>83</v>
      </c>
      <c r="BR2382" s="3" t="s">
        <v>84</v>
      </c>
      <c r="BS2382" s="4">
        <v>44589</v>
      </c>
      <c r="BT2382" s="5">
        <v>0.5708333333333333</v>
      </c>
      <c r="BU2382" s="3" t="s">
        <v>2386</v>
      </c>
      <c r="BV2382" s="3" t="s">
        <v>105</v>
      </c>
      <c r="BY2382" s="3">
        <v>91264</v>
      </c>
      <c r="BZ2382" s="3" t="s">
        <v>327</v>
      </c>
      <c r="CA2382" s="3" t="s">
        <v>2387</v>
      </c>
      <c r="CC2382" s="3" t="s">
        <v>2384</v>
      </c>
      <c r="CD2382" s="3">
        <v>1120</v>
      </c>
      <c r="CE2382" s="3" t="s">
        <v>86</v>
      </c>
      <c r="CF2382" s="4">
        <v>44589</v>
      </c>
      <c r="CI2382" s="3">
        <v>1</v>
      </c>
      <c r="CJ2382" s="3">
        <v>1</v>
      </c>
      <c r="CK2382" s="3">
        <v>43</v>
      </c>
      <c r="CL2382" s="3" t="s">
        <v>87</v>
      </c>
    </row>
    <row r="2383" spans="1:90" x14ac:dyDescent="0.2">
      <c r="A2383" s="3" t="s">
        <v>72</v>
      </c>
      <c r="B2383" s="3" t="s">
        <v>73</v>
      </c>
      <c r="C2383" s="3" t="s">
        <v>74</v>
      </c>
      <c r="E2383" s="3" t="str">
        <f>"FES1162847294"</f>
        <v>FES1162847294</v>
      </c>
      <c r="F2383" s="4">
        <v>44588</v>
      </c>
      <c r="G2383" s="3">
        <v>202207</v>
      </c>
      <c r="H2383" s="3" t="s">
        <v>75</v>
      </c>
      <c r="I2383" s="3" t="s">
        <v>76</v>
      </c>
      <c r="J2383" s="3" t="s">
        <v>77</v>
      </c>
      <c r="K2383" s="3" t="s">
        <v>78</v>
      </c>
      <c r="L2383" s="3" t="s">
        <v>90</v>
      </c>
      <c r="M2383" s="3" t="s">
        <v>91</v>
      </c>
      <c r="N2383" s="3" t="s">
        <v>132</v>
      </c>
      <c r="O2383" s="3" t="s">
        <v>82</v>
      </c>
      <c r="P2383" s="3" t="str">
        <f>"2170817174                    "</f>
        <v xml:space="preserve">2170817174                    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15.46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0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3">
        <v>0</v>
      </c>
      <c r="AY2383" s="3">
        <v>0</v>
      </c>
      <c r="AZ2383" s="3">
        <v>0</v>
      </c>
      <c r="BA2383" s="3">
        <v>0</v>
      </c>
      <c r="BB2383" s="3">
        <v>0</v>
      </c>
      <c r="BC2383" s="3">
        <v>0</v>
      </c>
      <c r="BD2383" s="3">
        <v>0</v>
      </c>
      <c r="BE2383" s="3">
        <v>0</v>
      </c>
      <c r="BF2383" s="3">
        <v>0</v>
      </c>
      <c r="BG2383" s="3">
        <v>0</v>
      </c>
      <c r="BH2383" s="3">
        <v>1</v>
      </c>
      <c r="BI2383" s="3">
        <v>1</v>
      </c>
      <c r="BJ2383" s="3">
        <v>0.2</v>
      </c>
      <c r="BK2383" s="3">
        <v>1</v>
      </c>
      <c r="BL2383" s="3">
        <v>59</v>
      </c>
      <c r="BM2383" s="3">
        <v>8.85</v>
      </c>
      <c r="BN2383" s="3">
        <v>67.849999999999994</v>
      </c>
      <c r="BO2383" s="3">
        <v>67.849999999999994</v>
      </c>
      <c r="BQ2383" s="3" t="s">
        <v>83</v>
      </c>
      <c r="BR2383" s="3" t="s">
        <v>84</v>
      </c>
      <c r="BS2383" s="4">
        <v>44589</v>
      </c>
      <c r="BT2383" s="5">
        <v>0.41944444444444445</v>
      </c>
      <c r="BU2383" s="3" t="s">
        <v>595</v>
      </c>
      <c r="BV2383" s="3" t="s">
        <v>105</v>
      </c>
      <c r="BY2383" s="3">
        <v>1200</v>
      </c>
      <c r="BZ2383" s="3" t="s">
        <v>165</v>
      </c>
      <c r="CA2383" s="3" t="s">
        <v>1633</v>
      </c>
      <c r="CC2383" s="3" t="s">
        <v>91</v>
      </c>
      <c r="CD2383" s="3">
        <v>7530</v>
      </c>
      <c r="CE2383" s="3" t="s">
        <v>93</v>
      </c>
      <c r="CI2383" s="3">
        <v>1</v>
      </c>
      <c r="CJ2383" s="3">
        <v>1</v>
      </c>
      <c r="CK2383" s="3">
        <v>21</v>
      </c>
      <c r="CL2383" s="3" t="s">
        <v>87</v>
      </c>
    </row>
    <row r="2384" spans="1:90" x14ac:dyDescent="0.2">
      <c r="A2384" s="3" t="s">
        <v>72</v>
      </c>
      <c r="B2384" s="3" t="s">
        <v>73</v>
      </c>
      <c r="C2384" s="3" t="s">
        <v>74</v>
      </c>
      <c r="E2384" s="3" t="str">
        <f>"FES1162847315"</f>
        <v>FES1162847315</v>
      </c>
      <c r="F2384" s="4">
        <v>44588</v>
      </c>
      <c r="G2384" s="3">
        <v>202207</v>
      </c>
      <c r="H2384" s="3" t="s">
        <v>75</v>
      </c>
      <c r="I2384" s="3" t="s">
        <v>76</v>
      </c>
      <c r="J2384" s="3" t="s">
        <v>77</v>
      </c>
      <c r="K2384" s="3" t="s">
        <v>78</v>
      </c>
      <c r="L2384" s="3" t="s">
        <v>171</v>
      </c>
      <c r="M2384" s="3" t="s">
        <v>172</v>
      </c>
      <c r="N2384" s="3" t="s">
        <v>249</v>
      </c>
      <c r="O2384" s="3" t="s">
        <v>82</v>
      </c>
      <c r="P2384" s="3" t="str">
        <f>"2170818557                    "</f>
        <v xml:space="preserve">2170818557                    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15.46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0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3">
        <v>0</v>
      </c>
      <c r="AY2384" s="3">
        <v>0</v>
      </c>
      <c r="AZ2384" s="3">
        <v>0</v>
      </c>
      <c r="BA2384" s="3">
        <v>0</v>
      </c>
      <c r="BB2384" s="3">
        <v>0</v>
      </c>
      <c r="BC2384" s="3">
        <v>0</v>
      </c>
      <c r="BD2384" s="3">
        <v>0</v>
      </c>
      <c r="BE2384" s="3">
        <v>0</v>
      </c>
      <c r="BF2384" s="3">
        <v>0</v>
      </c>
      <c r="BG2384" s="3">
        <v>0</v>
      </c>
      <c r="BH2384" s="3">
        <v>1</v>
      </c>
      <c r="BI2384" s="3">
        <v>1</v>
      </c>
      <c r="BJ2384" s="3">
        <v>0.2</v>
      </c>
      <c r="BK2384" s="3">
        <v>1</v>
      </c>
      <c r="BL2384" s="3">
        <v>59</v>
      </c>
      <c r="BM2384" s="3">
        <v>8.85</v>
      </c>
      <c r="BN2384" s="3">
        <v>67.849999999999994</v>
      </c>
      <c r="BO2384" s="3">
        <v>67.849999999999994</v>
      </c>
      <c r="BQ2384" s="3" t="s">
        <v>89</v>
      </c>
      <c r="BR2384" s="3" t="s">
        <v>84</v>
      </c>
      <c r="BS2384" s="4">
        <v>44589</v>
      </c>
      <c r="BT2384" s="5">
        <v>0.39374999999999999</v>
      </c>
      <c r="BU2384" s="3" t="s">
        <v>2388</v>
      </c>
      <c r="BV2384" s="3" t="s">
        <v>105</v>
      </c>
      <c r="BY2384" s="3">
        <v>1200</v>
      </c>
      <c r="BZ2384" s="3" t="s">
        <v>165</v>
      </c>
      <c r="CA2384" s="3" t="s">
        <v>509</v>
      </c>
      <c r="CC2384" s="3" t="s">
        <v>172</v>
      </c>
      <c r="CD2384" s="3">
        <v>6001</v>
      </c>
      <c r="CE2384" s="3" t="s">
        <v>93</v>
      </c>
      <c r="CF2384" s="4">
        <v>44589</v>
      </c>
      <c r="CI2384" s="3">
        <v>1</v>
      </c>
      <c r="CJ2384" s="3">
        <v>1</v>
      </c>
      <c r="CK2384" s="3">
        <v>21</v>
      </c>
      <c r="CL2384" s="3" t="s">
        <v>87</v>
      </c>
    </row>
    <row r="2385" spans="1:90" x14ac:dyDescent="0.2">
      <c r="A2385" s="3" t="s">
        <v>72</v>
      </c>
      <c r="B2385" s="3" t="s">
        <v>73</v>
      </c>
      <c r="C2385" s="3" t="s">
        <v>74</v>
      </c>
      <c r="E2385" s="3" t="str">
        <f>"FES1162847272"</f>
        <v>FES1162847272</v>
      </c>
      <c r="F2385" s="4">
        <v>44588</v>
      </c>
      <c r="G2385" s="3">
        <v>202207</v>
      </c>
      <c r="H2385" s="3" t="s">
        <v>75</v>
      </c>
      <c r="I2385" s="3" t="s">
        <v>76</v>
      </c>
      <c r="J2385" s="3" t="s">
        <v>77</v>
      </c>
      <c r="K2385" s="3" t="s">
        <v>78</v>
      </c>
      <c r="L2385" s="3" t="s">
        <v>184</v>
      </c>
      <c r="M2385" s="3" t="s">
        <v>185</v>
      </c>
      <c r="N2385" s="3" t="s">
        <v>2379</v>
      </c>
      <c r="O2385" s="3" t="s">
        <v>82</v>
      </c>
      <c r="P2385" s="3" t="str">
        <f>"2170816127                    "</f>
        <v xml:space="preserve">2170816127                    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15.46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3">
        <v>0</v>
      </c>
      <c r="AY2385" s="3">
        <v>0</v>
      </c>
      <c r="AZ2385" s="3">
        <v>0</v>
      </c>
      <c r="BA2385" s="3">
        <v>0</v>
      </c>
      <c r="BB2385" s="3">
        <v>0</v>
      </c>
      <c r="BC2385" s="3">
        <v>0</v>
      </c>
      <c r="BD2385" s="3">
        <v>0</v>
      </c>
      <c r="BE2385" s="3">
        <v>0</v>
      </c>
      <c r="BF2385" s="3">
        <v>0</v>
      </c>
      <c r="BG2385" s="3">
        <v>0</v>
      </c>
      <c r="BH2385" s="3">
        <v>1</v>
      </c>
      <c r="BI2385" s="3">
        <v>1</v>
      </c>
      <c r="BJ2385" s="3">
        <v>0.2</v>
      </c>
      <c r="BK2385" s="3">
        <v>1</v>
      </c>
      <c r="BL2385" s="3">
        <v>59</v>
      </c>
      <c r="BM2385" s="3">
        <v>8.85</v>
      </c>
      <c r="BN2385" s="3">
        <v>67.849999999999994</v>
      </c>
      <c r="BO2385" s="3">
        <v>67.849999999999994</v>
      </c>
      <c r="BQ2385" s="3" t="s">
        <v>83</v>
      </c>
      <c r="BR2385" s="3" t="s">
        <v>84</v>
      </c>
      <c r="BS2385" s="4">
        <v>44589</v>
      </c>
      <c r="BT2385" s="5">
        <v>0.69166666666666676</v>
      </c>
      <c r="BU2385" s="3" t="s">
        <v>2389</v>
      </c>
      <c r="BV2385" s="3" t="s">
        <v>87</v>
      </c>
      <c r="BW2385" s="3" t="s">
        <v>617</v>
      </c>
      <c r="BX2385" s="3" t="s">
        <v>648</v>
      </c>
      <c r="BY2385" s="3">
        <v>1200</v>
      </c>
      <c r="BZ2385" s="3" t="s">
        <v>165</v>
      </c>
      <c r="CA2385" s="3" t="s">
        <v>649</v>
      </c>
      <c r="CC2385" s="3" t="s">
        <v>185</v>
      </c>
      <c r="CD2385" s="3">
        <v>5201</v>
      </c>
      <c r="CE2385" s="3" t="s">
        <v>93</v>
      </c>
      <c r="CF2385" s="4">
        <v>44589</v>
      </c>
      <c r="CI2385" s="3">
        <v>1</v>
      </c>
      <c r="CJ2385" s="3">
        <v>1</v>
      </c>
      <c r="CK2385" s="3">
        <v>21</v>
      </c>
      <c r="CL2385" s="3" t="s">
        <v>87</v>
      </c>
    </row>
    <row r="2386" spans="1:90" x14ac:dyDescent="0.2">
      <c r="A2386" s="3" t="s">
        <v>72</v>
      </c>
      <c r="B2386" s="3" t="s">
        <v>73</v>
      </c>
      <c r="C2386" s="3" t="s">
        <v>74</v>
      </c>
      <c r="E2386" s="3" t="str">
        <f>"FES1162847307"</f>
        <v>FES1162847307</v>
      </c>
      <c r="F2386" s="4">
        <v>44588</v>
      </c>
      <c r="G2386" s="3">
        <v>202207</v>
      </c>
      <c r="H2386" s="3" t="s">
        <v>75</v>
      </c>
      <c r="I2386" s="3" t="s">
        <v>76</v>
      </c>
      <c r="J2386" s="3" t="s">
        <v>77</v>
      </c>
      <c r="K2386" s="3" t="s">
        <v>78</v>
      </c>
      <c r="L2386" s="3" t="s">
        <v>244</v>
      </c>
      <c r="M2386" s="3" t="s">
        <v>245</v>
      </c>
      <c r="N2386" s="3" t="s">
        <v>400</v>
      </c>
      <c r="O2386" s="3" t="s">
        <v>82</v>
      </c>
      <c r="P2386" s="3" t="str">
        <f>"2170818552                    "</f>
        <v xml:space="preserve">2170818552                    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43.47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0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3">
        <v>0</v>
      </c>
      <c r="AY2386" s="3">
        <v>0</v>
      </c>
      <c r="AZ2386" s="3">
        <v>0</v>
      </c>
      <c r="BA2386" s="3">
        <v>0</v>
      </c>
      <c r="BB2386" s="3">
        <v>0</v>
      </c>
      <c r="BC2386" s="3">
        <v>0</v>
      </c>
      <c r="BD2386" s="3">
        <v>0</v>
      </c>
      <c r="BE2386" s="3">
        <v>0</v>
      </c>
      <c r="BF2386" s="3">
        <v>0</v>
      </c>
      <c r="BG2386" s="3">
        <v>0</v>
      </c>
      <c r="BH2386" s="3">
        <v>1</v>
      </c>
      <c r="BI2386" s="3">
        <v>3</v>
      </c>
      <c r="BJ2386" s="3">
        <v>2</v>
      </c>
      <c r="BK2386" s="3">
        <v>3</v>
      </c>
      <c r="BL2386" s="3">
        <v>165.93</v>
      </c>
      <c r="BM2386" s="3">
        <v>24.89</v>
      </c>
      <c r="BN2386" s="3">
        <v>190.82</v>
      </c>
      <c r="BO2386" s="3">
        <v>190.82</v>
      </c>
      <c r="BQ2386" s="3" t="s">
        <v>83</v>
      </c>
      <c r="BR2386" s="3" t="s">
        <v>84</v>
      </c>
      <c r="BS2386" s="4">
        <v>44589</v>
      </c>
      <c r="BT2386" s="5">
        <v>0.43611111111111112</v>
      </c>
      <c r="BU2386" s="3" t="s">
        <v>2390</v>
      </c>
      <c r="BV2386" s="3" t="s">
        <v>105</v>
      </c>
      <c r="BY2386" s="3">
        <v>9900</v>
      </c>
      <c r="BZ2386" s="3" t="s">
        <v>165</v>
      </c>
      <c r="CA2386" s="3" t="s">
        <v>402</v>
      </c>
      <c r="CC2386" s="3" t="s">
        <v>245</v>
      </c>
      <c r="CD2386" s="3">
        <v>1947</v>
      </c>
      <c r="CE2386" s="3" t="s">
        <v>86</v>
      </c>
      <c r="CI2386" s="3">
        <v>1</v>
      </c>
      <c r="CJ2386" s="3">
        <v>1</v>
      </c>
      <c r="CK2386" s="3">
        <v>23</v>
      </c>
      <c r="CL2386" s="3" t="s">
        <v>87</v>
      </c>
    </row>
    <row r="2387" spans="1:90" x14ac:dyDescent="0.2">
      <c r="A2387" s="3" t="s">
        <v>72</v>
      </c>
      <c r="B2387" s="3" t="s">
        <v>73</v>
      </c>
      <c r="C2387" s="3" t="s">
        <v>74</v>
      </c>
      <c r="E2387" s="3" t="str">
        <f>"FES1162847265"</f>
        <v>FES1162847265</v>
      </c>
      <c r="F2387" s="4">
        <v>44588</v>
      </c>
      <c r="G2387" s="3">
        <v>202207</v>
      </c>
      <c r="H2387" s="3" t="s">
        <v>75</v>
      </c>
      <c r="I2387" s="3" t="s">
        <v>76</v>
      </c>
      <c r="J2387" s="3" t="s">
        <v>77</v>
      </c>
      <c r="K2387" s="3" t="s">
        <v>78</v>
      </c>
      <c r="L2387" s="3" t="s">
        <v>171</v>
      </c>
      <c r="M2387" s="3" t="s">
        <v>172</v>
      </c>
      <c r="N2387" s="3" t="s">
        <v>910</v>
      </c>
      <c r="O2387" s="3" t="s">
        <v>82</v>
      </c>
      <c r="P2387" s="3" t="str">
        <f>"2170814723                    "</f>
        <v xml:space="preserve">2170814723                    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15.46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0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3">
        <v>0</v>
      </c>
      <c r="AY2387" s="3">
        <v>0</v>
      </c>
      <c r="AZ2387" s="3">
        <v>0</v>
      </c>
      <c r="BA2387" s="3">
        <v>0</v>
      </c>
      <c r="BB2387" s="3">
        <v>0</v>
      </c>
      <c r="BC2387" s="3">
        <v>0</v>
      </c>
      <c r="BD2387" s="3">
        <v>0</v>
      </c>
      <c r="BE2387" s="3">
        <v>0</v>
      </c>
      <c r="BF2387" s="3">
        <v>0</v>
      </c>
      <c r="BG2387" s="3">
        <v>0</v>
      </c>
      <c r="BH2387" s="3">
        <v>1</v>
      </c>
      <c r="BI2387" s="3">
        <v>1</v>
      </c>
      <c r="BJ2387" s="3">
        <v>0.2</v>
      </c>
      <c r="BK2387" s="3">
        <v>1</v>
      </c>
      <c r="BL2387" s="3">
        <v>59</v>
      </c>
      <c r="BM2387" s="3">
        <v>8.85</v>
      </c>
      <c r="BN2387" s="3">
        <v>67.849999999999994</v>
      </c>
      <c r="BO2387" s="3">
        <v>67.849999999999994</v>
      </c>
      <c r="BQ2387" s="3" t="s">
        <v>89</v>
      </c>
      <c r="BR2387" s="3" t="s">
        <v>84</v>
      </c>
      <c r="BS2387" s="4">
        <v>44589</v>
      </c>
      <c r="BT2387" s="5">
        <v>0.3611111111111111</v>
      </c>
      <c r="BU2387" s="3" t="s">
        <v>911</v>
      </c>
      <c r="BV2387" s="3" t="s">
        <v>105</v>
      </c>
      <c r="BY2387" s="3">
        <v>1200</v>
      </c>
      <c r="BZ2387" s="3" t="s">
        <v>165</v>
      </c>
      <c r="CA2387" s="3" t="s">
        <v>1580</v>
      </c>
      <c r="CC2387" s="3" t="s">
        <v>172</v>
      </c>
      <c r="CD2387" s="3">
        <v>6001</v>
      </c>
      <c r="CE2387" s="3" t="s">
        <v>93</v>
      </c>
      <c r="CF2387" s="4">
        <v>44589</v>
      </c>
      <c r="CI2387" s="3">
        <v>1</v>
      </c>
      <c r="CJ2387" s="3">
        <v>1</v>
      </c>
      <c r="CK2387" s="3">
        <v>21</v>
      </c>
      <c r="CL2387" s="3" t="s">
        <v>87</v>
      </c>
    </row>
    <row r="2388" spans="1:90" x14ac:dyDescent="0.2">
      <c r="A2388" s="3" t="s">
        <v>72</v>
      </c>
      <c r="B2388" s="3" t="s">
        <v>73</v>
      </c>
      <c r="C2388" s="3" t="s">
        <v>74</v>
      </c>
      <c r="E2388" s="3" t="str">
        <f>"FES1162847259"</f>
        <v>FES1162847259</v>
      </c>
      <c r="F2388" s="4">
        <v>44588</v>
      </c>
      <c r="G2388" s="3">
        <v>202207</v>
      </c>
      <c r="H2388" s="3" t="s">
        <v>75</v>
      </c>
      <c r="I2388" s="3" t="s">
        <v>76</v>
      </c>
      <c r="J2388" s="3" t="s">
        <v>77</v>
      </c>
      <c r="K2388" s="3" t="s">
        <v>78</v>
      </c>
      <c r="L2388" s="3" t="s">
        <v>171</v>
      </c>
      <c r="M2388" s="3" t="s">
        <v>172</v>
      </c>
      <c r="N2388" s="3" t="s">
        <v>329</v>
      </c>
      <c r="O2388" s="3" t="s">
        <v>82</v>
      </c>
      <c r="P2388" s="3" t="str">
        <f>"2170798112                    "</f>
        <v xml:space="preserve">2170798112                    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15.46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0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3">
        <v>0</v>
      </c>
      <c r="AY2388" s="3">
        <v>0</v>
      </c>
      <c r="AZ2388" s="3">
        <v>0</v>
      </c>
      <c r="BA2388" s="3">
        <v>0</v>
      </c>
      <c r="BB2388" s="3">
        <v>0</v>
      </c>
      <c r="BC2388" s="3">
        <v>0</v>
      </c>
      <c r="BD2388" s="3">
        <v>0</v>
      </c>
      <c r="BE2388" s="3">
        <v>0</v>
      </c>
      <c r="BF2388" s="3">
        <v>0</v>
      </c>
      <c r="BG2388" s="3">
        <v>0</v>
      </c>
      <c r="BH2388" s="3">
        <v>1</v>
      </c>
      <c r="BI2388" s="3">
        <v>1</v>
      </c>
      <c r="BJ2388" s="3">
        <v>0.2</v>
      </c>
      <c r="BK2388" s="3">
        <v>1</v>
      </c>
      <c r="BL2388" s="3">
        <v>59</v>
      </c>
      <c r="BM2388" s="3">
        <v>8.85</v>
      </c>
      <c r="BN2388" s="3">
        <v>67.849999999999994</v>
      </c>
      <c r="BO2388" s="3">
        <v>67.849999999999994</v>
      </c>
      <c r="BQ2388" s="3" t="s">
        <v>83</v>
      </c>
      <c r="BR2388" s="3" t="s">
        <v>84</v>
      </c>
      <c r="BS2388" s="4">
        <v>44589</v>
      </c>
      <c r="BT2388" s="5">
        <v>0.31111111111111112</v>
      </c>
      <c r="BU2388" s="3" t="s">
        <v>330</v>
      </c>
      <c r="BV2388" s="3" t="s">
        <v>105</v>
      </c>
      <c r="BY2388" s="3">
        <v>1200</v>
      </c>
      <c r="BZ2388" s="3" t="s">
        <v>165</v>
      </c>
      <c r="CA2388" s="3" t="s">
        <v>331</v>
      </c>
      <c r="CC2388" s="3" t="s">
        <v>172</v>
      </c>
      <c r="CD2388" s="3">
        <v>6001</v>
      </c>
      <c r="CE2388" s="3" t="s">
        <v>93</v>
      </c>
      <c r="CF2388" s="4">
        <v>44589</v>
      </c>
      <c r="CI2388" s="3">
        <v>1</v>
      </c>
      <c r="CJ2388" s="3">
        <v>1</v>
      </c>
      <c r="CK2388" s="3">
        <v>21</v>
      </c>
      <c r="CL2388" s="3" t="s">
        <v>87</v>
      </c>
    </row>
    <row r="2389" spans="1:90" x14ac:dyDescent="0.2">
      <c r="A2389" s="3" t="s">
        <v>72</v>
      </c>
      <c r="B2389" s="3" t="s">
        <v>73</v>
      </c>
      <c r="C2389" s="3" t="s">
        <v>74</v>
      </c>
      <c r="E2389" s="3" t="str">
        <f>"FES1162847275"</f>
        <v>FES1162847275</v>
      </c>
      <c r="F2389" s="4">
        <v>44588</v>
      </c>
      <c r="G2389" s="3">
        <v>202207</v>
      </c>
      <c r="H2389" s="3" t="s">
        <v>75</v>
      </c>
      <c r="I2389" s="3" t="s">
        <v>76</v>
      </c>
      <c r="J2389" s="3" t="s">
        <v>77</v>
      </c>
      <c r="K2389" s="3" t="s">
        <v>78</v>
      </c>
      <c r="L2389" s="3" t="s">
        <v>79</v>
      </c>
      <c r="M2389" s="3" t="s">
        <v>80</v>
      </c>
      <c r="N2389" s="3" t="s">
        <v>415</v>
      </c>
      <c r="O2389" s="3" t="s">
        <v>82</v>
      </c>
      <c r="P2389" s="3" t="str">
        <f>"2170816354                    "</f>
        <v xml:space="preserve">2170816354                    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15.46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0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3">
        <v>0</v>
      </c>
      <c r="AY2389" s="3">
        <v>0</v>
      </c>
      <c r="AZ2389" s="3">
        <v>0</v>
      </c>
      <c r="BA2389" s="3">
        <v>0</v>
      </c>
      <c r="BB2389" s="3">
        <v>0</v>
      </c>
      <c r="BC2389" s="3">
        <v>0</v>
      </c>
      <c r="BD2389" s="3">
        <v>0</v>
      </c>
      <c r="BE2389" s="3">
        <v>0</v>
      </c>
      <c r="BF2389" s="3">
        <v>0</v>
      </c>
      <c r="BG2389" s="3">
        <v>0</v>
      </c>
      <c r="BH2389" s="3">
        <v>1</v>
      </c>
      <c r="BI2389" s="3">
        <v>1</v>
      </c>
      <c r="BJ2389" s="3">
        <v>0.2</v>
      </c>
      <c r="BK2389" s="3">
        <v>1</v>
      </c>
      <c r="BL2389" s="3">
        <v>59</v>
      </c>
      <c r="BM2389" s="3">
        <v>8.85</v>
      </c>
      <c r="BN2389" s="3">
        <v>67.849999999999994</v>
      </c>
      <c r="BO2389" s="3">
        <v>67.849999999999994</v>
      </c>
      <c r="BQ2389" s="3" t="s">
        <v>83</v>
      </c>
      <c r="BR2389" s="3" t="s">
        <v>84</v>
      </c>
      <c r="BS2389" s="4">
        <v>44589</v>
      </c>
      <c r="BT2389" s="5">
        <v>0.3923611111111111</v>
      </c>
      <c r="BU2389" s="3" t="s">
        <v>1670</v>
      </c>
      <c r="BV2389" s="3" t="s">
        <v>105</v>
      </c>
      <c r="BY2389" s="3">
        <v>1200</v>
      </c>
      <c r="BZ2389" s="3" t="s">
        <v>165</v>
      </c>
      <c r="CA2389" s="3" t="s">
        <v>1358</v>
      </c>
      <c r="CC2389" s="3" t="s">
        <v>80</v>
      </c>
      <c r="CD2389" s="3">
        <v>183</v>
      </c>
      <c r="CE2389" s="3" t="s">
        <v>93</v>
      </c>
      <c r="CF2389" s="4">
        <v>44589</v>
      </c>
      <c r="CI2389" s="3">
        <v>1</v>
      </c>
      <c r="CJ2389" s="3">
        <v>1</v>
      </c>
      <c r="CK2389" s="3">
        <v>21</v>
      </c>
      <c r="CL2389" s="3" t="s">
        <v>87</v>
      </c>
    </row>
    <row r="2390" spans="1:90" x14ac:dyDescent="0.2">
      <c r="A2390" s="3" t="s">
        <v>72</v>
      </c>
      <c r="B2390" s="3" t="s">
        <v>73</v>
      </c>
      <c r="C2390" s="3" t="s">
        <v>74</v>
      </c>
      <c r="E2390" s="3" t="str">
        <f>"FES1162847314"</f>
        <v>FES1162847314</v>
      </c>
      <c r="F2390" s="4">
        <v>44588</v>
      </c>
      <c r="G2390" s="3">
        <v>202207</v>
      </c>
      <c r="H2390" s="3" t="s">
        <v>75</v>
      </c>
      <c r="I2390" s="3" t="s">
        <v>76</v>
      </c>
      <c r="J2390" s="3" t="s">
        <v>77</v>
      </c>
      <c r="K2390" s="3" t="s">
        <v>78</v>
      </c>
      <c r="L2390" s="3" t="s">
        <v>187</v>
      </c>
      <c r="M2390" s="3" t="s">
        <v>188</v>
      </c>
      <c r="N2390" s="3" t="s">
        <v>189</v>
      </c>
      <c r="O2390" s="3" t="s">
        <v>82</v>
      </c>
      <c r="P2390" s="3" t="str">
        <f>"2170818555                    "</f>
        <v xml:space="preserve">2170818555                    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29.95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0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3">
        <v>0</v>
      </c>
      <c r="AY2390" s="3">
        <v>0</v>
      </c>
      <c r="AZ2390" s="3">
        <v>0</v>
      </c>
      <c r="BA2390" s="3">
        <v>0</v>
      </c>
      <c r="BB2390" s="3">
        <v>0</v>
      </c>
      <c r="BC2390" s="3">
        <v>0</v>
      </c>
      <c r="BD2390" s="3">
        <v>0</v>
      </c>
      <c r="BE2390" s="3">
        <v>0</v>
      </c>
      <c r="BF2390" s="3">
        <v>0</v>
      </c>
      <c r="BG2390" s="3">
        <v>0</v>
      </c>
      <c r="BH2390" s="3">
        <v>1</v>
      </c>
      <c r="BI2390" s="3">
        <v>1</v>
      </c>
      <c r="BJ2390" s="3">
        <v>0.2</v>
      </c>
      <c r="BK2390" s="3">
        <v>1</v>
      </c>
      <c r="BL2390" s="3">
        <v>114.31</v>
      </c>
      <c r="BM2390" s="3">
        <v>17.149999999999999</v>
      </c>
      <c r="BN2390" s="3">
        <v>131.46</v>
      </c>
      <c r="BO2390" s="3">
        <v>131.46</v>
      </c>
      <c r="BQ2390" s="3" t="s">
        <v>83</v>
      </c>
      <c r="BR2390" s="3" t="s">
        <v>84</v>
      </c>
      <c r="BS2390" s="4">
        <v>44589</v>
      </c>
      <c r="BT2390" s="5">
        <v>0.52916666666666667</v>
      </c>
      <c r="BU2390" s="3" t="s">
        <v>267</v>
      </c>
      <c r="BV2390" s="3" t="s">
        <v>105</v>
      </c>
      <c r="BY2390" s="3">
        <v>1200</v>
      </c>
      <c r="BZ2390" s="3" t="s">
        <v>165</v>
      </c>
      <c r="CA2390" s="3" t="s">
        <v>268</v>
      </c>
      <c r="CC2390" s="3" t="s">
        <v>188</v>
      </c>
      <c r="CD2390" s="3">
        <v>7300</v>
      </c>
      <c r="CE2390" s="3" t="s">
        <v>93</v>
      </c>
      <c r="CI2390" s="3">
        <v>1</v>
      </c>
      <c r="CJ2390" s="3">
        <v>1</v>
      </c>
      <c r="CK2390" s="3">
        <v>23</v>
      </c>
      <c r="CL2390" s="3" t="s">
        <v>87</v>
      </c>
    </row>
    <row r="2391" spans="1:90" x14ac:dyDescent="0.2">
      <c r="A2391" s="3" t="s">
        <v>72</v>
      </c>
      <c r="B2391" s="3" t="s">
        <v>73</v>
      </c>
      <c r="C2391" s="3" t="s">
        <v>74</v>
      </c>
      <c r="E2391" s="3" t="str">
        <f>"FES1162847380"</f>
        <v>FES1162847380</v>
      </c>
      <c r="F2391" s="4">
        <v>44588</v>
      </c>
      <c r="G2391" s="3">
        <v>202207</v>
      </c>
      <c r="H2391" s="3" t="s">
        <v>75</v>
      </c>
      <c r="I2391" s="3" t="s">
        <v>76</v>
      </c>
      <c r="J2391" s="3" t="s">
        <v>77</v>
      </c>
      <c r="K2391" s="3" t="s">
        <v>78</v>
      </c>
      <c r="L2391" s="3" t="s">
        <v>101</v>
      </c>
      <c r="M2391" s="3" t="s">
        <v>102</v>
      </c>
      <c r="N2391" s="3" t="s">
        <v>272</v>
      </c>
      <c r="O2391" s="3" t="s">
        <v>82</v>
      </c>
      <c r="P2391" s="3" t="str">
        <f>"2170818633                    "</f>
        <v xml:space="preserve">2170818633                    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15.46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0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3">
        <v>0</v>
      </c>
      <c r="AY2391" s="3">
        <v>0</v>
      </c>
      <c r="AZ2391" s="3">
        <v>0</v>
      </c>
      <c r="BA2391" s="3">
        <v>0</v>
      </c>
      <c r="BB2391" s="3">
        <v>0</v>
      </c>
      <c r="BC2391" s="3">
        <v>0</v>
      </c>
      <c r="BD2391" s="3">
        <v>0</v>
      </c>
      <c r="BE2391" s="3">
        <v>0</v>
      </c>
      <c r="BF2391" s="3">
        <v>0</v>
      </c>
      <c r="BG2391" s="3">
        <v>0</v>
      </c>
      <c r="BH2391" s="3">
        <v>1</v>
      </c>
      <c r="BI2391" s="3">
        <v>1</v>
      </c>
      <c r="BJ2391" s="3">
        <v>0.2</v>
      </c>
      <c r="BK2391" s="3">
        <v>1</v>
      </c>
      <c r="BL2391" s="3">
        <v>59</v>
      </c>
      <c r="BM2391" s="3">
        <v>8.85</v>
      </c>
      <c r="BN2391" s="3">
        <v>67.849999999999994</v>
      </c>
      <c r="BO2391" s="3">
        <v>67.849999999999994</v>
      </c>
      <c r="BQ2391" s="3" t="s">
        <v>273</v>
      </c>
      <c r="BR2391" s="3" t="s">
        <v>84</v>
      </c>
      <c r="BS2391" s="4">
        <v>44589</v>
      </c>
      <c r="BT2391" s="5">
        <v>0.41388888888888892</v>
      </c>
      <c r="BU2391" s="3" t="s">
        <v>2147</v>
      </c>
      <c r="BV2391" s="3" t="s">
        <v>105</v>
      </c>
      <c r="BY2391" s="3">
        <v>1200</v>
      </c>
      <c r="BZ2391" s="3" t="s">
        <v>165</v>
      </c>
      <c r="CA2391" s="3" t="s">
        <v>2148</v>
      </c>
      <c r="CC2391" s="3" t="s">
        <v>102</v>
      </c>
      <c r="CD2391" s="3">
        <v>4000</v>
      </c>
      <c r="CE2391" s="3" t="s">
        <v>93</v>
      </c>
      <c r="CI2391" s="3">
        <v>1</v>
      </c>
      <c r="CJ2391" s="3">
        <v>1</v>
      </c>
      <c r="CK2391" s="3">
        <v>21</v>
      </c>
      <c r="CL2391" s="3" t="s">
        <v>87</v>
      </c>
    </row>
    <row r="2392" spans="1:90" x14ac:dyDescent="0.2">
      <c r="A2392" s="3" t="s">
        <v>72</v>
      </c>
      <c r="B2392" s="3" t="s">
        <v>73</v>
      </c>
      <c r="C2392" s="3" t="s">
        <v>74</v>
      </c>
      <c r="E2392" s="3" t="str">
        <f>"FES1162847365"</f>
        <v>FES1162847365</v>
      </c>
      <c r="F2392" s="4">
        <v>44588</v>
      </c>
      <c r="G2392" s="3">
        <v>202207</v>
      </c>
      <c r="H2392" s="3" t="s">
        <v>75</v>
      </c>
      <c r="I2392" s="3" t="s">
        <v>76</v>
      </c>
      <c r="J2392" s="3" t="s">
        <v>77</v>
      </c>
      <c r="K2392" s="3" t="s">
        <v>78</v>
      </c>
      <c r="L2392" s="3" t="s">
        <v>184</v>
      </c>
      <c r="M2392" s="3" t="s">
        <v>185</v>
      </c>
      <c r="N2392" s="3" t="s">
        <v>793</v>
      </c>
      <c r="O2392" s="3" t="s">
        <v>82</v>
      </c>
      <c r="P2392" s="3" t="str">
        <f>"2170817080                    "</f>
        <v xml:space="preserve">2170817080                    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15.46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Q2392" s="3">
        <v>0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3">
        <v>0</v>
      </c>
      <c r="AY2392" s="3">
        <v>0</v>
      </c>
      <c r="AZ2392" s="3">
        <v>0</v>
      </c>
      <c r="BA2392" s="3">
        <v>0</v>
      </c>
      <c r="BB2392" s="3">
        <v>0</v>
      </c>
      <c r="BC2392" s="3">
        <v>0</v>
      </c>
      <c r="BD2392" s="3">
        <v>0</v>
      </c>
      <c r="BE2392" s="3">
        <v>0</v>
      </c>
      <c r="BF2392" s="3">
        <v>0</v>
      </c>
      <c r="BG2392" s="3">
        <v>0</v>
      </c>
      <c r="BH2392" s="3">
        <v>1</v>
      </c>
      <c r="BI2392" s="3">
        <v>2</v>
      </c>
      <c r="BJ2392" s="3">
        <v>2</v>
      </c>
      <c r="BK2392" s="3">
        <v>2</v>
      </c>
      <c r="BL2392" s="3">
        <v>59</v>
      </c>
      <c r="BM2392" s="3">
        <v>8.85</v>
      </c>
      <c r="BN2392" s="3">
        <v>67.849999999999994</v>
      </c>
      <c r="BO2392" s="3">
        <v>67.849999999999994</v>
      </c>
      <c r="BQ2392" s="3" t="s">
        <v>89</v>
      </c>
      <c r="BR2392" s="3" t="s">
        <v>84</v>
      </c>
      <c r="BS2392" s="4">
        <v>44589</v>
      </c>
      <c r="BT2392" s="5">
        <v>0.69305555555555554</v>
      </c>
      <c r="BU2392" s="3" t="s">
        <v>2391</v>
      </c>
      <c r="BV2392" s="3" t="s">
        <v>87</v>
      </c>
      <c r="BW2392" s="3" t="s">
        <v>353</v>
      </c>
      <c r="BX2392" s="3" t="s">
        <v>648</v>
      </c>
      <c r="BY2392" s="3">
        <v>10080</v>
      </c>
      <c r="BZ2392" s="3" t="s">
        <v>165</v>
      </c>
      <c r="CA2392" s="3" t="s">
        <v>1681</v>
      </c>
      <c r="CC2392" s="3" t="s">
        <v>185</v>
      </c>
      <c r="CD2392" s="3">
        <v>5200</v>
      </c>
      <c r="CE2392" s="3" t="s">
        <v>86</v>
      </c>
      <c r="CF2392" s="4">
        <v>44589</v>
      </c>
      <c r="CI2392" s="3">
        <v>1</v>
      </c>
      <c r="CJ2392" s="3">
        <v>1</v>
      </c>
      <c r="CK2392" s="3">
        <v>21</v>
      </c>
      <c r="CL2392" s="3" t="s">
        <v>87</v>
      </c>
    </row>
    <row r="2393" spans="1:90" x14ac:dyDescent="0.2">
      <c r="A2393" s="3" t="s">
        <v>72</v>
      </c>
      <c r="B2393" s="3" t="s">
        <v>73</v>
      </c>
      <c r="C2393" s="3" t="s">
        <v>74</v>
      </c>
      <c r="E2393" s="3" t="str">
        <f>"FES1162847347"</f>
        <v>FES1162847347</v>
      </c>
      <c r="F2393" s="4">
        <v>44588</v>
      </c>
      <c r="G2393" s="3">
        <v>202207</v>
      </c>
      <c r="H2393" s="3" t="s">
        <v>75</v>
      </c>
      <c r="I2393" s="3" t="s">
        <v>76</v>
      </c>
      <c r="J2393" s="3" t="s">
        <v>77</v>
      </c>
      <c r="K2393" s="3" t="s">
        <v>78</v>
      </c>
      <c r="L2393" s="3" t="s">
        <v>79</v>
      </c>
      <c r="M2393" s="3" t="s">
        <v>80</v>
      </c>
      <c r="N2393" s="3" t="s">
        <v>1290</v>
      </c>
      <c r="O2393" s="3" t="s">
        <v>82</v>
      </c>
      <c r="P2393" s="3" t="str">
        <f>"2170818596                    "</f>
        <v xml:space="preserve">2170818596                    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34.770000000000003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Q2393" s="3">
        <v>0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3">
        <v>0</v>
      </c>
      <c r="AY2393" s="3">
        <v>0</v>
      </c>
      <c r="AZ2393" s="3">
        <v>0</v>
      </c>
      <c r="BA2393" s="3">
        <v>0</v>
      </c>
      <c r="BB2393" s="3">
        <v>0</v>
      </c>
      <c r="BC2393" s="3">
        <v>0</v>
      </c>
      <c r="BD2393" s="3">
        <v>0</v>
      </c>
      <c r="BE2393" s="3">
        <v>0</v>
      </c>
      <c r="BF2393" s="3">
        <v>0</v>
      </c>
      <c r="BG2393" s="3">
        <v>0</v>
      </c>
      <c r="BH2393" s="3">
        <v>1</v>
      </c>
      <c r="BI2393" s="3">
        <v>2</v>
      </c>
      <c r="BJ2393" s="3">
        <v>4.4000000000000004</v>
      </c>
      <c r="BK2393" s="3">
        <v>4.5</v>
      </c>
      <c r="BL2393" s="3">
        <v>132.71</v>
      </c>
      <c r="BM2393" s="3">
        <v>19.91</v>
      </c>
      <c r="BN2393" s="3">
        <v>152.62</v>
      </c>
      <c r="BO2393" s="3">
        <v>152.62</v>
      </c>
      <c r="BQ2393" s="3" t="s">
        <v>89</v>
      </c>
      <c r="BR2393" s="3" t="s">
        <v>84</v>
      </c>
      <c r="BS2393" s="4">
        <v>44589</v>
      </c>
      <c r="BT2393" s="5">
        <v>0.4236111111111111</v>
      </c>
      <c r="BU2393" s="3" t="s">
        <v>2392</v>
      </c>
      <c r="BV2393" s="3" t="s">
        <v>105</v>
      </c>
      <c r="BY2393" s="3">
        <v>21904</v>
      </c>
      <c r="BZ2393" s="3" t="s">
        <v>165</v>
      </c>
      <c r="CA2393" s="3" t="s">
        <v>328</v>
      </c>
      <c r="CC2393" s="3" t="s">
        <v>80</v>
      </c>
      <c r="CD2393" s="3">
        <v>200</v>
      </c>
      <c r="CE2393" s="3" t="s">
        <v>86</v>
      </c>
      <c r="CF2393" s="4">
        <v>44589</v>
      </c>
      <c r="CI2393" s="3">
        <v>1</v>
      </c>
      <c r="CJ2393" s="3">
        <v>1</v>
      </c>
      <c r="CK2393" s="3">
        <v>21</v>
      </c>
      <c r="CL2393" s="3" t="s">
        <v>87</v>
      </c>
    </row>
    <row r="2394" spans="1:90" x14ac:dyDescent="0.2">
      <c r="A2394" s="3" t="s">
        <v>72</v>
      </c>
      <c r="B2394" s="3" t="s">
        <v>73</v>
      </c>
      <c r="C2394" s="3" t="s">
        <v>74</v>
      </c>
      <c r="E2394" s="3" t="str">
        <f>"FES1162847358"</f>
        <v>FES1162847358</v>
      </c>
      <c r="F2394" s="4">
        <v>44588</v>
      </c>
      <c r="G2394" s="3">
        <v>202207</v>
      </c>
      <c r="H2394" s="3" t="s">
        <v>75</v>
      </c>
      <c r="I2394" s="3" t="s">
        <v>76</v>
      </c>
      <c r="J2394" s="3" t="s">
        <v>77</v>
      </c>
      <c r="K2394" s="3" t="s">
        <v>78</v>
      </c>
      <c r="L2394" s="3" t="s">
        <v>184</v>
      </c>
      <c r="M2394" s="3" t="s">
        <v>185</v>
      </c>
      <c r="N2394" s="3" t="s">
        <v>2393</v>
      </c>
      <c r="O2394" s="3" t="s">
        <v>82</v>
      </c>
      <c r="P2394" s="3" t="str">
        <f>"2170818609                    "</f>
        <v xml:space="preserve">2170818609                    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23.18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0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3">
        <v>0</v>
      </c>
      <c r="AY2394" s="3">
        <v>0</v>
      </c>
      <c r="AZ2394" s="3">
        <v>0</v>
      </c>
      <c r="BA2394" s="3">
        <v>0</v>
      </c>
      <c r="BB2394" s="3">
        <v>0</v>
      </c>
      <c r="BC2394" s="3">
        <v>0</v>
      </c>
      <c r="BD2394" s="3">
        <v>0</v>
      </c>
      <c r="BE2394" s="3">
        <v>0</v>
      </c>
      <c r="BF2394" s="3">
        <v>0</v>
      </c>
      <c r="BG2394" s="3">
        <v>0</v>
      </c>
      <c r="BH2394" s="3">
        <v>1</v>
      </c>
      <c r="BI2394" s="3">
        <v>3</v>
      </c>
      <c r="BJ2394" s="3">
        <v>0.7</v>
      </c>
      <c r="BK2394" s="3">
        <v>3</v>
      </c>
      <c r="BL2394" s="3">
        <v>88.48</v>
      </c>
      <c r="BM2394" s="3">
        <v>13.27</v>
      </c>
      <c r="BN2394" s="3">
        <v>101.75</v>
      </c>
      <c r="BO2394" s="3">
        <v>101.75</v>
      </c>
      <c r="BQ2394" s="3" t="s">
        <v>126</v>
      </c>
      <c r="BR2394" s="3" t="s">
        <v>84</v>
      </c>
      <c r="BS2394" s="4">
        <v>44589</v>
      </c>
      <c r="BT2394" s="5">
        <v>0.6020833333333333</v>
      </c>
      <c r="BU2394" s="3" t="s">
        <v>2394</v>
      </c>
      <c r="BV2394" s="3" t="s">
        <v>87</v>
      </c>
      <c r="BW2394" s="3" t="s">
        <v>617</v>
      </c>
      <c r="BX2394" s="3" t="s">
        <v>648</v>
      </c>
      <c r="BY2394" s="3">
        <v>3645</v>
      </c>
      <c r="BZ2394" s="3" t="s">
        <v>165</v>
      </c>
      <c r="CA2394" s="3" t="s">
        <v>1681</v>
      </c>
      <c r="CC2394" s="3" t="s">
        <v>185</v>
      </c>
      <c r="CD2394" s="3">
        <v>5201</v>
      </c>
      <c r="CE2394" s="3" t="s">
        <v>86</v>
      </c>
      <c r="CF2394" s="4">
        <v>44589</v>
      </c>
      <c r="CI2394" s="3">
        <v>1</v>
      </c>
      <c r="CJ2394" s="3">
        <v>1</v>
      </c>
      <c r="CK2394" s="3">
        <v>21</v>
      </c>
      <c r="CL2394" s="3" t="s">
        <v>87</v>
      </c>
    </row>
    <row r="2395" spans="1:90" x14ac:dyDescent="0.2">
      <c r="A2395" s="3" t="s">
        <v>72</v>
      </c>
      <c r="B2395" s="3" t="s">
        <v>73</v>
      </c>
      <c r="C2395" s="3" t="s">
        <v>74</v>
      </c>
      <c r="E2395" s="3" t="str">
        <f>"FES1162847264"</f>
        <v>FES1162847264</v>
      </c>
      <c r="F2395" s="4">
        <v>44588</v>
      </c>
      <c r="G2395" s="3">
        <v>202207</v>
      </c>
      <c r="H2395" s="3" t="s">
        <v>75</v>
      </c>
      <c r="I2395" s="3" t="s">
        <v>76</v>
      </c>
      <c r="J2395" s="3" t="s">
        <v>77</v>
      </c>
      <c r="K2395" s="3" t="s">
        <v>78</v>
      </c>
      <c r="L2395" s="3" t="s">
        <v>171</v>
      </c>
      <c r="M2395" s="3" t="s">
        <v>172</v>
      </c>
      <c r="N2395" s="3" t="s">
        <v>200</v>
      </c>
      <c r="O2395" s="3" t="s">
        <v>82</v>
      </c>
      <c r="P2395" s="3" t="str">
        <f>"2170813506                    "</f>
        <v xml:space="preserve">2170813506                    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38.630000000000003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0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3">
        <v>0</v>
      </c>
      <c r="AY2395" s="3">
        <v>0</v>
      </c>
      <c r="AZ2395" s="3">
        <v>0</v>
      </c>
      <c r="BA2395" s="3">
        <v>0</v>
      </c>
      <c r="BB2395" s="3">
        <v>0</v>
      </c>
      <c r="BC2395" s="3">
        <v>0</v>
      </c>
      <c r="BD2395" s="3">
        <v>0</v>
      </c>
      <c r="BE2395" s="3">
        <v>0</v>
      </c>
      <c r="BF2395" s="3">
        <v>0</v>
      </c>
      <c r="BG2395" s="3">
        <v>0</v>
      </c>
      <c r="BH2395" s="3">
        <v>1</v>
      </c>
      <c r="BI2395" s="3">
        <v>5</v>
      </c>
      <c r="BJ2395" s="3">
        <v>2</v>
      </c>
      <c r="BK2395" s="3">
        <v>5</v>
      </c>
      <c r="BL2395" s="3">
        <v>147.44999999999999</v>
      </c>
      <c r="BM2395" s="3">
        <v>22.12</v>
      </c>
      <c r="BN2395" s="3">
        <v>169.57</v>
      </c>
      <c r="BO2395" s="3">
        <v>169.57</v>
      </c>
      <c r="BQ2395" s="3" t="s">
        <v>89</v>
      </c>
      <c r="BR2395" s="3" t="s">
        <v>84</v>
      </c>
      <c r="BS2395" s="4">
        <v>44589</v>
      </c>
      <c r="BT2395" s="5">
        <v>0.41388888888888892</v>
      </c>
      <c r="BU2395" s="3" t="s">
        <v>2395</v>
      </c>
      <c r="BV2395" s="3" t="s">
        <v>105</v>
      </c>
      <c r="BY2395" s="3">
        <v>9918</v>
      </c>
      <c r="BZ2395" s="3" t="s">
        <v>165</v>
      </c>
      <c r="CA2395" s="3" t="s">
        <v>2396</v>
      </c>
      <c r="CC2395" s="3" t="s">
        <v>172</v>
      </c>
      <c r="CD2395" s="3">
        <v>6001</v>
      </c>
      <c r="CE2395" s="3" t="s">
        <v>86</v>
      </c>
      <c r="CF2395" s="4">
        <v>44589</v>
      </c>
      <c r="CI2395" s="3">
        <v>1</v>
      </c>
      <c r="CJ2395" s="3">
        <v>1</v>
      </c>
      <c r="CK2395" s="3">
        <v>21</v>
      </c>
      <c r="CL2395" s="3" t="s">
        <v>87</v>
      </c>
    </row>
    <row r="2396" spans="1:90" x14ac:dyDescent="0.2">
      <c r="A2396" s="3" t="s">
        <v>72</v>
      </c>
      <c r="B2396" s="3" t="s">
        <v>73</v>
      </c>
      <c r="C2396" s="3" t="s">
        <v>74</v>
      </c>
      <c r="E2396" s="3" t="str">
        <f>"FES1162847376"</f>
        <v>FES1162847376</v>
      </c>
      <c r="F2396" s="4">
        <v>44588</v>
      </c>
      <c r="G2396" s="3">
        <v>202207</v>
      </c>
      <c r="H2396" s="3" t="s">
        <v>75</v>
      </c>
      <c r="I2396" s="3" t="s">
        <v>76</v>
      </c>
      <c r="J2396" s="3" t="s">
        <v>77</v>
      </c>
      <c r="K2396" s="3" t="s">
        <v>78</v>
      </c>
      <c r="L2396" s="3" t="s">
        <v>107</v>
      </c>
      <c r="M2396" s="3" t="s">
        <v>108</v>
      </c>
      <c r="N2396" s="3" t="s">
        <v>392</v>
      </c>
      <c r="O2396" s="3" t="s">
        <v>82</v>
      </c>
      <c r="P2396" s="3" t="str">
        <f>"2170818630                    "</f>
        <v xml:space="preserve">2170818630                    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29.95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0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3">
        <v>0</v>
      </c>
      <c r="AY2396" s="3">
        <v>0</v>
      </c>
      <c r="AZ2396" s="3">
        <v>0</v>
      </c>
      <c r="BA2396" s="3">
        <v>0</v>
      </c>
      <c r="BB2396" s="3">
        <v>0</v>
      </c>
      <c r="BC2396" s="3">
        <v>0</v>
      </c>
      <c r="BD2396" s="3">
        <v>0</v>
      </c>
      <c r="BE2396" s="3">
        <v>0</v>
      </c>
      <c r="BF2396" s="3">
        <v>0</v>
      </c>
      <c r="BG2396" s="3">
        <v>0</v>
      </c>
      <c r="BH2396" s="3">
        <v>1</v>
      </c>
      <c r="BI2396" s="3">
        <v>1</v>
      </c>
      <c r="BJ2396" s="3">
        <v>0.2</v>
      </c>
      <c r="BK2396" s="3">
        <v>1</v>
      </c>
      <c r="BL2396" s="3">
        <v>114.31</v>
      </c>
      <c r="BM2396" s="3">
        <v>17.149999999999999</v>
      </c>
      <c r="BN2396" s="3">
        <v>131.46</v>
      </c>
      <c r="BO2396" s="3">
        <v>131.46</v>
      </c>
      <c r="BQ2396" s="3" t="s">
        <v>83</v>
      </c>
      <c r="BR2396" s="3" t="s">
        <v>84</v>
      </c>
      <c r="BS2396" s="3" t="s">
        <v>85</v>
      </c>
      <c r="BW2396" s="3" t="s">
        <v>353</v>
      </c>
      <c r="BX2396" s="3" t="s">
        <v>758</v>
      </c>
      <c r="BY2396" s="3">
        <v>1200</v>
      </c>
      <c r="BZ2396" s="3" t="s">
        <v>165</v>
      </c>
      <c r="CC2396" s="3" t="s">
        <v>108</v>
      </c>
      <c r="CD2396" s="3">
        <v>6849</v>
      </c>
      <c r="CE2396" s="3" t="s">
        <v>93</v>
      </c>
      <c r="CI2396" s="3">
        <v>2</v>
      </c>
      <c r="CJ2396" s="3" t="s">
        <v>85</v>
      </c>
      <c r="CK2396" s="3">
        <v>23</v>
      </c>
      <c r="CL2396" s="3" t="s">
        <v>87</v>
      </c>
    </row>
    <row r="2397" spans="1:90" x14ac:dyDescent="0.2">
      <c r="A2397" s="3" t="s">
        <v>72</v>
      </c>
      <c r="B2397" s="3" t="s">
        <v>73</v>
      </c>
      <c r="C2397" s="3" t="s">
        <v>74</v>
      </c>
      <c r="E2397" s="3" t="str">
        <f>"FES1162847296"</f>
        <v>FES1162847296</v>
      </c>
      <c r="F2397" s="4">
        <v>44588</v>
      </c>
      <c r="G2397" s="3">
        <v>202207</v>
      </c>
      <c r="H2397" s="3" t="s">
        <v>75</v>
      </c>
      <c r="I2397" s="3" t="s">
        <v>76</v>
      </c>
      <c r="J2397" s="3" t="s">
        <v>77</v>
      </c>
      <c r="K2397" s="3" t="s">
        <v>78</v>
      </c>
      <c r="L2397" s="3" t="s">
        <v>184</v>
      </c>
      <c r="M2397" s="3" t="s">
        <v>185</v>
      </c>
      <c r="N2397" s="3" t="s">
        <v>1539</v>
      </c>
      <c r="O2397" s="3" t="s">
        <v>82</v>
      </c>
      <c r="P2397" s="3" t="str">
        <f>"2170817542                    "</f>
        <v xml:space="preserve">2170817542                    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15.46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0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3">
        <v>0</v>
      </c>
      <c r="AY2397" s="3">
        <v>0</v>
      </c>
      <c r="AZ2397" s="3">
        <v>0</v>
      </c>
      <c r="BA2397" s="3">
        <v>0</v>
      </c>
      <c r="BB2397" s="3">
        <v>0</v>
      </c>
      <c r="BC2397" s="3">
        <v>0</v>
      </c>
      <c r="BD2397" s="3">
        <v>0</v>
      </c>
      <c r="BE2397" s="3">
        <v>0</v>
      </c>
      <c r="BF2397" s="3">
        <v>0</v>
      </c>
      <c r="BG2397" s="3">
        <v>0</v>
      </c>
      <c r="BH2397" s="3">
        <v>1</v>
      </c>
      <c r="BI2397" s="3">
        <v>1</v>
      </c>
      <c r="BJ2397" s="3">
        <v>0.2</v>
      </c>
      <c r="BK2397" s="3">
        <v>1</v>
      </c>
      <c r="BL2397" s="3">
        <v>59</v>
      </c>
      <c r="BM2397" s="3">
        <v>8.85</v>
      </c>
      <c r="BN2397" s="3">
        <v>67.849999999999994</v>
      </c>
      <c r="BO2397" s="3">
        <v>67.849999999999994</v>
      </c>
      <c r="BQ2397" s="3" t="s">
        <v>83</v>
      </c>
      <c r="BR2397" s="3" t="s">
        <v>84</v>
      </c>
      <c r="BS2397" s="4">
        <v>44589</v>
      </c>
      <c r="BT2397" s="5">
        <v>0.68958333333333333</v>
      </c>
      <c r="BU2397" s="3" t="s">
        <v>2397</v>
      </c>
      <c r="BV2397" s="3" t="s">
        <v>87</v>
      </c>
      <c r="BW2397" s="3" t="s">
        <v>617</v>
      </c>
      <c r="BX2397" s="3" t="s">
        <v>648</v>
      </c>
      <c r="BY2397" s="3">
        <v>1200</v>
      </c>
      <c r="BZ2397" s="3" t="s">
        <v>165</v>
      </c>
      <c r="CA2397" s="3" t="s">
        <v>649</v>
      </c>
      <c r="CC2397" s="3" t="s">
        <v>185</v>
      </c>
      <c r="CD2397" s="3">
        <v>5201</v>
      </c>
      <c r="CE2397" s="3" t="s">
        <v>93</v>
      </c>
      <c r="CF2397" s="4">
        <v>44589</v>
      </c>
      <c r="CI2397" s="3">
        <v>1</v>
      </c>
      <c r="CJ2397" s="3">
        <v>1</v>
      </c>
      <c r="CK2397" s="3">
        <v>21</v>
      </c>
      <c r="CL2397" s="3" t="s">
        <v>87</v>
      </c>
    </row>
    <row r="2398" spans="1:90" x14ac:dyDescent="0.2">
      <c r="A2398" s="3" t="s">
        <v>72</v>
      </c>
      <c r="B2398" s="3" t="s">
        <v>73</v>
      </c>
      <c r="C2398" s="3" t="s">
        <v>74</v>
      </c>
      <c r="E2398" s="3" t="str">
        <f>"FES1162847391"</f>
        <v>FES1162847391</v>
      </c>
      <c r="F2398" s="4">
        <v>44588</v>
      </c>
      <c r="G2398" s="3">
        <v>202207</v>
      </c>
      <c r="H2398" s="3" t="s">
        <v>75</v>
      </c>
      <c r="I2398" s="3" t="s">
        <v>76</v>
      </c>
      <c r="J2398" s="3" t="s">
        <v>77</v>
      </c>
      <c r="K2398" s="3" t="s">
        <v>78</v>
      </c>
      <c r="L2398" s="3" t="s">
        <v>79</v>
      </c>
      <c r="M2398" s="3" t="s">
        <v>80</v>
      </c>
      <c r="N2398" s="3" t="s">
        <v>415</v>
      </c>
      <c r="O2398" s="3" t="s">
        <v>82</v>
      </c>
      <c r="P2398" s="3" t="str">
        <f>"2170818651                    "</f>
        <v xml:space="preserve">2170818651                    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30.91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0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3">
        <v>0</v>
      </c>
      <c r="AY2398" s="3">
        <v>0</v>
      </c>
      <c r="AZ2398" s="3">
        <v>0</v>
      </c>
      <c r="BA2398" s="3">
        <v>0</v>
      </c>
      <c r="BB2398" s="3">
        <v>0</v>
      </c>
      <c r="BC2398" s="3">
        <v>0</v>
      </c>
      <c r="BD2398" s="3">
        <v>0</v>
      </c>
      <c r="BE2398" s="3">
        <v>0</v>
      </c>
      <c r="BF2398" s="3">
        <v>0</v>
      </c>
      <c r="BG2398" s="3">
        <v>0</v>
      </c>
      <c r="BH2398" s="3">
        <v>1</v>
      </c>
      <c r="BI2398" s="3">
        <v>2</v>
      </c>
      <c r="BJ2398" s="3">
        <v>3.8</v>
      </c>
      <c r="BK2398" s="3">
        <v>4</v>
      </c>
      <c r="BL2398" s="3">
        <v>117.97</v>
      </c>
      <c r="BM2398" s="3">
        <v>17.7</v>
      </c>
      <c r="BN2398" s="3">
        <v>135.66999999999999</v>
      </c>
      <c r="BO2398" s="3">
        <v>135.66999999999999</v>
      </c>
      <c r="BQ2398" s="3" t="s">
        <v>83</v>
      </c>
      <c r="BR2398" s="3" t="s">
        <v>84</v>
      </c>
      <c r="BS2398" s="4">
        <v>44589</v>
      </c>
      <c r="BT2398" s="5">
        <v>0.3923611111111111</v>
      </c>
      <c r="BU2398" s="3" t="s">
        <v>1670</v>
      </c>
      <c r="BV2398" s="3" t="s">
        <v>105</v>
      </c>
      <c r="BY2398" s="3">
        <v>18944</v>
      </c>
      <c r="BZ2398" s="3" t="s">
        <v>165</v>
      </c>
      <c r="CA2398" s="3" t="s">
        <v>1358</v>
      </c>
      <c r="CC2398" s="3" t="s">
        <v>80</v>
      </c>
      <c r="CD2398" s="3">
        <v>183</v>
      </c>
      <c r="CE2398" s="3" t="s">
        <v>86</v>
      </c>
      <c r="CF2398" s="4">
        <v>44589</v>
      </c>
      <c r="CI2398" s="3">
        <v>1</v>
      </c>
      <c r="CJ2398" s="3">
        <v>1</v>
      </c>
      <c r="CK2398" s="3">
        <v>21</v>
      </c>
      <c r="CL2398" s="3" t="s">
        <v>87</v>
      </c>
    </row>
    <row r="2399" spans="1:90" x14ac:dyDescent="0.2">
      <c r="A2399" s="3" t="s">
        <v>72</v>
      </c>
      <c r="B2399" s="3" t="s">
        <v>73</v>
      </c>
      <c r="C2399" s="3" t="s">
        <v>74</v>
      </c>
      <c r="E2399" s="3" t="str">
        <f>"FES1162847263"</f>
        <v>FES1162847263</v>
      </c>
      <c r="F2399" s="4">
        <v>44588</v>
      </c>
      <c r="G2399" s="3">
        <v>202207</v>
      </c>
      <c r="H2399" s="3" t="s">
        <v>75</v>
      </c>
      <c r="I2399" s="3" t="s">
        <v>76</v>
      </c>
      <c r="J2399" s="3" t="s">
        <v>77</v>
      </c>
      <c r="K2399" s="3" t="s">
        <v>78</v>
      </c>
      <c r="L2399" s="3" t="s">
        <v>211</v>
      </c>
      <c r="M2399" s="3" t="s">
        <v>212</v>
      </c>
      <c r="N2399" s="3" t="s">
        <v>257</v>
      </c>
      <c r="O2399" s="3" t="s">
        <v>82</v>
      </c>
      <c r="P2399" s="3" t="str">
        <f>"2170809867                    "</f>
        <v xml:space="preserve">2170809867                    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12.07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0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3">
        <v>0</v>
      </c>
      <c r="AY2399" s="3">
        <v>0</v>
      </c>
      <c r="AZ2399" s="3">
        <v>0</v>
      </c>
      <c r="BA2399" s="3">
        <v>0</v>
      </c>
      <c r="BB2399" s="3">
        <v>0</v>
      </c>
      <c r="BC2399" s="3">
        <v>0</v>
      </c>
      <c r="BD2399" s="3">
        <v>0</v>
      </c>
      <c r="BE2399" s="3">
        <v>0</v>
      </c>
      <c r="BF2399" s="3">
        <v>0</v>
      </c>
      <c r="BG2399" s="3">
        <v>0</v>
      </c>
      <c r="BH2399" s="3">
        <v>1</v>
      </c>
      <c r="BI2399" s="3">
        <v>3</v>
      </c>
      <c r="BJ2399" s="3">
        <v>4.0999999999999996</v>
      </c>
      <c r="BK2399" s="3">
        <v>4.5</v>
      </c>
      <c r="BL2399" s="3">
        <v>46.08</v>
      </c>
      <c r="BM2399" s="3">
        <v>6.91</v>
      </c>
      <c r="BN2399" s="3">
        <v>52.99</v>
      </c>
      <c r="BO2399" s="3">
        <v>52.99</v>
      </c>
      <c r="BR2399" s="3" t="s">
        <v>84</v>
      </c>
      <c r="BS2399" s="4">
        <v>44589</v>
      </c>
      <c r="BT2399" s="5">
        <v>0.30069444444444443</v>
      </c>
      <c r="BU2399" s="3" t="s">
        <v>2398</v>
      </c>
      <c r="BV2399" s="3" t="s">
        <v>105</v>
      </c>
      <c r="BY2399" s="3">
        <v>20358</v>
      </c>
      <c r="BZ2399" s="3" t="s">
        <v>165</v>
      </c>
      <c r="CA2399" s="3" t="s">
        <v>2076</v>
      </c>
      <c r="CC2399" s="3" t="s">
        <v>212</v>
      </c>
      <c r="CD2399" s="3">
        <v>2194</v>
      </c>
      <c r="CE2399" s="3" t="s">
        <v>86</v>
      </c>
      <c r="CI2399" s="3">
        <v>1</v>
      </c>
      <c r="CJ2399" s="3">
        <v>1</v>
      </c>
      <c r="CK2399" s="3">
        <v>22</v>
      </c>
      <c r="CL2399" s="3" t="s">
        <v>87</v>
      </c>
    </row>
    <row r="2400" spans="1:90" x14ac:dyDescent="0.2">
      <c r="A2400" s="3" t="s">
        <v>72</v>
      </c>
      <c r="B2400" s="3" t="s">
        <v>73</v>
      </c>
      <c r="C2400" s="3" t="s">
        <v>74</v>
      </c>
      <c r="E2400" s="3" t="str">
        <f>"FES1162847210"</f>
        <v>FES1162847210</v>
      </c>
      <c r="F2400" s="4">
        <v>44588</v>
      </c>
      <c r="G2400" s="3">
        <v>202207</v>
      </c>
      <c r="H2400" s="3" t="s">
        <v>75</v>
      </c>
      <c r="I2400" s="3" t="s">
        <v>76</v>
      </c>
      <c r="J2400" s="3" t="s">
        <v>77</v>
      </c>
      <c r="K2400" s="3" t="s">
        <v>78</v>
      </c>
      <c r="L2400" s="3" t="s">
        <v>167</v>
      </c>
      <c r="M2400" s="3" t="s">
        <v>168</v>
      </c>
      <c r="N2400" s="3" t="s">
        <v>194</v>
      </c>
      <c r="O2400" s="3" t="s">
        <v>82</v>
      </c>
      <c r="P2400" s="3" t="str">
        <f>"2170818523                    "</f>
        <v xml:space="preserve">2170818523                    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15.46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0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3">
        <v>0</v>
      </c>
      <c r="AY2400" s="3">
        <v>0</v>
      </c>
      <c r="AZ2400" s="3">
        <v>0</v>
      </c>
      <c r="BA2400" s="3">
        <v>0</v>
      </c>
      <c r="BB2400" s="3">
        <v>0</v>
      </c>
      <c r="BC2400" s="3">
        <v>0</v>
      </c>
      <c r="BD2400" s="3">
        <v>0</v>
      </c>
      <c r="BE2400" s="3">
        <v>0</v>
      </c>
      <c r="BF2400" s="3">
        <v>0</v>
      </c>
      <c r="BG2400" s="3">
        <v>0</v>
      </c>
      <c r="BH2400" s="3">
        <v>1</v>
      </c>
      <c r="BI2400" s="3">
        <v>2</v>
      </c>
      <c r="BJ2400" s="3">
        <v>2</v>
      </c>
      <c r="BK2400" s="3">
        <v>2</v>
      </c>
      <c r="BL2400" s="3">
        <v>59</v>
      </c>
      <c r="BM2400" s="3">
        <v>8.85</v>
      </c>
      <c r="BN2400" s="3">
        <v>67.849999999999994</v>
      </c>
      <c r="BO2400" s="3">
        <v>67.849999999999994</v>
      </c>
      <c r="BQ2400" s="3" t="s">
        <v>89</v>
      </c>
      <c r="BR2400" s="3" t="s">
        <v>84</v>
      </c>
      <c r="BS2400" s="4">
        <v>44589</v>
      </c>
      <c r="BT2400" s="5">
        <v>0.3215277777777778</v>
      </c>
      <c r="BU2400" s="3" t="s">
        <v>2399</v>
      </c>
      <c r="BV2400" s="3" t="s">
        <v>105</v>
      </c>
      <c r="BY2400" s="3">
        <v>9900</v>
      </c>
      <c r="BZ2400" s="3" t="s">
        <v>165</v>
      </c>
      <c r="CA2400" s="3" t="s">
        <v>553</v>
      </c>
      <c r="CC2400" s="3" t="s">
        <v>168</v>
      </c>
      <c r="CD2400" s="3">
        <v>6229</v>
      </c>
      <c r="CE2400" s="3" t="s">
        <v>86</v>
      </c>
      <c r="CF2400" s="4">
        <v>44589</v>
      </c>
      <c r="CI2400" s="3">
        <v>1</v>
      </c>
      <c r="CJ2400" s="3">
        <v>1</v>
      </c>
      <c r="CK2400" s="3">
        <v>21</v>
      </c>
      <c r="CL2400" s="3" t="s">
        <v>87</v>
      </c>
    </row>
    <row r="2401" spans="1:90" x14ac:dyDescent="0.2">
      <c r="A2401" s="3" t="s">
        <v>72</v>
      </c>
      <c r="B2401" s="3" t="s">
        <v>73</v>
      </c>
      <c r="C2401" s="3" t="s">
        <v>74</v>
      </c>
      <c r="E2401" s="3" t="str">
        <f>"FES1162847308"</f>
        <v>FES1162847308</v>
      </c>
      <c r="F2401" s="4">
        <v>44588</v>
      </c>
      <c r="G2401" s="3">
        <v>202207</v>
      </c>
      <c r="H2401" s="3" t="s">
        <v>75</v>
      </c>
      <c r="I2401" s="3" t="s">
        <v>76</v>
      </c>
      <c r="J2401" s="3" t="s">
        <v>77</v>
      </c>
      <c r="K2401" s="3" t="s">
        <v>78</v>
      </c>
      <c r="L2401" s="3" t="s">
        <v>101</v>
      </c>
      <c r="M2401" s="3" t="s">
        <v>102</v>
      </c>
      <c r="N2401" s="3" t="s">
        <v>272</v>
      </c>
      <c r="O2401" s="3" t="s">
        <v>82</v>
      </c>
      <c r="P2401" s="3" t="str">
        <f>"2170817172                    "</f>
        <v xml:space="preserve">2170817172                    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15.46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0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3">
        <v>0</v>
      </c>
      <c r="AY2401" s="3">
        <v>0</v>
      </c>
      <c r="AZ2401" s="3">
        <v>0</v>
      </c>
      <c r="BA2401" s="3">
        <v>0</v>
      </c>
      <c r="BB2401" s="3">
        <v>0</v>
      </c>
      <c r="BC2401" s="3">
        <v>0</v>
      </c>
      <c r="BD2401" s="3">
        <v>0</v>
      </c>
      <c r="BE2401" s="3">
        <v>0</v>
      </c>
      <c r="BF2401" s="3">
        <v>0</v>
      </c>
      <c r="BG2401" s="3">
        <v>0</v>
      </c>
      <c r="BH2401" s="3">
        <v>1</v>
      </c>
      <c r="BI2401" s="3">
        <v>1</v>
      </c>
      <c r="BJ2401" s="3">
        <v>0.2</v>
      </c>
      <c r="BK2401" s="3">
        <v>1</v>
      </c>
      <c r="BL2401" s="3">
        <v>59</v>
      </c>
      <c r="BM2401" s="3">
        <v>8.85</v>
      </c>
      <c r="BN2401" s="3">
        <v>67.849999999999994</v>
      </c>
      <c r="BO2401" s="3">
        <v>67.849999999999994</v>
      </c>
      <c r="BQ2401" s="3" t="s">
        <v>273</v>
      </c>
      <c r="BR2401" s="3" t="s">
        <v>84</v>
      </c>
      <c r="BS2401" s="4">
        <v>44589</v>
      </c>
      <c r="BT2401" s="5">
        <v>0.41388888888888892</v>
      </c>
      <c r="BU2401" s="3" t="s">
        <v>2147</v>
      </c>
      <c r="BV2401" s="3" t="s">
        <v>105</v>
      </c>
      <c r="BY2401" s="3">
        <v>1200</v>
      </c>
      <c r="BZ2401" s="3" t="s">
        <v>165</v>
      </c>
      <c r="CA2401" s="3" t="s">
        <v>2148</v>
      </c>
      <c r="CC2401" s="3" t="s">
        <v>102</v>
      </c>
      <c r="CD2401" s="3">
        <v>4000</v>
      </c>
      <c r="CE2401" s="3" t="s">
        <v>93</v>
      </c>
      <c r="CI2401" s="3">
        <v>1</v>
      </c>
      <c r="CJ2401" s="3">
        <v>1</v>
      </c>
      <c r="CK2401" s="3">
        <v>21</v>
      </c>
      <c r="CL2401" s="3" t="s">
        <v>87</v>
      </c>
    </row>
    <row r="2402" spans="1:90" x14ac:dyDescent="0.2">
      <c r="A2402" s="3" t="s">
        <v>72</v>
      </c>
      <c r="B2402" s="3" t="s">
        <v>73</v>
      </c>
      <c r="C2402" s="3" t="s">
        <v>74</v>
      </c>
      <c r="E2402" s="3" t="str">
        <f>"FES1162847313"</f>
        <v>FES1162847313</v>
      </c>
      <c r="F2402" s="4">
        <v>44588</v>
      </c>
      <c r="G2402" s="3">
        <v>202207</v>
      </c>
      <c r="H2402" s="3" t="s">
        <v>75</v>
      </c>
      <c r="I2402" s="3" t="s">
        <v>76</v>
      </c>
      <c r="J2402" s="3" t="s">
        <v>77</v>
      </c>
      <c r="K2402" s="3" t="s">
        <v>78</v>
      </c>
      <c r="L2402" s="3" t="s">
        <v>195</v>
      </c>
      <c r="M2402" s="3" t="s">
        <v>196</v>
      </c>
      <c r="N2402" s="3" t="s">
        <v>197</v>
      </c>
      <c r="O2402" s="3" t="s">
        <v>82</v>
      </c>
      <c r="P2402" s="3" t="str">
        <f>"2170818554                    "</f>
        <v xml:space="preserve">2170818554                    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34.770000000000003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0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3">
        <v>0</v>
      </c>
      <c r="AY2402" s="3">
        <v>0</v>
      </c>
      <c r="AZ2402" s="3">
        <v>0</v>
      </c>
      <c r="BA2402" s="3">
        <v>0</v>
      </c>
      <c r="BB2402" s="3">
        <v>0</v>
      </c>
      <c r="BC2402" s="3">
        <v>0</v>
      </c>
      <c r="BD2402" s="3">
        <v>0</v>
      </c>
      <c r="BE2402" s="3">
        <v>0</v>
      </c>
      <c r="BF2402" s="3">
        <v>0</v>
      </c>
      <c r="BG2402" s="3">
        <v>0</v>
      </c>
      <c r="BH2402" s="3">
        <v>1</v>
      </c>
      <c r="BI2402" s="3">
        <v>2</v>
      </c>
      <c r="BJ2402" s="3">
        <v>4.0999999999999996</v>
      </c>
      <c r="BK2402" s="3">
        <v>4.5</v>
      </c>
      <c r="BL2402" s="3">
        <v>132.71</v>
      </c>
      <c r="BM2402" s="3">
        <v>19.91</v>
      </c>
      <c r="BN2402" s="3">
        <v>152.62</v>
      </c>
      <c r="BO2402" s="3">
        <v>152.62</v>
      </c>
      <c r="BQ2402" s="3" t="s">
        <v>89</v>
      </c>
      <c r="BR2402" s="3" t="s">
        <v>84</v>
      </c>
      <c r="BS2402" s="4">
        <v>44589</v>
      </c>
      <c r="BT2402" s="5">
        <v>0.3756944444444445</v>
      </c>
      <c r="BU2402" s="3" t="s">
        <v>2400</v>
      </c>
      <c r="BV2402" s="3" t="s">
        <v>105</v>
      </c>
      <c r="BY2402" s="3">
        <v>20358</v>
      </c>
      <c r="BZ2402" s="3" t="s">
        <v>165</v>
      </c>
      <c r="CA2402" s="3" t="s">
        <v>571</v>
      </c>
      <c r="CC2402" s="3" t="s">
        <v>196</v>
      </c>
      <c r="CD2402" s="3">
        <v>4302</v>
      </c>
      <c r="CE2402" s="3" t="s">
        <v>86</v>
      </c>
      <c r="CI2402" s="3">
        <v>1</v>
      </c>
      <c r="CJ2402" s="3">
        <v>1</v>
      </c>
      <c r="CK2402" s="3">
        <v>21</v>
      </c>
      <c r="CL2402" s="3" t="s">
        <v>87</v>
      </c>
    </row>
    <row r="2403" spans="1:90" x14ac:dyDescent="0.2">
      <c r="A2403" s="3" t="s">
        <v>72</v>
      </c>
      <c r="B2403" s="3" t="s">
        <v>73</v>
      </c>
      <c r="C2403" s="3" t="s">
        <v>74</v>
      </c>
      <c r="E2403" s="3" t="str">
        <f>"FES1162847172"</f>
        <v>FES1162847172</v>
      </c>
      <c r="F2403" s="4">
        <v>44588</v>
      </c>
      <c r="G2403" s="3">
        <v>202207</v>
      </c>
      <c r="H2403" s="3" t="s">
        <v>75</v>
      </c>
      <c r="I2403" s="3" t="s">
        <v>76</v>
      </c>
      <c r="J2403" s="3" t="s">
        <v>77</v>
      </c>
      <c r="K2403" s="3" t="s">
        <v>78</v>
      </c>
      <c r="L2403" s="3" t="s">
        <v>101</v>
      </c>
      <c r="M2403" s="3" t="s">
        <v>102</v>
      </c>
      <c r="N2403" s="3" t="s">
        <v>526</v>
      </c>
      <c r="O2403" s="3" t="s">
        <v>82</v>
      </c>
      <c r="P2403" s="3" t="str">
        <f>"2170818493                    "</f>
        <v xml:space="preserve">2170818493                    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15.46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0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3">
        <v>0</v>
      </c>
      <c r="AY2403" s="3">
        <v>0</v>
      </c>
      <c r="AZ2403" s="3">
        <v>0</v>
      </c>
      <c r="BA2403" s="3">
        <v>0</v>
      </c>
      <c r="BB2403" s="3">
        <v>0</v>
      </c>
      <c r="BC2403" s="3">
        <v>0</v>
      </c>
      <c r="BD2403" s="3">
        <v>0</v>
      </c>
      <c r="BE2403" s="3">
        <v>0</v>
      </c>
      <c r="BF2403" s="3">
        <v>0</v>
      </c>
      <c r="BG2403" s="3">
        <v>0</v>
      </c>
      <c r="BH2403" s="3">
        <v>1</v>
      </c>
      <c r="BI2403" s="3">
        <v>1</v>
      </c>
      <c r="BJ2403" s="3">
        <v>0.2</v>
      </c>
      <c r="BK2403" s="3">
        <v>1</v>
      </c>
      <c r="BL2403" s="3">
        <v>59</v>
      </c>
      <c r="BM2403" s="3">
        <v>8.85</v>
      </c>
      <c r="BN2403" s="3">
        <v>67.849999999999994</v>
      </c>
      <c r="BO2403" s="3">
        <v>67.849999999999994</v>
      </c>
      <c r="BQ2403" s="3" t="s">
        <v>89</v>
      </c>
      <c r="BR2403" s="3" t="s">
        <v>84</v>
      </c>
      <c r="BS2403" s="4">
        <v>44589</v>
      </c>
      <c r="BT2403" s="5">
        <v>0.42777777777777781</v>
      </c>
      <c r="BU2403" s="3" t="s">
        <v>2401</v>
      </c>
      <c r="BV2403" s="3" t="s">
        <v>105</v>
      </c>
      <c r="BY2403" s="3">
        <v>1200</v>
      </c>
      <c r="BZ2403" s="3" t="s">
        <v>165</v>
      </c>
      <c r="CA2403" s="3" t="s">
        <v>339</v>
      </c>
      <c r="CC2403" s="3" t="s">
        <v>102</v>
      </c>
      <c r="CD2403" s="3">
        <v>4001</v>
      </c>
      <c r="CE2403" s="3" t="s">
        <v>93</v>
      </c>
      <c r="CI2403" s="3">
        <v>1</v>
      </c>
      <c r="CJ2403" s="3">
        <v>1</v>
      </c>
      <c r="CK2403" s="3">
        <v>21</v>
      </c>
      <c r="CL2403" s="3" t="s">
        <v>87</v>
      </c>
    </row>
    <row r="2404" spans="1:90" x14ac:dyDescent="0.2">
      <c r="A2404" s="3" t="s">
        <v>72</v>
      </c>
      <c r="B2404" s="3" t="s">
        <v>73</v>
      </c>
      <c r="C2404" s="3" t="s">
        <v>74</v>
      </c>
      <c r="E2404" s="3" t="str">
        <f>"FES1162847341"</f>
        <v>FES1162847341</v>
      </c>
      <c r="F2404" s="4">
        <v>44588</v>
      </c>
      <c r="G2404" s="3">
        <v>202207</v>
      </c>
      <c r="H2404" s="3" t="s">
        <v>75</v>
      </c>
      <c r="I2404" s="3" t="s">
        <v>76</v>
      </c>
      <c r="J2404" s="3" t="s">
        <v>77</v>
      </c>
      <c r="K2404" s="3" t="s">
        <v>78</v>
      </c>
      <c r="L2404" s="3" t="s">
        <v>79</v>
      </c>
      <c r="M2404" s="3" t="s">
        <v>80</v>
      </c>
      <c r="N2404" s="3" t="s">
        <v>248</v>
      </c>
      <c r="O2404" s="3" t="s">
        <v>82</v>
      </c>
      <c r="P2404" s="3" t="str">
        <f>"2170818589                    "</f>
        <v xml:space="preserve">2170818589                    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15.46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Q2404" s="3">
        <v>0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3">
        <v>0</v>
      </c>
      <c r="AY2404" s="3">
        <v>0</v>
      </c>
      <c r="AZ2404" s="3">
        <v>0</v>
      </c>
      <c r="BA2404" s="3">
        <v>0</v>
      </c>
      <c r="BB2404" s="3">
        <v>0</v>
      </c>
      <c r="BC2404" s="3">
        <v>0</v>
      </c>
      <c r="BD2404" s="3">
        <v>0</v>
      </c>
      <c r="BE2404" s="3">
        <v>0</v>
      </c>
      <c r="BF2404" s="3">
        <v>0</v>
      </c>
      <c r="BG2404" s="3">
        <v>0</v>
      </c>
      <c r="BH2404" s="3">
        <v>1</v>
      </c>
      <c r="BI2404" s="3">
        <v>1</v>
      </c>
      <c r="BJ2404" s="3">
        <v>0.2</v>
      </c>
      <c r="BK2404" s="3">
        <v>1</v>
      </c>
      <c r="BL2404" s="3">
        <v>59</v>
      </c>
      <c r="BM2404" s="3">
        <v>8.85</v>
      </c>
      <c r="BN2404" s="3">
        <v>67.849999999999994</v>
      </c>
      <c r="BO2404" s="3">
        <v>67.849999999999994</v>
      </c>
      <c r="BQ2404" s="3" t="s">
        <v>83</v>
      </c>
      <c r="BR2404" s="3" t="s">
        <v>84</v>
      </c>
      <c r="BS2404" s="4">
        <v>44589</v>
      </c>
      <c r="BT2404" s="5">
        <v>0.41250000000000003</v>
      </c>
      <c r="BU2404" s="3" t="s">
        <v>1023</v>
      </c>
      <c r="BV2404" s="3" t="s">
        <v>105</v>
      </c>
      <c r="BY2404" s="3">
        <v>1200</v>
      </c>
      <c r="BZ2404" s="3" t="s">
        <v>165</v>
      </c>
      <c r="CA2404" s="3" t="s">
        <v>362</v>
      </c>
      <c r="CC2404" s="3" t="s">
        <v>80</v>
      </c>
      <c r="CD2404" s="3">
        <v>1</v>
      </c>
      <c r="CE2404" s="3" t="s">
        <v>93</v>
      </c>
      <c r="CF2404" s="4">
        <v>44589</v>
      </c>
      <c r="CI2404" s="3">
        <v>1</v>
      </c>
      <c r="CJ2404" s="3">
        <v>1</v>
      </c>
      <c r="CK2404" s="3">
        <v>21</v>
      </c>
      <c r="CL2404" s="3" t="s">
        <v>87</v>
      </c>
    </row>
    <row r="2405" spans="1:90" x14ac:dyDescent="0.2">
      <c r="A2405" s="3" t="s">
        <v>72</v>
      </c>
      <c r="B2405" s="3" t="s">
        <v>73</v>
      </c>
      <c r="C2405" s="3" t="s">
        <v>74</v>
      </c>
      <c r="E2405" s="3" t="str">
        <f>"FES1162847309"</f>
        <v>FES1162847309</v>
      </c>
      <c r="F2405" s="4">
        <v>44588</v>
      </c>
      <c r="G2405" s="3">
        <v>202207</v>
      </c>
      <c r="H2405" s="3" t="s">
        <v>75</v>
      </c>
      <c r="I2405" s="3" t="s">
        <v>76</v>
      </c>
      <c r="J2405" s="3" t="s">
        <v>77</v>
      </c>
      <c r="K2405" s="3" t="s">
        <v>78</v>
      </c>
      <c r="L2405" s="3" t="s">
        <v>158</v>
      </c>
      <c r="M2405" s="3" t="s">
        <v>159</v>
      </c>
      <c r="N2405" s="3" t="s">
        <v>417</v>
      </c>
      <c r="O2405" s="3" t="s">
        <v>82</v>
      </c>
      <c r="P2405" s="3" t="str">
        <f>"2170813816                    "</f>
        <v xml:space="preserve">2170813816                    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12.07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Q2405" s="3">
        <v>0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3">
        <v>0</v>
      </c>
      <c r="AY2405" s="3">
        <v>0</v>
      </c>
      <c r="AZ2405" s="3">
        <v>0</v>
      </c>
      <c r="BA2405" s="3">
        <v>0</v>
      </c>
      <c r="BB2405" s="3">
        <v>0</v>
      </c>
      <c r="BC2405" s="3">
        <v>0</v>
      </c>
      <c r="BD2405" s="3">
        <v>0</v>
      </c>
      <c r="BE2405" s="3">
        <v>0</v>
      </c>
      <c r="BF2405" s="3">
        <v>0</v>
      </c>
      <c r="BG2405" s="3">
        <v>0</v>
      </c>
      <c r="BH2405" s="3">
        <v>1</v>
      </c>
      <c r="BI2405" s="3">
        <v>7</v>
      </c>
      <c r="BJ2405" s="3">
        <v>4.0999999999999996</v>
      </c>
      <c r="BK2405" s="3">
        <v>7</v>
      </c>
      <c r="BL2405" s="3">
        <v>46.08</v>
      </c>
      <c r="BM2405" s="3">
        <v>6.91</v>
      </c>
      <c r="BN2405" s="3">
        <v>52.99</v>
      </c>
      <c r="BO2405" s="3">
        <v>52.99</v>
      </c>
      <c r="BQ2405" s="3" t="s">
        <v>83</v>
      </c>
      <c r="BR2405" s="3" t="s">
        <v>84</v>
      </c>
      <c r="BS2405" s="4">
        <v>44589</v>
      </c>
      <c r="BT2405" s="5">
        <v>0.32430555555555557</v>
      </c>
      <c r="BU2405" s="3" t="s">
        <v>1257</v>
      </c>
      <c r="BV2405" s="3" t="s">
        <v>105</v>
      </c>
      <c r="BY2405" s="3">
        <v>20358</v>
      </c>
      <c r="BZ2405" s="3" t="s">
        <v>165</v>
      </c>
      <c r="CA2405" s="3" t="s">
        <v>763</v>
      </c>
      <c r="CC2405" s="3" t="s">
        <v>159</v>
      </c>
      <c r="CD2405" s="3">
        <v>1459</v>
      </c>
      <c r="CE2405" s="3" t="s">
        <v>86</v>
      </c>
      <c r="CF2405" s="4">
        <v>44589</v>
      </c>
      <c r="CI2405" s="3">
        <v>1</v>
      </c>
      <c r="CJ2405" s="3">
        <v>1</v>
      </c>
      <c r="CK2405" s="3">
        <v>22</v>
      </c>
      <c r="CL2405" s="3" t="s">
        <v>87</v>
      </c>
    </row>
    <row r="2406" spans="1:90" x14ac:dyDescent="0.2">
      <c r="A2406" s="3" t="s">
        <v>72</v>
      </c>
      <c r="B2406" s="3" t="s">
        <v>73</v>
      </c>
      <c r="C2406" s="3" t="s">
        <v>74</v>
      </c>
      <c r="E2406" s="3" t="str">
        <f>"FES1162847274"</f>
        <v>FES1162847274</v>
      </c>
      <c r="F2406" s="4">
        <v>44588</v>
      </c>
      <c r="G2406" s="3">
        <v>202207</v>
      </c>
      <c r="H2406" s="3" t="s">
        <v>75</v>
      </c>
      <c r="I2406" s="3" t="s">
        <v>76</v>
      </c>
      <c r="J2406" s="3" t="s">
        <v>77</v>
      </c>
      <c r="K2406" s="3" t="s">
        <v>78</v>
      </c>
      <c r="L2406" s="3" t="s">
        <v>154</v>
      </c>
      <c r="M2406" s="3" t="s">
        <v>155</v>
      </c>
      <c r="N2406" s="3" t="s">
        <v>915</v>
      </c>
      <c r="O2406" s="3" t="s">
        <v>82</v>
      </c>
      <c r="P2406" s="3" t="str">
        <f>"2170816352                    "</f>
        <v xml:space="preserve">2170816352                    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12.07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0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3">
        <v>0</v>
      </c>
      <c r="AY2406" s="3">
        <v>0</v>
      </c>
      <c r="AZ2406" s="3">
        <v>0</v>
      </c>
      <c r="BA2406" s="3">
        <v>0</v>
      </c>
      <c r="BB2406" s="3">
        <v>0</v>
      </c>
      <c r="BC2406" s="3">
        <v>0</v>
      </c>
      <c r="BD2406" s="3">
        <v>0</v>
      </c>
      <c r="BE2406" s="3">
        <v>0</v>
      </c>
      <c r="BF2406" s="3">
        <v>0</v>
      </c>
      <c r="BG2406" s="3">
        <v>0</v>
      </c>
      <c r="BH2406" s="3">
        <v>1</v>
      </c>
      <c r="BI2406" s="3">
        <v>5</v>
      </c>
      <c r="BJ2406" s="3">
        <v>1.5</v>
      </c>
      <c r="BK2406" s="3">
        <v>5</v>
      </c>
      <c r="BL2406" s="3">
        <v>46.08</v>
      </c>
      <c r="BM2406" s="3">
        <v>6.91</v>
      </c>
      <c r="BN2406" s="3">
        <v>52.99</v>
      </c>
      <c r="BO2406" s="3">
        <v>52.99</v>
      </c>
      <c r="BR2406" s="3" t="s">
        <v>84</v>
      </c>
      <c r="BS2406" s="4">
        <v>44589</v>
      </c>
      <c r="BT2406" s="5">
        <v>0.3972222222222222</v>
      </c>
      <c r="BU2406" s="3" t="s">
        <v>916</v>
      </c>
      <c r="BV2406" s="3" t="s">
        <v>105</v>
      </c>
      <c r="BY2406" s="3">
        <v>7605</v>
      </c>
      <c r="BZ2406" s="3" t="s">
        <v>165</v>
      </c>
      <c r="CA2406" s="3" t="s">
        <v>607</v>
      </c>
      <c r="CC2406" s="3" t="s">
        <v>155</v>
      </c>
      <c r="CD2406" s="3">
        <v>1682</v>
      </c>
      <c r="CE2406" s="3" t="s">
        <v>86</v>
      </c>
      <c r="CF2406" s="4">
        <v>44590</v>
      </c>
      <c r="CI2406" s="3">
        <v>1</v>
      </c>
      <c r="CJ2406" s="3">
        <v>1</v>
      </c>
      <c r="CK2406" s="3">
        <v>22</v>
      </c>
      <c r="CL2406" s="3" t="s">
        <v>87</v>
      </c>
    </row>
    <row r="2407" spans="1:90" x14ac:dyDescent="0.2">
      <c r="A2407" s="3" t="s">
        <v>72</v>
      </c>
      <c r="B2407" s="3" t="s">
        <v>73</v>
      </c>
      <c r="C2407" s="3" t="s">
        <v>74</v>
      </c>
      <c r="E2407" s="3" t="str">
        <f>"FES1162847321"</f>
        <v>FES1162847321</v>
      </c>
      <c r="F2407" s="4">
        <v>44588</v>
      </c>
      <c r="G2407" s="3">
        <v>202207</v>
      </c>
      <c r="H2407" s="3" t="s">
        <v>75</v>
      </c>
      <c r="I2407" s="3" t="s">
        <v>76</v>
      </c>
      <c r="J2407" s="3" t="s">
        <v>77</v>
      </c>
      <c r="K2407" s="3" t="s">
        <v>78</v>
      </c>
      <c r="L2407" s="3" t="s">
        <v>195</v>
      </c>
      <c r="M2407" s="3" t="s">
        <v>196</v>
      </c>
      <c r="N2407" s="3" t="s">
        <v>197</v>
      </c>
      <c r="O2407" s="3" t="s">
        <v>82</v>
      </c>
      <c r="P2407" s="3" t="str">
        <f>"2170818559                    "</f>
        <v xml:space="preserve">2170818559                    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92.7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0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3">
        <v>0</v>
      </c>
      <c r="AY2407" s="3">
        <v>0</v>
      </c>
      <c r="AZ2407" s="3">
        <v>0</v>
      </c>
      <c r="BA2407" s="3">
        <v>0</v>
      </c>
      <c r="BB2407" s="3">
        <v>0</v>
      </c>
      <c r="BC2407" s="3">
        <v>0</v>
      </c>
      <c r="BD2407" s="3">
        <v>0</v>
      </c>
      <c r="BE2407" s="3">
        <v>0</v>
      </c>
      <c r="BF2407" s="3">
        <v>0</v>
      </c>
      <c r="BG2407" s="3">
        <v>0</v>
      </c>
      <c r="BH2407" s="3">
        <v>1</v>
      </c>
      <c r="BI2407" s="3">
        <v>12</v>
      </c>
      <c r="BJ2407" s="3">
        <v>9.1</v>
      </c>
      <c r="BK2407" s="3">
        <v>12</v>
      </c>
      <c r="BL2407" s="3">
        <v>353.84</v>
      </c>
      <c r="BM2407" s="3">
        <v>53.08</v>
      </c>
      <c r="BN2407" s="3">
        <v>406.92</v>
      </c>
      <c r="BO2407" s="3">
        <v>406.92</v>
      </c>
      <c r="BQ2407" s="3" t="s">
        <v>89</v>
      </c>
      <c r="BR2407" s="3" t="s">
        <v>84</v>
      </c>
      <c r="BS2407" s="4">
        <v>44589</v>
      </c>
      <c r="BT2407" s="5">
        <v>0.3756944444444445</v>
      </c>
      <c r="BU2407" s="3" t="s">
        <v>2400</v>
      </c>
      <c r="BV2407" s="3" t="s">
        <v>105</v>
      </c>
      <c r="BY2407" s="3">
        <v>45632</v>
      </c>
      <c r="BZ2407" s="3" t="s">
        <v>165</v>
      </c>
      <c r="CA2407" s="3" t="s">
        <v>571</v>
      </c>
      <c r="CC2407" s="3" t="s">
        <v>196</v>
      </c>
      <c r="CD2407" s="3">
        <v>4302</v>
      </c>
      <c r="CE2407" s="3" t="s">
        <v>86</v>
      </c>
      <c r="CI2407" s="3">
        <v>1</v>
      </c>
      <c r="CJ2407" s="3">
        <v>1</v>
      </c>
      <c r="CK2407" s="3">
        <v>21</v>
      </c>
      <c r="CL2407" s="3" t="s">
        <v>87</v>
      </c>
    </row>
    <row r="2408" spans="1:90" x14ac:dyDescent="0.2">
      <c r="A2408" s="3" t="s">
        <v>72</v>
      </c>
      <c r="B2408" s="3" t="s">
        <v>73</v>
      </c>
      <c r="C2408" s="3" t="s">
        <v>74</v>
      </c>
      <c r="E2408" s="3" t="str">
        <f>"FES1162847203"</f>
        <v>FES1162847203</v>
      </c>
      <c r="F2408" s="4">
        <v>44588</v>
      </c>
      <c r="G2408" s="3">
        <v>202207</v>
      </c>
      <c r="H2408" s="3" t="s">
        <v>75</v>
      </c>
      <c r="I2408" s="3" t="s">
        <v>76</v>
      </c>
      <c r="J2408" s="3" t="s">
        <v>77</v>
      </c>
      <c r="K2408" s="3" t="s">
        <v>78</v>
      </c>
      <c r="L2408" s="3" t="s">
        <v>138</v>
      </c>
      <c r="M2408" s="3" t="s">
        <v>139</v>
      </c>
      <c r="N2408" s="3" t="s">
        <v>2402</v>
      </c>
      <c r="O2408" s="3" t="s">
        <v>82</v>
      </c>
      <c r="P2408" s="3" t="str">
        <f>"2170818513                    "</f>
        <v xml:space="preserve">2170818513                    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30.91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0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3">
        <v>0</v>
      </c>
      <c r="AY2408" s="3">
        <v>0</v>
      </c>
      <c r="AZ2408" s="3">
        <v>0</v>
      </c>
      <c r="BA2408" s="3">
        <v>0</v>
      </c>
      <c r="BB2408" s="3">
        <v>0</v>
      </c>
      <c r="BC2408" s="3">
        <v>0</v>
      </c>
      <c r="BD2408" s="3">
        <v>0</v>
      </c>
      <c r="BE2408" s="3">
        <v>0</v>
      </c>
      <c r="BF2408" s="3">
        <v>0</v>
      </c>
      <c r="BG2408" s="3">
        <v>0</v>
      </c>
      <c r="BH2408" s="3">
        <v>1</v>
      </c>
      <c r="BI2408" s="3">
        <v>3</v>
      </c>
      <c r="BJ2408" s="3">
        <v>3.6</v>
      </c>
      <c r="BK2408" s="3">
        <v>4</v>
      </c>
      <c r="BL2408" s="3">
        <v>117.97</v>
      </c>
      <c r="BM2408" s="3">
        <v>17.7</v>
      </c>
      <c r="BN2408" s="3">
        <v>135.66999999999999</v>
      </c>
      <c r="BO2408" s="3">
        <v>135.66999999999999</v>
      </c>
      <c r="BQ2408" s="3" t="s">
        <v>83</v>
      </c>
      <c r="BR2408" s="3" t="s">
        <v>84</v>
      </c>
      <c r="BS2408" s="4">
        <v>44589</v>
      </c>
      <c r="BT2408" s="5">
        <v>0.3979166666666667</v>
      </c>
      <c r="BU2408" s="3" t="s">
        <v>2403</v>
      </c>
      <c r="BV2408" s="3" t="s">
        <v>105</v>
      </c>
      <c r="BY2408" s="3">
        <v>18032</v>
      </c>
      <c r="BZ2408" s="3" t="s">
        <v>165</v>
      </c>
      <c r="CA2408" s="3" t="s">
        <v>240</v>
      </c>
      <c r="CC2408" s="3" t="s">
        <v>139</v>
      </c>
      <c r="CD2408" s="3">
        <v>3610</v>
      </c>
      <c r="CE2408" s="3" t="s">
        <v>86</v>
      </c>
      <c r="CI2408" s="3">
        <v>1</v>
      </c>
      <c r="CJ2408" s="3">
        <v>1</v>
      </c>
      <c r="CK2408" s="3">
        <v>21</v>
      </c>
      <c r="CL2408" s="3" t="s">
        <v>87</v>
      </c>
    </row>
    <row r="2409" spans="1:90" x14ac:dyDescent="0.2">
      <c r="A2409" s="3" t="s">
        <v>72</v>
      </c>
      <c r="B2409" s="3" t="s">
        <v>73</v>
      </c>
      <c r="C2409" s="3" t="s">
        <v>74</v>
      </c>
      <c r="E2409" s="3" t="str">
        <f>"FES1162847351"</f>
        <v>FES1162847351</v>
      </c>
      <c r="F2409" s="4">
        <v>44588</v>
      </c>
      <c r="G2409" s="3">
        <v>202207</v>
      </c>
      <c r="H2409" s="3" t="s">
        <v>75</v>
      </c>
      <c r="I2409" s="3" t="s">
        <v>76</v>
      </c>
      <c r="J2409" s="3" t="s">
        <v>77</v>
      </c>
      <c r="K2409" s="3" t="s">
        <v>78</v>
      </c>
      <c r="L2409" s="3" t="s">
        <v>254</v>
      </c>
      <c r="M2409" s="3" t="s">
        <v>255</v>
      </c>
      <c r="N2409" s="3" t="s">
        <v>256</v>
      </c>
      <c r="O2409" s="3" t="s">
        <v>82</v>
      </c>
      <c r="P2409" s="3" t="str">
        <f>"2170818600                    "</f>
        <v xml:space="preserve">2170818600                    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15.46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Q2409" s="3">
        <v>0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3">
        <v>0</v>
      </c>
      <c r="AY2409" s="3">
        <v>0</v>
      </c>
      <c r="AZ2409" s="3">
        <v>0</v>
      </c>
      <c r="BA2409" s="3">
        <v>0</v>
      </c>
      <c r="BB2409" s="3">
        <v>0</v>
      </c>
      <c r="BC2409" s="3">
        <v>0</v>
      </c>
      <c r="BD2409" s="3">
        <v>0</v>
      </c>
      <c r="BE2409" s="3">
        <v>0</v>
      </c>
      <c r="BF2409" s="3">
        <v>0</v>
      </c>
      <c r="BG2409" s="3">
        <v>0</v>
      </c>
      <c r="BH2409" s="3">
        <v>1</v>
      </c>
      <c r="BI2409" s="3">
        <v>1</v>
      </c>
      <c r="BJ2409" s="3">
        <v>0.2</v>
      </c>
      <c r="BK2409" s="3">
        <v>1</v>
      </c>
      <c r="BL2409" s="3">
        <v>59</v>
      </c>
      <c r="BM2409" s="3">
        <v>8.85</v>
      </c>
      <c r="BN2409" s="3">
        <v>67.849999999999994</v>
      </c>
      <c r="BO2409" s="3">
        <v>67.849999999999994</v>
      </c>
      <c r="BQ2409" s="3" t="s">
        <v>89</v>
      </c>
      <c r="BR2409" s="3" t="s">
        <v>84</v>
      </c>
      <c r="BS2409" s="4">
        <v>44589</v>
      </c>
      <c r="BT2409" s="5">
        <v>0.41111111111111115</v>
      </c>
      <c r="BU2409" s="3" t="s">
        <v>2404</v>
      </c>
      <c r="BV2409" s="3" t="s">
        <v>105</v>
      </c>
      <c r="BY2409" s="3">
        <v>1200</v>
      </c>
      <c r="BZ2409" s="3" t="s">
        <v>165</v>
      </c>
      <c r="CC2409" s="3" t="s">
        <v>255</v>
      </c>
      <c r="CD2409" s="3">
        <v>6536</v>
      </c>
      <c r="CE2409" s="3" t="s">
        <v>93</v>
      </c>
      <c r="CF2409" s="4">
        <v>44590</v>
      </c>
      <c r="CI2409" s="3">
        <v>1</v>
      </c>
      <c r="CJ2409" s="3">
        <v>1</v>
      </c>
      <c r="CK2409" s="3">
        <v>21</v>
      </c>
      <c r="CL2409" s="3" t="s">
        <v>87</v>
      </c>
    </row>
    <row r="2410" spans="1:90" x14ac:dyDescent="0.2">
      <c r="A2410" s="3" t="s">
        <v>72</v>
      </c>
      <c r="B2410" s="3" t="s">
        <v>73</v>
      </c>
      <c r="C2410" s="3" t="s">
        <v>74</v>
      </c>
      <c r="E2410" s="3" t="str">
        <f>"FES1162847344"</f>
        <v>FES1162847344</v>
      </c>
      <c r="F2410" s="4">
        <v>44588</v>
      </c>
      <c r="G2410" s="3">
        <v>202207</v>
      </c>
      <c r="H2410" s="3" t="s">
        <v>75</v>
      </c>
      <c r="I2410" s="3" t="s">
        <v>76</v>
      </c>
      <c r="J2410" s="3" t="s">
        <v>77</v>
      </c>
      <c r="K2410" s="3" t="s">
        <v>78</v>
      </c>
      <c r="L2410" s="3" t="s">
        <v>799</v>
      </c>
      <c r="M2410" s="3" t="s">
        <v>800</v>
      </c>
      <c r="N2410" s="3" t="s">
        <v>801</v>
      </c>
      <c r="O2410" s="3" t="s">
        <v>82</v>
      </c>
      <c r="P2410" s="3" t="str">
        <f>"2170818592                    "</f>
        <v xml:space="preserve">2170818592                    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21.74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0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3">
        <v>0</v>
      </c>
      <c r="AY2410" s="3">
        <v>0</v>
      </c>
      <c r="AZ2410" s="3">
        <v>0</v>
      </c>
      <c r="BA2410" s="3">
        <v>0</v>
      </c>
      <c r="BB2410" s="3">
        <v>0</v>
      </c>
      <c r="BC2410" s="3">
        <v>0</v>
      </c>
      <c r="BD2410" s="3">
        <v>0</v>
      </c>
      <c r="BE2410" s="3">
        <v>0</v>
      </c>
      <c r="BF2410" s="3">
        <v>0</v>
      </c>
      <c r="BG2410" s="3">
        <v>0</v>
      </c>
      <c r="BH2410" s="3">
        <v>1</v>
      </c>
      <c r="BI2410" s="3">
        <v>1</v>
      </c>
      <c r="BJ2410" s="3">
        <v>0.2</v>
      </c>
      <c r="BK2410" s="3">
        <v>1</v>
      </c>
      <c r="BL2410" s="3">
        <v>82.98</v>
      </c>
      <c r="BM2410" s="3">
        <v>12.45</v>
      </c>
      <c r="BN2410" s="3">
        <v>95.43</v>
      </c>
      <c r="BO2410" s="3">
        <v>95.43</v>
      </c>
      <c r="BQ2410" s="3" t="s">
        <v>89</v>
      </c>
      <c r="BR2410" s="3" t="s">
        <v>84</v>
      </c>
      <c r="BS2410" s="4">
        <v>44589</v>
      </c>
      <c r="BT2410" s="5">
        <v>0.66527777777777775</v>
      </c>
      <c r="BU2410" s="3" t="s">
        <v>1392</v>
      </c>
      <c r="BV2410" s="3" t="s">
        <v>105</v>
      </c>
      <c r="BY2410" s="3">
        <v>1200</v>
      </c>
      <c r="BZ2410" s="3" t="s">
        <v>165</v>
      </c>
      <c r="CA2410" s="3" t="s">
        <v>790</v>
      </c>
      <c r="CC2410" s="3" t="s">
        <v>800</v>
      </c>
      <c r="CD2410" s="3">
        <v>2210</v>
      </c>
      <c r="CE2410" s="3" t="s">
        <v>86</v>
      </c>
      <c r="CI2410" s="3">
        <v>1</v>
      </c>
      <c r="CJ2410" s="3">
        <v>1</v>
      </c>
      <c r="CK2410" s="3">
        <v>24</v>
      </c>
      <c r="CL2410" s="3" t="s">
        <v>87</v>
      </c>
    </row>
    <row r="2411" spans="1:90" x14ac:dyDescent="0.2">
      <c r="A2411" s="3" t="s">
        <v>72</v>
      </c>
      <c r="B2411" s="3" t="s">
        <v>73</v>
      </c>
      <c r="C2411" s="3" t="s">
        <v>74</v>
      </c>
      <c r="E2411" s="3" t="str">
        <f>"FES1162846469"</f>
        <v>FES1162846469</v>
      </c>
      <c r="F2411" s="4">
        <v>44588</v>
      </c>
      <c r="G2411" s="3">
        <v>202207</v>
      </c>
      <c r="H2411" s="3" t="s">
        <v>75</v>
      </c>
      <c r="I2411" s="3" t="s">
        <v>76</v>
      </c>
      <c r="J2411" s="3" t="s">
        <v>77</v>
      </c>
      <c r="K2411" s="3" t="s">
        <v>78</v>
      </c>
      <c r="L2411" s="3" t="s">
        <v>138</v>
      </c>
      <c r="M2411" s="3" t="s">
        <v>139</v>
      </c>
      <c r="N2411" s="3" t="s">
        <v>140</v>
      </c>
      <c r="O2411" s="3" t="s">
        <v>82</v>
      </c>
      <c r="P2411" s="3" t="str">
        <f>"2170815640                    "</f>
        <v xml:space="preserve">2170815640                    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15.46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0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3">
        <v>0</v>
      </c>
      <c r="AY2411" s="3">
        <v>0</v>
      </c>
      <c r="AZ2411" s="3">
        <v>0</v>
      </c>
      <c r="BA2411" s="3">
        <v>0</v>
      </c>
      <c r="BB2411" s="3">
        <v>0</v>
      </c>
      <c r="BC2411" s="3">
        <v>0</v>
      </c>
      <c r="BD2411" s="3">
        <v>0</v>
      </c>
      <c r="BE2411" s="3">
        <v>0</v>
      </c>
      <c r="BF2411" s="3">
        <v>0</v>
      </c>
      <c r="BG2411" s="3">
        <v>0</v>
      </c>
      <c r="BH2411" s="3">
        <v>1</v>
      </c>
      <c r="BI2411" s="3">
        <v>1</v>
      </c>
      <c r="BJ2411" s="3">
        <v>0.2</v>
      </c>
      <c r="BK2411" s="3">
        <v>1</v>
      </c>
      <c r="BL2411" s="3">
        <v>59</v>
      </c>
      <c r="BM2411" s="3">
        <v>8.85</v>
      </c>
      <c r="BN2411" s="3">
        <v>67.849999999999994</v>
      </c>
      <c r="BO2411" s="3">
        <v>67.849999999999994</v>
      </c>
      <c r="BQ2411" s="3" t="s">
        <v>126</v>
      </c>
      <c r="BR2411" s="3" t="s">
        <v>84</v>
      </c>
      <c r="BS2411" s="4">
        <v>44589</v>
      </c>
      <c r="BT2411" s="5">
        <v>0.34513888888888888</v>
      </c>
      <c r="BU2411" s="3" t="s">
        <v>1397</v>
      </c>
      <c r="BV2411" s="3" t="s">
        <v>105</v>
      </c>
      <c r="BY2411" s="3">
        <v>1200</v>
      </c>
      <c r="BZ2411" s="3" t="s">
        <v>165</v>
      </c>
      <c r="CA2411" s="3" t="s">
        <v>106</v>
      </c>
      <c r="CC2411" s="3" t="s">
        <v>139</v>
      </c>
      <c r="CD2411" s="3">
        <v>3610</v>
      </c>
      <c r="CE2411" s="3" t="s">
        <v>93</v>
      </c>
      <c r="CI2411" s="3">
        <v>1</v>
      </c>
      <c r="CJ2411" s="3">
        <v>1</v>
      </c>
      <c r="CK2411" s="3">
        <v>21</v>
      </c>
      <c r="CL2411" s="3" t="s">
        <v>87</v>
      </c>
    </row>
    <row r="2412" spans="1:90" x14ac:dyDescent="0.2">
      <c r="A2412" s="3" t="s">
        <v>72</v>
      </c>
      <c r="B2412" s="3" t="s">
        <v>73</v>
      </c>
      <c r="C2412" s="3" t="s">
        <v>74</v>
      </c>
      <c r="E2412" s="3" t="str">
        <f>"FES1162846865"</f>
        <v>FES1162846865</v>
      </c>
      <c r="F2412" s="4">
        <v>44588</v>
      </c>
      <c r="G2412" s="3">
        <v>202207</v>
      </c>
      <c r="H2412" s="3" t="s">
        <v>75</v>
      </c>
      <c r="I2412" s="3" t="s">
        <v>76</v>
      </c>
      <c r="J2412" s="3" t="s">
        <v>77</v>
      </c>
      <c r="K2412" s="3" t="s">
        <v>78</v>
      </c>
      <c r="L2412" s="3" t="s">
        <v>101</v>
      </c>
      <c r="M2412" s="3" t="s">
        <v>102</v>
      </c>
      <c r="N2412" s="3" t="s">
        <v>2405</v>
      </c>
      <c r="O2412" s="3" t="s">
        <v>82</v>
      </c>
      <c r="P2412" s="3" t="str">
        <f>"2170818143                    "</f>
        <v xml:space="preserve">2170818143                    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15.46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0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3">
        <v>0</v>
      </c>
      <c r="AY2412" s="3">
        <v>0</v>
      </c>
      <c r="AZ2412" s="3">
        <v>0</v>
      </c>
      <c r="BA2412" s="3">
        <v>0</v>
      </c>
      <c r="BB2412" s="3">
        <v>0</v>
      </c>
      <c r="BC2412" s="3">
        <v>0</v>
      </c>
      <c r="BD2412" s="3">
        <v>0</v>
      </c>
      <c r="BE2412" s="3">
        <v>0</v>
      </c>
      <c r="BF2412" s="3">
        <v>0</v>
      </c>
      <c r="BG2412" s="3">
        <v>0</v>
      </c>
      <c r="BH2412" s="3">
        <v>1</v>
      </c>
      <c r="BI2412" s="3">
        <v>1</v>
      </c>
      <c r="BJ2412" s="3">
        <v>0.2</v>
      </c>
      <c r="BK2412" s="3">
        <v>1</v>
      </c>
      <c r="BL2412" s="3">
        <v>59</v>
      </c>
      <c r="BM2412" s="3">
        <v>8.85</v>
      </c>
      <c r="BN2412" s="3">
        <v>67.849999999999994</v>
      </c>
      <c r="BO2412" s="3">
        <v>67.849999999999994</v>
      </c>
      <c r="BR2412" s="3" t="s">
        <v>84</v>
      </c>
      <c r="BS2412" s="3" t="s">
        <v>85</v>
      </c>
      <c r="BY2412" s="3">
        <v>1200</v>
      </c>
      <c r="BZ2412" s="3" t="s">
        <v>165</v>
      </c>
      <c r="CC2412" s="3" t="s">
        <v>102</v>
      </c>
      <c r="CD2412" s="3">
        <v>4001</v>
      </c>
      <c r="CE2412" s="3" t="s">
        <v>93</v>
      </c>
      <c r="CI2412" s="3">
        <v>1</v>
      </c>
      <c r="CJ2412" s="3" t="s">
        <v>85</v>
      </c>
      <c r="CK2412" s="3">
        <v>21</v>
      </c>
      <c r="CL2412" s="3" t="s">
        <v>87</v>
      </c>
    </row>
    <row r="2413" spans="1:90" x14ac:dyDescent="0.2">
      <c r="A2413" s="3" t="s">
        <v>72</v>
      </c>
      <c r="B2413" s="3" t="s">
        <v>73</v>
      </c>
      <c r="C2413" s="3" t="s">
        <v>74</v>
      </c>
      <c r="E2413" s="3" t="str">
        <f>"FES1162847194"</f>
        <v>FES1162847194</v>
      </c>
      <c r="F2413" s="4">
        <v>44588</v>
      </c>
      <c r="G2413" s="3">
        <v>202207</v>
      </c>
      <c r="H2413" s="3" t="s">
        <v>75</v>
      </c>
      <c r="I2413" s="3" t="s">
        <v>76</v>
      </c>
      <c r="J2413" s="3" t="s">
        <v>77</v>
      </c>
      <c r="K2413" s="3" t="s">
        <v>78</v>
      </c>
      <c r="L2413" s="3" t="s">
        <v>101</v>
      </c>
      <c r="M2413" s="3" t="s">
        <v>102</v>
      </c>
      <c r="N2413" s="3" t="s">
        <v>272</v>
      </c>
      <c r="O2413" s="3" t="s">
        <v>82</v>
      </c>
      <c r="P2413" s="3" t="str">
        <f>"2170818500                    "</f>
        <v xml:space="preserve">2170818500                    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84.98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Q2413" s="3">
        <v>0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3">
        <v>0</v>
      </c>
      <c r="AY2413" s="3">
        <v>0</v>
      </c>
      <c r="AZ2413" s="3">
        <v>0</v>
      </c>
      <c r="BA2413" s="3">
        <v>0</v>
      </c>
      <c r="BB2413" s="3">
        <v>0</v>
      </c>
      <c r="BC2413" s="3">
        <v>0</v>
      </c>
      <c r="BD2413" s="3">
        <v>0</v>
      </c>
      <c r="BE2413" s="3">
        <v>0</v>
      </c>
      <c r="BF2413" s="3">
        <v>0</v>
      </c>
      <c r="BG2413" s="3">
        <v>0</v>
      </c>
      <c r="BH2413" s="3">
        <v>1</v>
      </c>
      <c r="BI2413" s="3">
        <v>11</v>
      </c>
      <c r="BJ2413" s="3">
        <v>4.0999999999999996</v>
      </c>
      <c r="BK2413" s="3">
        <v>11</v>
      </c>
      <c r="BL2413" s="3">
        <v>324.36</v>
      </c>
      <c r="BM2413" s="3">
        <v>48.65</v>
      </c>
      <c r="BN2413" s="3">
        <v>373.01</v>
      </c>
      <c r="BO2413" s="3">
        <v>373.01</v>
      </c>
      <c r="BQ2413" s="3" t="s">
        <v>273</v>
      </c>
      <c r="BR2413" s="3" t="s">
        <v>84</v>
      </c>
      <c r="BS2413" s="4">
        <v>44589</v>
      </c>
      <c r="BT2413" s="5">
        <v>0.41388888888888892</v>
      </c>
      <c r="BU2413" s="3" t="s">
        <v>2147</v>
      </c>
      <c r="BV2413" s="3" t="s">
        <v>105</v>
      </c>
      <c r="BY2413" s="3">
        <v>20358</v>
      </c>
      <c r="BZ2413" s="3" t="s">
        <v>165</v>
      </c>
      <c r="CA2413" s="3" t="s">
        <v>2148</v>
      </c>
      <c r="CC2413" s="3" t="s">
        <v>102</v>
      </c>
      <c r="CD2413" s="3">
        <v>4000</v>
      </c>
      <c r="CE2413" s="3" t="s">
        <v>86</v>
      </c>
      <c r="CI2413" s="3">
        <v>1</v>
      </c>
      <c r="CJ2413" s="3">
        <v>1</v>
      </c>
      <c r="CK2413" s="3">
        <v>21</v>
      </c>
      <c r="CL2413" s="3" t="s">
        <v>87</v>
      </c>
    </row>
    <row r="2414" spans="1:90" x14ac:dyDescent="0.2">
      <c r="A2414" s="3" t="s">
        <v>72</v>
      </c>
      <c r="B2414" s="3" t="s">
        <v>73</v>
      </c>
      <c r="C2414" s="3" t="s">
        <v>74</v>
      </c>
      <c r="E2414" s="3" t="str">
        <f>"FES1162847276"</f>
        <v>FES1162847276</v>
      </c>
      <c r="F2414" s="4">
        <v>44588</v>
      </c>
      <c r="G2414" s="3">
        <v>202207</v>
      </c>
      <c r="H2414" s="3" t="s">
        <v>75</v>
      </c>
      <c r="I2414" s="3" t="s">
        <v>76</v>
      </c>
      <c r="J2414" s="3" t="s">
        <v>77</v>
      </c>
      <c r="K2414" s="3" t="s">
        <v>78</v>
      </c>
      <c r="L2414" s="3" t="s">
        <v>138</v>
      </c>
      <c r="M2414" s="3" t="s">
        <v>139</v>
      </c>
      <c r="N2414" s="3" t="s">
        <v>140</v>
      </c>
      <c r="O2414" s="3" t="s">
        <v>82</v>
      </c>
      <c r="P2414" s="3" t="str">
        <f>"2170816550                    "</f>
        <v xml:space="preserve">2170816550                    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15.46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3">
        <v>0</v>
      </c>
      <c r="AY2414" s="3">
        <v>0</v>
      </c>
      <c r="AZ2414" s="3">
        <v>0</v>
      </c>
      <c r="BA2414" s="3">
        <v>0</v>
      </c>
      <c r="BB2414" s="3">
        <v>0</v>
      </c>
      <c r="BC2414" s="3">
        <v>0</v>
      </c>
      <c r="BD2414" s="3">
        <v>0</v>
      </c>
      <c r="BE2414" s="3">
        <v>0</v>
      </c>
      <c r="BF2414" s="3">
        <v>0</v>
      </c>
      <c r="BG2414" s="3">
        <v>0</v>
      </c>
      <c r="BH2414" s="3">
        <v>1</v>
      </c>
      <c r="BI2414" s="3">
        <v>2</v>
      </c>
      <c r="BJ2414" s="3">
        <v>0.5</v>
      </c>
      <c r="BK2414" s="3">
        <v>2</v>
      </c>
      <c r="BL2414" s="3">
        <v>59</v>
      </c>
      <c r="BM2414" s="3">
        <v>8.85</v>
      </c>
      <c r="BN2414" s="3">
        <v>67.849999999999994</v>
      </c>
      <c r="BO2414" s="3">
        <v>67.849999999999994</v>
      </c>
      <c r="BQ2414" s="3" t="s">
        <v>126</v>
      </c>
      <c r="BR2414" s="3" t="s">
        <v>84</v>
      </c>
      <c r="BS2414" s="4">
        <v>44589</v>
      </c>
      <c r="BT2414" s="5">
        <v>0.34513888888888888</v>
      </c>
      <c r="BU2414" s="3" t="s">
        <v>1397</v>
      </c>
      <c r="BV2414" s="3" t="s">
        <v>105</v>
      </c>
      <c r="BY2414" s="3">
        <v>2500</v>
      </c>
      <c r="BZ2414" s="3" t="s">
        <v>165</v>
      </c>
      <c r="CA2414" s="3" t="s">
        <v>106</v>
      </c>
      <c r="CC2414" s="3" t="s">
        <v>139</v>
      </c>
      <c r="CD2414" s="3">
        <v>3610</v>
      </c>
      <c r="CE2414" s="3" t="s">
        <v>86</v>
      </c>
      <c r="CI2414" s="3">
        <v>1</v>
      </c>
      <c r="CJ2414" s="3">
        <v>1</v>
      </c>
      <c r="CK2414" s="3">
        <v>21</v>
      </c>
      <c r="CL2414" s="3" t="s">
        <v>87</v>
      </c>
    </row>
    <row r="2415" spans="1:90" x14ac:dyDescent="0.2">
      <c r="A2415" s="3" t="s">
        <v>72</v>
      </c>
      <c r="B2415" s="3" t="s">
        <v>73</v>
      </c>
      <c r="C2415" s="3" t="s">
        <v>74</v>
      </c>
      <c r="E2415" s="3" t="str">
        <f>"FES1162847285"</f>
        <v>FES1162847285</v>
      </c>
      <c r="F2415" s="4">
        <v>44588</v>
      </c>
      <c r="G2415" s="3">
        <v>202207</v>
      </c>
      <c r="H2415" s="3" t="s">
        <v>75</v>
      </c>
      <c r="I2415" s="3" t="s">
        <v>76</v>
      </c>
      <c r="J2415" s="3" t="s">
        <v>77</v>
      </c>
      <c r="K2415" s="3" t="s">
        <v>78</v>
      </c>
      <c r="L2415" s="3" t="s">
        <v>97</v>
      </c>
      <c r="M2415" s="3" t="s">
        <v>98</v>
      </c>
      <c r="N2415" s="3" t="s">
        <v>423</v>
      </c>
      <c r="O2415" s="3" t="s">
        <v>82</v>
      </c>
      <c r="P2415" s="3" t="str">
        <f>"2170816985                    "</f>
        <v xml:space="preserve">2170816985                    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12.07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3">
        <v>0</v>
      </c>
      <c r="AY2415" s="3">
        <v>0</v>
      </c>
      <c r="AZ2415" s="3">
        <v>0</v>
      </c>
      <c r="BA2415" s="3">
        <v>0</v>
      </c>
      <c r="BB2415" s="3">
        <v>0</v>
      </c>
      <c r="BC2415" s="3">
        <v>0</v>
      </c>
      <c r="BD2415" s="3">
        <v>0</v>
      </c>
      <c r="BE2415" s="3">
        <v>0</v>
      </c>
      <c r="BF2415" s="3">
        <v>0</v>
      </c>
      <c r="BG2415" s="3">
        <v>0</v>
      </c>
      <c r="BH2415" s="3">
        <v>1</v>
      </c>
      <c r="BI2415" s="3">
        <v>7</v>
      </c>
      <c r="BJ2415" s="3">
        <v>1.7</v>
      </c>
      <c r="BK2415" s="3">
        <v>7</v>
      </c>
      <c r="BL2415" s="3">
        <v>46.08</v>
      </c>
      <c r="BM2415" s="3">
        <v>6.91</v>
      </c>
      <c r="BN2415" s="3">
        <v>52.99</v>
      </c>
      <c r="BO2415" s="3">
        <v>52.99</v>
      </c>
      <c r="BR2415" s="3" t="s">
        <v>84</v>
      </c>
      <c r="BS2415" s="4">
        <v>44589</v>
      </c>
      <c r="BT2415" s="5">
        <v>0.36180555555555555</v>
      </c>
      <c r="BU2415" s="3" t="s">
        <v>2406</v>
      </c>
      <c r="BV2415" s="3" t="s">
        <v>105</v>
      </c>
      <c r="BY2415" s="3">
        <v>8450</v>
      </c>
      <c r="BZ2415" s="3" t="s">
        <v>165</v>
      </c>
      <c r="CA2415" s="3" t="s">
        <v>1189</v>
      </c>
      <c r="CC2415" s="3" t="s">
        <v>98</v>
      </c>
      <c r="CD2415" s="3">
        <v>2001</v>
      </c>
      <c r="CE2415" s="3" t="s">
        <v>86</v>
      </c>
      <c r="CF2415" s="4">
        <v>44589</v>
      </c>
      <c r="CI2415" s="3">
        <v>1</v>
      </c>
      <c r="CJ2415" s="3">
        <v>1</v>
      </c>
      <c r="CK2415" s="3">
        <v>22</v>
      </c>
      <c r="CL2415" s="3" t="s">
        <v>87</v>
      </c>
    </row>
    <row r="2416" spans="1:90" x14ac:dyDescent="0.2">
      <c r="A2416" s="3" t="s">
        <v>72</v>
      </c>
      <c r="B2416" s="3" t="s">
        <v>73</v>
      </c>
      <c r="C2416" s="3" t="s">
        <v>74</v>
      </c>
      <c r="E2416" s="3" t="str">
        <f>"FES1162847360"</f>
        <v>FES1162847360</v>
      </c>
      <c r="F2416" s="4">
        <v>44588</v>
      </c>
      <c r="G2416" s="3">
        <v>202207</v>
      </c>
      <c r="H2416" s="3" t="s">
        <v>75</v>
      </c>
      <c r="I2416" s="3" t="s">
        <v>76</v>
      </c>
      <c r="J2416" s="3" t="s">
        <v>77</v>
      </c>
      <c r="K2416" s="3" t="s">
        <v>78</v>
      </c>
      <c r="L2416" s="3" t="s">
        <v>101</v>
      </c>
      <c r="M2416" s="3" t="s">
        <v>102</v>
      </c>
      <c r="N2416" s="3" t="s">
        <v>935</v>
      </c>
      <c r="O2416" s="3" t="s">
        <v>82</v>
      </c>
      <c r="P2416" s="3" t="str">
        <f>"2170818612                    "</f>
        <v xml:space="preserve">2170818612                    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15.46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3">
        <v>0</v>
      </c>
      <c r="AY2416" s="3">
        <v>0</v>
      </c>
      <c r="AZ2416" s="3">
        <v>0</v>
      </c>
      <c r="BA2416" s="3">
        <v>0</v>
      </c>
      <c r="BB2416" s="3">
        <v>0</v>
      </c>
      <c r="BC2416" s="3">
        <v>0</v>
      </c>
      <c r="BD2416" s="3">
        <v>0</v>
      </c>
      <c r="BE2416" s="3">
        <v>0</v>
      </c>
      <c r="BF2416" s="3">
        <v>0</v>
      </c>
      <c r="BG2416" s="3">
        <v>0</v>
      </c>
      <c r="BH2416" s="3">
        <v>1</v>
      </c>
      <c r="BI2416" s="3">
        <v>1</v>
      </c>
      <c r="BJ2416" s="3">
        <v>0.2</v>
      </c>
      <c r="BK2416" s="3">
        <v>1</v>
      </c>
      <c r="BL2416" s="3">
        <v>59</v>
      </c>
      <c r="BM2416" s="3">
        <v>8.85</v>
      </c>
      <c r="BN2416" s="3">
        <v>67.849999999999994</v>
      </c>
      <c r="BO2416" s="3">
        <v>67.849999999999994</v>
      </c>
      <c r="BQ2416" s="3" t="s">
        <v>89</v>
      </c>
      <c r="BR2416" s="3" t="s">
        <v>84</v>
      </c>
      <c r="BS2416" s="4">
        <v>44589</v>
      </c>
      <c r="BT2416" s="5">
        <v>0.35902777777777778</v>
      </c>
      <c r="BU2416" s="3" t="s">
        <v>2407</v>
      </c>
      <c r="BV2416" s="3" t="s">
        <v>105</v>
      </c>
      <c r="BY2416" s="3">
        <v>1200</v>
      </c>
      <c r="CA2416" s="3" t="s">
        <v>1040</v>
      </c>
      <c r="CC2416" s="3" t="s">
        <v>102</v>
      </c>
      <c r="CD2416" s="3">
        <v>4001</v>
      </c>
      <c r="CE2416" s="3" t="s">
        <v>93</v>
      </c>
      <c r="CI2416" s="3">
        <v>1</v>
      </c>
      <c r="CJ2416" s="3">
        <v>1</v>
      </c>
      <c r="CK2416" s="3">
        <v>21</v>
      </c>
      <c r="CL2416" s="3" t="s">
        <v>87</v>
      </c>
    </row>
    <row r="2417" spans="1:90" x14ac:dyDescent="0.2">
      <c r="A2417" s="3" t="s">
        <v>72</v>
      </c>
      <c r="B2417" s="3" t="s">
        <v>73</v>
      </c>
      <c r="C2417" s="3" t="s">
        <v>74</v>
      </c>
      <c r="E2417" s="3" t="str">
        <f>"FES1162847414"</f>
        <v>FES1162847414</v>
      </c>
      <c r="F2417" s="4">
        <v>44588</v>
      </c>
      <c r="G2417" s="3">
        <v>202207</v>
      </c>
      <c r="H2417" s="3" t="s">
        <v>75</v>
      </c>
      <c r="I2417" s="3" t="s">
        <v>76</v>
      </c>
      <c r="J2417" s="3" t="s">
        <v>77</v>
      </c>
      <c r="K2417" s="3" t="s">
        <v>78</v>
      </c>
      <c r="L2417" s="3" t="s">
        <v>97</v>
      </c>
      <c r="M2417" s="3" t="s">
        <v>98</v>
      </c>
      <c r="N2417" s="3" t="s">
        <v>943</v>
      </c>
      <c r="O2417" s="3" t="s">
        <v>148</v>
      </c>
      <c r="P2417" s="3" t="str">
        <f>"2170818684                    "</f>
        <v xml:space="preserve">2170818684                    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28.46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3">
        <v>0</v>
      </c>
      <c r="AY2417" s="3">
        <v>0</v>
      </c>
      <c r="AZ2417" s="3">
        <v>0</v>
      </c>
      <c r="BA2417" s="3">
        <v>0</v>
      </c>
      <c r="BB2417" s="3">
        <v>0</v>
      </c>
      <c r="BC2417" s="3">
        <v>0</v>
      </c>
      <c r="BD2417" s="3">
        <v>0</v>
      </c>
      <c r="BE2417" s="3">
        <v>0</v>
      </c>
      <c r="BF2417" s="3">
        <v>0</v>
      </c>
      <c r="BG2417" s="3">
        <v>0</v>
      </c>
      <c r="BH2417" s="3">
        <v>1</v>
      </c>
      <c r="BI2417" s="3">
        <v>12.9</v>
      </c>
      <c r="BJ2417" s="3">
        <v>22.2</v>
      </c>
      <c r="BK2417" s="3">
        <v>23</v>
      </c>
      <c r="BL2417" s="3">
        <v>113.88</v>
      </c>
      <c r="BM2417" s="3">
        <v>17.079999999999998</v>
      </c>
      <c r="BN2417" s="3">
        <v>130.96</v>
      </c>
      <c r="BO2417" s="3">
        <v>130.96</v>
      </c>
      <c r="BQ2417" s="3" t="s">
        <v>89</v>
      </c>
      <c r="BR2417" s="3" t="s">
        <v>84</v>
      </c>
      <c r="BS2417" s="4">
        <v>44589</v>
      </c>
      <c r="BT2417" s="5">
        <v>0.3263888888888889</v>
      </c>
      <c r="BU2417" s="3" t="s">
        <v>1374</v>
      </c>
      <c r="BV2417" s="3" t="s">
        <v>105</v>
      </c>
      <c r="BY2417" s="3">
        <v>111245.4</v>
      </c>
      <c r="CA2417" s="3" t="s">
        <v>297</v>
      </c>
      <c r="CC2417" s="3" t="s">
        <v>98</v>
      </c>
      <c r="CD2417" s="3">
        <v>2013</v>
      </c>
      <c r="CE2417" s="3" t="s">
        <v>86</v>
      </c>
      <c r="CF2417" s="4">
        <v>44590</v>
      </c>
      <c r="CI2417" s="3">
        <v>1</v>
      </c>
      <c r="CJ2417" s="3">
        <v>1</v>
      </c>
      <c r="CK2417" s="3">
        <v>42</v>
      </c>
      <c r="CL2417" s="3" t="s">
        <v>87</v>
      </c>
    </row>
    <row r="2418" spans="1:90" x14ac:dyDescent="0.2">
      <c r="A2418" s="3" t="s">
        <v>72</v>
      </c>
      <c r="B2418" s="3" t="s">
        <v>73</v>
      </c>
      <c r="C2418" s="3" t="s">
        <v>74</v>
      </c>
      <c r="E2418" s="3" t="str">
        <f>"FES1162847362"</f>
        <v>FES1162847362</v>
      </c>
      <c r="F2418" s="4">
        <v>44588</v>
      </c>
      <c r="G2418" s="3">
        <v>202207</v>
      </c>
      <c r="H2418" s="3" t="s">
        <v>75</v>
      </c>
      <c r="I2418" s="3" t="s">
        <v>76</v>
      </c>
      <c r="J2418" s="3" t="s">
        <v>77</v>
      </c>
      <c r="K2418" s="3" t="s">
        <v>78</v>
      </c>
      <c r="L2418" s="3" t="s">
        <v>90</v>
      </c>
      <c r="M2418" s="3" t="s">
        <v>91</v>
      </c>
      <c r="N2418" s="3" t="s">
        <v>444</v>
      </c>
      <c r="O2418" s="3" t="s">
        <v>82</v>
      </c>
      <c r="P2418" s="3" t="str">
        <f>"2170818616                    "</f>
        <v xml:space="preserve">2170818616                    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15.46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3">
        <v>0</v>
      </c>
      <c r="AY2418" s="3">
        <v>0</v>
      </c>
      <c r="AZ2418" s="3">
        <v>0</v>
      </c>
      <c r="BA2418" s="3">
        <v>0</v>
      </c>
      <c r="BB2418" s="3">
        <v>0</v>
      </c>
      <c r="BC2418" s="3">
        <v>0</v>
      </c>
      <c r="BD2418" s="3">
        <v>0</v>
      </c>
      <c r="BE2418" s="3">
        <v>0</v>
      </c>
      <c r="BF2418" s="3">
        <v>0</v>
      </c>
      <c r="BG2418" s="3">
        <v>0</v>
      </c>
      <c r="BH2418" s="3">
        <v>1</v>
      </c>
      <c r="BI2418" s="3">
        <v>1</v>
      </c>
      <c r="BJ2418" s="3">
        <v>0.2</v>
      </c>
      <c r="BK2418" s="3">
        <v>1</v>
      </c>
      <c r="BL2418" s="3">
        <v>59</v>
      </c>
      <c r="BM2418" s="3">
        <v>8.85</v>
      </c>
      <c r="BN2418" s="3">
        <v>67.849999999999994</v>
      </c>
      <c r="BO2418" s="3">
        <v>67.849999999999994</v>
      </c>
      <c r="BQ2418" s="3" t="s">
        <v>145</v>
      </c>
      <c r="BR2418" s="3" t="s">
        <v>84</v>
      </c>
      <c r="BS2418" s="4">
        <v>44589</v>
      </c>
      <c r="BT2418" s="5">
        <v>0.47430555555555554</v>
      </c>
      <c r="BU2418" s="3" t="s">
        <v>2408</v>
      </c>
      <c r="BV2418" s="3" t="s">
        <v>87</v>
      </c>
      <c r="BW2418" s="3" t="s">
        <v>457</v>
      </c>
      <c r="BX2418" s="3" t="s">
        <v>354</v>
      </c>
      <c r="BY2418" s="3">
        <v>1200</v>
      </c>
      <c r="CA2418" s="3" t="s">
        <v>1993</v>
      </c>
      <c r="CC2418" s="3" t="s">
        <v>91</v>
      </c>
      <c r="CD2418" s="3">
        <v>7500</v>
      </c>
      <c r="CE2418" s="3" t="s">
        <v>93</v>
      </c>
      <c r="CI2418" s="3">
        <v>1</v>
      </c>
      <c r="CJ2418" s="3">
        <v>1</v>
      </c>
      <c r="CK2418" s="3">
        <v>21</v>
      </c>
      <c r="CL2418" s="3" t="s">
        <v>87</v>
      </c>
    </row>
    <row r="2419" spans="1:90" x14ac:dyDescent="0.2">
      <c r="A2419" s="3" t="s">
        <v>72</v>
      </c>
      <c r="B2419" s="3" t="s">
        <v>73</v>
      </c>
      <c r="C2419" s="3" t="s">
        <v>74</v>
      </c>
      <c r="E2419" s="3" t="str">
        <f>"FES1162847356"</f>
        <v>FES1162847356</v>
      </c>
      <c r="F2419" s="4">
        <v>44588</v>
      </c>
      <c r="G2419" s="3">
        <v>202207</v>
      </c>
      <c r="H2419" s="3" t="s">
        <v>75</v>
      </c>
      <c r="I2419" s="3" t="s">
        <v>76</v>
      </c>
      <c r="J2419" s="3" t="s">
        <v>77</v>
      </c>
      <c r="K2419" s="3" t="s">
        <v>78</v>
      </c>
      <c r="L2419" s="3" t="s">
        <v>1119</v>
      </c>
      <c r="M2419" s="3" t="s">
        <v>1120</v>
      </c>
      <c r="N2419" s="3" t="s">
        <v>2157</v>
      </c>
      <c r="O2419" s="3" t="s">
        <v>82</v>
      </c>
      <c r="P2419" s="3" t="str">
        <f>"2170818605                    "</f>
        <v xml:space="preserve">2170818605                    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29.95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3">
        <v>0</v>
      </c>
      <c r="AY2419" s="3">
        <v>0</v>
      </c>
      <c r="AZ2419" s="3">
        <v>0</v>
      </c>
      <c r="BA2419" s="3">
        <v>0</v>
      </c>
      <c r="BB2419" s="3">
        <v>0</v>
      </c>
      <c r="BC2419" s="3">
        <v>0</v>
      </c>
      <c r="BD2419" s="3">
        <v>0</v>
      </c>
      <c r="BE2419" s="3">
        <v>0</v>
      </c>
      <c r="BF2419" s="3">
        <v>0</v>
      </c>
      <c r="BG2419" s="3">
        <v>0</v>
      </c>
      <c r="BH2419" s="3">
        <v>1</v>
      </c>
      <c r="BI2419" s="3">
        <v>1</v>
      </c>
      <c r="BJ2419" s="3">
        <v>0.2</v>
      </c>
      <c r="BK2419" s="3">
        <v>1</v>
      </c>
      <c r="BL2419" s="3">
        <v>114.31</v>
      </c>
      <c r="BM2419" s="3">
        <v>17.149999999999999</v>
      </c>
      <c r="BN2419" s="3">
        <v>131.46</v>
      </c>
      <c r="BO2419" s="3">
        <v>131.46</v>
      </c>
      <c r="BQ2419" s="3" t="s">
        <v>126</v>
      </c>
      <c r="BR2419" s="3" t="s">
        <v>84</v>
      </c>
      <c r="BS2419" s="4">
        <v>44589</v>
      </c>
      <c r="BT2419" s="5">
        <v>0.43333333333333335</v>
      </c>
      <c r="BU2419" s="3" t="s">
        <v>2409</v>
      </c>
      <c r="BV2419" s="3" t="s">
        <v>105</v>
      </c>
      <c r="BY2419" s="3">
        <v>1200</v>
      </c>
      <c r="CA2419" s="3" t="s">
        <v>809</v>
      </c>
      <c r="CC2419" s="3" t="s">
        <v>1120</v>
      </c>
      <c r="CD2419" s="3">
        <v>4339</v>
      </c>
      <c r="CE2419" s="3" t="s">
        <v>93</v>
      </c>
      <c r="CI2419" s="3">
        <v>1</v>
      </c>
      <c r="CJ2419" s="3">
        <v>1</v>
      </c>
      <c r="CK2419" s="3">
        <v>23</v>
      </c>
      <c r="CL2419" s="3" t="s">
        <v>87</v>
      </c>
    </row>
    <row r="2420" spans="1:90" x14ac:dyDescent="0.2">
      <c r="A2420" s="3" t="s">
        <v>72</v>
      </c>
      <c r="B2420" s="3" t="s">
        <v>73</v>
      </c>
      <c r="C2420" s="3" t="s">
        <v>74</v>
      </c>
      <c r="E2420" s="3" t="str">
        <f>"FES1162847397"</f>
        <v>FES1162847397</v>
      </c>
      <c r="F2420" s="4">
        <v>44588</v>
      </c>
      <c r="G2420" s="3">
        <v>202207</v>
      </c>
      <c r="H2420" s="3" t="s">
        <v>75</v>
      </c>
      <c r="I2420" s="3" t="s">
        <v>76</v>
      </c>
      <c r="J2420" s="3" t="s">
        <v>77</v>
      </c>
      <c r="K2420" s="3" t="s">
        <v>78</v>
      </c>
      <c r="L2420" s="3" t="s">
        <v>79</v>
      </c>
      <c r="M2420" s="3" t="s">
        <v>80</v>
      </c>
      <c r="N2420" s="3" t="s">
        <v>2410</v>
      </c>
      <c r="O2420" s="3" t="s">
        <v>82</v>
      </c>
      <c r="P2420" s="3" t="str">
        <f>"2170818668                    "</f>
        <v xml:space="preserve">2170818668                    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15.46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3">
        <v>0</v>
      </c>
      <c r="AY2420" s="3">
        <v>0</v>
      </c>
      <c r="AZ2420" s="3">
        <v>0</v>
      </c>
      <c r="BA2420" s="3">
        <v>0</v>
      </c>
      <c r="BB2420" s="3">
        <v>0</v>
      </c>
      <c r="BC2420" s="3">
        <v>0</v>
      </c>
      <c r="BD2420" s="3">
        <v>0</v>
      </c>
      <c r="BE2420" s="3">
        <v>0</v>
      </c>
      <c r="BF2420" s="3">
        <v>0</v>
      </c>
      <c r="BG2420" s="3">
        <v>0</v>
      </c>
      <c r="BH2420" s="3">
        <v>1</v>
      </c>
      <c r="BI2420" s="3">
        <v>1</v>
      </c>
      <c r="BJ2420" s="3">
        <v>0.2</v>
      </c>
      <c r="BK2420" s="3">
        <v>1</v>
      </c>
      <c r="BL2420" s="3">
        <v>59</v>
      </c>
      <c r="BM2420" s="3">
        <v>8.85</v>
      </c>
      <c r="BN2420" s="3">
        <v>67.849999999999994</v>
      </c>
      <c r="BO2420" s="3">
        <v>67.849999999999994</v>
      </c>
      <c r="BQ2420" s="3" t="s">
        <v>89</v>
      </c>
      <c r="BR2420" s="3" t="s">
        <v>84</v>
      </c>
      <c r="BS2420" s="4">
        <v>44589</v>
      </c>
      <c r="BT2420" s="5">
        <v>0.36319444444444443</v>
      </c>
      <c r="BU2420" s="3" t="s">
        <v>2411</v>
      </c>
      <c r="BV2420" s="3" t="s">
        <v>105</v>
      </c>
      <c r="BY2420" s="3">
        <v>1200</v>
      </c>
      <c r="CA2420" s="3" t="s">
        <v>2412</v>
      </c>
      <c r="CC2420" s="3" t="s">
        <v>80</v>
      </c>
      <c r="CD2420" s="3">
        <v>184</v>
      </c>
      <c r="CE2420" s="3" t="s">
        <v>93</v>
      </c>
      <c r="CF2420" s="4">
        <v>44589</v>
      </c>
      <c r="CI2420" s="3">
        <v>1</v>
      </c>
      <c r="CJ2420" s="3">
        <v>1</v>
      </c>
      <c r="CK2420" s="3">
        <v>21</v>
      </c>
      <c r="CL2420" s="3" t="s">
        <v>87</v>
      </c>
    </row>
    <row r="2421" spans="1:90" x14ac:dyDescent="0.2">
      <c r="A2421" s="3" t="s">
        <v>72</v>
      </c>
      <c r="B2421" s="3" t="s">
        <v>73</v>
      </c>
      <c r="C2421" s="3" t="s">
        <v>74</v>
      </c>
      <c r="E2421" s="3" t="str">
        <f>"FES1162847422"</f>
        <v>FES1162847422</v>
      </c>
      <c r="F2421" s="4">
        <v>44588</v>
      </c>
      <c r="G2421" s="3">
        <v>202207</v>
      </c>
      <c r="H2421" s="3" t="s">
        <v>75</v>
      </c>
      <c r="I2421" s="3" t="s">
        <v>76</v>
      </c>
      <c r="J2421" s="3" t="s">
        <v>77</v>
      </c>
      <c r="K2421" s="3" t="s">
        <v>78</v>
      </c>
      <c r="L2421" s="3" t="s">
        <v>90</v>
      </c>
      <c r="M2421" s="3" t="s">
        <v>91</v>
      </c>
      <c r="N2421" s="3" t="s">
        <v>157</v>
      </c>
      <c r="O2421" s="3" t="s">
        <v>82</v>
      </c>
      <c r="P2421" s="3" t="str">
        <f>"2170818698                    "</f>
        <v xml:space="preserve">2170818698                    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15.46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3">
        <v>0</v>
      </c>
      <c r="AY2421" s="3">
        <v>0</v>
      </c>
      <c r="AZ2421" s="3">
        <v>0</v>
      </c>
      <c r="BA2421" s="3">
        <v>0</v>
      </c>
      <c r="BB2421" s="3">
        <v>0</v>
      </c>
      <c r="BC2421" s="3">
        <v>0</v>
      </c>
      <c r="BD2421" s="3">
        <v>0</v>
      </c>
      <c r="BE2421" s="3">
        <v>0</v>
      </c>
      <c r="BF2421" s="3">
        <v>0</v>
      </c>
      <c r="BG2421" s="3">
        <v>0</v>
      </c>
      <c r="BH2421" s="3">
        <v>1</v>
      </c>
      <c r="BI2421" s="3">
        <v>1</v>
      </c>
      <c r="BJ2421" s="3">
        <v>0.2</v>
      </c>
      <c r="BK2421" s="3">
        <v>1</v>
      </c>
      <c r="BL2421" s="3">
        <v>59</v>
      </c>
      <c r="BM2421" s="3">
        <v>8.85</v>
      </c>
      <c r="BN2421" s="3">
        <v>67.849999999999994</v>
      </c>
      <c r="BO2421" s="3">
        <v>67.849999999999994</v>
      </c>
      <c r="BQ2421" s="3" t="s">
        <v>89</v>
      </c>
      <c r="BR2421" s="3" t="s">
        <v>84</v>
      </c>
      <c r="BS2421" s="4">
        <v>44589</v>
      </c>
      <c r="BT2421" s="5">
        <v>0.38680555555555557</v>
      </c>
      <c r="BU2421" s="3" t="s">
        <v>693</v>
      </c>
      <c r="BV2421" s="3" t="s">
        <v>105</v>
      </c>
      <c r="BY2421" s="3">
        <v>1200</v>
      </c>
      <c r="CA2421" s="3" t="s">
        <v>289</v>
      </c>
      <c r="CC2421" s="3" t="s">
        <v>91</v>
      </c>
      <c r="CD2421" s="3">
        <v>7441</v>
      </c>
      <c r="CE2421" s="3" t="s">
        <v>93</v>
      </c>
      <c r="CI2421" s="3">
        <v>1</v>
      </c>
      <c r="CJ2421" s="3">
        <v>1</v>
      </c>
      <c r="CK2421" s="3">
        <v>21</v>
      </c>
      <c r="CL2421" s="3" t="s">
        <v>87</v>
      </c>
    </row>
    <row r="2422" spans="1:90" x14ac:dyDescent="0.2">
      <c r="A2422" s="3" t="s">
        <v>72</v>
      </c>
      <c r="B2422" s="3" t="s">
        <v>73</v>
      </c>
      <c r="C2422" s="3" t="s">
        <v>74</v>
      </c>
      <c r="E2422" s="3" t="str">
        <f>"FES1162847395"</f>
        <v>FES1162847395</v>
      </c>
      <c r="F2422" s="4">
        <v>44588</v>
      </c>
      <c r="G2422" s="3">
        <v>202207</v>
      </c>
      <c r="H2422" s="3" t="s">
        <v>75</v>
      </c>
      <c r="I2422" s="3" t="s">
        <v>76</v>
      </c>
      <c r="J2422" s="3" t="s">
        <v>77</v>
      </c>
      <c r="K2422" s="3" t="s">
        <v>78</v>
      </c>
      <c r="L2422" s="3" t="s">
        <v>79</v>
      </c>
      <c r="M2422" s="3" t="s">
        <v>80</v>
      </c>
      <c r="N2422" s="3" t="s">
        <v>337</v>
      </c>
      <c r="O2422" s="3" t="s">
        <v>82</v>
      </c>
      <c r="P2422" s="3" t="str">
        <f>"2170818601                    "</f>
        <v xml:space="preserve">2170818601                    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15.46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3">
        <v>0</v>
      </c>
      <c r="AY2422" s="3">
        <v>0</v>
      </c>
      <c r="AZ2422" s="3">
        <v>0</v>
      </c>
      <c r="BA2422" s="3">
        <v>0</v>
      </c>
      <c r="BB2422" s="3">
        <v>0</v>
      </c>
      <c r="BC2422" s="3">
        <v>0</v>
      </c>
      <c r="BD2422" s="3">
        <v>0</v>
      </c>
      <c r="BE2422" s="3">
        <v>0</v>
      </c>
      <c r="BF2422" s="3">
        <v>0</v>
      </c>
      <c r="BG2422" s="3">
        <v>0</v>
      </c>
      <c r="BH2422" s="3">
        <v>1</v>
      </c>
      <c r="BI2422" s="3">
        <v>1</v>
      </c>
      <c r="BJ2422" s="3">
        <v>0.2</v>
      </c>
      <c r="BK2422" s="3">
        <v>1</v>
      </c>
      <c r="BL2422" s="3">
        <v>59</v>
      </c>
      <c r="BM2422" s="3">
        <v>8.85</v>
      </c>
      <c r="BN2422" s="3">
        <v>67.849999999999994</v>
      </c>
      <c r="BO2422" s="3">
        <v>67.849999999999994</v>
      </c>
      <c r="BQ2422" s="3" t="s">
        <v>89</v>
      </c>
      <c r="BR2422" s="3" t="s">
        <v>84</v>
      </c>
      <c r="BS2422" s="4">
        <v>44589</v>
      </c>
      <c r="BT2422" s="5">
        <v>0.41666666666666669</v>
      </c>
      <c r="BU2422" s="3" t="s">
        <v>2413</v>
      </c>
      <c r="BV2422" s="3" t="s">
        <v>105</v>
      </c>
      <c r="BY2422" s="3">
        <v>1200</v>
      </c>
      <c r="CA2422" s="3" t="s">
        <v>328</v>
      </c>
      <c r="CC2422" s="3" t="s">
        <v>80</v>
      </c>
      <c r="CD2422" s="3">
        <v>200</v>
      </c>
      <c r="CE2422" s="3" t="s">
        <v>93</v>
      </c>
      <c r="CF2422" s="4">
        <v>44589</v>
      </c>
      <c r="CI2422" s="3">
        <v>1</v>
      </c>
      <c r="CJ2422" s="3">
        <v>1</v>
      </c>
      <c r="CK2422" s="3">
        <v>21</v>
      </c>
      <c r="CL2422" s="3" t="s">
        <v>87</v>
      </c>
    </row>
    <row r="2423" spans="1:90" x14ac:dyDescent="0.2">
      <c r="A2423" s="3" t="s">
        <v>72</v>
      </c>
      <c r="B2423" s="3" t="s">
        <v>73</v>
      </c>
      <c r="C2423" s="3" t="s">
        <v>74</v>
      </c>
      <c r="E2423" s="3" t="str">
        <f>"FES1162847266"</f>
        <v>FES1162847266</v>
      </c>
      <c r="F2423" s="4">
        <v>44588</v>
      </c>
      <c r="G2423" s="3">
        <v>202207</v>
      </c>
      <c r="H2423" s="3" t="s">
        <v>75</v>
      </c>
      <c r="I2423" s="3" t="s">
        <v>76</v>
      </c>
      <c r="J2423" s="3" t="s">
        <v>77</v>
      </c>
      <c r="K2423" s="3" t="s">
        <v>78</v>
      </c>
      <c r="L2423" s="3" t="s">
        <v>110</v>
      </c>
      <c r="M2423" s="3" t="s">
        <v>110</v>
      </c>
      <c r="N2423" s="3" t="s">
        <v>111</v>
      </c>
      <c r="O2423" s="3" t="s">
        <v>82</v>
      </c>
      <c r="P2423" s="3" t="str">
        <f>"2170817034                    "</f>
        <v xml:space="preserve">2170817034                    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29.95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0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3">
        <v>0</v>
      </c>
      <c r="AY2423" s="3">
        <v>0</v>
      </c>
      <c r="AZ2423" s="3">
        <v>0</v>
      </c>
      <c r="BA2423" s="3">
        <v>0</v>
      </c>
      <c r="BB2423" s="3">
        <v>0</v>
      </c>
      <c r="BC2423" s="3">
        <v>0</v>
      </c>
      <c r="BD2423" s="3">
        <v>0</v>
      </c>
      <c r="BE2423" s="3">
        <v>0</v>
      </c>
      <c r="BF2423" s="3">
        <v>0</v>
      </c>
      <c r="BG2423" s="3">
        <v>0</v>
      </c>
      <c r="BH2423" s="3">
        <v>1</v>
      </c>
      <c r="BI2423" s="3">
        <v>1</v>
      </c>
      <c r="BJ2423" s="3">
        <v>0.2</v>
      </c>
      <c r="BK2423" s="3">
        <v>1</v>
      </c>
      <c r="BL2423" s="3">
        <v>114.31</v>
      </c>
      <c r="BM2423" s="3">
        <v>17.149999999999999</v>
      </c>
      <c r="BN2423" s="3">
        <v>131.46</v>
      </c>
      <c r="BO2423" s="3">
        <v>131.46</v>
      </c>
      <c r="BQ2423" s="3" t="s">
        <v>89</v>
      </c>
      <c r="BR2423" s="3" t="s">
        <v>84</v>
      </c>
      <c r="BS2423" s="4">
        <v>44589</v>
      </c>
      <c r="BT2423" s="5">
        <v>0.57430555555555551</v>
      </c>
      <c r="BU2423" s="3" t="s">
        <v>620</v>
      </c>
      <c r="BV2423" s="3" t="s">
        <v>87</v>
      </c>
      <c r="BW2423" s="3" t="s">
        <v>457</v>
      </c>
      <c r="BX2423" s="3" t="s">
        <v>602</v>
      </c>
      <c r="BY2423" s="3">
        <v>1200</v>
      </c>
      <c r="BZ2423" s="3" t="s">
        <v>165</v>
      </c>
      <c r="CA2423" s="3" t="s">
        <v>563</v>
      </c>
      <c r="CC2423" s="3" t="s">
        <v>110</v>
      </c>
      <c r="CD2423" s="3">
        <v>7646</v>
      </c>
      <c r="CE2423" s="3" t="s">
        <v>93</v>
      </c>
      <c r="CI2423" s="3">
        <v>1</v>
      </c>
      <c r="CJ2423" s="3">
        <v>1</v>
      </c>
      <c r="CK2423" s="3">
        <v>23</v>
      </c>
      <c r="CL2423" s="3" t="s">
        <v>87</v>
      </c>
    </row>
    <row r="2424" spans="1:90" x14ac:dyDescent="0.2">
      <c r="A2424" s="3" t="s">
        <v>72</v>
      </c>
      <c r="B2424" s="3" t="s">
        <v>73</v>
      </c>
      <c r="C2424" s="3" t="s">
        <v>74</v>
      </c>
      <c r="E2424" s="3" t="str">
        <f>"FES1162847369"</f>
        <v>FES1162847369</v>
      </c>
      <c r="F2424" s="4">
        <v>44588</v>
      </c>
      <c r="G2424" s="3">
        <v>202207</v>
      </c>
      <c r="H2424" s="3" t="s">
        <v>75</v>
      </c>
      <c r="I2424" s="3" t="s">
        <v>76</v>
      </c>
      <c r="J2424" s="3" t="s">
        <v>77</v>
      </c>
      <c r="K2424" s="3" t="s">
        <v>78</v>
      </c>
      <c r="L2424" s="3" t="s">
        <v>101</v>
      </c>
      <c r="M2424" s="3" t="s">
        <v>102</v>
      </c>
      <c r="N2424" s="3" t="s">
        <v>170</v>
      </c>
      <c r="O2424" s="3" t="s">
        <v>82</v>
      </c>
      <c r="P2424" s="3" t="str">
        <f>"2170818620                    "</f>
        <v xml:space="preserve">2170818620                    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15.46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3">
        <v>0</v>
      </c>
      <c r="AY2424" s="3">
        <v>0</v>
      </c>
      <c r="AZ2424" s="3">
        <v>0</v>
      </c>
      <c r="BA2424" s="3">
        <v>0</v>
      </c>
      <c r="BB2424" s="3">
        <v>0</v>
      </c>
      <c r="BC2424" s="3">
        <v>0</v>
      </c>
      <c r="BD2424" s="3">
        <v>0</v>
      </c>
      <c r="BE2424" s="3">
        <v>0</v>
      </c>
      <c r="BF2424" s="3">
        <v>0</v>
      </c>
      <c r="BG2424" s="3">
        <v>0</v>
      </c>
      <c r="BH2424" s="3">
        <v>1</v>
      </c>
      <c r="BI2424" s="3">
        <v>1</v>
      </c>
      <c r="BJ2424" s="3">
        <v>0.2</v>
      </c>
      <c r="BK2424" s="3">
        <v>1</v>
      </c>
      <c r="BL2424" s="3">
        <v>59</v>
      </c>
      <c r="BM2424" s="3">
        <v>8.85</v>
      </c>
      <c r="BN2424" s="3">
        <v>67.849999999999994</v>
      </c>
      <c r="BO2424" s="3">
        <v>67.849999999999994</v>
      </c>
      <c r="BQ2424" s="3" t="s">
        <v>89</v>
      </c>
      <c r="BR2424" s="3" t="s">
        <v>84</v>
      </c>
      <c r="BS2424" s="4">
        <v>44589</v>
      </c>
      <c r="BT2424" s="5">
        <v>0.40763888888888888</v>
      </c>
      <c r="BU2424" s="3" t="s">
        <v>2414</v>
      </c>
      <c r="BV2424" s="3" t="s">
        <v>105</v>
      </c>
      <c r="BY2424" s="3">
        <v>1200</v>
      </c>
      <c r="CA2424" s="3" t="s">
        <v>2415</v>
      </c>
      <c r="CC2424" s="3" t="s">
        <v>102</v>
      </c>
      <c r="CD2424" s="3">
        <v>4001</v>
      </c>
      <c r="CE2424" s="3" t="s">
        <v>93</v>
      </c>
      <c r="CI2424" s="3">
        <v>1</v>
      </c>
      <c r="CJ2424" s="3">
        <v>1</v>
      </c>
      <c r="CK2424" s="3">
        <v>21</v>
      </c>
      <c r="CL2424" s="3" t="s">
        <v>87</v>
      </c>
    </row>
    <row r="2425" spans="1:90" x14ac:dyDescent="0.2">
      <c r="A2425" s="3" t="s">
        <v>72</v>
      </c>
      <c r="B2425" s="3" t="s">
        <v>73</v>
      </c>
      <c r="C2425" s="3" t="s">
        <v>74</v>
      </c>
      <c r="E2425" s="3" t="str">
        <f>"FES1162847241"</f>
        <v>FES1162847241</v>
      </c>
      <c r="F2425" s="4">
        <v>44588</v>
      </c>
      <c r="G2425" s="3">
        <v>202207</v>
      </c>
      <c r="H2425" s="3" t="s">
        <v>75</v>
      </c>
      <c r="I2425" s="3" t="s">
        <v>76</v>
      </c>
      <c r="J2425" s="3" t="s">
        <v>77</v>
      </c>
      <c r="K2425" s="3" t="s">
        <v>78</v>
      </c>
      <c r="L2425" s="3" t="s">
        <v>101</v>
      </c>
      <c r="M2425" s="3" t="s">
        <v>102</v>
      </c>
      <c r="N2425" s="3" t="s">
        <v>272</v>
      </c>
      <c r="O2425" s="3" t="s">
        <v>82</v>
      </c>
      <c r="P2425" s="3" t="str">
        <f>"2170817078                    "</f>
        <v xml:space="preserve">2170817078                    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15.46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3">
        <v>0</v>
      </c>
      <c r="AY2425" s="3">
        <v>0</v>
      </c>
      <c r="AZ2425" s="3">
        <v>0</v>
      </c>
      <c r="BA2425" s="3">
        <v>0</v>
      </c>
      <c r="BB2425" s="3">
        <v>0</v>
      </c>
      <c r="BC2425" s="3">
        <v>0</v>
      </c>
      <c r="BD2425" s="3">
        <v>0</v>
      </c>
      <c r="BE2425" s="3">
        <v>0</v>
      </c>
      <c r="BF2425" s="3">
        <v>0</v>
      </c>
      <c r="BG2425" s="3">
        <v>0</v>
      </c>
      <c r="BH2425" s="3">
        <v>1</v>
      </c>
      <c r="BI2425" s="3">
        <v>1</v>
      </c>
      <c r="BJ2425" s="3">
        <v>0.2</v>
      </c>
      <c r="BK2425" s="3">
        <v>1</v>
      </c>
      <c r="BL2425" s="3">
        <v>59</v>
      </c>
      <c r="BM2425" s="3">
        <v>8.85</v>
      </c>
      <c r="BN2425" s="3">
        <v>67.849999999999994</v>
      </c>
      <c r="BO2425" s="3">
        <v>67.849999999999994</v>
      </c>
      <c r="BQ2425" s="3" t="s">
        <v>273</v>
      </c>
      <c r="BR2425" s="3" t="s">
        <v>84</v>
      </c>
      <c r="BS2425" s="4">
        <v>44589</v>
      </c>
      <c r="BT2425" s="5">
        <v>0.41388888888888892</v>
      </c>
      <c r="BU2425" s="3" t="s">
        <v>2147</v>
      </c>
      <c r="BV2425" s="3" t="s">
        <v>105</v>
      </c>
      <c r="BY2425" s="3">
        <v>1200</v>
      </c>
      <c r="BZ2425" s="3" t="s">
        <v>165</v>
      </c>
      <c r="CA2425" s="3" t="s">
        <v>2148</v>
      </c>
      <c r="CC2425" s="3" t="s">
        <v>102</v>
      </c>
      <c r="CD2425" s="3">
        <v>4000</v>
      </c>
      <c r="CE2425" s="3" t="s">
        <v>93</v>
      </c>
      <c r="CI2425" s="3">
        <v>1</v>
      </c>
      <c r="CJ2425" s="3">
        <v>1</v>
      </c>
      <c r="CK2425" s="3">
        <v>21</v>
      </c>
      <c r="CL2425" s="3" t="s">
        <v>87</v>
      </c>
    </row>
    <row r="2426" spans="1:90" x14ac:dyDescent="0.2">
      <c r="A2426" s="3" t="s">
        <v>72</v>
      </c>
      <c r="B2426" s="3" t="s">
        <v>73</v>
      </c>
      <c r="C2426" s="3" t="s">
        <v>74</v>
      </c>
      <c r="E2426" s="3" t="str">
        <f>"FES1162847104"</f>
        <v>FES1162847104</v>
      </c>
      <c r="F2426" s="4">
        <v>44588</v>
      </c>
      <c r="G2426" s="3">
        <v>202207</v>
      </c>
      <c r="H2426" s="3" t="s">
        <v>75</v>
      </c>
      <c r="I2426" s="3" t="s">
        <v>76</v>
      </c>
      <c r="J2426" s="3" t="s">
        <v>77</v>
      </c>
      <c r="K2426" s="3" t="s">
        <v>78</v>
      </c>
      <c r="L2426" s="3" t="s">
        <v>75</v>
      </c>
      <c r="M2426" s="3" t="s">
        <v>76</v>
      </c>
      <c r="N2426" s="3" t="s">
        <v>688</v>
      </c>
      <c r="O2426" s="3" t="s">
        <v>82</v>
      </c>
      <c r="P2426" s="3" t="str">
        <f>"2170818411                    "</f>
        <v xml:space="preserve">2170818411                    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12.07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3">
        <v>0</v>
      </c>
      <c r="AY2426" s="3">
        <v>0</v>
      </c>
      <c r="AZ2426" s="3">
        <v>0</v>
      </c>
      <c r="BA2426" s="3">
        <v>0</v>
      </c>
      <c r="BB2426" s="3">
        <v>0</v>
      </c>
      <c r="BC2426" s="3">
        <v>0</v>
      </c>
      <c r="BD2426" s="3">
        <v>0</v>
      </c>
      <c r="BE2426" s="3">
        <v>0</v>
      </c>
      <c r="BF2426" s="3">
        <v>0</v>
      </c>
      <c r="BG2426" s="3">
        <v>0</v>
      </c>
      <c r="BH2426" s="3">
        <v>1</v>
      </c>
      <c r="BI2426" s="3">
        <v>1</v>
      </c>
      <c r="BJ2426" s="3">
        <v>0.2</v>
      </c>
      <c r="BK2426" s="3">
        <v>1</v>
      </c>
      <c r="BL2426" s="3">
        <v>46.08</v>
      </c>
      <c r="BM2426" s="3">
        <v>6.91</v>
      </c>
      <c r="BN2426" s="3">
        <v>52.99</v>
      </c>
      <c r="BO2426" s="3">
        <v>52.99</v>
      </c>
      <c r="BQ2426" s="3" t="s">
        <v>83</v>
      </c>
      <c r="BR2426" s="3" t="s">
        <v>84</v>
      </c>
      <c r="BS2426" s="4">
        <v>44589</v>
      </c>
      <c r="BT2426" s="5">
        <v>0.32291666666666669</v>
      </c>
      <c r="BU2426" s="3" t="s">
        <v>1173</v>
      </c>
      <c r="BV2426" s="3" t="s">
        <v>105</v>
      </c>
      <c r="BY2426" s="3">
        <v>1200</v>
      </c>
      <c r="CA2426" s="3" t="s">
        <v>227</v>
      </c>
      <c r="CC2426" s="3" t="s">
        <v>76</v>
      </c>
      <c r="CD2426" s="3">
        <v>1620</v>
      </c>
      <c r="CE2426" s="3" t="s">
        <v>93</v>
      </c>
      <c r="CF2426" s="4">
        <v>44589</v>
      </c>
      <c r="CI2426" s="3">
        <v>1</v>
      </c>
      <c r="CJ2426" s="3">
        <v>1</v>
      </c>
      <c r="CK2426" s="3">
        <v>22</v>
      </c>
      <c r="CL2426" s="3" t="s">
        <v>87</v>
      </c>
    </row>
    <row r="2427" spans="1:90" x14ac:dyDescent="0.2">
      <c r="A2427" s="3" t="s">
        <v>72</v>
      </c>
      <c r="B2427" s="3" t="s">
        <v>73</v>
      </c>
      <c r="C2427" s="3" t="s">
        <v>74</v>
      </c>
      <c r="E2427" s="3" t="str">
        <f>"FES1162847240"</f>
        <v>FES1162847240</v>
      </c>
      <c r="F2427" s="4">
        <v>44588</v>
      </c>
      <c r="G2427" s="3">
        <v>202207</v>
      </c>
      <c r="H2427" s="3" t="s">
        <v>75</v>
      </c>
      <c r="I2427" s="3" t="s">
        <v>76</v>
      </c>
      <c r="J2427" s="3" t="s">
        <v>77</v>
      </c>
      <c r="K2427" s="3" t="s">
        <v>78</v>
      </c>
      <c r="L2427" s="3" t="s">
        <v>184</v>
      </c>
      <c r="M2427" s="3" t="s">
        <v>185</v>
      </c>
      <c r="N2427" s="3" t="s">
        <v>2416</v>
      </c>
      <c r="O2427" s="3" t="s">
        <v>82</v>
      </c>
      <c r="P2427" s="3" t="str">
        <f>"2170817074                    "</f>
        <v xml:space="preserve">2170817074                    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15.46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3">
        <v>0</v>
      </c>
      <c r="AY2427" s="3">
        <v>0</v>
      </c>
      <c r="AZ2427" s="3">
        <v>0</v>
      </c>
      <c r="BA2427" s="3">
        <v>0</v>
      </c>
      <c r="BB2427" s="3">
        <v>0</v>
      </c>
      <c r="BC2427" s="3">
        <v>0</v>
      </c>
      <c r="BD2427" s="3">
        <v>0</v>
      </c>
      <c r="BE2427" s="3">
        <v>0</v>
      </c>
      <c r="BF2427" s="3">
        <v>0</v>
      </c>
      <c r="BG2427" s="3">
        <v>0</v>
      </c>
      <c r="BH2427" s="3">
        <v>1</v>
      </c>
      <c r="BI2427" s="3">
        <v>1</v>
      </c>
      <c r="BJ2427" s="3">
        <v>0.2</v>
      </c>
      <c r="BK2427" s="3">
        <v>1</v>
      </c>
      <c r="BL2427" s="3">
        <v>59</v>
      </c>
      <c r="BM2427" s="3">
        <v>8.85</v>
      </c>
      <c r="BN2427" s="3">
        <v>67.849999999999994</v>
      </c>
      <c r="BO2427" s="3">
        <v>67.849999999999994</v>
      </c>
      <c r="BQ2427" s="3" t="s">
        <v>2417</v>
      </c>
      <c r="BR2427" s="3" t="s">
        <v>84</v>
      </c>
      <c r="BS2427" s="4">
        <v>44589</v>
      </c>
      <c r="BT2427" s="5">
        <v>0.69027777777777777</v>
      </c>
      <c r="BU2427" s="3" t="s">
        <v>2418</v>
      </c>
      <c r="BV2427" s="3" t="s">
        <v>87</v>
      </c>
      <c r="BW2427" s="3" t="s">
        <v>617</v>
      </c>
      <c r="BX2427" s="3" t="s">
        <v>648</v>
      </c>
      <c r="BY2427" s="3">
        <v>1200</v>
      </c>
      <c r="BZ2427" s="3" t="s">
        <v>165</v>
      </c>
      <c r="CA2427" s="3" t="s">
        <v>649</v>
      </c>
      <c r="CC2427" s="3" t="s">
        <v>185</v>
      </c>
      <c r="CD2427" s="3">
        <v>5201</v>
      </c>
      <c r="CE2427" s="3" t="s">
        <v>93</v>
      </c>
      <c r="CF2427" s="4">
        <v>44589</v>
      </c>
      <c r="CI2427" s="3">
        <v>1</v>
      </c>
      <c r="CJ2427" s="3">
        <v>1</v>
      </c>
      <c r="CK2427" s="3">
        <v>21</v>
      </c>
      <c r="CL2427" s="3" t="s">
        <v>87</v>
      </c>
    </row>
    <row r="2428" spans="1:90" x14ac:dyDescent="0.2">
      <c r="A2428" s="3" t="s">
        <v>72</v>
      </c>
      <c r="B2428" s="3" t="s">
        <v>73</v>
      </c>
      <c r="C2428" s="3" t="s">
        <v>74</v>
      </c>
      <c r="E2428" s="3" t="str">
        <f>"FES1162847379"</f>
        <v>FES1162847379</v>
      </c>
      <c r="F2428" s="4">
        <v>44588</v>
      </c>
      <c r="G2428" s="3">
        <v>202207</v>
      </c>
      <c r="H2428" s="3" t="s">
        <v>75</v>
      </c>
      <c r="I2428" s="3" t="s">
        <v>76</v>
      </c>
      <c r="J2428" s="3" t="s">
        <v>77</v>
      </c>
      <c r="K2428" s="3" t="s">
        <v>78</v>
      </c>
      <c r="L2428" s="3" t="s">
        <v>75</v>
      </c>
      <c r="M2428" s="3" t="s">
        <v>76</v>
      </c>
      <c r="N2428" s="3" t="s">
        <v>147</v>
      </c>
      <c r="O2428" s="3" t="s">
        <v>82</v>
      </c>
      <c r="P2428" s="3" t="str">
        <f>"2170818632                    "</f>
        <v xml:space="preserve">2170818632                    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12.07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3">
        <v>0</v>
      </c>
      <c r="AY2428" s="3">
        <v>0</v>
      </c>
      <c r="AZ2428" s="3">
        <v>0</v>
      </c>
      <c r="BA2428" s="3">
        <v>0</v>
      </c>
      <c r="BB2428" s="3">
        <v>0</v>
      </c>
      <c r="BC2428" s="3">
        <v>0</v>
      </c>
      <c r="BD2428" s="3">
        <v>0</v>
      </c>
      <c r="BE2428" s="3">
        <v>0</v>
      </c>
      <c r="BF2428" s="3">
        <v>0</v>
      </c>
      <c r="BG2428" s="3">
        <v>0</v>
      </c>
      <c r="BH2428" s="3">
        <v>1</v>
      </c>
      <c r="BI2428" s="3">
        <v>1</v>
      </c>
      <c r="BJ2428" s="3">
        <v>0.2</v>
      </c>
      <c r="BK2428" s="3">
        <v>1</v>
      </c>
      <c r="BL2428" s="3">
        <v>46.08</v>
      </c>
      <c r="BM2428" s="3">
        <v>6.91</v>
      </c>
      <c r="BN2428" s="3">
        <v>52.99</v>
      </c>
      <c r="BO2428" s="3">
        <v>52.99</v>
      </c>
      <c r="BQ2428" s="3" t="s">
        <v>89</v>
      </c>
      <c r="BR2428" s="3" t="s">
        <v>84</v>
      </c>
      <c r="BS2428" s="4">
        <v>44589</v>
      </c>
      <c r="BT2428" s="5">
        <v>0.3923611111111111</v>
      </c>
      <c r="BU2428" s="3" t="s">
        <v>2374</v>
      </c>
      <c r="BV2428" s="3" t="s">
        <v>105</v>
      </c>
      <c r="BY2428" s="3">
        <v>1200</v>
      </c>
      <c r="CA2428" s="3" t="s">
        <v>1311</v>
      </c>
      <c r="CC2428" s="3" t="s">
        <v>76</v>
      </c>
      <c r="CD2428" s="3">
        <v>1645</v>
      </c>
      <c r="CE2428" s="3" t="s">
        <v>93</v>
      </c>
      <c r="CI2428" s="3">
        <v>1</v>
      </c>
      <c r="CJ2428" s="3">
        <v>1</v>
      </c>
      <c r="CK2428" s="3">
        <v>22</v>
      </c>
      <c r="CL2428" s="3" t="s">
        <v>87</v>
      </c>
    </row>
    <row r="2429" spans="1:90" x14ac:dyDescent="0.2">
      <c r="A2429" s="3" t="s">
        <v>72</v>
      </c>
      <c r="B2429" s="3" t="s">
        <v>73</v>
      </c>
      <c r="C2429" s="3" t="s">
        <v>74</v>
      </c>
      <c r="E2429" s="3" t="str">
        <f>"FES1162847239"</f>
        <v>FES1162847239</v>
      </c>
      <c r="F2429" s="4">
        <v>44588</v>
      </c>
      <c r="G2429" s="3">
        <v>202207</v>
      </c>
      <c r="H2429" s="3" t="s">
        <v>75</v>
      </c>
      <c r="I2429" s="3" t="s">
        <v>76</v>
      </c>
      <c r="J2429" s="3" t="s">
        <v>77</v>
      </c>
      <c r="K2429" s="3" t="s">
        <v>78</v>
      </c>
      <c r="L2429" s="3" t="s">
        <v>162</v>
      </c>
      <c r="M2429" s="3" t="s">
        <v>163</v>
      </c>
      <c r="N2429" s="3" t="s">
        <v>1185</v>
      </c>
      <c r="O2429" s="3" t="s">
        <v>82</v>
      </c>
      <c r="P2429" s="3" t="str">
        <f>"2170817070                    "</f>
        <v xml:space="preserve">2170817070                    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20.76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3">
        <v>0</v>
      </c>
      <c r="AY2429" s="3">
        <v>0</v>
      </c>
      <c r="AZ2429" s="3">
        <v>0</v>
      </c>
      <c r="BA2429" s="3">
        <v>0</v>
      </c>
      <c r="BB2429" s="3">
        <v>0</v>
      </c>
      <c r="BC2429" s="3">
        <v>0</v>
      </c>
      <c r="BD2429" s="3">
        <v>0</v>
      </c>
      <c r="BE2429" s="3">
        <v>0</v>
      </c>
      <c r="BF2429" s="3">
        <v>0</v>
      </c>
      <c r="BG2429" s="3">
        <v>0</v>
      </c>
      <c r="BH2429" s="3">
        <v>1</v>
      </c>
      <c r="BI2429" s="3">
        <v>11</v>
      </c>
      <c r="BJ2429" s="3">
        <v>6.9</v>
      </c>
      <c r="BK2429" s="3">
        <v>11</v>
      </c>
      <c r="BL2429" s="3">
        <v>79.25</v>
      </c>
      <c r="BM2429" s="3">
        <v>11.89</v>
      </c>
      <c r="BN2429" s="3">
        <v>91.14</v>
      </c>
      <c r="BO2429" s="3">
        <v>91.14</v>
      </c>
      <c r="BQ2429" s="3" t="s">
        <v>126</v>
      </c>
      <c r="BR2429" s="3" t="s">
        <v>84</v>
      </c>
      <c r="BS2429" s="4">
        <v>44589</v>
      </c>
      <c r="BT2429" s="5">
        <v>0.41111111111111115</v>
      </c>
      <c r="BU2429" s="3" t="s">
        <v>2419</v>
      </c>
      <c r="BV2429" s="3" t="s">
        <v>105</v>
      </c>
      <c r="BY2429" s="3">
        <v>34656</v>
      </c>
      <c r="BZ2429" s="3" t="s">
        <v>165</v>
      </c>
      <c r="CA2429" s="3" t="s">
        <v>1080</v>
      </c>
      <c r="CC2429" s="3" t="s">
        <v>163</v>
      </c>
      <c r="CD2429" s="3">
        <v>1401</v>
      </c>
      <c r="CE2429" s="3" t="s">
        <v>86</v>
      </c>
      <c r="CF2429" s="4">
        <v>44589</v>
      </c>
      <c r="CI2429" s="3">
        <v>1</v>
      </c>
      <c r="CJ2429" s="3">
        <v>1</v>
      </c>
      <c r="CK2429" s="3">
        <v>22</v>
      </c>
      <c r="CL2429" s="3" t="s">
        <v>87</v>
      </c>
    </row>
    <row r="2430" spans="1:90" x14ac:dyDescent="0.2">
      <c r="A2430" s="3" t="s">
        <v>72</v>
      </c>
      <c r="B2430" s="3" t="s">
        <v>73</v>
      </c>
      <c r="C2430" s="3" t="s">
        <v>74</v>
      </c>
      <c r="E2430" s="3" t="str">
        <f>"FES1162847381"</f>
        <v>FES1162847381</v>
      </c>
      <c r="F2430" s="4">
        <v>44588</v>
      </c>
      <c r="G2430" s="3">
        <v>202207</v>
      </c>
      <c r="H2430" s="3" t="s">
        <v>75</v>
      </c>
      <c r="I2430" s="3" t="s">
        <v>76</v>
      </c>
      <c r="J2430" s="3" t="s">
        <v>77</v>
      </c>
      <c r="K2430" s="3" t="s">
        <v>78</v>
      </c>
      <c r="L2430" s="3" t="s">
        <v>101</v>
      </c>
      <c r="M2430" s="3" t="s">
        <v>102</v>
      </c>
      <c r="N2430" s="3" t="s">
        <v>276</v>
      </c>
      <c r="O2430" s="3" t="s">
        <v>82</v>
      </c>
      <c r="P2430" s="3" t="str">
        <f>"2170818628                    "</f>
        <v xml:space="preserve">2170818628                    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15.46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3">
        <v>0</v>
      </c>
      <c r="AY2430" s="3">
        <v>0</v>
      </c>
      <c r="AZ2430" s="3">
        <v>0</v>
      </c>
      <c r="BA2430" s="3">
        <v>0</v>
      </c>
      <c r="BB2430" s="3">
        <v>0</v>
      </c>
      <c r="BC2430" s="3">
        <v>0</v>
      </c>
      <c r="BD2430" s="3">
        <v>0</v>
      </c>
      <c r="BE2430" s="3">
        <v>0</v>
      </c>
      <c r="BF2430" s="3">
        <v>0</v>
      </c>
      <c r="BG2430" s="3">
        <v>0</v>
      </c>
      <c r="BH2430" s="3">
        <v>1</v>
      </c>
      <c r="BI2430" s="3">
        <v>1</v>
      </c>
      <c r="BJ2430" s="3">
        <v>0.2</v>
      </c>
      <c r="BK2430" s="3">
        <v>1</v>
      </c>
      <c r="BL2430" s="3">
        <v>59</v>
      </c>
      <c r="BM2430" s="3">
        <v>8.85</v>
      </c>
      <c r="BN2430" s="3">
        <v>67.849999999999994</v>
      </c>
      <c r="BO2430" s="3">
        <v>67.849999999999994</v>
      </c>
      <c r="BQ2430" s="3" t="s">
        <v>89</v>
      </c>
      <c r="BR2430" s="3" t="s">
        <v>84</v>
      </c>
      <c r="BS2430" s="4">
        <v>44589</v>
      </c>
      <c r="BT2430" s="5">
        <v>0.56388888888888888</v>
      </c>
      <c r="BU2430" s="3" t="s">
        <v>2420</v>
      </c>
      <c r="BV2430" s="3" t="s">
        <v>87</v>
      </c>
      <c r="BW2430" s="3" t="s">
        <v>353</v>
      </c>
      <c r="BX2430" s="3" t="s">
        <v>1878</v>
      </c>
      <c r="BY2430" s="3">
        <v>1200</v>
      </c>
      <c r="CA2430" s="3" t="s">
        <v>2415</v>
      </c>
      <c r="CC2430" s="3" t="s">
        <v>102</v>
      </c>
      <c r="CD2430" s="3">
        <v>4001</v>
      </c>
      <c r="CE2430" s="3" t="s">
        <v>93</v>
      </c>
      <c r="CI2430" s="3">
        <v>1</v>
      </c>
      <c r="CJ2430" s="3">
        <v>1</v>
      </c>
      <c r="CK2430" s="3">
        <v>21</v>
      </c>
      <c r="CL2430" s="3" t="s">
        <v>87</v>
      </c>
    </row>
    <row r="2431" spans="1:90" x14ac:dyDescent="0.2">
      <c r="A2431" s="3" t="s">
        <v>72</v>
      </c>
      <c r="B2431" s="3" t="s">
        <v>73</v>
      </c>
      <c r="C2431" s="3" t="s">
        <v>74</v>
      </c>
      <c r="E2431" s="3" t="str">
        <f>"FES1162847335"</f>
        <v>FES1162847335</v>
      </c>
      <c r="F2431" s="4">
        <v>44588</v>
      </c>
      <c r="G2431" s="3">
        <v>202207</v>
      </c>
      <c r="H2431" s="3" t="s">
        <v>75</v>
      </c>
      <c r="I2431" s="3" t="s">
        <v>76</v>
      </c>
      <c r="J2431" s="3" t="s">
        <v>77</v>
      </c>
      <c r="K2431" s="3" t="s">
        <v>78</v>
      </c>
      <c r="L2431" s="3" t="s">
        <v>138</v>
      </c>
      <c r="M2431" s="3" t="s">
        <v>139</v>
      </c>
      <c r="N2431" s="3" t="s">
        <v>140</v>
      </c>
      <c r="O2431" s="3" t="s">
        <v>148</v>
      </c>
      <c r="P2431" s="3" t="str">
        <f>"2170818582                    "</f>
        <v xml:space="preserve">2170818582                    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33.590000000000003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3">
        <v>0</v>
      </c>
      <c r="AY2431" s="3">
        <v>0</v>
      </c>
      <c r="AZ2431" s="3">
        <v>0</v>
      </c>
      <c r="BA2431" s="3">
        <v>0</v>
      </c>
      <c r="BB2431" s="3">
        <v>0</v>
      </c>
      <c r="BC2431" s="3">
        <v>0</v>
      </c>
      <c r="BD2431" s="3">
        <v>0</v>
      </c>
      <c r="BE2431" s="3">
        <v>0</v>
      </c>
      <c r="BF2431" s="3">
        <v>0</v>
      </c>
      <c r="BG2431" s="3">
        <v>0</v>
      </c>
      <c r="BH2431" s="3">
        <v>1</v>
      </c>
      <c r="BI2431" s="3">
        <v>18</v>
      </c>
      <c r="BJ2431" s="3">
        <v>9.1</v>
      </c>
      <c r="BK2431" s="3">
        <v>18</v>
      </c>
      <c r="BL2431" s="3">
        <v>133.44999999999999</v>
      </c>
      <c r="BM2431" s="3">
        <v>20.02</v>
      </c>
      <c r="BN2431" s="3">
        <v>153.47</v>
      </c>
      <c r="BO2431" s="3">
        <v>153.47</v>
      </c>
      <c r="BQ2431" s="3" t="s">
        <v>126</v>
      </c>
      <c r="BR2431" s="3" t="s">
        <v>84</v>
      </c>
      <c r="BS2431" s="4">
        <v>44589</v>
      </c>
      <c r="BT2431" s="5">
        <v>0.47152777777777777</v>
      </c>
      <c r="BU2431" s="3" t="s">
        <v>2421</v>
      </c>
      <c r="BV2431" s="3" t="s">
        <v>105</v>
      </c>
      <c r="BY2431" s="3">
        <v>45632</v>
      </c>
      <c r="BZ2431" s="3" t="s">
        <v>327</v>
      </c>
      <c r="CA2431" s="3" t="s">
        <v>2422</v>
      </c>
      <c r="CC2431" s="3" t="s">
        <v>139</v>
      </c>
      <c r="CD2431" s="3">
        <v>3610</v>
      </c>
      <c r="CE2431" s="3" t="s">
        <v>86</v>
      </c>
      <c r="CI2431" s="3">
        <v>1</v>
      </c>
      <c r="CJ2431" s="3">
        <v>1</v>
      </c>
      <c r="CK2431" s="3">
        <v>41</v>
      </c>
      <c r="CL2431" s="3" t="s">
        <v>87</v>
      </c>
    </row>
    <row r="2432" spans="1:90" x14ac:dyDescent="0.2">
      <c r="A2432" s="3" t="s">
        <v>72</v>
      </c>
      <c r="B2432" s="3" t="s">
        <v>73</v>
      </c>
      <c r="C2432" s="3" t="s">
        <v>74</v>
      </c>
      <c r="E2432" s="3" t="str">
        <f>"FES1162847367"</f>
        <v>FES1162847367</v>
      </c>
      <c r="F2432" s="4">
        <v>44588</v>
      </c>
      <c r="G2432" s="3">
        <v>202207</v>
      </c>
      <c r="H2432" s="3" t="s">
        <v>75</v>
      </c>
      <c r="I2432" s="3" t="s">
        <v>76</v>
      </c>
      <c r="J2432" s="3" t="s">
        <v>77</v>
      </c>
      <c r="K2432" s="3" t="s">
        <v>78</v>
      </c>
      <c r="L2432" s="3" t="s">
        <v>171</v>
      </c>
      <c r="M2432" s="3" t="s">
        <v>172</v>
      </c>
      <c r="N2432" s="3" t="s">
        <v>2423</v>
      </c>
      <c r="O2432" s="3" t="s">
        <v>82</v>
      </c>
      <c r="P2432" s="3" t="str">
        <f>"2170818615                    "</f>
        <v xml:space="preserve">2170818615                    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15.46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3">
        <v>0</v>
      </c>
      <c r="AY2432" s="3">
        <v>0</v>
      </c>
      <c r="AZ2432" s="3">
        <v>0</v>
      </c>
      <c r="BA2432" s="3">
        <v>0</v>
      </c>
      <c r="BB2432" s="3">
        <v>0</v>
      </c>
      <c r="BC2432" s="3">
        <v>0</v>
      </c>
      <c r="BD2432" s="3">
        <v>0</v>
      </c>
      <c r="BE2432" s="3">
        <v>0</v>
      </c>
      <c r="BF2432" s="3">
        <v>0</v>
      </c>
      <c r="BG2432" s="3">
        <v>0</v>
      </c>
      <c r="BH2432" s="3">
        <v>1</v>
      </c>
      <c r="BI2432" s="3">
        <v>1</v>
      </c>
      <c r="BJ2432" s="3">
        <v>0.2</v>
      </c>
      <c r="BK2432" s="3">
        <v>1</v>
      </c>
      <c r="BL2432" s="3">
        <v>59</v>
      </c>
      <c r="BM2432" s="3">
        <v>8.85</v>
      </c>
      <c r="BN2432" s="3">
        <v>67.849999999999994</v>
      </c>
      <c r="BO2432" s="3">
        <v>67.849999999999994</v>
      </c>
      <c r="BQ2432" s="3" t="s">
        <v>89</v>
      </c>
      <c r="BR2432" s="3" t="s">
        <v>84</v>
      </c>
      <c r="BS2432" s="4">
        <v>44589</v>
      </c>
      <c r="BT2432" s="5">
        <v>0.35416666666666669</v>
      </c>
      <c r="BU2432" s="3" t="s">
        <v>2424</v>
      </c>
      <c r="BV2432" s="3" t="s">
        <v>105</v>
      </c>
      <c r="BY2432" s="3">
        <v>1200</v>
      </c>
      <c r="CA2432" s="3" t="s">
        <v>1580</v>
      </c>
      <c r="CC2432" s="3" t="s">
        <v>172</v>
      </c>
      <c r="CD2432" s="3">
        <v>6001</v>
      </c>
      <c r="CE2432" s="3" t="s">
        <v>93</v>
      </c>
      <c r="CF2432" s="4">
        <v>44589</v>
      </c>
      <c r="CI2432" s="3">
        <v>1</v>
      </c>
      <c r="CJ2432" s="3">
        <v>1</v>
      </c>
      <c r="CK2432" s="3">
        <v>21</v>
      </c>
      <c r="CL2432" s="3" t="s">
        <v>87</v>
      </c>
    </row>
    <row r="2433" spans="1:90" x14ac:dyDescent="0.2">
      <c r="A2433" s="3" t="s">
        <v>72</v>
      </c>
      <c r="B2433" s="3" t="s">
        <v>73</v>
      </c>
      <c r="C2433" s="3" t="s">
        <v>74</v>
      </c>
      <c r="E2433" s="3" t="str">
        <f>"FES1162847393"</f>
        <v>FES1162847393</v>
      </c>
      <c r="F2433" s="4">
        <v>44588</v>
      </c>
      <c r="G2433" s="3">
        <v>202207</v>
      </c>
      <c r="H2433" s="3" t="s">
        <v>75</v>
      </c>
      <c r="I2433" s="3" t="s">
        <v>76</v>
      </c>
      <c r="J2433" s="3" t="s">
        <v>77</v>
      </c>
      <c r="K2433" s="3" t="s">
        <v>78</v>
      </c>
      <c r="L2433" s="3" t="s">
        <v>176</v>
      </c>
      <c r="M2433" s="3" t="s">
        <v>177</v>
      </c>
      <c r="N2433" s="3" t="s">
        <v>178</v>
      </c>
      <c r="O2433" s="3" t="s">
        <v>82</v>
      </c>
      <c r="P2433" s="3" t="str">
        <f>"2170818659                    "</f>
        <v xml:space="preserve">2170818659                    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46.36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0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3">
        <v>0</v>
      </c>
      <c r="AY2433" s="3">
        <v>0</v>
      </c>
      <c r="AZ2433" s="3">
        <v>0</v>
      </c>
      <c r="BA2433" s="3">
        <v>0</v>
      </c>
      <c r="BB2433" s="3">
        <v>0</v>
      </c>
      <c r="BC2433" s="3">
        <v>0</v>
      </c>
      <c r="BD2433" s="3">
        <v>0</v>
      </c>
      <c r="BE2433" s="3">
        <v>0</v>
      </c>
      <c r="BF2433" s="3">
        <v>0</v>
      </c>
      <c r="BG2433" s="3">
        <v>0</v>
      </c>
      <c r="BH2433" s="3">
        <v>2</v>
      </c>
      <c r="BI2433" s="3">
        <v>5.8</v>
      </c>
      <c r="BJ2433" s="3">
        <v>1.6</v>
      </c>
      <c r="BK2433" s="3">
        <v>6</v>
      </c>
      <c r="BL2433" s="3">
        <v>176.94</v>
      </c>
      <c r="BM2433" s="3">
        <v>26.54</v>
      </c>
      <c r="BN2433" s="3">
        <v>203.48</v>
      </c>
      <c r="BO2433" s="3">
        <v>203.48</v>
      </c>
      <c r="BQ2433" s="3" t="s">
        <v>83</v>
      </c>
      <c r="BR2433" s="3" t="s">
        <v>84</v>
      </c>
      <c r="BS2433" s="4">
        <v>44589</v>
      </c>
      <c r="BT2433" s="5">
        <v>0.3743055555555555</v>
      </c>
      <c r="BU2433" s="3" t="s">
        <v>2425</v>
      </c>
      <c r="BV2433" s="3" t="s">
        <v>105</v>
      </c>
      <c r="BY2433" s="3">
        <v>7803.56</v>
      </c>
      <c r="CA2433" s="3" t="s">
        <v>339</v>
      </c>
      <c r="CC2433" s="3" t="s">
        <v>177</v>
      </c>
      <c r="CD2433" s="3">
        <v>4026</v>
      </c>
      <c r="CE2433" s="3" t="s">
        <v>221</v>
      </c>
      <c r="CI2433" s="3">
        <v>1</v>
      </c>
      <c r="CJ2433" s="3">
        <v>1</v>
      </c>
      <c r="CK2433" s="3">
        <v>21</v>
      </c>
      <c r="CL2433" s="3" t="s">
        <v>87</v>
      </c>
    </row>
    <row r="2434" spans="1:90" x14ac:dyDescent="0.2">
      <c r="A2434" s="3" t="s">
        <v>72</v>
      </c>
      <c r="B2434" s="3" t="s">
        <v>73</v>
      </c>
      <c r="C2434" s="3" t="s">
        <v>74</v>
      </c>
      <c r="E2434" s="3" t="str">
        <f>"FES1162847368"</f>
        <v>FES1162847368</v>
      </c>
      <c r="F2434" s="4">
        <v>44588</v>
      </c>
      <c r="G2434" s="3">
        <v>202207</v>
      </c>
      <c r="H2434" s="3" t="s">
        <v>75</v>
      </c>
      <c r="I2434" s="3" t="s">
        <v>76</v>
      </c>
      <c r="J2434" s="3" t="s">
        <v>77</v>
      </c>
      <c r="K2434" s="3" t="s">
        <v>78</v>
      </c>
      <c r="L2434" s="3" t="s">
        <v>171</v>
      </c>
      <c r="M2434" s="3" t="s">
        <v>172</v>
      </c>
      <c r="N2434" s="3" t="s">
        <v>2423</v>
      </c>
      <c r="O2434" s="3" t="s">
        <v>82</v>
      </c>
      <c r="P2434" s="3" t="str">
        <f>"2170818617                    "</f>
        <v xml:space="preserve">2170818617                    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15.46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3">
        <v>0</v>
      </c>
      <c r="AY2434" s="3">
        <v>0</v>
      </c>
      <c r="AZ2434" s="3">
        <v>0</v>
      </c>
      <c r="BA2434" s="3">
        <v>0</v>
      </c>
      <c r="BB2434" s="3">
        <v>0</v>
      </c>
      <c r="BC2434" s="3">
        <v>0</v>
      </c>
      <c r="BD2434" s="3">
        <v>0</v>
      </c>
      <c r="BE2434" s="3">
        <v>0</v>
      </c>
      <c r="BF2434" s="3">
        <v>0</v>
      </c>
      <c r="BG2434" s="3">
        <v>0</v>
      </c>
      <c r="BH2434" s="3">
        <v>1</v>
      </c>
      <c r="BI2434" s="3">
        <v>1</v>
      </c>
      <c r="BJ2434" s="3">
        <v>0.2</v>
      </c>
      <c r="BK2434" s="3">
        <v>1</v>
      </c>
      <c r="BL2434" s="3">
        <v>59</v>
      </c>
      <c r="BM2434" s="3">
        <v>8.85</v>
      </c>
      <c r="BN2434" s="3">
        <v>67.849999999999994</v>
      </c>
      <c r="BO2434" s="3">
        <v>67.849999999999994</v>
      </c>
      <c r="BQ2434" s="3" t="s">
        <v>89</v>
      </c>
      <c r="BR2434" s="3" t="s">
        <v>84</v>
      </c>
      <c r="BS2434" s="4">
        <v>44589</v>
      </c>
      <c r="BT2434" s="5">
        <v>0.35416666666666669</v>
      </c>
      <c r="BU2434" s="3" t="s">
        <v>2424</v>
      </c>
      <c r="BV2434" s="3" t="s">
        <v>105</v>
      </c>
      <c r="BY2434" s="3">
        <v>1200</v>
      </c>
      <c r="CA2434" s="3" t="s">
        <v>1580</v>
      </c>
      <c r="CC2434" s="3" t="s">
        <v>172</v>
      </c>
      <c r="CD2434" s="3">
        <v>6001</v>
      </c>
      <c r="CE2434" s="3" t="s">
        <v>93</v>
      </c>
      <c r="CF2434" s="4">
        <v>44589</v>
      </c>
      <c r="CI2434" s="3">
        <v>1</v>
      </c>
      <c r="CJ2434" s="3">
        <v>1</v>
      </c>
      <c r="CK2434" s="3">
        <v>21</v>
      </c>
      <c r="CL2434" s="3" t="s">
        <v>87</v>
      </c>
    </row>
    <row r="2435" spans="1:90" x14ac:dyDescent="0.2">
      <c r="A2435" s="3" t="s">
        <v>72</v>
      </c>
      <c r="B2435" s="3" t="s">
        <v>73</v>
      </c>
      <c r="C2435" s="3" t="s">
        <v>74</v>
      </c>
      <c r="E2435" s="3" t="str">
        <f>"FES1162847286"</f>
        <v>FES1162847286</v>
      </c>
      <c r="F2435" s="4">
        <v>44588</v>
      </c>
      <c r="G2435" s="3">
        <v>202207</v>
      </c>
      <c r="H2435" s="3" t="s">
        <v>75</v>
      </c>
      <c r="I2435" s="3" t="s">
        <v>76</v>
      </c>
      <c r="J2435" s="3" t="s">
        <v>77</v>
      </c>
      <c r="K2435" s="3" t="s">
        <v>78</v>
      </c>
      <c r="L2435" s="3" t="s">
        <v>110</v>
      </c>
      <c r="M2435" s="3" t="s">
        <v>110</v>
      </c>
      <c r="N2435" s="3" t="s">
        <v>111</v>
      </c>
      <c r="O2435" s="3" t="s">
        <v>82</v>
      </c>
      <c r="P2435" s="3" t="str">
        <f>"2170817005                    "</f>
        <v xml:space="preserve">2170817005                    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29.95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3">
        <v>0</v>
      </c>
      <c r="AY2435" s="3">
        <v>0</v>
      </c>
      <c r="AZ2435" s="3">
        <v>0</v>
      </c>
      <c r="BA2435" s="3">
        <v>0</v>
      </c>
      <c r="BB2435" s="3">
        <v>0</v>
      </c>
      <c r="BC2435" s="3">
        <v>0</v>
      </c>
      <c r="BD2435" s="3">
        <v>0</v>
      </c>
      <c r="BE2435" s="3">
        <v>0</v>
      </c>
      <c r="BF2435" s="3">
        <v>0</v>
      </c>
      <c r="BG2435" s="3">
        <v>0</v>
      </c>
      <c r="BH2435" s="3">
        <v>1</v>
      </c>
      <c r="BI2435" s="3">
        <v>1</v>
      </c>
      <c r="BJ2435" s="3">
        <v>0.2</v>
      </c>
      <c r="BK2435" s="3">
        <v>1</v>
      </c>
      <c r="BL2435" s="3">
        <v>114.31</v>
      </c>
      <c r="BM2435" s="3">
        <v>17.149999999999999</v>
      </c>
      <c r="BN2435" s="3">
        <v>131.46</v>
      </c>
      <c r="BO2435" s="3">
        <v>131.46</v>
      </c>
      <c r="BQ2435" s="3" t="s">
        <v>89</v>
      </c>
      <c r="BR2435" s="3" t="s">
        <v>84</v>
      </c>
      <c r="BS2435" s="4">
        <v>44589</v>
      </c>
      <c r="BT2435" s="5">
        <v>0.57430555555555551</v>
      </c>
      <c r="BU2435" s="3" t="s">
        <v>620</v>
      </c>
      <c r="BV2435" s="3" t="s">
        <v>87</v>
      </c>
      <c r="BW2435" s="3" t="s">
        <v>457</v>
      </c>
      <c r="BX2435" s="3" t="s">
        <v>602</v>
      </c>
      <c r="BY2435" s="3">
        <v>1200</v>
      </c>
      <c r="BZ2435" s="3" t="s">
        <v>165</v>
      </c>
      <c r="CA2435" s="3" t="s">
        <v>563</v>
      </c>
      <c r="CC2435" s="3" t="s">
        <v>110</v>
      </c>
      <c r="CD2435" s="3">
        <v>7646</v>
      </c>
      <c r="CE2435" s="3" t="s">
        <v>93</v>
      </c>
      <c r="CI2435" s="3">
        <v>1</v>
      </c>
      <c r="CJ2435" s="3">
        <v>1</v>
      </c>
      <c r="CK2435" s="3">
        <v>23</v>
      </c>
      <c r="CL2435" s="3" t="s">
        <v>87</v>
      </c>
    </row>
    <row r="2436" spans="1:90" x14ac:dyDescent="0.2">
      <c r="A2436" s="3" t="s">
        <v>72</v>
      </c>
      <c r="B2436" s="3" t="s">
        <v>73</v>
      </c>
      <c r="C2436" s="3" t="s">
        <v>74</v>
      </c>
      <c r="E2436" s="3" t="str">
        <f>"FES1162847364"</f>
        <v>FES1162847364</v>
      </c>
      <c r="F2436" s="4">
        <v>44588</v>
      </c>
      <c r="G2436" s="3">
        <v>202207</v>
      </c>
      <c r="H2436" s="3" t="s">
        <v>75</v>
      </c>
      <c r="I2436" s="3" t="s">
        <v>76</v>
      </c>
      <c r="J2436" s="3" t="s">
        <v>77</v>
      </c>
      <c r="K2436" s="3" t="s">
        <v>78</v>
      </c>
      <c r="L2436" s="3" t="s">
        <v>79</v>
      </c>
      <c r="M2436" s="3" t="s">
        <v>80</v>
      </c>
      <c r="N2436" s="3" t="s">
        <v>416</v>
      </c>
      <c r="O2436" s="3" t="s">
        <v>82</v>
      </c>
      <c r="P2436" s="3" t="str">
        <f>"2170817082                    "</f>
        <v xml:space="preserve">2170817082                    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69.53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3">
        <v>0</v>
      </c>
      <c r="AY2436" s="3">
        <v>0</v>
      </c>
      <c r="AZ2436" s="3">
        <v>0</v>
      </c>
      <c r="BA2436" s="3">
        <v>0</v>
      </c>
      <c r="BB2436" s="3">
        <v>0</v>
      </c>
      <c r="BC2436" s="3">
        <v>0</v>
      </c>
      <c r="BD2436" s="3">
        <v>0</v>
      </c>
      <c r="BE2436" s="3">
        <v>0</v>
      </c>
      <c r="BF2436" s="3">
        <v>0</v>
      </c>
      <c r="BG2436" s="3">
        <v>0</v>
      </c>
      <c r="BH2436" s="3">
        <v>1</v>
      </c>
      <c r="BI2436" s="3">
        <v>9</v>
      </c>
      <c r="BJ2436" s="3">
        <v>2.8</v>
      </c>
      <c r="BK2436" s="3">
        <v>9</v>
      </c>
      <c r="BL2436" s="3">
        <v>265.39</v>
      </c>
      <c r="BM2436" s="3">
        <v>39.81</v>
      </c>
      <c r="BN2436" s="3">
        <v>305.2</v>
      </c>
      <c r="BO2436" s="3">
        <v>305.2</v>
      </c>
      <c r="BQ2436" s="3" t="s">
        <v>126</v>
      </c>
      <c r="BR2436" s="3" t="s">
        <v>84</v>
      </c>
      <c r="BS2436" s="4">
        <v>44589</v>
      </c>
      <c r="BT2436" s="5">
        <v>0.45833333333333331</v>
      </c>
      <c r="BU2436" s="3" t="s">
        <v>2426</v>
      </c>
      <c r="BV2436" s="3" t="s">
        <v>105</v>
      </c>
      <c r="BY2436" s="3">
        <v>13860</v>
      </c>
      <c r="CA2436" s="3" t="s">
        <v>2427</v>
      </c>
      <c r="CC2436" s="3" t="s">
        <v>80</v>
      </c>
      <c r="CD2436" s="3">
        <v>186</v>
      </c>
      <c r="CE2436" s="3" t="s">
        <v>86</v>
      </c>
      <c r="CI2436" s="3">
        <v>1</v>
      </c>
      <c r="CJ2436" s="3">
        <v>1</v>
      </c>
      <c r="CK2436" s="3">
        <v>21</v>
      </c>
      <c r="CL2436" s="3" t="s">
        <v>87</v>
      </c>
    </row>
    <row r="2437" spans="1:90" x14ac:dyDescent="0.2">
      <c r="A2437" s="3" t="s">
        <v>72</v>
      </c>
      <c r="B2437" s="3" t="s">
        <v>73</v>
      </c>
      <c r="C2437" s="3" t="s">
        <v>74</v>
      </c>
      <c r="E2437" s="3" t="str">
        <f>"FES1162847361"</f>
        <v>FES1162847361</v>
      </c>
      <c r="F2437" s="4">
        <v>44588</v>
      </c>
      <c r="G2437" s="3">
        <v>202207</v>
      </c>
      <c r="H2437" s="3" t="s">
        <v>75</v>
      </c>
      <c r="I2437" s="3" t="s">
        <v>76</v>
      </c>
      <c r="J2437" s="3" t="s">
        <v>77</v>
      </c>
      <c r="K2437" s="3" t="s">
        <v>78</v>
      </c>
      <c r="L2437" s="3" t="s">
        <v>993</v>
      </c>
      <c r="M2437" s="3" t="s">
        <v>994</v>
      </c>
      <c r="N2437" s="3" t="s">
        <v>2428</v>
      </c>
      <c r="O2437" s="3" t="s">
        <v>82</v>
      </c>
      <c r="P2437" s="3" t="str">
        <f>"2170818614                    "</f>
        <v xml:space="preserve">2170818614                    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57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3">
        <v>0</v>
      </c>
      <c r="AY2437" s="3">
        <v>0</v>
      </c>
      <c r="AZ2437" s="3">
        <v>0</v>
      </c>
      <c r="BA2437" s="3">
        <v>0</v>
      </c>
      <c r="BB2437" s="3">
        <v>0</v>
      </c>
      <c r="BC2437" s="3">
        <v>0</v>
      </c>
      <c r="BD2437" s="3">
        <v>0</v>
      </c>
      <c r="BE2437" s="3">
        <v>0</v>
      </c>
      <c r="BF2437" s="3">
        <v>0</v>
      </c>
      <c r="BG2437" s="3">
        <v>0</v>
      </c>
      <c r="BH2437" s="3">
        <v>2</v>
      </c>
      <c r="BI2437" s="3">
        <v>3.6</v>
      </c>
      <c r="BJ2437" s="3">
        <v>3.4</v>
      </c>
      <c r="BK2437" s="3">
        <v>4</v>
      </c>
      <c r="BL2437" s="3">
        <v>217.56</v>
      </c>
      <c r="BM2437" s="3">
        <v>32.630000000000003</v>
      </c>
      <c r="BN2437" s="3">
        <v>250.19</v>
      </c>
      <c r="BO2437" s="3">
        <v>250.19</v>
      </c>
      <c r="BR2437" s="3" t="s">
        <v>84</v>
      </c>
      <c r="BS2437" s="4">
        <v>44589</v>
      </c>
      <c r="BT2437" s="5">
        <v>0.46388888888888885</v>
      </c>
      <c r="BU2437" s="3" t="s">
        <v>2429</v>
      </c>
      <c r="BV2437" s="3" t="s">
        <v>105</v>
      </c>
      <c r="BY2437" s="3">
        <v>16882.45</v>
      </c>
      <c r="CA2437" s="3" t="s">
        <v>1545</v>
      </c>
      <c r="CC2437" s="3" t="s">
        <v>994</v>
      </c>
      <c r="CD2437" s="3">
        <v>850</v>
      </c>
      <c r="CE2437" s="3" t="s">
        <v>221</v>
      </c>
      <c r="CF2437" s="4">
        <v>44589</v>
      </c>
      <c r="CI2437" s="3">
        <v>1</v>
      </c>
      <c r="CJ2437" s="3">
        <v>1</v>
      </c>
      <c r="CK2437" s="3">
        <v>23</v>
      </c>
      <c r="CL2437" s="3" t="s">
        <v>87</v>
      </c>
    </row>
    <row r="2438" spans="1:90" x14ac:dyDescent="0.2">
      <c r="A2438" s="3" t="s">
        <v>72</v>
      </c>
      <c r="B2438" s="3" t="s">
        <v>73</v>
      </c>
      <c r="C2438" s="3" t="s">
        <v>74</v>
      </c>
      <c r="E2438" s="3" t="str">
        <f>"FES1162847371"</f>
        <v>FES1162847371</v>
      </c>
      <c r="F2438" s="4">
        <v>44588</v>
      </c>
      <c r="G2438" s="3">
        <v>202207</v>
      </c>
      <c r="H2438" s="3" t="s">
        <v>75</v>
      </c>
      <c r="I2438" s="3" t="s">
        <v>76</v>
      </c>
      <c r="J2438" s="3" t="s">
        <v>77</v>
      </c>
      <c r="K2438" s="3" t="s">
        <v>78</v>
      </c>
      <c r="L2438" s="3" t="s">
        <v>101</v>
      </c>
      <c r="M2438" s="3" t="s">
        <v>102</v>
      </c>
      <c r="N2438" s="3" t="s">
        <v>272</v>
      </c>
      <c r="O2438" s="3" t="s">
        <v>82</v>
      </c>
      <c r="P2438" s="3" t="str">
        <f>"2170818624                    "</f>
        <v xml:space="preserve">2170818624                    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46.36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3">
        <v>0</v>
      </c>
      <c r="AY2438" s="3">
        <v>0</v>
      </c>
      <c r="AZ2438" s="3">
        <v>0</v>
      </c>
      <c r="BA2438" s="3">
        <v>0</v>
      </c>
      <c r="BB2438" s="3">
        <v>0</v>
      </c>
      <c r="BC2438" s="3">
        <v>0</v>
      </c>
      <c r="BD2438" s="3">
        <v>0</v>
      </c>
      <c r="BE2438" s="3">
        <v>0</v>
      </c>
      <c r="BF2438" s="3">
        <v>0</v>
      </c>
      <c r="BG2438" s="3">
        <v>0</v>
      </c>
      <c r="BH2438" s="3">
        <v>1</v>
      </c>
      <c r="BI2438" s="3">
        <v>1</v>
      </c>
      <c r="BJ2438" s="3">
        <v>5.9</v>
      </c>
      <c r="BK2438" s="3">
        <v>6</v>
      </c>
      <c r="BL2438" s="3">
        <v>176.94</v>
      </c>
      <c r="BM2438" s="3">
        <v>26.54</v>
      </c>
      <c r="BN2438" s="3">
        <v>203.48</v>
      </c>
      <c r="BO2438" s="3">
        <v>203.48</v>
      </c>
      <c r="BQ2438" s="3" t="s">
        <v>273</v>
      </c>
      <c r="BR2438" s="3" t="s">
        <v>84</v>
      </c>
      <c r="BS2438" s="4">
        <v>44589</v>
      </c>
      <c r="BT2438" s="5">
        <v>0.41388888888888892</v>
      </c>
      <c r="BU2438" s="3" t="s">
        <v>2147</v>
      </c>
      <c r="BV2438" s="3" t="s">
        <v>105</v>
      </c>
      <c r="BY2438" s="3">
        <v>29696</v>
      </c>
      <c r="CA2438" s="3" t="s">
        <v>2148</v>
      </c>
      <c r="CC2438" s="3" t="s">
        <v>102</v>
      </c>
      <c r="CD2438" s="3">
        <v>4000</v>
      </c>
      <c r="CE2438" s="3" t="s">
        <v>86</v>
      </c>
      <c r="CI2438" s="3">
        <v>1</v>
      </c>
      <c r="CJ2438" s="3">
        <v>1</v>
      </c>
      <c r="CK2438" s="3">
        <v>21</v>
      </c>
      <c r="CL2438" s="3" t="s">
        <v>87</v>
      </c>
    </row>
    <row r="2439" spans="1:90" x14ac:dyDescent="0.2">
      <c r="A2439" s="3" t="s">
        <v>72</v>
      </c>
      <c r="B2439" s="3" t="s">
        <v>73</v>
      </c>
      <c r="C2439" s="3" t="s">
        <v>74</v>
      </c>
      <c r="E2439" s="3" t="str">
        <f>"FES1162847412"</f>
        <v>FES1162847412</v>
      </c>
      <c r="F2439" s="4">
        <v>44588</v>
      </c>
      <c r="G2439" s="3">
        <v>202207</v>
      </c>
      <c r="H2439" s="3" t="s">
        <v>75</v>
      </c>
      <c r="I2439" s="3" t="s">
        <v>76</v>
      </c>
      <c r="J2439" s="3" t="s">
        <v>77</v>
      </c>
      <c r="K2439" s="3" t="s">
        <v>78</v>
      </c>
      <c r="L2439" s="3" t="s">
        <v>158</v>
      </c>
      <c r="M2439" s="3" t="s">
        <v>159</v>
      </c>
      <c r="N2439" s="3" t="s">
        <v>160</v>
      </c>
      <c r="O2439" s="3" t="s">
        <v>82</v>
      </c>
      <c r="P2439" s="3" t="str">
        <f>"2170818682                    "</f>
        <v xml:space="preserve">2170818682                    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12.07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3">
        <v>0</v>
      </c>
      <c r="AY2439" s="3">
        <v>0</v>
      </c>
      <c r="AZ2439" s="3">
        <v>0</v>
      </c>
      <c r="BA2439" s="3">
        <v>0</v>
      </c>
      <c r="BB2439" s="3">
        <v>0</v>
      </c>
      <c r="BC2439" s="3">
        <v>0</v>
      </c>
      <c r="BD2439" s="3">
        <v>0</v>
      </c>
      <c r="BE2439" s="3">
        <v>0</v>
      </c>
      <c r="BF2439" s="3">
        <v>0</v>
      </c>
      <c r="BG2439" s="3">
        <v>0</v>
      </c>
      <c r="BH2439" s="3">
        <v>1</v>
      </c>
      <c r="BI2439" s="3">
        <v>8</v>
      </c>
      <c r="BJ2439" s="3">
        <v>4.0999999999999996</v>
      </c>
      <c r="BK2439" s="3">
        <v>8</v>
      </c>
      <c r="BL2439" s="3">
        <v>46.08</v>
      </c>
      <c r="BM2439" s="3">
        <v>6.91</v>
      </c>
      <c r="BN2439" s="3">
        <v>52.99</v>
      </c>
      <c r="BO2439" s="3">
        <v>52.99</v>
      </c>
      <c r="BR2439" s="3" t="s">
        <v>84</v>
      </c>
      <c r="BS2439" s="4">
        <v>44589</v>
      </c>
      <c r="BT2439" s="5">
        <v>0.28194444444444444</v>
      </c>
      <c r="BU2439" s="3" t="s">
        <v>1766</v>
      </c>
      <c r="BV2439" s="3" t="s">
        <v>105</v>
      </c>
      <c r="BY2439" s="3">
        <v>20358</v>
      </c>
      <c r="CA2439" s="3" t="s">
        <v>763</v>
      </c>
      <c r="CC2439" s="3" t="s">
        <v>159</v>
      </c>
      <c r="CD2439" s="3">
        <v>1459</v>
      </c>
      <c r="CE2439" s="3" t="s">
        <v>86</v>
      </c>
      <c r="CF2439" s="4">
        <v>44589</v>
      </c>
      <c r="CI2439" s="3">
        <v>1</v>
      </c>
      <c r="CJ2439" s="3">
        <v>1</v>
      </c>
      <c r="CK2439" s="3">
        <v>22</v>
      </c>
      <c r="CL2439" s="3" t="s">
        <v>87</v>
      </c>
    </row>
    <row r="2440" spans="1:90" x14ac:dyDescent="0.2">
      <c r="A2440" s="3" t="s">
        <v>72</v>
      </c>
      <c r="B2440" s="3" t="s">
        <v>73</v>
      </c>
      <c r="C2440" s="3" t="s">
        <v>74</v>
      </c>
      <c r="E2440" s="3" t="str">
        <f>"FES1162847219"</f>
        <v>FES1162847219</v>
      </c>
      <c r="F2440" s="4">
        <v>44588</v>
      </c>
      <c r="G2440" s="3">
        <v>202207</v>
      </c>
      <c r="H2440" s="3" t="s">
        <v>75</v>
      </c>
      <c r="I2440" s="3" t="s">
        <v>76</v>
      </c>
      <c r="J2440" s="3" t="s">
        <v>77</v>
      </c>
      <c r="K2440" s="3" t="s">
        <v>78</v>
      </c>
      <c r="L2440" s="3" t="s">
        <v>180</v>
      </c>
      <c r="M2440" s="3" t="s">
        <v>181</v>
      </c>
      <c r="N2440" s="3" t="s">
        <v>182</v>
      </c>
      <c r="O2440" s="3" t="s">
        <v>82</v>
      </c>
      <c r="P2440" s="3" t="str">
        <f>"2170818534                    "</f>
        <v xml:space="preserve">2170818534                    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21.74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0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3">
        <v>0</v>
      </c>
      <c r="AY2440" s="3">
        <v>0</v>
      </c>
      <c r="AZ2440" s="3">
        <v>0</v>
      </c>
      <c r="BA2440" s="3">
        <v>0</v>
      </c>
      <c r="BB2440" s="3">
        <v>0</v>
      </c>
      <c r="BC2440" s="3">
        <v>0</v>
      </c>
      <c r="BD2440" s="3">
        <v>0</v>
      </c>
      <c r="BE2440" s="3">
        <v>0</v>
      </c>
      <c r="BF2440" s="3">
        <v>0</v>
      </c>
      <c r="BG2440" s="3">
        <v>0</v>
      </c>
      <c r="BH2440" s="3">
        <v>1</v>
      </c>
      <c r="BI2440" s="3">
        <v>1</v>
      </c>
      <c r="BJ2440" s="3">
        <v>0.2</v>
      </c>
      <c r="BK2440" s="3">
        <v>1</v>
      </c>
      <c r="BL2440" s="3">
        <v>82.98</v>
      </c>
      <c r="BM2440" s="3">
        <v>12.45</v>
      </c>
      <c r="BN2440" s="3">
        <v>95.43</v>
      </c>
      <c r="BO2440" s="3">
        <v>95.43</v>
      </c>
      <c r="BQ2440" s="3" t="s">
        <v>83</v>
      </c>
      <c r="BR2440" s="3" t="s">
        <v>84</v>
      </c>
      <c r="BS2440" s="4">
        <v>44589</v>
      </c>
      <c r="BT2440" s="5">
        <v>0.38125000000000003</v>
      </c>
      <c r="BU2440" s="3" t="s">
        <v>2151</v>
      </c>
      <c r="BV2440" s="3" t="s">
        <v>105</v>
      </c>
      <c r="BY2440" s="3">
        <v>1200</v>
      </c>
      <c r="BZ2440" s="3" t="s">
        <v>165</v>
      </c>
      <c r="CA2440" s="3" t="s">
        <v>1166</v>
      </c>
      <c r="CC2440" s="3" t="s">
        <v>181</v>
      </c>
      <c r="CD2440" s="3">
        <v>1939</v>
      </c>
      <c r="CE2440" s="3" t="s">
        <v>93</v>
      </c>
      <c r="CI2440" s="3">
        <v>1</v>
      </c>
      <c r="CJ2440" s="3">
        <v>1</v>
      </c>
      <c r="CK2440" s="3">
        <v>24</v>
      </c>
      <c r="CL2440" s="3" t="s">
        <v>87</v>
      </c>
    </row>
    <row r="2441" spans="1:90" x14ac:dyDescent="0.2">
      <c r="A2441" s="3" t="s">
        <v>72</v>
      </c>
      <c r="B2441" s="3" t="s">
        <v>73</v>
      </c>
      <c r="C2441" s="3" t="s">
        <v>74</v>
      </c>
      <c r="E2441" s="3" t="str">
        <f>"FES1162847246"</f>
        <v>FES1162847246</v>
      </c>
      <c r="F2441" s="4">
        <v>44588</v>
      </c>
      <c r="G2441" s="3">
        <v>202207</v>
      </c>
      <c r="H2441" s="3" t="s">
        <v>75</v>
      </c>
      <c r="I2441" s="3" t="s">
        <v>76</v>
      </c>
      <c r="J2441" s="3" t="s">
        <v>77</v>
      </c>
      <c r="K2441" s="3" t="s">
        <v>78</v>
      </c>
      <c r="L2441" s="3" t="s">
        <v>90</v>
      </c>
      <c r="M2441" s="3" t="s">
        <v>91</v>
      </c>
      <c r="N2441" s="3" t="s">
        <v>735</v>
      </c>
      <c r="O2441" s="3" t="s">
        <v>82</v>
      </c>
      <c r="P2441" s="3" t="str">
        <f>"2170818112                    "</f>
        <v xml:space="preserve">2170818112                    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15.46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3">
        <v>0</v>
      </c>
      <c r="AY2441" s="3">
        <v>0</v>
      </c>
      <c r="AZ2441" s="3">
        <v>0</v>
      </c>
      <c r="BA2441" s="3">
        <v>0</v>
      </c>
      <c r="BB2441" s="3">
        <v>0</v>
      </c>
      <c r="BC2441" s="3">
        <v>0</v>
      </c>
      <c r="BD2441" s="3">
        <v>0</v>
      </c>
      <c r="BE2441" s="3">
        <v>0</v>
      </c>
      <c r="BF2441" s="3">
        <v>0</v>
      </c>
      <c r="BG2441" s="3">
        <v>0</v>
      </c>
      <c r="BH2441" s="3">
        <v>1</v>
      </c>
      <c r="BI2441" s="3">
        <v>1</v>
      </c>
      <c r="BJ2441" s="3">
        <v>0.2</v>
      </c>
      <c r="BK2441" s="3">
        <v>1</v>
      </c>
      <c r="BL2441" s="3">
        <v>59</v>
      </c>
      <c r="BM2441" s="3">
        <v>8.85</v>
      </c>
      <c r="BN2441" s="3">
        <v>67.849999999999994</v>
      </c>
      <c r="BO2441" s="3">
        <v>67.849999999999994</v>
      </c>
      <c r="BQ2441" s="3" t="s">
        <v>273</v>
      </c>
      <c r="BR2441" s="3" t="s">
        <v>84</v>
      </c>
      <c r="BS2441" s="4">
        <v>44589</v>
      </c>
      <c r="BT2441" s="5">
        <v>0.34166666666666662</v>
      </c>
      <c r="BU2441" s="3" t="s">
        <v>2430</v>
      </c>
      <c r="BV2441" s="3" t="s">
        <v>105</v>
      </c>
      <c r="BY2441" s="3">
        <v>1200</v>
      </c>
      <c r="BZ2441" s="3" t="s">
        <v>165</v>
      </c>
      <c r="CA2441" s="3" t="s">
        <v>566</v>
      </c>
      <c r="CC2441" s="3" t="s">
        <v>91</v>
      </c>
      <c r="CD2441" s="3">
        <v>7460</v>
      </c>
      <c r="CE2441" s="3" t="s">
        <v>93</v>
      </c>
      <c r="CI2441" s="3">
        <v>1</v>
      </c>
      <c r="CJ2441" s="3">
        <v>1</v>
      </c>
      <c r="CK2441" s="3">
        <v>21</v>
      </c>
      <c r="CL2441" s="3" t="s">
        <v>87</v>
      </c>
    </row>
    <row r="2442" spans="1:90" x14ac:dyDescent="0.2">
      <c r="A2442" s="3" t="s">
        <v>72</v>
      </c>
      <c r="B2442" s="3" t="s">
        <v>73</v>
      </c>
      <c r="C2442" s="3" t="s">
        <v>74</v>
      </c>
      <c r="E2442" s="3" t="str">
        <f>"FES1162847217"</f>
        <v>FES1162847217</v>
      </c>
      <c r="F2442" s="4">
        <v>44588</v>
      </c>
      <c r="G2442" s="3">
        <v>202207</v>
      </c>
      <c r="H2442" s="3" t="s">
        <v>75</v>
      </c>
      <c r="I2442" s="3" t="s">
        <v>76</v>
      </c>
      <c r="J2442" s="3" t="s">
        <v>77</v>
      </c>
      <c r="K2442" s="3" t="s">
        <v>78</v>
      </c>
      <c r="L2442" s="3" t="s">
        <v>79</v>
      </c>
      <c r="M2442" s="3" t="s">
        <v>80</v>
      </c>
      <c r="N2442" s="3" t="s">
        <v>1295</v>
      </c>
      <c r="O2442" s="3" t="s">
        <v>82</v>
      </c>
      <c r="P2442" s="3" t="str">
        <f>"2170818531                    "</f>
        <v xml:space="preserve">2170818531                    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15.46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3">
        <v>0</v>
      </c>
      <c r="AY2442" s="3">
        <v>0</v>
      </c>
      <c r="AZ2442" s="3">
        <v>0</v>
      </c>
      <c r="BA2442" s="3">
        <v>0</v>
      </c>
      <c r="BB2442" s="3">
        <v>0</v>
      </c>
      <c r="BC2442" s="3">
        <v>0</v>
      </c>
      <c r="BD2442" s="3">
        <v>0</v>
      </c>
      <c r="BE2442" s="3">
        <v>0</v>
      </c>
      <c r="BF2442" s="3">
        <v>0</v>
      </c>
      <c r="BG2442" s="3">
        <v>0</v>
      </c>
      <c r="BH2442" s="3">
        <v>1</v>
      </c>
      <c r="BI2442" s="3">
        <v>1</v>
      </c>
      <c r="BJ2442" s="3">
        <v>0.2</v>
      </c>
      <c r="BK2442" s="3">
        <v>1</v>
      </c>
      <c r="BL2442" s="3">
        <v>59</v>
      </c>
      <c r="BM2442" s="3">
        <v>8.85</v>
      </c>
      <c r="BN2442" s="3">
        <v>67.849999999999994</v>
      </c>
      <c r="BO2442" s="3">
        <v>67.849999999999994</v>
      </c>
      <c r="BQ2442" s="3" t="s">
        <v>83</v>
      </c>
      <c r="BR2442" s="3" t="s">
        <v>84</v>
      </c>
      <c r="BS2442" s="3" t="s">
        <v>85</v>
      </c>
      <c r="BY2442" s="3">
        <v>1200</v>
      </c>
      <c r="BZ2442" s="3" t="s">
        <v>165</v>
      </c>
      <c r="CC2442" s="3" t="s">
        <v>80</v>
      </c>
      <c r="CD2442" s="3">
        <v>181</v>
      </c>
      <c r="CE2442" s="3" t="s">
        <v>93</v>
      </c>
      <c r="CI2442" s="3">
        <v>1</v>
      </c>
      <c r="CJ2442" s="3" t="s">
        <v>85</v>
      </c>
      <c r="CK2442" s="3">
        <v>21</v>
      </c>
      <c r="CL2442" s="3" t="s">
        <v>87</v>
      </c>
    </row>
    <row r="2443" spans="1:90" x14ac:dyDescent="0.2">
      <c r="A2443" s="3" t="s">
        <v>72</v>
      </c>
      <c r="B2443" s="3" t="s">
        <v>73</v>
      </c>
      <c r="C2443" s="3" t="s">
        <v>74</v>
      </c>
      <c r="E2443" s="3" t="str">
        <f>"FES1162847248"</f>
        <v>FES1162847248</v>
      </c>
      <c r="F2443" s="4">
        <v>44588</v>
      </c>
      <c r="G2443" s="3">
        <v>202207</v>
      </c>
      <c r="H2443" s="3" t="s">
        <v>75</v>
      </c>
      <c r="I2443" s="3" t="s">
        <v>76</v>
      </c>
      <c r="J2443" s="3" t="s">
        <v>77</v>
      </c>
      <c r="K2443" s="3" t="s">
        <v>78</v>
      </c>
      <c r="L2443" s="3" t="s">
        <v>171</v>
      </c>
      <c r="M2443" s="3" t="s">
        <v>172</v>
      </c>
      <c r="N2443" s="3" t="s">
        <v>1694</v>
      </c>
      <c r="O2443" s="3" t="s">
        <v>82</v>
      </c>
      <c r="P2443" s="3" t="str">
        <f>"2170818537                    "</f>
        <v xml:space="preserve">2170818537                    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15.46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3">
        <v>0</v>
      </c>
      <c r="AY2443" s="3">
        <v>0</v>
      </c>
      <c r="AZ2443" s="3">
        <v>0</v>
      </c>
      <c r="BA2443" s="3">
        <v>0</v>
      </c>
      <c r="BB2443" s="3">
        <v>0</v>
      </c>
      <c r="BC2443" s="3">
        <v>0</v>
      </c>
      <c r="BD2443" s="3">
        <v>0</v>
      </c>
      <c r="BE2443" s="3">
        <v>0</v>
      </c>
      <c r="BF2443" s="3">
        <v>0</v>
      </c>
      <c r="BG2443" s="3">
        <v>0</v>
      </c>
      <c r="BH2443" s="3">
        <v>1</v>
      </c>
      <c r="BI2443" s="3">
        <v>1</v>
      </c>
      <c r="BJ2443" s="3">
        <v>0.2</v>
      </c>
      <c r="BK2443" s="3">
        <v>1</v>
      </c>
      <c r="BL2443" s="3">
        <v>59</v>
      </c>
      <c r="BM2443" s="3">
        <v>8.85</v>
      </c>
      <c r="BN2443" s="3">
        <v>67.849999999999994</v>
      </c>
      <c r="BO2443" s="3">
        <v>67.849999999999994</v>
      </c>
      <c r="BQ2443" s="3" t="s">
        <v>83</v>
      </c>
      <c r="BR2443" s="3" t="s">
        <v>84</v>
      </c>
      <c r="BS2443" s="4">
        <v>44589</v>
      </c>
      <c r="BT2443" s="5">
        <v>0.41666666666666669</v>
      </c>
      <c r="BU2443" s="3" t="s">
        <v>1695</v>
      </c>
      <c r="BV2443" s="3" t="s">
        <v>105</v>
      </c>
      <c r="BY2443" s="3">
        <v>1200</v>
      </c>
      <c r="BZ2443" s="3" t="s">
        <v>165</v>
      </c>
      <c r="CA2443" s="3" t="s">
        <v>1696</v>
      </c>
      <c r="CC2443" s="3" t="s">
        <v>172</v>
      </c>
      <c r="CD2443" s="3">
        <v>6001</v>
      </c>
      <c r="CE2443" s="3" t="s">
        <v>93</v>
      </c>
      <c r="CF2443" s="4">
        <v>44589</v>
      </c>
      <c r="CI2443" s="3">
        <v>1</v>
      </c>
      <c r="CJ2443" s="3">
        <v>1</v>
      </c>
      <c r="CK2443" s="3">
        <v>21</v>
      </c>
      <c r="CL2443" s="3" t="s">
        <v>87</v>
      </c>
    </row>
    <row r="2444" spans="1:90" x14ac:dyDescent="0.2">
      <c r="A2444" s="3" t="s">
        <v>72</v>
      </c>
      <c r="B2444" s="3" t="s">
        <v>73</v>
      </c>
      <c r="C2444" s="3" t="s">
        <v>74</v>
      </c>
      <c r="E2444" s="3" t="str">
        <f>"FES1162847221"</f>
        <v>FES1162847221</v>
      </c>
      <c r="F2444" s="4">
        <v>44588</v>
      </c>
      <c r="G2444" s="3">
        <v>202207</v>
      </c>
      <c r="H2444" s="3" t="s">
        <v>75</v>
      </c>
      <c r="I2444" s="3" t="s">
        <v>76</v>
      </c>
      <c r="J2444" s="3" t="s">
        <v>77</v>
      </c>
      <c r="K2444" s="3" t="s">
        <v>78</v>
      </c>
      <c r="L2444" s="3" t="s">
        <v>171</v>
      </c>
      <c r="M2444" s="3" t="s">
        <v>172</v>
      </c>
      <c r="N2444" s="3" t="s">
        <v>329</v>
      </c>
      <c r="O2444" s="3" t="s">
        <v>82</v>
      </c>
      <c r="P2444" s="3" t="str">
        <f>"2170797636                    "</f>
        <v xml:space="preserve">2170797636                    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15.46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3">
        <v>0</v>
      </c>
      <c r="AY2444" s="3">
        <v>0</v>
      </c>
      <c r="AZ2444" s="3">
        <v>0</v>
      </c>
      <c r="BA2444" s="3">
        <v>0</v>
      </c>
      <c r="BB2444" s="3">
        <v>0</v>
      </c>
      <c r="BC2444" s="3">
        <v>0</v>
      </c>
      <c r="BD2444" s="3">
        <v>0</v>
      </c>
      <c r="BE2444" s="3">
        <v>0</v>
      </c>
      <c r="BF2444" s="3">
        <v>0</v>
      </c>
      <c r="BG2444" s="3">
        <v>0</v>
      </c>
      <c r="BH2444" s="3">
        <v>1</v>
      </c>
      <c r="BI2444" s="3">
        <v>1</v>
      </c>
      <c r="BJ2444" s="3">
        <v>0.2</v>
      </c>
      <c r="BK2444" s="3">
        <v>1</v>
      </c>
      <c r="BL2444" s="3">
        <v>59</v>
      </c>
      <c r="BM2444" s="3">
        <v>8.85</v>
      </c>
      <c r="BN2444" s="3">
        <v>67.849999999999994</v>
      </c>
      <c r="BO2444" s="3">
        <v>67.849999999999994</v>
      </c>
      <c r="BQ2444" s="3" t="s">
        <v>83</v>
      </c>
      <c r="BR2444" s="3" t="s">
        <v>84</v>
      </c>
      <c r="BS2444" s="4">
        <v>44589</v>
      </c>
      <c r="BT2444" s="5">
        <v>0.31111111111111112</v>
      </c>
      <c r="BU2444" s="3" t="s">
        <v>330</v>
      </c>
      <c r="BV2444" s="3" t="s">
        <v>105</v>
      </c>
      <c r="BY2444" s="3">
        <v>1200</v>
      </c>
      <c r="BZ2444" s="3" t="s">
        <v>165</v>
      </c>
      <c r="CA2444" s="3" t="s">
        <v>331</v>
      </c>
      <c r="CC2444" s="3" t="s">
        <v>172</v>
      </c>
      <c r="CD2444" s="3">
        <v>6001</v>
      </c>
      <c r="CE2444" s="3" t="s">
        <v>93</v>
      </c>
      <c r="CF2444" s="4">
        <v>44589</v>
      </c>
      <c r="CI2444" s="3">
        <v>1</v>
      </c>
      <c r="CJ2444" s="3">
        <v>1</v>
      </c>
      <c r="CK2444" s="3">
        <v>21</v>
      </c>
      <c r="CL2444" s="3" t="s">
        <v>87</v>
      </c>
    </row>
    <row r="2445" spans="1:90" x14ac:dyDescent="0.2">
      <c r="A2445" s="3" t="s">
        <v>72</v>
      </c>
      <c r="B2445" s="3" t="s">
        <v>73</v>
      </c>
      <c r="C2445" s="3" t="s">
        <v>74</v>
      </c>
      <c r="E2445" s="3" t="str">
        <f>"FES1162847403"</f>
        <v>FES1162847403</v>
      </c>
      <c r="F2445" s="4">
        <v>44588</v>
      </c>
      <c r="G2445" s="3">
        <v>202207</v>
      </c>
      <c r="H2445" s="3" t="s">
        <v>75</v>
      </c>
      <c r="I2445" s="3" t="s">
        <v>76</v>
      </c>
      <c r="J2445" s="3" t="s">
        <v>77</v>
      </c>
      <c r="K2445" s="3" t="s">
        <v>78</v>
      </c>
      <c r="L2445" s="3" t="s">
        <v>258</v>
      </c>
      <c r="M2445" s="3" t="s">
        <v>259</v>
      </c>
      <c r="N2445" s="3" t="s">
        <v>2431</v>
      </c>
      <c r="O2445" s="3" t="s">
        <v>82</v>
      </c>
      <c r="P2445" s="3" t="str">
        <f>"2170818677                    "</f>
        <v xml:space="preserve">2170818677                    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21.74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0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3">
        <v>0</v>
      </c>
      <c r="AY2445" s="3">
        <v>0</v>
      </c>
      <c r="AZ2445" s="3">
        <v>0</v>
      </c>
      <c r="BA2445" s="3">
        <v>0</v>
      </c>
      <c r="BB2445" s="3">
        <v>0</v>
      </c>
      <c r="BC2445" s="3">
        <v>0</v>
      </c>
      <c r="BD2445" s="3">
        <v>0</v>
      </c>
      <c r="BE2445" s="3">
        <v>0</v>
      </c>
      <c r="BF2445" s="3">
        <v>0</v>
      </c>
      <c r="BG2445" s="3">
        <v>0</v>
      </c>
      <c r="BH2445" s="3">
        <v>1</v>
      </c>
      <c r="BI2445" s="3">
        <v>1</v>
      </c>
      <c r="BJ2445" s="3">
        <v>0.2</v>
      </c>
      <c r="BK2445" s="3">
        <v>1</v>
      </c>
      <c r="BL2445" s="3">
        <v>82.98</v>
      </c>
      <c r="BM2445" s="3">
        <v>12.45</v>
      </c>
      <c r="BN2445" s="3">
        <v>95.43</v>
      </c>
      <c r="BO2445" s="3">
        <v>95.43</v>
      </c>
      <c r="BR2445" s="3" t="s">
        <v>84</v>
      </c>
      <c r="BS2445" s="3" t="s">
        <v>85</v>
      </c>
      <c r="BW2445" s="3" t="s">
        <v>493</v>
      </c>
      <c r="BX2445" s="3" t="s">
        <v>758</v>
      </c>
      <c r="BY2445" s="3">
        <v>1200</v>
      </c>
      <c r="CC2445" s="3" t="s">
        <v>259</v>
      </c>
      <c r="CD2445" s="3">
        <v>2302</v>
      </c>
      <c r="CE2445" s="3" t="s">
        <v>93</v>
      </c>
      <c r="CI2445" s="3">
        <v>1</v>
      </c>
      <c r="CJ2445" s="3" t="s">
        <v>85</v>
      </c>
      <c r="CK2445" s="3">
        <v>24</v>
      </c>
      <c r="CL2445" s="3" t="s">
        <v>87</v>
      </c>
    </row>
    <row r="2446" spans="1:90" x14ac:dyDescent="0.2">
      <c r="A2446" s="3" t="s">
        <v>72</v>
      </c>
      <c r="B2446" s="3" t="s">
        <v>73</v>
      </c>
      <c r="C2446" s="3" t="s">
        <v>74</v>
      </c>
      <c r="E2446" s="3" t="str">
        <f>"FES1162847357"</f>
        <v>FES1162847357</v>
      </c>
      <c r="F2446" s="4">
        <v>44588</v>
      </c>
      <c r="G2446" s="3">
        <v>202207</v>
      </c>
      <c r="H2446" s="3" t="s">
        <v>75</v>
      </c>
      <c r="I2446" s="3" t="s">
        <v>76</v>
      </c>
      <c r="J2446" s="3" t="s">
        <v>77</v>
      </c>
      <c r="K2446" s="3" t="s">
        <v>78</v>
      </c>
      <c r="L2446" s="3" t="s">
        <v>184</v>
      </c>
      <c r="M2446" s="3" t="s">
        <v>185</v>
      </c>
      <c r="N2446" s="3" t="s">
        <v>503</v>
      </c>
      <c r="O2446" s="3" t="s">
        <v>82</v>
      </c>
      <c r="P2446" s="3" t="str">
        <f>"2170818606                    "</f>
        <v xml:space="preserve">2170818606                    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15.46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0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3">
        <v>0</v>
      </c>
      <c r="AY2446" s="3">
        <v>0</v>
      </c>
      <c r="AZ2446" s="3">
        <v>0</v>
      </c>
      <c r="BA2446" s="3">
        <v>0</v>
      </c>
      <c r="BB2446" s="3">
        <v>0</v>
      </c>
      <c r="BC2446" s="3">
        <v>0</v>
      </c>
      <c r="BD2446" s="3">
        <v>0</v>
      </c>
      <c r="BE2446" s="3">
        <v>0</v>
      </c>
      <c r="BF2446" s="3">
        <v>0</v>
      </c>
      <c r="BG2446" s="3">
        <v>0</v>
      </c>
      <c r="BH2446" s="3">
        <v>1</v>
      </c>
      <c r="BI2446" s="3">
        <v>1</v>
      </c>
      <c r="BJ2446" s="3">
        <v>0.2</v>
      </c>
      <c r="BK2446" s="3">
        <v>1</v>
      </c>
      <c r="BL2446" s="3">
        <v>59</v>
      </c>
      <c r="BM2446" s="3">
        <v>8.85</v>
      </c>
      <c r="BN2446" s="3">
        <v>67.849999999999994</v>
      </c>
      <c r="BO2446" s="3">
        <v>67.849999999999994</v>
      </c>
      <c r="BQ2446" s="3" t="s">
        <v>89</v>
      </c>
      <c r="BR2446" s="3" t="s">
        <v>84</v>
      </c>
      <c r="BS2446" s="4">
        <v>44589</v>
      </c>
      <c r="BT2446" s="5">
        <v>0.43541666666666662</v>
      </c>
      <c r="BU2446" s="3" t="s">
        <v>2094</v>
      </c>
      <c r="BV2446" s="3" t="s">
        <v>105</v>
      </c>
      <c r="BY2446" s="3">
        <v>1200</v>
      </c>
      <c r="BZ2446" s="3" t="s">
        <v>165</v>
      </c>
      <c r="CA2446" s="3" t="s">
        <v>1681</v>
      </c>
      <c r="CC2446" s="3" t="s">
        <v>185</v>
      </c>
      <c r="CD2446" s="3">
        <v>5201</v>
      </c>
      <c r="CE2446" s="3" t="s">
        <v>93</v>
      </c>
      <c r="CF2446" s="4">
        <v>44589</v>
      </c>
      <c r="CI2446" s="3">
        <v>1</v>
      </c>
      <c r="CJ2446" s="3">
        <v>1</v>
      </c>
      <c r="CK2446" s="3">
        <v>21</v>
      </c>
      <c r="CL2446" s="3" t="s">
        <v>87</v>
      </c>
    </row>
    <row r="2447" spans="1:90" x14ac:dyDescent="0.2">
      <c r="A2447" s="3" t="s">
        <v>72</v>
      </c>
      <c r="B2447" s="3" t="s">
        <v>73</v>
      </c>
      <c r="C2447" s="3" t="s">
        <v>74</v>
      </c>
      <c r="E2447" s="3" t="str">
        <f>"FES1162847278"</f>
        <v>FES1162847278</v>
      </c>
      <c r="F2447" s="4">
        <v>44588</v>
      </c>
      <c r="G2447" s="3">
        <v>202207</v>
      </c>
      <c r="H2447" s="3" t="s">
        <v>75</v>
      </c>
      <c r="I2447" s="3" t="s">
        <v>76</v>
      </c>
      <c r="J2447" s="3" t="s">
        <v>77</v>
      </c>
      <c r="K2447" s="3" t="s">
        <v>78</v>
      </c>
      <c r="L2447" s="3" t="s">
        <v>180</v>
      </c>
      <c r="M2447" s="3" t="s">
        <v>181</v>
      </c>
      <c r="N2447" s="3" t="s">
        <v>2432</v>
      </c>
      <c r="O2447" s="3" t="s">
        <v>82</v>
      </c>
      <c r="P2447" s="3" t="str">
        <f>"2170816898                    "</f>
        <v xml:space="preserve">2170816898                    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21.74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3">
        <v>0</v>
      </c>
      <c r="AY2447" s="3">
        <v>0</v>
      </c>
      <c r="AZ2447" s="3">
        <v>0</v>
      </c>
      <c r="BA2447" s="3">
        <v>0</v>
      </c>
      <c r="BB2447" s="3">
        <v>0</v>
      </c>
      <c r="BC2447" s="3">
        <v>0</v>
      </c>
      <c r="BD2447" s="3">
        <v>0</v>
      </c>
      <c r="BE2447" s="3">
        <v>0</v>
      </c>
      <c r="BF2447" s="3">
        <v>0</v>
      </c>
      <c r="BG2447" s="3">
        <v>0</v>
      </c>
      <c r="BH2447" s="3">
        <v>1</v>
      </c>
      <c r="BI2447" s="3">
        <v>1</v>
      </c>
      <c r="BJ2447" s="3">
        <v>0.2</v>
      </c>
      <c r="BK2447" s="3">
        <v>1</v>
      </c>
      <c r="BL2447" s="3">
        <v>82.98</v>
      </c>
      <c r="BM2447" s="3">
        <v>12.45</v>
      </c>
      <c r="BN2447" s="3">
        <v>95.43</v>
      </c>
      <c r="BO2447" s="3">
        <v>95.43</v>
      </c>
      <c r="BQ2447" s="3" t="s">
        <v>83</v>
      </c>
      <c r="BR2447" s="3" t="s">
        <v>84</v>
      </c>
      <c r="BS2447" s="4">
        <v>44589</v>
      </c>
      <c r="BT2447" s="5">
        <v>0.4381944444444445</v>
      </c>
      <c r="BU2447" s="3" t="s">
        <v>2433</v>
      </c>
      <c r="BV2447" s="3" t="s">
        <v>87</v>
      </c>
      <c r="BW2447" s="3" t="s">
        <v>353</v>
      </c>
      <c r="BX2447" s="3" t="s">
        <v>723</v>
      </c>
      <c r="BY2447" s="3">
        <v>1200</v>
      </c>
      <c r="BZ2447" s="3" t="s">
        <v>165</v>
      </c>
      <c r="CA2447" s="3" t="s">
        <v>2434</v>
      </c>
      <c r="CC2447" s="3" t="s">
        <v>181</v>
      </c>
      <c r="CD2447" s="3">
        <v>1873</v>
      </c>
      <c r="CE2447" s="3" t="s">
        <v>86</v>
      </c>
      <c r="CI2447" s="3">
        <v>1</v>
      </c>
      <c r="CJ2447" s="3">
        <v>1</v>
      </c>
      <c r="CK2447" s="3">
        <v>24</v>
      </c>
      <c r="CL2447" s="3" t="s">
        <v>87</v>
      </c>
    </row>
    <row r="2448" spans="1:90" x14ac:dyDescent="0.2">
      <c r="A2448" s="3" t="s">
        <v>72</v>
      </c>
      <c r="B2448" s="3" t="s">
        <v>73</v>
      </c>
      <c r="C2448" s="3" t="s">
        <v>74</v>
      </c>
      <c r="E2448" s="3" t="str">
        <f>"FES1162847352"</f>
        <v>FES1162847352</v>
      </c>
      <c r="F2448" s="4">
        <v>44588</v>
      </c>
      <c r="G2448" s="3">
        <v>202207</v>
      </c>
      <c r="H2448" s="3" t="s">
        <v>75</v>
      </c>
      <c r="I2448" s="3" t="s">
        <v>76</v>
      </c>
      <c r="J2448" s="3" t="s">
        <v>77</v>
      </c>
      <c r="K2448" s="3" t="s">
        <v>78</v>
      </c>
      <c r="L2448" s="3" t="s">
        <v>79</v>
      </c>
      <c r="M2448" s="3" t="s">
        <v>80</v>
      </c>
      <c r="N2448" s="3" t="s">
        <v>337</v>
      </c>
      <c r="O2448" s="3" t="s">
        <v>82</v>
      </c>
      <c r="P2448" s="3" t="str">
        <f>"2170818601                    "</f>
        <v xml:space="preserve">2170818601                    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15.46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0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3">
        <v>0</v>
      </c>
      <c r="AY2448" s="3">
        <v>0</v>
      </c>
      <c r="AZ2448" s="3">
        <v>0</v>
      </c>
      <c r="BA2448" s="3">
        <v>0</v>
      </c>
      <c r="BB2448" s="3">
        <v>0</v>
      </c>
      <c r="BC2448" s="3">
        <v>0</v>
      </c>
      <c r="BD2448" s="3">
        <v>0</v>
      </c>
      <c r="BE2448" s="3">
        <v>0</v>
      </c>
      <c r="BF2448" s="3">
        <v>0</v>
      </c>
      <c r="BG2448" s="3">
        <v>0</v>
      </c>
      <c r="BH2448" s="3">
        <v>1</v>
      </c>
      <c r="BI2448" s="3">
        <v>1</v>
      </c>
      <c r="BJ2448" s="3">
        <v>0.2</v>
      </c>
      <c r="BK2448" s="3">
        <v>1</v>
      </c>
      <c r="BL2448" s="3">
        <v>59</v>
      </c>
      <c r="BM2448" s="3">
        <v>8.85</v>
      </c>
      <c r="BN2448" s="3">
        <v>67.849999999999994</v>
      </c>
      <c r="BO2448" s="3">
        <v>67.849999999999994</v>
      </c>
      <c r="BQ2448" s="3" t="s">
        <v>89</v>
      </c>
      <c r="BR2448" s="3" t="s">
        <v>84</v>
      </c>
      <c r="BS2448" s="4">
        <v>44589</v>
      </c>
      <c r="BT2448" s="5">
        <v>0.43055555555555558</v>
      </c>
      <c r="BU2448" s="3" t="s">
        <v>2435</v>
      </c>
      <c r="BV2448" s="3" t="s">
        <v>105</v>
      </c>
      <c r="BY2448" s="3">
        <v>1200</v>
      </c>
      <c r="BZ2448" s="3" t="s">
        <v>165</v>
      </c>
      <c r="CA2448" s="3" t="s">
        <v>328</v>
      </c>
      <c r="CC2448" s="3" t="s">
        <v>80</v>
      </c>
      <c r="CD2448" s="3">
        <v>200</v>
      </c>
      <c r="CE2448" s="3" t="s">
        <v>93</v>
      </c>
      <c r="CF2448" s="4">
        <v>44589</v>
      </c>
      <c r="CI2448" s="3">
        <v>1</v>
      </c>
      <c r="CJ2448" s="3">
        <v>1</v>
      </c>
      <c r="CK2448" s="3">
        <v>21</v>
      </c>
      <c r="CL2448" s="3" t="s">
        <v>87</v>
      </c>
    </row>
    <row r="2449" spans="1:90" x14ac:dyDescent="0.2">
      <c r="A2449" s="3" t="s">
        <v>72</v>
      </c>
      <c r="B2449" s="3" t="s">
        <v>73</v>
      </c>
      <c r="C2449" s="3" t="s">
        <v>74</v>
      </c>
      <c r="E2449" s="3" t="str">
        <f>"FES1162847336"</f>
        <v>FES1162847336</v>
      </c>
      <c r="F2449" s="4">
        <v>44588</v>
      </c>
      <c r="G2449" s="3">
        <v>202207</v>
      </c>
      <c r="H2449" s="3" t="s">
        <v>75</v>
      </c>
      <c r="I2449" s="3" t="s">
        <v>76</v>
      </c>
      <c r="J2449" s="3" t="s">
        <v>77</v>
      </c>
      <c r="K2449" s="3" t="s">
        <v>78</v>
      </c>
      <c r="L2449" s="3" t="s">
        <v>75</v>
      </c>
      <c r="M2449" s="3" t="s">
        <v>76</v>
      </c>
      <c r="N2449" s="3" t="s">
        <v>459</v>
      </c>
      <c r="O2449" s="3" t="s">
        <v>82</v>
      </c>
      <c r="P2449" s="3" t="str">
        <f>"2170818584                    "</f>
        <v xml:space="preserve">2170818584                    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12.07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0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3">
        <v>0</v>
      </c>
      <c r="AY2449" s="3">
        <v>0</v>
      </c>
      <c r="AZ2449" s="3">
        <v>0</v>
      </c>
      <c r="BA2449" s="3">
        <v>0</v>
      </c>
      <c r="BB2449" s="3">
        <v>0</v>
      </c>
      <c r="BC2449" s="3">
        <v>0</v>
      </c>
      <c r="BD2449" s="3">
        <v>0</v>
      </c>
      <c r="BE2449" s="3">
        <v>0</v>
      </c>
      <c r="BF2449" s="3">
        <v>0</v>
      </c>
      <c r="BG2449" s="3">
        <v>0</v>
      </c>
      <c r="BH2449" s="3">
        <v>1</v>
      </c>
      <c r="BI2449" s="3">
        <v>3</v>
      </c>
      <c r="BJ2449" s="3">
        <v>4.0999999999999996</v>
      </c>
      <c r="BK2449" s="3">
        <v>4.5</v>
      </c>
      <c r="BL2449" s="3">
        <v>46.08</v>
      </c>
      <c r="BM2449" s="3">
        <v>6.91</v>
      </c>
      <c r="BN2449" s="3">
        <v>52.99</v>
      </c>
      <c r="BO2449" s="3">
        <v>52.99</v>
      </c>
      <c r="BQ2449" s="3" t="s">
        <v>83</v>
      </c>
      <c r="BR2449" s="3" t="s">
        <v>84</v>
      </c>
      <c r="BS2449" s="4">
        <v>44589</v>
      </c>
      <c r="BT2449" s="5">
        <v>0.3298611111111111</v>
      </c>
      <c r="BU2449" s="3" t="s">
        <v>2436</v>
      </c>
      <c r="BV2449" s="3" t="s">
        <v>105</v>
      </c>
      <c r="BY2449" s="3">
        <v>20358</v>
      </c>
      <c r="BZ2449" s="3" t="s">
        <v>165</v>
      </c>
      <c r="CA2449" s="3" t="s">
        <v>965</v>
      </c>
      <c r="CC2449" s="3" t="s">
        <v>76</v>
      </c>
      <c r="CD2449" s="3">
        <v>1686</v>
      </c>
      <c r="CE2449" s="3" t="s">
        <v>86</v>
      </c>
      <c r="CI2449" s="3">
        <v>1</v>
      </c>
      <c r="CJ2449" s="3">
        <v>1</v>
      </c>
      <c r="CK2449" s="3">
        <v>22</v>
      </c>
      <c r="CL2449" s="3" t="s">
        <v>87</v>
      </c>
    </row>
    <row r="2450" spans="1:90" x14ac:dyDescent="0.2">
      <c r="A2450" s="3" t="s">
        <v>72</v>
      </c>
      <c r="B2450" s="3" t="s">
        <v>73</v>
      </c>
      <c r="C2450" s="3" t="s">
        <v>74</v>
      </c>
      <c r="E2450" s="3" t="str">
        <f>"FES1162847338"</f>
        <v>FES1162847338</v>
      </c>
      <c r="F2450" s="4">
        <v>44588</v>
      </c>
      <c r="G2450" s="3">
        <v>202207</v>
      </c>
      <c r="H2450" s="3" t="s">
        <v>75</v>
      </c>
      <c r="I2450" s="3" t="s">
        <v>76</v>
      </c>
      <c r="J2450" s="3" t="s">
        <v>77</v>
      </c>
      <c r="K2450" s="3" t="s">
        <v>78</v>
      </c>
      <c r="L2450" s="3" t="s">
        <v>75</v>
      </c>
      <c r="M2450" s="3" t="s">
        <v>76</v>
      </c>
      <c r="N2450" s="3" t="s">
        <v>459</v>
      </c>
      <c r="O2450" s="3" t="s">
        <v>82</v>
      </c>
      <c r="P2450" s="3" t="str">
        <f>"2170818585                    "</f>
        <v xml:space="preserve">2170818585                    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12.07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0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3">
        <v>0</v>
      </c>
      <c r="AY2450" s="3">
        <v>0</v>
      </c>
      <c r="AZ2450" s="3">
        <v>0</v>
      </c>
      <c r="BA2450" s="3">
        <v>0</v>
      </c>
      <c r="BB2450" s="3">
        <v>0</v>
      </c>
      <c r="BC2450" s="3">
        <v>0</v>
      </c>
      <c r="BD2450" s="3">
        <v>0</v>
      </c>
      <c r="BE2450" s="3">
        <v>0</v>
      </c>
      <c r="BF2450" s="3">
        <v>0</v>
      </c>
      <c r="BG2450" s="3">
        <v>0</v>
      </c>
      <c r="BH2450" s="3">
        <v>1</v>
      </c>
      <c r="BI2450" s="3">
        <v>5</v>
      </c>
      <c r="BJ2450" s="3">
        <v>4.0999999999999996</v>
      </c>
      <c r="BK2450" s="3">
        <v>5</v>
      </c>
      <c r="BL2450" s="3">
        <v>46.08</v>
      </c>
      <c r="BM2450" s="3">
        <v>6.91</v>
      </c>
      <c r="BN2450" s="3">
        <v>52.99</v>
      </c>
      <c r="BO2450" s="3">
        <v>52.99</v>
      </c>
      <c r="BQ2450" s="3" t="s">
        <v>83</v>
      </c>
      <c r="BR2450" s="3" t="s">
        <v>84</v>
      </c>
      <c r="BS2450" s="4">
        <v>44589</v>
      </c>
      <c r="BT2450" s="5">
        <v>0.3298611111111111</v>
      </c>
      <c r="BU2450" s="3" t="s">
        <v>2436</v>
      </c>
      <c r="BV2450" s="3" t="s">
        <v>105</v>
      </c>
      <c r="BY2450" s="3">
        <v>20358</v>
      </c>
      <c r="BZ2450" s="3" t="s">
        <v>165</v>
      </c>
      <c r="CA2450" s="3" t="s">
        <v>965</v>
      </c>
      <c r="CC2450" s="3" t="s">
        <v>76</v>
      </c>
      <c r="CD2450" s="3">
        <v>1686</v>
      </c>
      <c r="CE2450" s="3" t="s">
        <v>86</v>
      </c>
      <c r="CI2450" s="3">
        <v>1</v>
      </c>
      <c r="CJ2450" s="3">
        <v>1</v>
      </c>
      <c r="CK2450" s="3">
        <v>22</v>
      </c>
      <c r="CL2450" s="3" t="s">
        <v>87</v>
      </c>
    </row>
    <row r="2451" spans="1:90" x14ac:dyDescent="0.2">
      <c r="A2451" s="3" t="s">
        <v>72</v>
      </c>
      <c r="B2451" s="3" t="s">
        <v>73</v>
      </c>
      <c r="C2451" s="3" t="s">
        <v>74</v>
      </c>
      <c r="E2451" s="3" t="str">
        <f>"FES1162847254"</f>
        <v>FES1162847254</v>
      </c>
      <c r="F2451" s="4">
        <v>44588</v>
      </c>
      <c r="G2451" s="3">
        <v>202207</v>
      </c>
      <c r="H2451" s="3" t="s">
        <v>75</v>
      </c>
      <c r="I2451" s="3" t="s">
        <v>76</v>
      </c>
      <c r="J2451" s="3" t="s">
        <v>77</v>
      </c>
      <c r="K2451" s="3" t="s">
        <v>78</v>
      </c>
      <c r="L2451" s="3" t="s">
        <v>75</v>
      </c>
      <c r="M2451" s="3" t="s">
        <v>76</v>
      </c>
      <c r="N2451" s="3" t="s">
        <v>1393</v>
      </c>
      <c r="O2451" s="3" t="s">
        <v>82</v>
      </c>
      <c r="P2451" s="3" t="str">
        <f>"2170788405                    "</f>
        <v xml:space="preserve">2170788405                    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12.07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0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3">
        <v>0</v>
      </c>
      <c r="AY2451" s="3">
        <v>0</v>
      </c>
      <c r="AZ2451" s="3">
        <v>0</v>
      </c>
      <c r="BA2451" s="3">
        <v>0</v>
      </c>
      <c r="BB2451" s="3">
        <v>0</v>
      </c>
      <c r="BC2451" s="3">
        <v>0</v>
      </c>
      <c r="BD2451" s="3">
        <v>0</v>
      </c>
      <c r="BE2451" s="3">
        <v>0</v>
      </c>
      <c r="BF2451" s="3">
        <v>0</v>
      </c>
      <c r="BG2451" s="3">
        <v>0</v>
      </c>
      <c r="BH2451" s="3">
        <v>1</v>
      </c>
      <c r="BI2451" s="3">
        <v>1</v>
      </c>
      <c r="BJ2451" s="3">
        <v>1.8</v>
      </c>
      <c r="BK2451" s="3">
        <v>2</v>
      </c>
      <c r="BL2451" s="3">
        <v>46.08</v>
      </c>
      <c r="BM2451" s="3">
        <v>6.91</v>
      </c>
      <c r="BN2451" s="3">
        <v>52.99</v>
      </c>
      <c r="BO2451" s="3">
        <v>52.99</v>
      </c>
      <c r="BQ2451" s="3" t="s">
        <v>83</v>
      </c>
      <c r="BR2451" s="3" t="s">
        <v>84</v>
      </c>
      <c r="BS2451" s="4">
        <v>44589</v>
      </c>
      <c r="BT2451" s="5">
        <v>0.36736111111111108</v>
      </c>
      <c r="BU2451" s="3" t="s">
        <v>2276</v>
      </c>
      <c r="BV2451" s="3" t="s">
        <v>105</v>
      </c>
      <c r="BY2451" s="3">
        <v>8775</v>
      </c>
      <c r="BZ2451" s="3" t="s">
        <v>165</v>
      </c>
      <c r="CA2451" s="3" t="s">
        <v>607</v>
      </c>
      <c r="CC2451" s="3" t="s">
        <v>76</v>
      </c>
      <c r="CD2451" s="3">
        <v>1665</v>
      </c>
      <c r="CE2451" s="3" t="s">
        <v>86</v>
      </c>
      <c r="CF2451" s="4">
        <v>44590</v>
      </c>
      <c r="CI2451" s="3">
        <v>1</v>
      </c>
      <c r="CJ2451" s="3">
        <v>1</v>
      </c>
      <c r="CK2451" s="3">
        <v>22</v>
      </c>
      <c r="CL2451" s="3" t="s">
        <v>87</v>
      </c>
    </row>
    <row r="2452" spans="1:90" x14ac:dyDescent="0.2">
      <c r="A2452" s="3" t="s">
        <v>72</v>
      </c>
      <c r="B2452" s="3" t="s">
        <v>73</v>
      </c>
      <c r="C2452" s="3" t="s">
        <v>74</v>
      </c>
      <c r="E2452" s="3" t="str">
        <f>"FES1162847177"</f>
        <v>FES1162847177</v>
      </c>
      <c r="F2452" s="4">
        <v>44588</v>
      </c>
      <c r="G2452" s="3">
        <v>202207</v>
      </c>
      <c r="H2452" s="3" t="s">
        <v>75</v>
      </c>
      <c r="I2452" s="3" t="s">
        <v>76</v>
      </c>
      <c r="J2452" s="3" t="s">
        <v>77</v>
      </c>
      <c r="K2452" s="3" t="s">
        <v>78</v>
      </c>
      <c r="L2452" s="3" t="s">
        <v>110</v>
      </c>
      <c r="M2452" s="3" t="s">
        <v>110</v>
      </c>
      <c r="N2452" s="3" t="s">
        <v>1325</v>
      </c>
      <c r="O2452" s="3" t="s">
        <v>82</v>
      </c>
      <c r="P2452" s="3" t="str">
        <f>"2170814864                    "</f>
        <v xml:space="preserve">2170814864                    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43.47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0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3">
        <v>0</v>
      </c>
      <c r="AY2452" s="3">
        <v>0</v>
      </c>
      <c r="AZ2452" s="3">
        <v>0</v>
      </c>
      <c r="BA2452" s="3">
        <v>0</v>
      </c>
      <c r="BB2452" s="3">
        <v>0</v>
      </c>
      <c r="BC2452" s="3">
        <v>0</v>
      </c>
      <c r="BD2452" s="3">
        <v>0</v>
      </c>
      <c r="BE2452" s="3">
        <v>0</v>
      </c>
      <c r="BF2452" s="3">
        <v>0</v>
      </c>
      <c r="BG2452" s="3">
        <v>0</v>
      </c>
      <c r="BH2452" s="3">
        <v>1</v>
      </c>
      <c r="BI2452" s="3">
        <v>3</v>
      </c>
      <c r="BJ2452" s="3">
        <v>1.4</v>
      </c>
      <c r="BK2452" s="3">
        <v>3</v>
      </c>
      <c r="BL2452" s="3">
        <v>165.93</v>
      </c>
      <c r="BM2452" s="3">
        <v>24.89</v>
      </c>
      <c r="BN2452" s="3">
        <v>190.82</v>
      </c>
      <c r="BO2452" s="3">
        <v>190.82</v>
      </c>
      <c r="BQ2452" s="3" t="s">
        <v>83</v>
      </c>
      <c r="BR2452" s="3" t="s">
        <v>84</v>
      </c>
      <c r="BS2452" s="4">
        <v>44589</v>
      </c>
      <c r="BT2452" s="5">
        <v>0.56944444444444442</v>
      </c>
      <c r="BU2452" s="3" t="s">
        <v>1326</v>
      </c>
      <c r="BV2452" s="3" t="s">
        <v>87</v>
      </c>
      <c r="BW2452" s="3" t="s">
        <v>457</v>
      </c>
      <c r="BX2452" s="3" t="s">
        <v>602</v>
      </c>
      <c r="BY2452" s="3">
        <v>7200</v>
      </c>
      <c r="BZ2452" s="3" t="s">
        <v>165</v>
      </c>
      <c r="CA2452" s="3" t="s">
        <v>563</v>
      </c>
      <c r="CC2452" s="3" t="s">
        <v>110</v>
      </c>
      <c r="CD2452" s="3">
        <v>7646</v>
      </c>
      <c r="CE2452" s="3" t="s">
        <v>86</v>
      </c>
      <c r="CI2452" s="3">
        <v>1</v>
      </c>
      <c r="CJ2452" s="3">
        <v>1</v>
      </c>
      <c r="CK2452" s="3">
        <v>23</v>
      </c>
      <c r="CL2452" s="3" t="s">
        <v>87</v>
      </c>
    </row>
    <row r="2453" spans="1:90" x14ac:dyDescent="0.2">
      <c r="A2453" s="3" t="s">
        <v>72</v>
      </c>
      <c r="B2453" s="3" t="s">
        <v>73</v>
      </c>
      <c r="C2453" s="3" t="s">
        <v>74</v>
      </c>
      <c r="E2453" s="3" t="str">
        <f>"FES1162847261"</f>
        <v>FES1162847261</v>
      </c>
      <c r="F2453" s="4">
        <v>44588</v>
      </c>
      <c r="G2453" s="3">
        <v>202207</v>
      </c>
      <c r="H2453" s="3" t="s">
        <v>75</v>
      </c>
      <c r="I2453" s="3" t="s">
        <v>76</v>
      </c>
      <c r="J2453" s="3" t="s">
        <v>77</v>
      </c>
      <c r="K2453" s="3" t="s">
        <v>78</v>
      </c>
      <c r="L2453" s="3" t="s">
        <v>97</v>
      </c>
      <c r="M2453" s="3" t="s">
        <v>98</v>
      </c>
      <c r="N2453" s="3" t="s">
        <v>2437</v>
      </c>
      <c r="O2453" s="3" t="s">
        <v>82</v>
      </c>
      <c r="P2453" s="3" t="str">
        <f>"2170803054                    "</f>
        <v xml:space="preserve">2170803054                    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16.420000000000002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15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3">
        <v>0</v>
      </c>
      <c r="AY2453" s="3">
        <v>0</v>
      </c>
      <c r="AZ2453" s="3">
        <v>0</v>
      </c>
      <c r="BA2453" s="3">
        <v>0</v>
      </c>
      <c r="BB2453" s="3">
        <v>0</v>
      </c>
      <c r="BC2453" s="3">
        <v>0</v>
      </c>
      <c r="BD2453" s="3">
        <v>0</v>
      </c>
      <c r="BE2453" s="3">
        <v>0</v>
      </c>
      <c r="BF2453" s="3">
        <v>0</v>
      </c>
      <c r="BG2453" s="3">
        <v>0</v>
      </c>
      <c r="BH2453" s="3">
        <v>1</v>
      </c>
      <c r="BI2453" s="3">
        <v>4</v>
      </c>
      <c r="BJ2453" s="3">
        <v>9.1</v>
      </c>
      <c r="BK2453" s="3">
        <v>9.5</v>
      </c>
      <c r="BL2453" s="3">
        <v>77.67</v>
      </c>
      <c r="BM2453" s="3">
        <v>11.65</v>
      </c>
      <c r="BN2453" s="3">
        <v>89.32</v>
      </c>
      <c r="BO2453" s="3">
        <v>89.32</v>
      </c>
      <c r="BR2453" s="3" t="s">
        <v>84</v>
      </c>
      <c r="BS2453" s="4">
        <v>44589</v>
      </c>
      <c r="BT2453" s="5">
        <v>0.4236111111111111</v>
      </c>
      <c r="BU2453" s="3" t="s">
        <v>1090</v>
      </c>
      <c r="BV2453" s="3" t="s">
        <v>105</v>
      </c>
      <c r="BY2453" s="3">
        <v>45632</v>
      </c>
      <c r="BZ2453" s="3" t="s">
        <v>446</v>
      </c>
      <c r="CA2453" s="3" t="s">
        <v>345</v>
      </c>
      <c r="CC2453" s="3" t="s">
        <v>98</v>
      </c>
      <c r="CD2453" s="3">
        <v>2087</v>
      </c>
      <c r="CE2453" s="3" t="s">
        <v>86</v>
      </c>
      <c r="CF2453" s="4">
        <v>44590</v>
      </c>
      <c r="CI2453" s="3">
        <v>1</v>
      </c>
      <c r="CJ2453" s="3">
        <v>1</v>
      </c>
      <c r="CK2453" s="3">
        <v>22</v>
      </c>
      <c r="CL2453" s="3" t="s">
        <v>87</v>
      </c>
    </row>
    <row r="2454" spans="1:90" x14ac:dyDescent="0.2">
      <c r="A2454" s="3" t="s">
        <v>72</v>
      </c>
      <c r="B2454" s="3" t="s">
        <v>73</v>
      </c>
      <c r="C2454" s="3" t="s">
        <v>74</v>
      </c>
      <c r="E2454" s="3" t="str">
        <f>"FES1162847343"</f>
        <v>FES1162847343</v>
      </c>
      <c r="F2454" s="4">
        <v>44588</v>
      </c>
      <c r="G2454" s="3">
        <v>202207</v>
      </c>
      <c r="H2454" s="3" t="s">
        <v>75</v>
      </c>
      <c r="I2454" s="3" t="s">
        <v>76</v>
      </c>
      <c r="J2454" s="3" t="s">
        <v>77</v>
      </c>
      <c r="K2454" s="3" t="s">
        <v>78</v>
      </c>
      <c r="L2454" s="3" t="s">
        <v>75</v>
      </c>
      <c r="M2454" s="3" t="s">
        <v>76</v>
      </c>
      <c r="N2454" s="3" t="s">
        <v>459</v>
      </c>
      <c r="O2454" s="3" t="s">
        <v>82</v>
      </c>
      <c r="P2454" s="3" t="str">
        <f>"2170818591                    "</f>
        <v xml:space="preserve">2170818591                    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12.07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0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3">
        <v>0</v>
      </c>
      <c r="AY2454" s="3">
        <v>0</v>
      </c>
      <c r="AZ2454" s="3">
        <v>0</v>
      </c>
      <c r="BA2454" s="3">
        <v>0</v>
      </c>
      <c r="BB2454" s="3">
        <v>0</v>
      </c>
      <c r="BC2454" s="3">
        <v>0</v>
      </c>
      <c r="BD2454" s="3">
        <v>0</v>
      </c>
      <c r="BE2454" s="3">
        <v>0</v>
      </c>
      <c r="BF2454" s="3">
        <v>0</v>
      </c>
      <c r="BG2454" s="3">
        <v>0</v>
      </c>
      <c r="BH2454" s="3">
        <v>1</v>
      </c>
      <c r="BI2454" s="3">
        <v>1</v>
      </c>
      <c r="BJ2454" s="3">
        <v>0.2</v>
      </c>
      <c r="BK2454" s="3">
        <v>1</v>
      </c>
      <c r="BL2454" s="3">
        <v>46.08</v>
      </c>
      <c r="BM2454" s="3">
        <v>6.91</v>
      </c>
      <c r="BN2454" s="3">
        <v>52.99</v>
      </c>
      <c r="BO2454" s="3">
        <v>52.99</v>
      </c>
      <c r="BQ2454" s="3" t="s">
        <v>83</v>
      </c>
      <c r="BR2454" s="3" t="s">
        <v>84</v>
      </c>
      <c r="BS2454" s="4">
        <v>44592</v>
      </c>
      <c r="BT2454" s="5">
        <v>0.33958333333333335</v>
      </c>
      <c r="BU2454" s="3" t="s">
        <v>2438</v>
      </c>
      <c r="BV2454" s="3" t="s">
        <v>87</v>
      </c>
      <c r="BW2454" s="3" t="s">
        <v>376</v>
      </c>
      <c r="BX2454" s="3" t="s">
        <v>758</v>
      </c>
      <c r="BY2454" s="3">
        <v>1200</v>
      </c>
      <c r="BZ2454" s="3" t="s">
        <v>165</v>
      </c>
      <c r="CA2454" s="3" t="s">
        <v>2439</v>
      </c>
      <c r="CC2454" s="3" t="s">
        <v>76</v>
      </c>
      <c r="CD2454" s="3">
        <v>1686</v>
      </c>
      <c r="CE2454" s="3" t="s">
        <v>86</v>
      </c>
      <c r="CI2454" s="3">
        <v>1</v>
      </c>
      <c r="CJ2454" s="3">
        <v>2</v>
      </c>
      <c r="CK2454" s="3">
        <v>22</v>
      </c>
      <c r="CL2454" s="3" t="s">
        <v>87</v>
      </c>
    </row>
    <row r="2455" spans="1:90" x14ac:dyDescent="0.2">
      <c r="A2455" s="3" t="s">
        <v>72</v>
      </c>
      <c r="B2455" s="3" t="s">
        <v>73</v>
      </c>
      <c r="C2455" s="3" t="s">
        <v>74</v>
      </c>
      <c r="E2455" s="3" t="str">
        <f>"FES1162847345"</f>
        <v>FES1162847345</v>
      </c>
      <c r="F2455" s="4">
        <v>44588</v>
      </c>
      <c r="G2455" s="3">
        <v>202207</v>
      </c>
      <c r="H2455" s="3" t="s">
        <v>75</v>
      </c>
      <c r="I2455" s="3" t="s">
        <v>76</v>
      </c>
      <c r="J2455" s="3" t="s">
        <v>77</v>
      </c>
      <c r="K2455" s="3" t="s">
        <v>78</v>
      </c>
      <c r="L2455" s="3" t="s">
        <v>258</v>
      </c>
      <c r="M2455" s="3" t="s">
        <v>259</v>
      </c>
      <c r="N2455" s="3" t="s">
        <v>2431</v>
      </c>
      <c r="O2455" s="3" t="s">
        <v>82</v>
      </c>
      <c r="P2455" s="3" t="str">
        <f>"2170818593                    "</f>
        <v xml:space="preserve">2170818593                    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58.79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0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3">
        <v>0</v>
      </c>
      <c r="AY2455" s="3">
        <v>0</v>
      </c>
      <c r="AZ2455" s="3">
        <v>0</v>
      </c>
      <c r="BA2455" s="3">
        <v>0</v>
      </c>
      <c r="BB2455" s="3">
        <v>0</v>
      </c>
      <c r="BC2455" s="3">
        <v>0</v>
      </c>
      <c r="BD2455" s="3">
        <v>0</v>
      </c>
      <c r="BE2455" s="3">
        <v>0</v>
      </c>
      <c r="BF2455" s="3">
        <v>0</v>
      </c>
      <c r="BG2455" s="3">
        <v>0</v>
      </c>
      <c r="BH2455" s="3">
        <v>1</v>
      </c>
      <c r="BI2455" s="3">
        <v>4</v>
      </c>
      <c r="BJ2455" s="3">
        <v>5.0999999999999996</v>
      </c>
      <c r="BK2455" s="3">
        <v>5.5</v>
      </c>
      <c r="BL2455" s="3">
        <v>224.4</v>
      </c>
      <c r="BM2455" s="3">
        <v>33.659999999999997</v>
      </c>
      <c r="BN2455" s="3">
        <v>258.06</v>
      </c>
      <c r="BO2455" s="3">
        <v>258.06</v>
      </c>
      <c r="BR2455" s="3" t="s">
        <v>84</v>
      </c>
      <c r="BS2455" s="3" t="s">
        <v>85</v>
      </c>
      <c r="BW2455" s="3" t="s">
        <v>376</v>
      </c>
      <c r="BX2455" s="3" t="s">
        <v>758</v>
      </c>
      <c r="BY2455" s="3">
        <v>25600</v>
      </c>
      <c r="BZ2455" s="3" t="s">
        <v>165</v>
      </c>
      <c r="CC2455" s="3" t="s">
        <v>259</v>
      </c>
      <c r="CD2455" s="3">
        <v>2302</v>
      </c>
      <c r="CE2455" s="3" t="s">
        <v>86</v>
      </c>
      <c r="CI2455" s="3">
        <v>1</v>
      </c>
      <c r="CJ2455" s="3" t="s">
        <v>85</v>
      </c>
      <c r="CK2455" s="3">
        <v>24</v>
      </c>
      <c r="CL2455" s="3" t="s">
        <v>87</v>
      </c>
    </row>
    <row r="2456" spans="1:90" x14ac:dyDescent="0.2">
      <c r="A2456" s="3" t="s">
        <v>72</v>
      </c>
      <c r="B2456" s="3" t="s">
        <v>73</v>
      </c>
      <c r="C2456" s="3" t="s">
        <v>74</v>
      </c>
      <c r="E2456" s="3" t="str">
        <f>"FES1162847291"</f>
        <v>FES1162847291</v>
      </c>
      <c r="F2456" s="4">
        <v>44588</v>
      </c>
      <c r="G2456" s="3">
        <v>202207</v>
      </c>
      <c r="H2456" s="3" t="s">
        <v>75</v>
      </c>
      <c r="I2456" s="3" t="s">
        <v>76</v>
      </c>
      <c r="J2456" s="3" t="s">
        <v>77</v>
      </c>
      <c r="K2456" s="3" t="s">
        <v>78</v>
      </c>
      <c r="L2456" s="3" t="s">
        <v>94</v>
      </c>
      <c r="M2456" s="3" t="s">
        <v>95</v>
      </c>
      <c r="N2456" s="3" t="s">
        <v>179</v>
      </c>
      <c r="O2456" s="3" t="s">
        <v>82</v>
      </c>
      <c r="P2456" s="3" t="str">
        <f>"2170817064                    "</f>
        <v xml:space="preserve">2170817064                    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15.46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0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3">
        <v>0</v>
      </c>
      <c r="AY2456" s="3">
        <v>0</v>
      </c>
      <c r="AZ2456" s="3">
        <v>0</v>
      </c>
      <c r="BA2456" s="3">
        <v>0</v>
      </c>
      <c r="BB2456" s="3">
        <v>0</v>
      </c>
      <c r="BC2456" s="3">
        <v>0</v>
      </c>
      <c r="BD2456" s="3">
        <v>0</v>
      </c>
      <c r="BE2456" s="3">
        <v>0</v>
      </c>
      <c r="BF2456" s="3">
        <v>0</v>
      </c>
      <c r="BG2456" s="3">
        <v>0</v>
      </c>
      <c r="BH2456" s="3">
        <v>1</v>
      </c>
      <c r="BI2456" s="3">
        <v>1</v>
      </c>
      <c r="BJ2456" s="3">
        <v>0.2</v>
      </c>
      <c r="BK2456" s="3">
        <v>1</v>
      </c>
      <c r="BL2456" s="3">
        <v>59</v>
      </c>
      <c r="BM2456" s="3">
        <v>8.85</v>
      </c>
      <c r="BN2456" s="3">
        <v>67.849999999999994</v>
      </c>
      <c r="BO2456" s="3">
        <v>67.849999999999994</v>
      </c>
      <c r="BQ2456" s="3" t="s">
        <v>83</v>
      </c>
      <c r="BR2456" s="3" t="s">
        <v>84</v>
      </c>
      <c r="BS2456" s="4">
        <v>44589</v>
      </c>
      <c r="BT2456" s="5">
        <v>0.4375</v>
      </c>
      <c r="BU2456" s="3" t="s">
        <v>1480</v>
      </c>
      <c r="BV2456" s="3" t="s">
        <v>105</v>
      </c>
      <c r="BY2456" s="3">
        <v>1200</v>
      </c>
      <c r="BZ2456" s="3" t="s">
        <v>165</v>
      </c>
      <c r="CC2456" s="3" t="s">
        <v>95</v>
      </c>
      <c r="CD2456" s="3">
        <v>3201</v>
      </c>
      <c r="CE2456" s="3" t="s">
        <v>93</v>
      </c>
      <c r="CI2456" s="3">
        <v>1</v>
      </c>
      <c r="CJ2456" s="3">
        <v>1</v>
      </c>
      <c r="CK2456" s="3">
        <v>21</v>
      </c>
      <c r="CL2456" s="3" t="s">
        <v>87</v>
      </c>
    </row>
    <row r="2457" spans="1:90" x14ac:dyDescent="0.2">
      <c r="A2457" s="3" t="s">
        <v>72</v>
      </c>
      <c r="B2457" s="3" t="s">
        <v>73</v>
      </c>
      <c r="C2457" s="3" t="s">
        <v>74</v>
      </c>
      <c r="E2457" s="3" t="str">
        <f>"009942045137"</f>
        <v>009942045137</v>
      </c>
      <c r="F2457" s="4">
        <v>44588</v>
      </c>
      <c r="G2457" s="3">
        <v>202207</v>
      </c>
      <c r="H2457" s="3" t="s">
        <v>75</v>
      </c>
      <c r="I2457" s="3" t="s">
        <v>76</v>
      </c>
      <c r="J2457" s="3" t="s">
        <v>77</v>
      </c>
      <c r="K2457" s="3" t="s">
        <v>78</v>
      </c>
      <c r="L2457" s="3" t="s">
        <v>244</v>
      </c>
      <c r="M2457" s="3" t="s">
        <v>245</v>
      </c>
      <c r="N2457" s="3" t="s">
        <v>400</v>
      </c>
      <c r="O2457" s="3" t="s">
        <v>82</v>
      </c>
      <c r="P2457" s="3" t="str">
        <f>"1162841998                    "</f>
        <v xml:space="preserve">1162841998                    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29.95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0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3">
        <v>0</v>
      </c>
      <c r="AY2457" s="3">
        <v>0</v>
      </c>
      <c r="AZ2457" s="3">
        <v>0</v>
      </c>
      <c r="BA2457" s="3">
        <v>0</v>
      </c>
      <c r="BB2457" s="3">
        <v>0</v>
      </c>
      <c r="BC2457" s="3">
        <v>0</v>
      </c>
      <c r="BD2457" s="3">
        <v>0</v>
      </c>
      <c r="BE2457" s="3">
        <v>0</v>
      </c>
      <c r="BF2457" s="3">
        <v>0</v>
      </c>
      <c r="BG2457" s="3">
        <v>0</v>
      </c>
      <c r="BH2457" s="3">
        <v>1</v>
      </c>
      <c r="BI2457" s="3">
        <v>1</v>
      </c>
      <c r="BJ2457" s="3">
        <v>0.2</v>
      </c>
      <c r="BK2457" s="3">
        <v>1</v>
      </c>
      <c r="BL2457" s="3">
        <v>114.31</v>
      </c>
      <c r="BM2457" s="3">
        <v>17.149999999999999</v>
      </c>
      <c r="BN2457" s="3">
        <v>131.46</v>
      </c>
      <c r="BO2457" s="3">
        <v>131.46</v>
      </c>
      <c r="BP2457" s="3" t="s">
        <v>899</v>
      </c>
      <c r="BQ2457" s="3" t="s">
        <v>83</v>
      </c>
      <c r="BR2457" s="3" t="s">
        <v>84</v>
      </c>
      <c r="BS2457" s="4">
        <v>44589</v>
      </c>
      <c r="BT2457" s="5">
        <v>0.43611111111111112</v>
      </c>
      <c r="BU2457" s="3" t="s">
        <v>2390</v>
      </c>
      <c r="BV2457" s="3" t="s">
        <v>105</v>
      </c>
      <c r="BY2457" s="3">
        <v>1200</v>
      </c>
      <c r="BZ2457" s="3" t="s">
        <v>165</v>
      </c>
      <c r="CA2457" s="3" t="s">
        <v>402</v>
      </c>
      <c r="CC2457" s="3" t="s">
        <v>245</v>
      </c>
      <c r="CD2457" s="3">
        <v>1947</v>
      </c>
      <c r="CE2457" s="3" t="s">
        <v>86</v>
      </c>
      <c r="CI2457" s="3">
        <v>1</v>
      </c>
      <c r="CJ2457" s="3">
        <v>1</v>
      </c>
      <c r="CK2457" s="3">
        <v>23</v>
      </c>
      <c r="CL2457" s="3" t="s">
        <v>87</v>
      </c>
    </row>
    <row r="2458" spans="1:90" x14ac:dyDescent="0.2">
      <c r="A2458" s="3" t="s">
        <v>72</v>
      </c>
      <c r="B2458" s="3" t="s">
        <v>73</v>
      </c>
      <c r="C2458" s="3" t="s">
        <v>74</v>
      </c>
      <c r="E2458" s="3" t="str">
        <f>"FES1162847258"</f>
        <v>FES1162847258</v>
      </c>
      <c r="F2458" s="4">
        <v>44588</v>
      </c>
      <c r="G2458" s="3">
        <v>202207</v>
      </c>
      <c r="H2458" s="3" t="s">
        <v>75</v>
      </c>
      <c r="I2458" s="3" t="s">
        <v>76</v>
      </c>
      <c r="J2458" s="3" t="s">
        <v>77</v>
      </c>
      <c r="K2458" s="3" t="s">
        <v>78</v>
      </c>
      <c r="L2458" s="3" t="s">
        <v>171</v>
      </c>
      <c r="M2458" s="3" t="s">
        <v>172</v>
      </c>
      <c r="N2458" s="3" t="s">
        <v>329</v>
      </c>
      <c r="O2458" s="3" t="s">
        <v>82</v>
      </c>
      <c r="P2458" s="3" t="str">
        <f>"2170797763                    "</f>
        <v xml:space="preserve">2170797763                    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15.46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0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3">
        <v>0</v>
      </c>
      <c r="AY2458" s="3">
        <v>0</v>
      </c>
      <c r="AZ2458" s="3">
        <v>0</v>
      </c>
      <c r="BA2458" s="3">
        <v>0</v>
      </c>
      <c r="BB2458" s="3">
        <v>0</v>
      </c>
      <c r="BC2458" s="3">
        <v>0</v>
      </c>
      <c r="BD2458" s="3">
        <v>0</v>
      </c>
      <c r="BE2458" s="3">
        <v>0</v>
      </c>
      <c r="BF2458" s="3">
        <v>0</v>
      </c>
      <c r="BG2458" s="3">
        <v>0</v>
      </c>
      <c r="BH2458" s="3">
        <v>1</v>
      </c>
      <c r="BI2458" s="3">
        <v>1</v>
      </c>
      <c r="BJ2458" s="3">
        <v>0.2</v>
      </c>
      <c r="BK2458" s="3">
        <v>1</v>
      </c>
      <c r="BL2458" s="3">
        <v>59</v>
      </c>
      <c r="BM2458" s="3">
        <v>8.85</v>
      </c>
      <c r="BN2458" s="3">
        <v>67.849999999999994</v>
      </c>
      <c r="BO2458" s="3">
        <v>67.849999999999994</v>
      </c>
      <c r="BQ2458" s="3" t="s">
        <v>83</v>
      </c>
      <c r="BR2458" s="3" t="s">
        <v>84</v>
      </c>
      <c r="BS2458" s="4">
        <v>44589</v>
      </c>
      <c r="BT2458" s="5">
        <v>0.31111111111111112</v>
      </c>
      <c r="BU2458" s="3" t="s">
        <v>330</v>
      </c>
      <c r="BV2458" s="3" t="s">
        <v>105</v>
      </c>
      <c r="BY2458" s="3">
        <v>1200</v>
      </c>
      <c r="BZ2458" s="3" t="s">
        <v>165</v>
      </c>
      <c r="CA2458" s="3" t="s">
        <v>331</v>
      </c>
      <c r="CC2458" s="3" t="s">
        <v>172</v>
      </c>
      <c r="CD2458" s="3">
        <v>6001</v>
      </c>
      <c r="CE2458" s="3" t="s">
        <v>93</v>
      </c>
      <c r="CF2458" s="4">
        <v>44589</v>
      </c>
      <c r="CI2458" s="3">
        <v>1</v>
      </c>
      <c r="CJ2458" s="3">
        <v>1</v>
      </c>
      <c r="CK2458" s="3">
        <v>21</v>
      </c>
      <c r="CL2458" s="3" t="s">
        <v>87</v>
      </c>
    </row>
    <row r="2459" spans="1:90" x14ac:dyDescent="0.2">
      <c r="A2459" s="3" t="s">
        <v>72</v>
      </c>
      <c r="B2459" s="3" t="s">
        <v>73</v>
      </c>
      <c r="C2459" s="3" t="s">
        <v>74</v>
      </c>
      <c r="E2459" s="3" t="str">
        <f>"FES1162847333"</f>
        <v>FES1162847333</v>
      </c>
      <c r="F2459" s="4">
        <v>44588</v>
      </c>
      <c r="G2459" s="3">
        <v>202207</v>
      </c>
      <c r="H2459" s="3" t="s">
        <v>75</v>
      </c>
      <c r="I2459" s="3" t="s">
        <v>76</v>
      </c>
      <c r="J2459" s="3" t="s">
        <v>77</v>
      </c>
      <c r="K2459" s="3" t="s">
        <v>78</v>
      </c>
      <c r="L2459" s="3" t="s">
        <v>184</v>
      </c>
      <c r="M2459" s="3" t="s">
        <v>185</v>
      </c>
      <c r="N2459" s="3" t="s">
        <v>186</v>
      </c>
      <c r="O2459" s="3" t="s">
        <v>82</v>
      </c>
      <c r="P2459" s="3" t="str">
        <f>"2170818579                    "</f>
        <v xml:space="preserve">2170818579                    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15.46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0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3">
        <v>0</v>
      </c>
      <c r="AY2459" s="3">
        <v>0</v>
      </c>
      <c r="AZ2459" s="3">
        <v>0</v>
      </c>
      <c r="BA2459" s="3">
        <v>0</v>
      </c>
      <c r="BB2459" s="3">
        <v>0</v>
      </c>
      <c r="BC2459" s="3">
        <v>0</v>
      </c>
      <c r="BD2459" s="3">
        <v>0</v>
      </c>
      <c r="BE2459" s="3">
        <v>0</v>
      </c>
      <c r="BF2459" s="3">
        <v>0</v>
      </c>
      <c r="BG2459" s="3">
        <v>0</v>
      </c>
      <c r="BH2459" s="3">
        <v>1</v>
      </c>
      <c r="BI2459" s="3">
        <v>1</v>
      </c>
      <c r="BJ2459" s="3">
        <v>0.2</v>
      </c>
      <c r="BK2459" s="3">
        <v>1</v>
      </c>
      <c r="BL2459" s="3">
        <v>59</v>
      </c>
      <c r="BM2459" s="3">
        <v>8.85</v>
      </c>
      <c r="BN2459" s="3">
        <v>67.849999999999994</v>
      </c>
      <c r="BO2459" s="3">
        <v>67.849999999999994</v>
      </c>
      <c r="BQ2459" s="3" t="s">
        <v>83</v>
      </c>
      <c r="BR2459" s="3" t="s">
        <v>84</v>
      </c>
      <c r="BS2459" s="4">
        <v>44589</v>
      </c>
      <c r="BT2459" s="5">
        <v>0.56180555555555556</v>
      </c>
      <c r="BU2459" s="3" t="s">
        <v>2189</v>
      </c>
      <c r="BV2459" s="3" t="s">
        <v>87</v>
      </c>
      <c r="BW2459" s="3" t="s">
        <v>353</v>
      </c>
      <c r="BX2459" s="3" t="s">
        <v>648</v>
      </c>
      <c r="BY2459" s="3">
        <v>1200</v>
      </c>
      <c r="BZ2459" s="3" t="s">
        <v>165</v>
      </c>
      <c r="CA2459" s="3" t="s">
        <v>1681</v>
      </c>
      <c r="CC2459" s="3" t="s">
        <v>185</v>
      </c>
      <c r="CD2459" s="3">
        <v>5201</v>
      </c>
      <c r="CE2459" s="3" t="s">
        <v>93</v>
      </c>
      <c r="CF2459" s="4">
        <v>44589</v>
      </c>
      <c r="CI2459" s="3">
        <v>1</v>
      </c>
      <c r="CJ2459" s="3">
        <v>1</v>
      </c>
      <c r="CK2459" s="3">
        <v>21</v>
      </c>
      <c r="CL2459" s="3" t="s">
        <v>87</v>
      </c>
    </row>
    <row r="2460" spans="1:90" x14ac:dyDescent="0.2">
      <c r="A2460" s="3" t="s">
        <v>72</v>
      </c>
      <c r="B2460" s="3" t="s">
        <v>73</v>
      </c>
      <c r="C2460" s="3" t="s">
        <v>74</v>
      </c>
      <c r="E2460" s="3" t="str">
        <f>"FES1162847213"</f>
        <v>FES1162847213</v>
      </c>
      <c r="F2460" s="4">
        <v>44588</v>
      </c>
      <c r="G2460" s="3">
        <v>202207</v>
      </c>
      <c r="H2460" s="3" t="s">
        <v>75</v>
      </c>
      <c r="I2460" s="3" t="s">
        <v>76</v>
      </c>
      <c r="J2460" s="3" t="s">
        <v>77</v>
      </c>
      <c r="K2460" s="3" t="s">
        <v>78</v>
      </c>
      <c r="L2460" s="3" t="s">
        <v>464</v>
      </c>
      <c r="M2460" s="3" t="s">
        <v>465</v>
      </c>
      <c r="N2460" s="3" t="s">
        <v>2364</v>
      </c>
      <c r="O2460" s="3" t="s">
        <v>82</v>
      </c>
      <c r="P2460" s="3" t="str">
        <f>"2170817291                    "</f>
        <v xml:space="preserve">2170817291                    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12.07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0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3">
        <v>0</v>
      </c>
      <c r="AY2460" s="3">
        <v>0</v>
      </c>
      <c r="AZ2460" s="3">
        <v>0</v>
      </c>
      <c r="BA2460" s="3">
        <v>0</v>
      </c>
      <c r="BB2460" s="3">
        <v>0</v>
      </c>
      <c r="BC2460" s="3">
        <v>0</v>
      </c>
      <c r="BD2460" s="3">
        <v>0</v>
      </c>
      <c r="BE2460" s="3">
        <v>0</v>
      </c>
      <c r="BF2460" s="3">
        <v>0</v>
      </c>
      <c r="BG2460" s="3">
        <v>0</v>
      </c>
      <c r="BH2460" s="3">
        <v>1</v>
      </c>
      <c r="BI2460" s="3">
        <v>4</v>
      </c>
      <c r="BJ2460" s="3">
        <v>2.5</v>
      </c>
      <c r="BK2460" s="3">
        <v>4</v>
      </c>
      <c r="BL2460" s="3">
        <v>46.08</v>
      </c>
      <c r="BM2460" s="3">
        <v>6.91</v>
      </c>
      <c r="BN2460" s="3">
        <v>52.99</v>
      </c>
      <c r="BO2460" s="3">
        <v>52.99</v>
      </c>
      <c r="BR2460" s="3" t="s">
        <v>84</v>
      </c>
      <c r="BS2460" s="4">
        <v>44589</v>
      </c>
      <c r="BT2460" s="5">
        <v>0.38750000000000001</v>
      </c>
      <c r="BU2460" s="3" t="s">
        <v>2440</v>
      </c>
      <c r="BV2460" s="3" t="s">
        <v>105</v>
      </c>
      <c r="BY2460" s="3">
        <v>12672</v>
      </c>
      <c r="BZ2460" s="3" t="s">
        <v>165</v>
      </c>
      <c r="CA2460" s="3" t="s">
        <v>1684</v>
      </c>
      <c r="CC2460" s="3" t="s">
        <v>465</v>
      </c>
      <c r="CD2460" s="3">
        <v>1501</v>
      </c>
      <c r="CE2460" s="3" t="s">
        <v>86</v>
      </c>
      <c r="CI2460" s="3">
        <v>1</v>
      </c>
      <c r="CJ2460" s="3">
        <v>1</v>
      </c>
      <c r="CK2460" s="3">
        <v>22</v>
      </c>
      <c r="CL2460" s="3" t="s">
        <v>87</v>
      </c>
    </row>
    <row r="2461" spans="1:90" x14ac:dyDescent="0.2">
      <c r="A2461" s="3" t="s">
        <v>72</v>
      </c>
      <c r="B2461" s="3" t="s">
        <v>73</v>
      </c>
      <c r="C2461" s="3" t="s">
        <v>74</v>
      </c>
      <c r="E2461" s="3" t="str">
        <f>"FES1162847187"</f>
        <v>FES1162847187</v>
      </c>
      <c r="F2461" s="4">
        <v>44588</v>
      </c>
      <c r="G2461" s="3">
        <v>202207</v>
      </c>
      <c r="H2461" s="3" t="s">
        <v>75</v>
      </c>
      <c r="I2461" s="3" t="s">
        <v>76</v>
      </c>
      <c r="J2461" s="3" t="s">
        <v>77</v>
      </c>
      <c r="K2461" s="3" t="s">
        <v>78</v>
      </c>
      <c r="L2461" s="3" t="s">
        <v>716</v>
      </c>
      <c r="M2461" s="3" t="s">
        <v>717</v>
      </c>
      <c r="N2461" s="3" t="s">
        <v>2441</v>
      </c>
      <c r="O2461" s="3" t="s">
        <v>82</v>
      </c>
      <c r="P2461" s="3" t="str">
        <f>"2170817209                    "</f>
        <v xml:space="preserve">2170817209                    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29.95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0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3">
        <v>0</v>
      </c>
      <c r="AY2461" s="3">
        <v>0</v>
      </c>
      <c r="AZ2461" s="3">
        <v>0</v>
      </c>
      <c r="BA2461" s="3">
        <v>0</v>
      </c>
      <c r="BB2461" s="3">
        <v>0</v>
      </c>
      <c r="BC2461" s="3">
        <v>0</v>
      </c>
      <c r="BD2461" s="3">
        <v>0</v>
      </c>
      <c r="BE2461" s="3">
        <v>0</v>
      </c>
      <c r="BF2461" s="3">
        <v>0</v>
      </c>
      <c r="BG2461" s="3">
        <v>0</v>
      </c>
      <c r="BH2461" s="3">
        <v>1</v>
      </c>
      <c r="BI2461" s="3">
        <v>1</v>
      </c>
      <c r="BJ2461" s="3">
        <v>0.2</v>
      </c>
      <c r="BK2461" s="3">
        <v>1</v>
      </c>
      <c r="BL2461" s="3">
        <v>114.31</v>
      </c>
      <c r="BM2461" s="3">
        <v>17.149999999999999</v>
      </c>
      <c r="BN2461" s="3">
        <v>131.46</v>
      </c>
      <c r="BO2461" s="3">
        <v>131.46</v>
      </c>
      <c r="BQ2461" s="3" t="s">
        <v>2442</v>
      </c>
      <c r="BR2461" s="3" t="s">
        <v>84</v>
      </c>
      <c r="BS2461" s="4">
        <v>44589</v>
      </c>
      <c r="BT2461" s="5">
        <v>0.51458333333333328</v>
      </c>
      <c r="BU2461" s="3" t="s">
        <v>1143</v>
      </c>
      <c r="BV2461" s="3" t="s">
        <v>105</v>
      </c>
      <c r="BY2461" s="3">
        <v>1200</v>
      </c>
      <c r="BZ2461" s="3" t="s">
        <v>165</v>
      </c>
      <c r="CA2461" s="3" t="s">
        <v>720</v>
      </c>
      <c r="CC2461" s="3" t="s">
        <v>717</v>
      </c>
      <c r="CD2461" s="3">
        <v>1020</v>
      </c>
      <c r="CE2461" s="3" t="s">
        <v>93</v>
      </c>
      <c r="CF2461" s="4">
        <v>44589</v>
      </c>
      <c r="CI2461" s="3">
        <v>1</v>
      </c>
      <c r="CJ2461" s="3">
        <v>1</v>
      </c>
      <c r="CK2461" s="3">
        <v>23</v>
      </c>
      <c r="CL2461" s="3" t="s">
        <v>87</v>
      </c>
    </row>
    <row r="2462" spans="1:90" x14ac:dyDescent="0.2">
      <c r="A2462" s="3" t="s">
        <v>72</v>
      </c>
      <c r="B2462" s="3" t="s">
        <v>73</v>
      </c>
      <c r="C2462" s="3" t="s">
        <v>74</v>
      </c>
      <c r="E2462" s="3" t="str">
        <f>"FES1162847257"</f>
        <v>FES1162847257</v>
      </c>
      <c r="F2462" s="4">
        <v>44588</v>
      </c>
      <c r="G2462" s="3">
        <v>202207</v>
      </c>
      <c r="H2462" s="3" t="s">
        <v>75</v>
      </c>
      <c r="I2462" s="3" t="s">
        <v>76</v>
      </c>
      <c r="J2462" s="3" t="s">
        <v>77</v>
      </c>
      <c r="K2462" s="3" t="s">
        <v>78</v>
      </c>
      <c r="L2462" s="3" t="s">
        <v>187</v>
      </c>
      <c r="M2462" s="3" t="s">
        <v>188</v>
      </c>
      <c r="N2462" s="3" t="s">
        <v>189</v>
      </c>
      <c r="O2462" s="3" t="s">
        <v>82</v>
      </c>
      <c r="P2462" s="3" t="str">
        <f>"2170817031                    "</f>
        <v xml:space="preserve">2170817031                    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29.95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0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3">
        <v>0</v>
      </c>
      <c r="AY2462" s="3">
        <v>0</v>
      </c>
      <c r="AZ2462" s="3">
        <v>0</v>
      </c>
      <c r="BA2462" s="3">
        <v>0</v>
      </c>
      <c r="BB2462" s="3">
        <v>0</v>
      </c>
      <c r="BC2462" s="3">
        <v>0</v>
      </c>
      <c r="BD2462" s="3">
        <v>0</v>
      </c>
      <c r="BE2462" s="3">
        <v>0</v>
      </c>
      <c r="BF2462" s="3">
        <v>0</v>
      </c>
      <c r="BG2462" s="3">
        <v>0</v>
      </c>
      <c r="BH2462" s="3">
        <v>1</v>
      </c>
      <c r="BI2462" s="3">
        <v>1</v>
      </c>
      <c r="BJ2462" s="3">
        <v>0.2</v>
      </c>
      <c r="BK2462" s="3">
        <v>1</v>
      </c>
      <c r="BL2462" s="3">
        <v>114.31</v>
      </c>
      <c r="BM2462" s="3">
        <v>17.149999999999999</v>
      </c>
      <c r="BN2462" s="3">
        <v>131.46</v>
      </c>
      <c r="BO2462" s="3">
        <v>131.46</v>
      </c>
      <c r="BQ2462" s="3" t="s">
        <v>83</v>
      </c>
      <c r="BR2462" s="3" t="s">
        <v>84</v>
      </c>
      <c r="BS2462" s="4">
        <v>44589</v>
      </c>
      <c r="BT2462" s="5">
        <v>0.52916666666666667</v>
      </c>
      <c r="BU2462" s="3" t="s">
        <v>854</v>
      </c>
      <c r="BV2462" s="3" t="s">
        <v>105</v>
      </c>
      <c r="BY2462" s="3">
        <v>1200</v>
      </c>
      <c r="BZ2462" s="3" t="s">
        <v>165</v>
      </c>
      <c r="CA2462" s="3" t="s">
        <v>268</v>
      </c>
      <c r="CC2462" s="3" t="s">
        <v>188</v>
      </c>
      <c r="CD2462" s="3">
        <v>7300</v>
      </c>
      <c r="CE2462" s="3" t="s">
        <v>93</v>
      </c>
      <c r="CI2462" s="3">
        <v>1</v>
      </c>
      <c r="CJ2462" s="3">
        <v>1</v>
      </c>
      <c r="CK2462" s="3">
        <v>23</v>
      </c>
      <c r="CL2462" s="3" t="s">
        <v>87</v>
      </c>
    </row>
    <row r="2463" spans="1:90" x14ac:dyDescent="0.2">
      <c r="A2463" s="3" t="s">
        <v>72</v>
      </c>
      <c r="B2463" s="3" t="s">
        <v>73</v>
      </c>
      <c r="C2463" s="3" t="s">
        <v>74</v>
      </c>
      <c r="E2463" s="3" t="str">
        <f>"FES1162847181"</f>
        <v>FES1162847181</v>
      </c>
      <c r="F2463" s="4">
        <v>44588</v>
      </c>
      <c r="G2463" s="3">
        <v>202207</v>
      </c>
      <c r="H2463" s="3" t="s">
        <v>75</v>
      </c>
      <c r="I2463" s="3" t="s">
        <v>76</v>
      </c>
      <c r="J2463" s="3" t="s">
        <v>77</v>
      </c>
      <c r="K2463" s="3" t="s">
        <v>78</v>
      </c>
      <c r="L2463" s="3" t="s">
        <v>94</v>
      </c>
      <c r="M2463" s="3" t="s">
        <v>95</v>
      </c>
      <c r="N2463" s="3" t="s">
        <v>179</v>
      </c>
      <c r="O2463" s="3" t="s">
        <v>82</v>
      </c>
      <c r="P2463" s="3" t="str">
        <f>"2170817064                    "</f>
        <v xml:space="preserve">2170817064                    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15.46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0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3">
        <v>0</v>
      </c>
      <c r="AY2463" s="3">
        <v>0</v>
      </c>
      <c r="AZ2463" s="3">
        <v>0</v>
      </c>
      <c r="BA2463" s="3">
        <v>0</v>
      </c>
      <c r="BB2463" s="3">
        <v>0</v>
      </c>
      <c r="BC2463" s="3">
        <v>0</v>
      </c>
      <c r="BD2463" s="3">
        <v>0</v>
      </c>
      <c r="BE2463" s="3">
        <v>0</v>
      </c>
      <c r="BF2463" s="3">
        <v>0</v>
      </c>
      <c r="BG2463" s="3">
        <v>0</v>
      </c>
      <c r="BH2463" s="3">
        <v>1</v>
      </c>
      <c r="BI2463" s="3">
        <v>1</v>
      </c>
      <c r="BJ2463" s="3">
        <v>0.2</v>
      </c>
      <c r="BK2463" s="3">
        <v>1</v>
      </c>
      <c r="BL2463" s="3">
        <v>59</v>
      </c>
      <c r="BM2463" s="3">
        <v>8.85</v>
      </c>
      <c r="BN2463" s="3">
        <v>67.849999999999994</v>
      </c>
      <c r="BO2463" s="3">
        <v>67.849999999999994</v>
      </c>
      <c r="BQ2463" s="3" t="s">
        <v>83</v>
      </c>
      <c r="BR2463" s="3" t="s">
        <v>84</v>
      </c>
      <c r="BS2463" s="4">
        <v>44589</v>
      </c>
      <c r="BT2463" s="5">
        <v>0.4375</v>
      </c>
      <c r="BU2463" s="3" t="s">
        <v>1480</v>
      </c>
      <c r="BV2463" s="3" t="s">
        <v>105</v>
      </c>
      <c r="BY2463" s="3">
        <v>1200</v>
      </c>
      <c r="BZ2463" s="3" t="s">
        <v>165</v>
      </c>
      <c r="CC2463" s="3" t="s">
        <v>95</v>
      </c>
      <c r="CD2463" s="3">
        <v>3201</v>
      </c>
      <c r="CE2463" s="3" t="s">
        <v>93</v>
      </c>
      <c r="CI2463" s="3">
        <v>1</v>
      </c>
      <c r="CJ2463" s="3">
        <v>1</v>
      </c>
      <c r="CK2463" s="3">
        <v>21</v>
      </c>
      <c r="CL2463" s="3" t="s">
        <v>87</v>
      </c>
    </row>
    <row r="2464" spans="1:90" x14ac:dyDescent="0.2">
      <c r="A2464" s="3" t="s">
        <v>72</v>
      </c>
      <c r="B2464" s="3" t="s">
        <v>73</v>
      </c>
      <c r="C2464" s="3" t="s">
        <v>74</v>
      </c>
      <c r="E2464" s="3" t="str">
        <f>"FES1162847320"</f>
        <v>FES1162847320</v>
      </c>
      <c r="F2464" s="4">
        <v>44588</v>
      </c>
      <c r="G2464" s="3">
        <v>202207</v>
      </c>
      <c r="H2464" s="3" t="s">
        <v>75</v>
      </c>
      <c r="I2464" s="3" t="s">
        <v>76</v>
      </c>
      <c r="J2464" s="3" t="s">
        <v>77</v>
      </c>
      <c r="K2464" s="3" t="s">
        <v>78</v>
      </c>
      <c r="L2464" s="3" t="s">
        <v>138</v>
      </c>
      <c r="M2464" s="3" t="s">
        <v>139</v>
      </c>
      <c r="N2464" s="3" t="s">
        <v>238</v>
      </c>
      <c r="O2464" s="3" t="s">
        <v>82</v>
      </c>
      <c r="P2464" s="3" t="str">
        <f>"2170818558                    "</f>
        <v xml:space="preserve">2170818558                    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15.46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0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3">
        <v>0</v>
      </c>
      <c r="AY2464" s="3">
        <v>0</v>
      </c>
      <c r="AZ2464" s="3">
        <v>0</v>
      </c>
      <c r="BA2464" s="3">
        <v>0</v>
      </c>
      <c r="BB2464" s="3">
        <v>0</v>
      </c>
      <c r="BC2464" s="3">
        <v>0</v>
      </c>
      <c r="BD2464" s="3">
        <v>0</v>
      </c>
      <c r="BE2464" s="3">
        <v>0</v>
      </c>
      <c r="BF2464" s="3">
        <v>0</v>
      </c>
      <c r="BG2464" s="3">
        <v>0</v>
      </c>
      <c r="BH2464" s="3">
        <v>1</v>
      </c>
      <c r="BI2464" s="3">
        <v>1</v>
      </c>
      <c r="BJ2464" s="3">
        <v>0.2</v>
      </c>
      <c r="BK2464" s="3">
        <v>1</v>
      </c>
      <c r="BL2464" s="3">
        <v>59</v>
      </c>
      <c r="BM2464" s="3">
        <v>8.85</v>
      </c>
      <c r="BN2464" s="3">
        <v>67.849999999999994</v>
      </c>
      <c r="BO2464" s="3">
        <v>67.849999999999994</v>
      </c>
      <c r="BQ2464" s="3" t="s">
        <v>89</v>
      </c>
      <c r="BR2464" s="3" t="s">
        <v>84</v>
      </c>
      <c r="BS2464" s="4">
        <v>44589</v>
      </c>
      <c r="BT2464" s="5">
        <v>0.32291666666666669</v>
      </c>
      <c r="BU2464" s="3" t="s">
        <v>2443</v>
      </c>
      <c r="BV2464" s="3" t="s">
        <v>105</v>
      </c>
      <c r="BY2464" s="3">
        <v>1200</v>
      </c>
      <c r="BZ2464" s="3" t="s">
        <v>165</v>
      </c>
      <c r="CA2464" s="3" t="s">
        <v>240</v>
      </c>
      <c r="CC2464" s="3" t="s">
        <v>139</v>
      </c>
      <c r="CD2464" s="3">
        <v>3610</v>
      </c>
      <c r="CE2464" s="3" t="s">
        <v>93</v>
      </c>
      <c r="CI2464" s="3">
        <v>1</v>
      </c>
      <c r="CJ2464" s="3">
        <v>1</v>
      </c>
      <c r="CK2464" s="3">
        <v>21</v>
      </c>
      <c r="CL2464" s="3" t="s">
        <v>87</v>
      </c>
    </row>
    <row r="2465" spans="1:90" x14ac:dyDescent="0.2">
      <c r="A2465" s="3" t="s">
        <v>72</v>
      </c>
      <c r="B2465" s="3" t="s">
        <v>73</v>
      </c>
      <c r="C2465" s="3" t="s">
        <v>74</v>
      </c>
      <c r="E2465" s="3" t="str">
        <f>"FES1162846870"</f>
        <v>FES1162846870</v>
      </c>
      <c r="F2465" s="4">
        <v>44588</v>
      </c>
      <c r="G2465" s="3">
        <v>202207</v>
      </c>
      <c r="H2465" s="3" t="s">
        <v>75</v>
      </c>
      <c r="I2465" s="3" t="s">
        <v>76</v>
      </c>
      <c r="J2465" s="3" t="s">
        <v>77</v>
      </c>
      <c r="K2465" s="3" t="s">
        <v>78</v>
      </c>
      <c r="L2465" s="3" t="s">
        <v>176</v>
      </c>
      <c r="M2465" s="3" t="s">
        <v>177</v>
      </c>
      <c r="N2465" s="3" t="s">
        <v>178</v>
      </c>
      <c r="O2465" s="3" t="s">
        <v>82</v>
      </c>
      <c r="P2465" s="3" t="str">
        <f>"2170818148                    "</f>
        <v xml:space="preserve">2170818148                    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15.46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0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3">
        <v>0</v>
      </c>
      <c r="AY2465" s="3">
        <v>0</v>
      </c>
      <c r="AZ2465" s="3">
        <v>0</v>
      </c>
      <c r="BA2465" s="3">
        <v>0</v>
      </c>
      <c r="BB2465" s="3">
        <v>0</v>
      </c>
      <c r="BC2465" s="3">
        <v>0</v>
      </c>
      <c r="BD2465" s="3">
        <v>0</v>
      </c>
      <c r="BE2465" s="3">
        <v>0</v>
      </c>
      <c r="BF2465" s="3">
        <v>0</v>
      </c>
      <c r="BG2465" s="3">
        <v>0</v>
      </c>
      <c r="BH2465" s="3">
        <v>1</v>
      </c>
      <c r="BI2465" s="3">
        <v>1</v>
      </c>
      <c r="BJ2465" s="3">
        <v>0.2</v>
      </c>
      <c r="BK2465" s="3">
        <v>1</v>
      </c>
      <c r="BL2465" s="3">
        <v>59</v>
      </c>
      <c r="BM2465" s="3">
        <v>8.85</v>
      </c>
      <c r="BN2465" s="3">
        <v>67.849999999999994</v>
      </c>
      <c r="BO2465" s="3">
        <v>67.849999999999994</v>
      </c>
      <c r="BQ2465" s="3" t="s">
        <v>83</v>
      </c>
      <c r="BR2465" s="3" t="s">
        <v>84</v>
      </c>
      <c r="BS2465" s="4">
        <v>44589</v>
      </c>
      <c r="BT2465" s="5">
        <v>0.3743055555555555</v>
      </c>
      <c r="BU2465" s="3" t="s">
        <v>2425</v>
      </c>
      <c r="BV2465" s="3" t="s">
        <v>105</v>
      </c>
      <c r="BY2465" s="3">
        <v>1200</v>
      </c>
      <c r="BZ2465" s="3" t="s">
        <v>165</v>
      </c>
      <c r="CA2465" s="3" t="s">
        <v>339</v>
      </c>
      <c r="CC2465" s="3" t="s">
        <v>177</v>
      </c>
      <c r="CD2465" s="3">
        <v>4026</v>
      </c>
      <c r="CE2465" s="3" t="s">
        <v>93</v>
      </c>
      <c r="CI2465" s="3">
        <v>1</v>
      </c>
      <c r="CJ2465" s="3">
        <v>1</v>
      </c>
      <c r="CK2465" s="3">
        <v>21</v>
      </c>
      <c r="CL2465" s="3" t="s">
        <v>87</v>
      </c>
    </row>
    <row r="2466" spans="1:90" x14ac:dyDescent="0.2">
      <c r="A2466" s="3" t="s">
        <v>72</v>
      </c>
      <c r="B2466" s="3" t="s">
        <v>73</v>
      </c>
      <c r="C2466" s="3" t="s">
        <v>74</v>
      </c>
      <c r="E2466" s="3" t="str">
        <f>"FES1162847283"</f>
        <v>FES1162847283</v>
      </c>
      <c r="F2466" s="4">
        <v>44588</v>
      </c>
      <c r="G2466" s="3">
        <v>202207</v>
      </c>
      <c r="H2466" s="3" t="s">
        <v>75</v>
      </c>
      <c r="I2466" s="3" t="s">
        <v>76</v>
      </c>
      <c r="J2466" s="3" t="s">
        <v>77</v>
      </c>
      <c r="K2466" s="3" t="s">
        <v>78</v>
      </c>
      <c r="L2466" s="3" t="s">
        <v>184</v>
      </c>
      <c r="M2466" s="3" t="s">
        <v>185</v>
      </c>
      <c r="N2466" s="3" t="s">
        <v>2444</v>
      </c>
      <c r="O2466" s="3" t="s">
        <v>82</v>
      </c>
      <c r="P2466" s="3" t="str">
        <f>"2170816976                    "</f>
        <v xml:space="preserve">2170816976                    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15.46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0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3">
        <v>0</v>
      </c>
      <c r="AY2466" s="3">
        <v>0</v>
      </c>
      <c r="AZ2466" s="3">
        <v>0</v>
      </c>
      <c r="BA2466" s="3">
        <v>0</v>
      </c>
      <c r="BB2466" s="3">
        <v>0</v>
      </c>
      <c r="BC2466" s="3">
        <v>0</v>
      </c>
      <c r="BD2466" s="3">
        <v>0</v>
      </c>
      <c r="BE2466" s="3">
        <v>0</v>
      </c>
      <c r="BF2466" s="3">
        <v>0</v>
      </c>
      <c r="BG2466" s="3">
        <v>0</v>
      </c>
      <c r="BH2466" s="3">
        <v>1</v>
      </c>
      <c r="BI2466" s="3">
        <v>1</v>
      </c>
      <c r="BJ2466" s="3">
        <v>0.2</v>
      </c>
      <c r="BK2466" s="3">
        <v>1</v>
      </c>
      <c r="BL2466" s="3">
        <v>59</v>
      </c>
      <c r="BM2466" s="3">
        <v>8.85</v>
      </c>
      <c r="BN2466" s="3">
        <v>67.849999999999994</v>
      </c>
      <c r="BO2466" s="3">
        <v>67.849999999999994</v>
      </c>
      <c r="BQ2466" s="3" t="s">
        <v>83</v>
      </c>
      <c r="BR2466" s="3" t="s">
        <v>84</v>
      </c>
      <c r="BS2466" s="4">
        <v>44589</v>
      </c>
      <c r="BT2466" s="5">
        <v>0.69097222222222221</v>
      </c>
      <c r="BU2466" s="3" t="s">
        <v>2445</v>
      </c>
      <c r="BV2466" s="3" t="s">
        <v>87</v>
      </c>
      <c r="BW2466" s="3" t="s">
        <v>617</v>
      </c>
      <c r="BX2466" s="3" t="s">
        <v>648</v>
      </c>
      <c r="BY2466" s="3">
        <v>1200</v>
      </c>
      <c r="BZ2466" s="3" t="s">
        <v>165</v>
      </c>
      <c r="CA2466" s="3" t="s">
        <v>649</v>
      </c>
      <c r="CC2466" s="3" t="s">
        <v>185</v>
      </c>
      <c r="CD2466" s="3">
        <v>5200</v>
      </c>
      <c r="CE2466" s="3" t="s">
        <v>93</v>
      </c>
      <c r="CF2466" s="4">
        <v>44589</v>
      </c>
      <c r="CI2466" s="3">
        <v>1</v>
      </c>
      <c r="CJ2466" s="3">
        <v>1</v>
      </c>
      <c r="CK2466" s="3">
        <v>21</v>
      </c>
      <c r="CL2466" s="3" t="s">
        <v>87</v>
      </c>
    </row>
    <row r="2467" spans="1:90" x14ac:dyDescent="0.2">
      <c r="A2467" s="3" t="s">
        <v>72</v>
      </c>
      <c r="B2467" s="3" t="s">
        <v>73</v>
      </c>
      <c r="C2467" s="3" t="s">
        <v>74</v>
      </c>
      <c r="E2467" s="3" t="str">
        <f>"FES1162847180"</f>
        <v>FES1162847180</v>
      </c>
      <c r="F2467" s="4">
        <v>44588</v>
      </c>
      <c r="G2467" s="3">
        <v>202207</v>
      </c>
      <c r="H2467" s="3" t="s">
        <v>75</v>
      </c>
      <c r="I2467" s="3" t="s">
        <v>76</v>
      </c>
      <c r="J2467" s="3" t="s">
        <v>77</v>
      </c>
      <c r="K2467" s="3" t="s">
        <v>78</v>
      </c>
      <c r="L2467" s="3" t="s">
        <v>110</v>
      </c>
      <c r="M2467" s="3" t="s">
        <v>110</v>
      </c>
      <c r="N2467" s="3" t="s">
        <v>111</v>
      </c>
      <c r="O2467" s="3" t="s">
        <v>82</v>
      </c>
      <c r="P2467" s="3" t="str">
        <f>"2170817005                    "</f>
        <v xml:space="preserve">2170817005                    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29.95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0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3">
        <v>0</v>
      </c>
      <c r="AY2467" s="3">
        <v>0</v>
      </c>
      <c r="AZ2467" s="3">
        <v>0</v>
      </c>
      <c r="BA2467" s="3">
        <v>0</v>
      </c>
      <c r="BB2467" s="3">
        <v>0</v>
      </c>
      <c r="BC2467" s="3">
        <v>0</v>
      </c>
      <c r="BD2467" s="3">
        <v>0</v>
      </c>
      <c r="BE2467" s="3">
        <v>0</v>
      </c>
      <c r="BF2467" s="3">
        <v>0</v>
      </c>
      <c r="BG2467" s="3">
        <v>0</v>
      </c>
      <c r="BH2467" s="3">
        <v>1</v>
      </c>
      <c r="BI2467" s="3">
        <v>1</v>
      </c>
      <c r="BJ2467" s="3">
        <v>0.2</v>
      </c>
      <c r="BK2467" s="3">
        <v>1</v>
      </c>
      <c r="BL2467" s="3">
        <v>114.31</v>
      </c>
      <c r="BM2467" s="3">
        <v>17.149999999999999</v>
      </c>
      <c r="BN2467" s="3">
        <v>131.46</v>
      </c>
      <c r="BO2467" s="3">
        <v>131.46</v>
      </c>
      <c r="BQ2467" s="3" t="s">
        <v>89</v>
      </c>
      <c r="BR2467" s="3" t="s">
        <v>84</v>
      </c>
      <c r="BS2467" s="4">
        <v>44589</v>
      </c>
      <c r="BT2467" s="5">
        <v>0.57430555555555551</v>
      </c>
      <c r="BU2467" s="3" t="s">
        <v>620</v>
      </c>
      <c r="BV2467" s="3" t="s">
        <v>87</v>
      </c>
      <c r="BW2467" s="3" t="s">
        <v>457</v>
      </c>
      <c r="BX2467" s="3" t="s">
        <v>602</v>
      </c>
      <c r="BY2467" s="3">
        <v>1200</v>
      </c>
      <c r="BZ2467" s="3" t="s">
        <v>165</v>
      </c>
      <c r="CA2467" s="3" t="s">
        <v>563</v>
      </c>
      <c r="CC2467" s="3" t="s">
        <v>110</v>
      </c>
      <c r="CD2467" s="3">
        <v>7646</v>
      </c>
      <c r="CE2467" s="3" t="s">
        <v>93</v>
      </c>
      <c r="CI2467" s="3">
        <v>1</v>
      </c>
      <c r="CJ2467" s="3">
        <v>1</v>
      </c>
      <c r="CK2467" s="3">
        <v>23</v>
      </c>
      <c r="CL2467" s="3" t="s">
        <v>87</v>
      </c>
    </row>
    <row r="2468" spans="1:90" x14ac:dyDescent="0.2">
      <c r="A2468" s="3" t="s">
        <v>72</v>
      </c>
      <c r="B2468" s="3" t="s">
        <v>73</v>
      </c>
      <c r="C2468" s="3" t="s">
        <v>74</v>
      </c>
      <c r="E2468" s="3" t="str">
        <f>"FES1162847363"</f>
        <v>FES1162847363</v>
      </c>
      <c r="F2468" s="4">
        <v>44588</v>
      </c>
      <c r="G2468" s="3">
        <v>202207</v>
      </c>
      <c r="H2468" s="3" t="s">
        <v>75</v>
      </c>
      <c r="I2468" s="3" t="s">
        <v>76</v>
      </c>
      <c r="J2468" s="3" t="s">
        <v>77</v>
      </c>
      <c r="K2468" s="3" t="s">
        <v>78</v>
      </c>
      <c r="L2468" s="3" t="s">
        <v>799</v>
      </c>
      <c r="M2468" s="3" t="s">
        <v>800</v>
      </c>
      <c r="N2468" s="3" t="s">
        <v>801</v>
      </c>
      <c r="O2468" s="3" t="s">
        <v>82</v>
      </c>
      <c r="P2468" s="3" t="str">
        <f>"2170818619                    "</f>
        <v xml:space="preserve">2170818619                    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21.74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Q2468" s="3">
        <v>0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3">
        <v>0</v>
      </c>
      <c r="AY2468" s="3">
        <v>0</v>
      </c>
      <c r="AZ2468" s="3">
        <v>0</v>
      </c>
      <c r="BA2468" s="3">
        <v>0</v>
      </c>
      <c r="BB2468" s="3">
        <v>0</v>
      </c>
      <c r="BC2468" s="3">
        <v>0</v>
      </c>
      <c r="BD2468" s="3">
        <v>0</v>
      </c>
      <c r="BE2468" s="3">
        <v>0</v>
      </c>
      <c r="BF2468" s="3">
        <v>0</v>
      </c>
      <c r="BG2468" s="3">
        <v>0</v>
      </c>
      <c r="BH2468" s="3">
        <v>1</v>
      </c>
      <c r="BI2468" s="3">
        <v>1</v>
      </c>
      <c r="BJ2468" s="3">
        <v>0.2</v>
      </c>
      <c r="BK2468" s="3">
        <v>1</v>
      </c>
      <c r="BL2468" s="3">
        <v>82.98</v>
      </c>
      <c r="BM2468" s="3">
        <v>12.45</v>
      </c>
      <c r="BN2468" s="3">
        <v>95.43</v>
      </c>
      <c r="BO2468" s="3">
        <v>95.43</v>
      </c>
      <c r="BQ2468" s="3" t="s">
        <v>89</v>
      </c>
      <c r="BR2468" s="3" t="s">
        <v>84</v>
      </c>
      <c r="BS2468" s="4">
        <v>44589</v>
      </c>
      <c r="BT2468" s="5">
        <v>0.66527777777777775</v>
      </c>
      <c r="BU2468" s="3" t="s">
        <v>1392</v>
      </c>
      <c r="BV2468" s="3" t="s">
        <v>105</v>
      </c>
      <c r="BY2468" s="3">
        <v>1200</v>
      </c>
      <c r="BZ2468" s="3" t="s">
        <v>165</v>
      </c>
      <c r="CA2468" s="3" t="s">
        <v>790</v>
      </c>
      <c r="CC2468" s="3" t="s">
        <v>800</v>
      </c>
      <c r="CD2468" s="3">
        <v>2210</v>
      </c>
      <c r="CE2468" s="3" t="s">
        <v>86</v>
      </c>
      <c r="CI2468" s="3">
        <v>1</v>
      </c>
      <c r="CJ2468" s="3">
        <v>1</v>
      </c>
      <c r="CK2468" s="3">
        <v>24</v>
      </c>
      <c r="CL2468" s="3" t="s">
        <v>87</v>
      </c>
    </row>
    <row r="2469" spans="1:90" x14ac:dyDescent="0.2">
      <c r="A2469" s="3" t="s">
        <v>72</v>
      </c>
      <c r="B2469" s="3" t="s">
        <v>73</v>
      </c>
      <c r="C2469" s="3" t="s">
        <v>74</v>
      </c>
      <c r="E2469" s="3" t="str">
        <f>"FES1162847251"</f>
        <v>FES1162847251</v>
      </c>
      <c r="F2469" s="4">
        <v>44588</v>
      </c>
      <c r="G2469" s="3">
        <v>202207</v>
      </c>
      <c r="H2469" s="3" t="s">
        <v>75</v>
      </c>
      <c r="I2469" s="3" t="s">
        <v>76</v>
      </c>
      <c r="J2469" s="3" t="s">
        <v>77</v>
      </c>
      <c r="K2469" s="3" t="s">
        <v>78</v>
      </c>
      <c r="L2469" s="3" t="s">
        <v>167</v>
      </c>
      <c r="M2469" s="3" t="s">
        <v>168</v>
      </c>
      <c r="N2469" s="3" t="s">
        <v>852</v>
      </c>
      <c r="O2469" s="3" t="s">
        <v>82</v>
      </c>
      <c r="P2469" s="3" t="str">
        <f>"2170818540                    "</f>
        <v xml:space="preserve">2170818540                    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73.39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0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3">
        <v>0</v>
      </c>
      <c r="AY2469" s="3">
        <v>0</v>
      </c>
      <c r="AZ2469" s="3">
        <v>0</v>
      </c>
      <c r="BA2469" s="3">
        <v>0</v>
      </c>
      <c r="BB2469" s="3">
        <v>0</v>
      </c>
      <c r="BC2469" s="3">
        <v>0</v>
      </c>
      <c r="BD2469" s="3">
        <v>0</v>
      </c>
      <c r="BE2469" s="3">
        <v>0</v>
      </c>
      <c r="BF2469" s="3">
        <v>0</v>
      </c>
      <c r="BG2469" s="3">
        <v>0</v>
      </c>
      <c r="BH2469" s="3">
        <v>1</v>
      </c>
      <c r="BI2469" s="3">
        <v>6</v>
      </c>
      <c r="BJ2469" s="3">
        <v>9.1</v>
      </c>
      <c r="BK2469" s="3">
        <v>9.5</v>
      </c>
      <c r="BL2469" s="3">
        <v>280.13</v>
      </c>
      <c r="BM2469" s="3">
        <v>42.02</v>
      </c>
      <c r="BN2469" s="3">
        <v>322.14999999999998</v>
      </c>
      <c r="BO2469" s="3">
        <v>322.14999999999998</v>
      </c>
      <c r="BQ2469" s="3" t="s">
        <v>83</v>
      </c>
      <c r="BR2469" s="3" t="s">
        <v>84</v>
      </c>
      <c r="BS2469" s="4">
        <v>44589</v>
      </c>
      <c r="BT2469" s="5">
        <v>0.35625000000000001</v>
      </c>
      <c r="BU2469" s="3" t="s">
        <v>1776</v>
      </c>
      <c r="BV2469" s="3" t="s">
        <v>105</v>
      </c>
      <c r="BY2469" s="3">
        <v>45632</v>
      </c>
      <c r="BZ2469" s="3" t="s">
        <v>165</v>
      </c>
      <c r="CA2469" s="3" t="s">
        <v>553</v>
      </c>
      <c r="CC2469" s="3" t="s">
        <v>168</v>
      </c>
      <c r="CD2469" s="3">
        <v>6229</v>
      </c>
      <c r="CE2469" s="3" t="s">
        <v>86</v>
      </c>
      <c r="CF2469" s="4">
        <v>44589</v>
      </c>
      <c r="CI2469" s="3">
        <v>1</v>
      </c>
      <c r="CJ2469" s="3">
        <v>1</v>
      </c>
      <c r="CK2469" s="3">
        <v>21</v>
      </c>
      <c r="CL2469" s="3" t="s">
        <v>87</v>
      </c>
    </row>
    <row r="2470" spans="1:90" x14ac:dyDescent="0.2">
      <c r="A2470" s="3" t="s">
        <v>72</v>
      </c>
      <c r="B2470" s="3" t="s">
        <v>73</v>
      </c>
      <c r="C2470" s="3" t="s">
        <v>74</v>
      </c>
      <c r="E2470" s="3" t="str">
        <f>"FES1162847326"</f>
        <v>FES1162847326</v>
      </c>
      <c r="F2470" s="4">
        <v>44588</v>
      </c>
      <c r="G2470" s="3">
        <v>202207</v>
      </c>
      <c r="H2470" s="3" t="s">
        <v>75</v>
      </c>
      <c r="I2470" s="3" t="s">
        <v>76</v>
      </c>
      <c r="J2470" s="3" t="s">
        <v>77</v>
      </c>
      <c r="K2470" s="3" t="s">
        <v>78</v>
      </c>
      <c r="L2470" s="3" t="s">
        <v>101</v>
      </c>
      <c r="M2470" s="3" t="s">
        <v>102</v>
      </c>
      <c r="N2470" s="3" t="s">
        <v>170</v>
      </c>
      <c r="O2470" s="3" t="s">
        <v>82</v>
      </c>
      <c r="P2470" s="3" t="str">
        <f>"2170818566                    "</f>
        <v xml:space="preserve">2170818566                    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30.91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0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3">
        <v>0</v>
      </c>
      <c r="AY2470" s="3">
        <v>0</v>
      </c>
      <c r="AZ2470" s="3">
        <v>0</v>
      </c>
      <c r="BA2470" s="3">
        <v>0</v>
      </c>
      <c r="BB2470" s="3">
        <v>0</v>
      </c>
      <c r="BC2470" s="3">
        <v>0</v>
      </c>
      <c r="BD2470" s="3">
        <v>0</v>
      </c>
      <c r="BE2470" s="3">
        <v>0</v>
      </c>
      <c r="BF2470" s="3">
        <v>0</v>
      </c>
      <c r="BG2470" s="3">
        <v>0</v>
      </c>
      <c r="BH2470" s="3">
        <v>1</v>
      </c>
      <c r="BI2470" s="3">
        <v>4</v>
      </c>
      <c r="BJ2470" s="3">
        <v>2</v>
      </c>
      <c r="BK2470" s="3">
        <v>4</v>
      </c>
      <c r="BL2470" s="3">
        <v>117.97</v>
      </c>
      <c r="BM2470" s="3">
        <v>17.7</v>
      </c>
      <c r="BN2470" s="3">
        <v>135.66999999999999</v>
      </c>
      <c r="BO2470" s="3">
        <v>135.66999999999999</v>
      </c>
      <c r="BQ2470" s="3" t="s">
        <v>89</v>
      </c>
      <c r="BR2470" s="3" t="s">
        <v>84</v>
      </c>
      <c r="BS2470" s="4">
        <v>44589</v>
      </c>
      <c r="BT2470" s="5">
        <v>0.40833333333333338</v>
      </c>
      <c r="BU2470" s="3" t="s">
        <v>2414</v>
      </c>
      <c r="BV2470" s="3" t="s">
        <v>105</v>
      </c>
      <c r="BY2470" s="3">
        <v>9918</v>
      </c>
      <c r="BZ2470" s="3" t="s">
        <v>165</v>
      </c>
      <c r="CA2470" s="3" t="s">
        <v>2415</v>
      </c>
      <c r="CC2470" s="3" t="s">
        <v>102</v>
      </c>
      <c r="CD2470" s="3">
        <v>4001</v>
      </c>
      <c r="CE2470" s="3" t="s">
        <v>86</v>
      </c>
      <c r="CI2470" s="3">
        <v>1</v>
      </c>
      <c r="CJ2470" s="3">
        <v>1</v>
      </c>
      <c r="CK2470" s="3">
        <v>21</v>
      </c>
      <c r="CL2470" s="3" t="s">
        <v>87</v>
      </c>
    </row>
    <row r="2471" spans="1:90" x14ac:dyDescent="0.2">
      <c r="A2471" s="3" t="s">
        <v>72</v>
      </c>
      <c r="B2471" s="3" t="s">
        <v>73</v>
      </c>
      <c r="C2471" s="3" t="s">
        <v>74</v>
      </c>
      <c r="E2471" s="3" t="str">
        <f>"FES1162847322"</f>
        <v>FES1162847322</v>
      </c>
      <c r="F2471" s="4">
        <v>44588</v>
      </c>
      <c r="G2471" s="3">
        <v>202207</v>
      </c>
      <c r="H2471" s="3" t="s">
        <v>75</v>
      </c>
      <c r="I2471" s="3" t="s">
        <v>76</v>
      </c>
      <c r="J2471" s="3" t="s">
        <v>77</v>
      </c>
      <c r="K2471" s="3" t="s">
        <v>78</v>
      </c>
      <c r="L2471" s="3" t="s">
        <v>195</v>
      </c>
      <c r="M2471" s="3" t="s">
        <v>196</v>
      </c>
      <c r="N2471" s="3" t="s">
        <v>197</v>
      </c>
      <c r="O2471" s="3" t="s">
        <v>82</v>
      </c>
      <c r="P2471" s="3" t="str">
        <f>"2170818562                    "</f>
        <v xml:space="preserve">2170818562                    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61.81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0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3">
        <v>0</v>
      </c>
      <c r="AY2471" s="3">
        <v>0</v>
      </c>
      <c r="AZ2471" s="3">
        <v>0</v>
      </c>
      <c r="BA2471" s="3">
        <v>0</v>
      </c>
      <c r="BB2471" s="3">
        <v>0</v>
      </c>
      <c r="BC2471" s="3">
        <v>0</v>
      </c>
      <c r="BD2471" s="3">
        <v>0</v>
      </c>
      <c r="BE2471" s="3">
        <v>0</v>
      </c>
      <c r="BF2471" s="3">
        <v>0</v>
      </c>
      <c r="BG2471" s="3">
        <v>0</v>
      </c>
      <c r="BH2471" s="3">
        <v>1</v>
      </c>
      <c r="BI2471" s="3">
        <v>7</v>
      </c>
      <c r="BJ2471" s="3">
        <v>7.7</v>
      </c>
      <c r="BK2471" s="3">
        <v>8</v>
      </c>
      <c r="BL2471" s="3">
        <v>235.91</v>
      </c>
      <c r="BM2471" s="3">
        <v>35.39</v>
      </c>
      <c r="BN2471" s="3">
        <v>271.3</v>
      </c>
      <c r="BO2471" s="3">
        <v>271.3</v>
      </c>
      <c r="BQ2471" s="3" t="s">
        <v>89</v>
      </c>
      <c r="BR2471" s="3" t="s">
        <v>84</v>
      </c>
      <c r="BS2471" s="4">
        <v>44589</v>
      </c>
      <c r="BT2471" s="5">
        <v>0.3756944444444445</v>
      </c>
      <c r="BU2471" s="3" t="s">
        <v>2400</v>
      </c>
      <c r="BV2471" s="3" t="s">
        <v>105</v>
      </c>
      <c r="BY2471" s="3">
        <v>38332</v>
      </c>
      <c r="BZ2471" s="3" t="s">
        <v>165</v>
      </c>
      <c r="CA2471" s="3" t="s">
        <v>571</v>
      </c>
      <c r="CC2471" s="3" t="s">
        <v>196</v>
      </c>
      <c r="CD2471" s="3">
        <v>4302</v>
      </c>
      <c r="CE2471" s="3" t="s">
        <v>86</v>
      </c>
      <c r="CI2471" s="3">
        <v>1</v>
      </c>
      <c r="CJ2471" s="3">
        <v>1</v>
      </c>
      <c r="CK2471" s="3">
        <v>21</v>
      </c>
      <c r="CL2471" s="3" t="s">
        <v>87</v>
      </c>
    </row>
    <row r="2472" spans="1:90" x14ac:dyDescent="0.2">
      <c r="A2472" s="3" t="s">
        <v>72</v>
      </c>
      <c r="B2472" s="3" t="s">
        <v>73</v>
      </c>
      <c r="C2472" s="3" t="s">
        <v>74</v>
      </c>
      <c r="E2472" s="3" t="str">
        <f>"FES1162847319"</f>
        <v>FES1162847319</v>
      </c>
      <c r="F2472" s="4">
        <v>44588</v>
      </c>
      <c r="G2472" s="3">
        <v>202207</v>
      </c>
      <c r="H2472" s="3" t="s">
        <v>75</v>
      </c>
      <c r="I2472" s="3" t="s">
        <v>76</v>
      </c>
      <c r="J2472" s="3" t="s">
        <v>77</v>
      </c>
      <c r="K2472" s="3" t="s">
        <v>78</v>
      </c>
      <c r="L2472" s="3" t="s">
        <v>79</v>
      </c>
      <c r="M2472" s="3" t="s">
        <v>80</v>
      </c>
      <c r="N2472" s="3" t="s">
        <v>248</v>
      </c>
      <c r="O2472" s="3" t="s">
        <v>148</v>
      </c>
      <c r="P2472" s="3" t="str">
        <f>"2170818550                    "</f>
        <v xml:space="preserve">2170818550                    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32.35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0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3">
        <v>0</v>
      </c>
      <c r="AY2472" s="3">
        <v>0</v>
      </c>
      <c r="AZ2472" s="3">
        <v>0</v>
      </c>
      <c r="BA2472" s="3">
        <v>0</v>
      </c>
      <c r="BB2472" s="3">
        <v>0</v>
      </c>
      <c r="BC2472" s="3">
        <v>0</v>
      </c>
      <c r="BD2472" s="3">
        <v>0</v>
      </c>
      <c r="BE2472" s="3">
        <v>0</v>
      </c>
      <c r="BF2472" s="3">
        <v>0</v>
      </c>
      <c r="BG2472" s="3">
        <v>0</v>
      </c>
      <c r="BH2472" s="3">
        <v>1</v>
      </c>
      <c r="BI2472" s="3">
        <v>17</v>
      </c>
      <c r="BJ2472" s="3">
        <v>16.3</v>
      </c>
      <c r="BK2472" s="3">
        <v>17</v>
      </c>
      <c r="BL2472" s="3">
        <v>128.74</v>
      </c>
      <c r="BM2472" s="3">
        <v>19.309999999999999</v>
      </c>
      <c r="BN2472" s="3">
        <v>148.05000000000001</v>
      </c>
      <c r="BO2472" s="3">
        <v>148.05000000000001</v>
      </c>
      <c r="BQ2472" s="3" t="s">
        <v>83</v>
      </c>
      <c r="BR2472" s="3" t="s">
        <v>84</v>
      </c>
      <c r="BS2472" s="4">
        <v>44589</v>
      </c>
      <c r="BT2472" s="5">
        <v>0.62777777777777777</v>
      </c>
      <c r="BU2472" s="3" t="s">
        <v>2446</v>
      </c>
      <c r="BV2472" s="3" t="s">
        <v>105</v>
      </c>
      <c r="BY2472" s="3">
        <v>81675</v>
      </c>
      <c r="BZ2472" s="3" t="s">
        <v>327</v>
      </c>
      <c r="CC2472" s="3" t="s">
        <v>80</v>
      </c>
      <c r="CD2472" s="3">
        <v>1</v>
      </c>
      <c r="CE2472" s="3" t="s">
        <v>86</v>
      </c>
      <c r="CI2472" s="3">
        <v>1</v>
      </c>
      <c r="CJ2472" s="3">
        <v>1</v>
      </c>
      <c r="CK2472" s="3">
        <v>41</v>
      </c>
      <c r="CL2472" s="3" t="s">
        <v>87</v>
      </c>
    </row>
    <row r="2473" spans="1:90" x14ac:dyDescent="0.2">
      <c r="A2473" s="3" t="s">
        <v>72</v>
      </c>
      <c r="B2473" s="3" t="s">
        <v>73</v>
      </c>
      <c r="C2473" s="3" t="s">
        <v>74</v>
      </c>
      <c r="E2473" s="3" t="str">
        <f>"FES1162847030"</f>
        <v>FES1162847030</v>
      </c>
      <c r="F2473" s="4">
        <v>44588</v>
      </c>
      <c r="G2473" s="3">
        <v>202207</v>
      </c>
      <c r="H2473" s="3" t="s">
        <v>75</v>
      </c>
      <c r="I2473" s="3" t="s">
        <v>76</v>
      </c>
      <c r="J2473" s="3" t="s">
        <v>77</v>
      </c>
      <c r="K2473" s="3" t="s">
        <v>78</v>
      </c>
      <c r="L2473" s="3" t="s">
        <v>101</v>
      </c>
      <c r="M2473" s="3" t="s">
        <v>102</v>
      </c>
      <c r="N2473" s="3" t="s">
        <v>1071</v>
      </c>
      <c r="O2473" s="3" t="s">
        <v>82</v>
      </c>
      <c r="P2473" s="3" t="str">
        <f>"2170818136                    "</f>
        <v xml:space="preserve">2170818136                    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23.18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0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3">
        <v>0</v>
      </c>
      <c r="AY2473" s="3">
        <v>0</v>
      </c>
      <c r="AZ2473" s="3">
        <v>0</v>
      </c>
      <c r="BA2473" s="3">
        <v>0</v>
      </c>
      <c r="BB2473" s="3">
        <v>0</v>
      </c>
      <c r="BC2473" s="3">
        <v>0</v>
      </c>
      <c r="BD2473" s="3">
        <v>0</v>
      </c>
      <c r="BE2473" s="3">
        <v>0</v>
      </c>
      <c r="BF2473" s="3">
        <v>0</v>
      </c>
      <c r="BG2473" s="3">
        <v>0</v>
      </c>
      <c r="BH2473" s="3">
        <v>1</v>
      </c>
      <c r="BI2473" s="3">
        <v>3</v>
      </c>
      <c r="BJ2473" s="3">
        <v>2</v>
      </c>
      <c r="BK2473" s="3">
        <v>3</v>
      </c>
      <c r="BL2473" s="3">
        <v>88.48</v>
      </c>
      <c r="BM2473" s="3">
        <v>13.27</v>
      </c>
      <c r="BN2473" s="3">
        <v>101.75</v>
      </c>
      <c r="BO2473" s="3">
        <v>101.75</v>
      </c>
      <c r="BQ2473" s="3" t="s">
        <v>83</v>
      </c>
      <c r="BR2473" s="3" t="s">
        <v>84</v>
      </c>
      <c r="BS2473" s="3" t="s">
        <v>85</v>
      </c>
      <c r="BY2473" s="3">
        <v>9900</v>
      </c>
      <c r="BZ2473" s="3" t="s">
        <v>165</v>
      </c>
      <c r="CC2473" s="3" t="s">
        <v>102</v>
      </c>
      <c r="CD2473" s="3">
        <v>4072</v>
      </c>
      <c r="CE2473" s="3" t="s">
        <v>86</v>
      </c>
      <c r="CI2473" s="3">
        <v>1</v>
      </c>
      <c r="CJ2473" s="3" t="s">
        <v>85</v>
      </c>
      <c r="CK2473" s="3">
        <v>21</v>
      </c>
      <c r="CL2473" s="3" t="s">
        <v>87</v>
      </c>
    </row>
    <row r="2474" spans="1:90" x14ac:dyDescent="0.2">
      <c r="A2474" s="3" t="s">
        <v>72</v>
      </c>
      <c r="B2474" s="3" t="s">
        <v>73</v>
      </c>
      <c r="C2474" s="3" t="s">
        <v>74</v>
      </c>
      <c r="E2474" s="3" t="str">
        <f>"FES1162847182"</f>
        <v>FES1162847182</v>
      </c>
      <c r="F2474" s="4">
        <v>44588</v>
      </c>
      <c r="G2474" s="3">
        <v>202207</v>
      </c>
      <c r="H2474" s="3" t="s">
        <v>75</v>
      </c>
      <c r="I2474" s="3" t="s">
        <v>76</v>
      </c>
      <c r="J2474" s="3" t="s">
        <v>77</v>
      </c>
      <c r="K2474" s="3" t="s">
        <v>78</v>
      </c>
      <c r="L2474" s="3" t="s">
        <v>90</v>
      </c>
      <c r="M2474" s="3" t="s">
        <v>91</v>
      </c>
      <c r="N2474" s="3" t="s">
        <v>541</v>
      </c>
      <c r="O2474" s="3" t="s">
        <v>82</v>
      </c>
      <c r="P2474" s="3" t="str">
        <f>"2170817127                    "</f>
        <v xml:space="preserve">2170817127                    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34.770000000000003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3">
        <v>0</v>
      </c>
      <c r="AY2474" s="3">
        <v>0</v>
      </c>
      <c r="AZ2474" s="3">
        <v>0</v>
      </c>
      <c r="BA2474" s="3">
        <v>0</v>
      </c>
      <c r="BB2474" s="3">
        <v>0</v>
      </c>
      <c r="BC2474" s="3">
        <v>0</v>
      </c>
      <c r="BD2474" s="3">
        <v>0</v>
      </c>
      <c r="BE2474" s="3">
        <v>0</v>
      </c>
      <c r="BF2474" s="3">
        <v>0</v>
      </c>
      <c r="BG2474" s="3">
        <v>0</v>
      </c>
      <c r="BH2474" s="3">
        <v>1</v>
      </c>
      <c r="BI2474" s="3">
        <v>4</v>
      </c>
      <c r="BJ2474" s="3">
        <v>4.0999999999999996</v>
      </c>
      <c r="BK2474" s="3">
        <v>4.5</v>
      </c>
      <c r="BL2474" s="3">
        <v>132.71</v>
      </c>
      <c r="BM2474" s="3">
        <v>19.91</v>
      </c>
      <c r="BN2474" s="3">
        <v>152.62</v>
      </c>
      <c r="BO2474" s="3">
        <v>152.62</v>
      </c>
      <c r="BQ2474" s="3" t="s">
        <v>89</v>
      </c>
      <c r="BR2474" s="3" t="s">
        <v>84</v>
      </c>
      <c r="BS2474" s="4">
        <v>44589</v>
      </c>
      <c r="BT2474" s="5">
        <v>0.41180555555555554</v>
      </c>
      <c r="BU2474" s="3" t="s">
        <v>2447</v>
      </c>
      <c r="BV2474" s="3" t="s">
        <v>105</v>
      </c>
      <c r="BY2474" s="3">
        <v>20358</v>
      </c>
      <c r="BZ2474" s="3" t="s">
        <v>165</v>
      </c>
      <c r="CA2474" s="3" t="s">
        <v>543</v>
      </c>
      <c r="CC2474" s="3" t="s">
        <v>91</v>
      </c>
      <c r="CD2474" s="3">
        <v>7561</v>
      </c>
      <c r="CE2474" s="3" t="s">
        <v>86</v>
      </c>
      <c r="CI2474" s="3">
        <v>1</v>
      </c>
      <c r="CJ2474" s="3">
        <v>1</v>
      </c>
      <c r="CK2474" s="3">
        <v>21</v>
      </c>
      <c r="CL2474" s="3" t="s">
        <v>87</v>
      </c>
    </row>
    <row r="2475" spans="1:90" x14ac:dyDescent="0.2">
      <c r="A2475" s="3" t="s">
        <v>72</v>
      </c>
      <c r="B2475" s="3" t="s">
        <v>73</v>
      </c>
      <c r="C2475" s="3" t="s">
        <v>74</v>
      </c>
      <c r="E2475" s="3" t="str">
        <f>"FES1162847300"</f>
        <v>FES1162847300</v>
      </c>
      <c r="F2475" s="4">
        <v>44588</v>
      </c>
      <c r="G2475" s="3">
        <v>202207</v>
      </c>
      <c r="H2475" s="3" t="s">
        <v>75</v>
      </c>
      <c r="I2475" s="3" t="s">
        <v>76</v>
      </c>
      <c r="J2475" s="3" t="s">
        <v>77</v>
      </c>
      <c r="K2475" s="3" t="s">
        <v>78</v>
      </c>
      <c r="L2475" s="3" t="s">
        <v>79</v>
      </c>
      <c r="M2475" s="3" t="s">
        <v>80</v>
      </c>
      <c r="N2475" s="3" t="s">
        <v>81</v>
      </c>
      <c r="O2475" s="3" t="s">
        <v>82</v>
      </c>
      <c r="P2475" s="3" t="str">
        <f>"2170818544                    "</f>
        <v xml:space="preserve">2170818544                    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54.08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0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3">
        <v>0</v>
      </c>
      <c r="AY2475" s="3">
        <v>0</v>
      </c>
      <c r="AZ2475" s="3">
        <v>0</v>
      </c>
      <c r="BA2475" s="3">
        <v>0</v>
      </c>
      <c r="BB2475" s="3">
        <v>0</v>
      </c>
      <c r="BC2475" s="3">
        <v>0</v>
      </c>
      <c r="BD2475" s="3">
        <v>0</v>
      </c>
      <c r="BE2475" s="3">
        <v>0</v>
      </c>
      <c r="BF2475" s="3">
        <v>0</v>
      </c>
      <c r="BG2475" s="3">
        <v>0</v>
      </c>
      <c r="BH2475" s="3">
        <v>2</v>
      </c>
      <c r="BI2475" s="3">
        <v>7</v>
      </c>
      <c r="BJ2475" s="3">
        <v>1.9</v>
      </c>
      <c r="BK2475" s="3">
        <v>7</v>
      </c>
      <c r="BL2475" s="3">
        <v>206.42</v>
      </c>
      <c r="BM2475" s="3">
        <v>30.96</v>
      </c>
      <c r="BN2475" s="3">
        <v>237.38</v>
      </c>
      <c r="BO2475" s="3">
        <v>237.38</v>
      </c>
      <c r="BQ2475" s="3" t="s">
        <v>83</v>
      </c>
      <c r="BR2475" s="3" t="s">
        <v>84</v>
      </c>
      <c r="BS2475" s="4">
        <v>44589</v>
      </c>
      <c r="BT2475" s="5">
        <v>0.39583333333333331</v>
      </c>
      <c r="BU2475" s="3" t="s">
        <v>2448</v>
      </c>
      <c r="BV2475" s="3" t="s">
        <v>105</v>
      </c>
      <c r="BY2475" s="3">
        <v>9408</v>
      </c>
      <c r="BZ2475" s="3" t="s">
        <v>165</v>
      </c>
      <c r="CA2475" s="3" t="s">
        <v>328</v>
      </c>
      <c r="CC2475" s="3" t="s">
        <v>80</v>
      </c>
      <c r="CD2475" s="3">
        <v>200</v>
      </c>
      <c r="CE2475" s="3" t="s">
        <v>2449</v>
      </c>
      <c r="CF2475" s="4">
        <v>44589</v>
      </c>
      <c r="CI2475" s="3">
        <v>1</v>
      </c>
      <c r="CJ2475" s="3">
        <v>1</v>
      </c>
      <c r="CK2475" s="3">
        <v>21</v>
      </c>
      <c r="CL2475" s="3" t="s">
        <v>87</v>
      </c>
    </row>
    <row r="2476" spans="1:90" x14ac:dyDescent="0.2">
      <c r="A2476" s="3" t="s">
        <v>72</v>
      </c>
      <c r="B2476" s="3" t="s">
        <v>73</v>
      </c>
      <c r="C2476" s="3" t="s">
        <v>74</v>
      </c>
      <c r="E2476" s="3" t="str">
        <f>"FES1162847262"</f>
        <v>FES1162847262</v>
      </c>
      <c r="F2476" s="4">
        <v>44588</v>
      </c>
      <c r="G2476" s="3">
        <v>202207</v>
      </c>
      <c r="H2476" s="3" t="s">
        <v>75</v>
      </c>
      <c r="I2476" s="3" t="s">
        <v>76</v>
      </c>
      <c r="J2476" s="3" t="s">
        <v>77</v>
      </c>
      <c r="K2476" s="3" t="s">
        <v>78</v>
      </c>
      <c r="L2476" s="3" t="s">
        <v>162</v>
      </c>
      <c r="M2476" s="3" t="s">
        <v>163</v>
      </c>
      <c r="N2476" s="3" t="s">
        <v>636</v>
      </c>
      <c r="O2476" s="3" t="s">
        <v>82</v>
      </c>
      <c r="P2476" s="3" t="str">
        <f>"2170806656                    "</f>
        <v xml:space="preserve">2170806656                    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12.07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0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3">
        <v>0</v>
      </c>
      <c r="AY2476" s="3">
        <v>0</v>
      </c>
      <c r="AZ2476" s="3">
        <v>0</v>
      </c>
      <c r="BA2476" s="3">
        <v>0</v>
      </c>
      <c r="BB2476" s="3">
        <v>0</v>
      </c>
      <c r="BC2476" s="3">
        <v>0</v>
      </c>
      <c r="BD2476" s="3">
        <v>0</v>
      </c>
      <c r="BE2476" s="3">
        <v>0</v>
      </c>
      <c r="BF2476" s="3">
        <v>0</v>
      </c>
      <c r="BG2476" s="3">
        <v>0</v>
      </c>
      <c r="BH2476" s="3">
        <v>1</v>
      </c>
      <c r="BI2476" s="3">
        <v>1</v>
      </c>
      <c r="BJ2476" s="3">
        <v>1.8</v>
      </c>
      <c r="BK2476" s="3">
        <v>2</v>
      </c>
      <c r="BL2476" s="3">
        <v>46.08</v>
      </c>
      <c r="BM2476" s="3">
        <v>6.91</v>
      </c>
      <c r="BN2476" s="3">
        <v>52.99</v>
      </c>
      <c r="BO2476" s="3">
        <v>52.99</v>
      </c>
      <c r="BQ2476" s="3" t="s">
        <v>637</v>
      </c>
      <c r="BR2476" s="3" t="s">
        <v>84</v>
      </c>
      <c r="BS2476" s="3" t="s">
        <v>85</v>
      </c>
      <c r="BW2476" s="3" t="s">
        <v>2450</v>
      </c>
      <c r="BX2476" s="3" t="s">
        <v>758</v>
      </c>
      <c r="BY2476" s="3">
        <v>8775</v>
      </c>
      <c r="BZ2476" s="3" t="s">
        <v>165</v>
      </c>
      <c r="CC2476" s="3" t="s">
        <v>163</v>
      </c>
      <c r="CD2476" s="3">
        <v>1406</v>
      </c>
      <c r="CE2476" s="3" t="s">
        <v>86</v>
      </c>
      <c r="CI2476" s="3">
        <v>1</v>
      </c>
      <c r="CJ2476" s="3" t="s">
        <v>85</v>
      </c>
      <c r="CK2476" s="3">
        <v>22</v>
      </c>
      <c r="CL2476" s="3" t="s">
        <v>87</v>
      </c>
    </row>
    <row r="2477" spans="1:90" x14ac:dyDescent="0.2">
      <c r="A2477" s="3" t="s">
        <v>72</v>
      </c>
      <c r="B2477" s="3" t="s">
        <v>73</v>
      </c>
      <c r="C2477" s="3" t="s">
        <v>74</v>
      </c>
      <c r="E2477" s="3" t="str">
        <f>"FES1162847267"</f>
        <v>FES1162847267</v>
      </c>
      <c r="F2477" s="4">
        <v>44588</v>
      </c>
      <c r="G2477" s="3">
        <v>202207</v>
      </c>
      <c r="H2477" s="3" t="s">
        <v>75</v>
      </c>
      <c r="I2477" s="3" t="s">
        <v>76</v>
      </c>
      <c r="J2477" s="3" t="s">
        <v>77</v>
      </c>
      <c r="K2477" s="3" t="s">
        <v>78</v>
      </c>
      <c r="L2477" s="3" t="s">
        <v>94</v>
      </c>
      <c r="M2477" s="3" t="s">
        <v>95</v>
      </c>
      <c r="N2477" s="3" t="s">
        <v>1052</v>
      </c>
      <c r="O2477" s="3" t="s">
        <v>82</v>
      </c>
      <c r="P2477" s="3" t="str">
        <f>"2170815709                    "</f>
        <v xml:space="preserve">2170815709                    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84.98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0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3">
        <v>0</v>
      </c>
      <c r="AY2477" s="3">
        <v>0</v>
      </c>
      <c r="AZ2477" s="3">
        <v>0</v>
      </c>
      <c r="BA2477" s="3">
        <v>0</v>
      </c>
      <c r="BB2477" s="3">
        <v>0</v>
      </c>
      <c r="BC2477" s="3">
        <v>0</v>
      </c>
      <c r="BD2477" s="3">
        <v>0</v>
      </c>
      <c r="BE2477" s="3">
        <v>0</v>
      </c>
      <c r="BF2477" s="3">
        <v>0</v>
      </c>
      <c r="BG2477" s="3">
        <v>0</v>
      </c>
      <c r="BH2477" s="3">
        <v>1</v>
      </c>
      <c r="BI2477" s="3">
        <v>11</v>
      </c>
      <c r="BJ2477" s="3">
        <v>9.1</v>
      </c>
      <c r="BK2477" s="3">
        <v>11</v>
      </c>
      <c r="BL2477" s="3">
        <v>324.36</v>
      </c>
      <c r="BM2477" s="3">
        <v>48.65</v>
      </c>
      <c r="BN2477" s="3">
        <v>373.01</v>
      </c>
      <c r="BO2477" s="3">
        <v>373.01</v>
      </c>
      <c r="BQ2477" s="3" t="s">
        <v>83</v>
      </c>
      <c r="BR2477" s="3" t="s">
        <v>84</v>
      </c>
      <c r="BS2477" s="4">
        <v>44589</v>
      </c>
      <c r="BT2477" s="5">
        <v>0.55555555555555558</v>
      </c>
      <c r="BU2477" s="3" t="s">
        <v>1053</v>
      </c>
      <c r="BV2477" s="3" t="s">
        <v>87</v>
      </c>
      <c r="BY2477" s="3">
        <v>45632</v>
      </c>
      <c r="BZ2477" s="3" t="s">
        <v>165</v>
      </c>
      <c r="CC2477" s="3" t="s">
        <v>95</v>
      </c>
      <c r="CD2477" s="3">
        <v>3201</v>
      </c>
      <c r="CE2477" s="3" t="s">
        <v>86</v>
      </c>
      <c r="CI2477" s="3">
        <v>1</v>
      </c>
      <c r="CJ2477" s="3">
        <v>1</v>
      </c>
      <c r="CK2477" s="3">
        <v>21</v>
      </c>
      <c r="CL2477" s="3" t="s">
        <v>87</v>
      </c>
    </row>
    <row r="2478" spans="1:90" x14ac:dyDescent="0.2">
      <c r="A2478" s="3" t="s">
        <v>72</v>
      </c>
      <c r="B2478" s="3" t="s">
        <v>73</v>
      </c>
      <c r="C2478" s="3" t="s">
        <v>74</v>
      </c>
      <c r="E2478" s="3" t="str">
        <f>"FES1162847253"</f>
        <v>FES1162847253</v>
      </c>
      <c r="F2478" s="4">
        <v>44588</v>
      </c>
      <c r="G2478" s="3">
        <v>202207</v>
      </c>
      <c r="H2478" s="3" t="s">
        <v>75</v>
      </c>
      <c r="I2478" s="3" t="s">
        <v>76</v>
      </c>
      <c r="J2478" s="3" t="s">
        <v>77</v>
      </c>
      <c r="K2478" s="3" t="s">
        <v>78</v>
      </c>
      <c r="L2478" s="3" t="s">
        <v>94</v>
      </c>
      <c r="M2478" s="3" t="s">
        <v>95</v>
      </c>
      <c r="N2478" s="3" t="s">
        <v>1642</v>
      </c>
      <c r="O2478" s="3" t="s">
        <v>82</v>
      </c>
      <c r="P2478" s="3" t="str">
        <f>"2170816949                    "</f>
        <v xml:space="preserve">2170816949                    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15.46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0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3">
        <v>0</v>
      </c>
      <c r="AY2478" s="3">
        <v>0</v>
      </c>
      <c r="AZ2478" s="3">
        <v>0</v>
      </c>
      <c r="BA2478" s="3">
        <v>0</v>
      </c>
      <c r="BB2478" s="3">
        <v>0</v>
      </c>
      <c r="BC2478" s="3">
        <v>0</v>
      </c>
      <c r="BD2478" s="3">
        <v>0</v>
      </c>
      <c r="BE2478" s="3">
        <v>0</v>
      </c>
      <c r="BF2478" s="3">
        <v>0</v>
      </c>
      <c r="BG2478" s="3">
        <v>0</v>
      </c>
      <c r="BH2478" s="3">
        <v>1</v>
      </c>
      <c r="BI2478" s="3">
        <v>1</v>
      </c>
      <c r="BJ2478" s="3">
        <v>0.2</v>
      </c>
      <c r="BK2478" s="3">
        <v>1</v>
      </c>
      <c r="BL2478" s="3">
        <v>59</v>
      </c>
      <c r="BM2478" s="3">
        <v>8.85</v>
      </c>
      <c r="BN2478" s="3">
        <v>67.849999999999994</v>
      </c>
      <c r="BO2478" s="3">
        <v>67.849999999999994</v>
      </c>
      <c r="BQ2478" s="3" t="s">
        <v>89</v>
      </c>
      <c r="BR2478" s="3" t="s">
        <v>84</v>
      </c>
      <c r="BS2478" s="4">
        <v>44589</v>
      </c>
      <c r="BT2478" s="5">
        <v>0.54166666666666663</v>
      </c>
      <c r="BU2478" s="3" t="s">
        <v>2451</v>
      </c>
      <c r="BV2478" s="3" t="s">
        <v>87</v>
      </c>
      <c r="BY2478" s="3">
        <v>1200</v>
      </c>
      <c r="BZ2478" s="3" t="s">
        <v>165</v>
      </c>
      <c r="CC2478" s="3" t="s">
        <v>95</v>
      </c>
      <c r="CD2478" s="3">
        <v>3201</v>
      </c>
      <c r="CE2478" s="3" t="s">
        <v>93</v>
      </c>
      <c r="CI2478" s="3">
        <v>1</v>
      </c>
      <c r="CJ2478" s="3">
        <v>1</v>
      </c>
      <c r="CK2478" s="3">
        <v>21</v>
      </c>
      <c r="CL2478" s="3" t="s">
        <v>87</v>
      </c>
    </row>
    <row r="2479" spans="1:90" x14ac:dyDescent="0.2">
      <c r="A2479" s="3" t="s">
        <v>72</v>
      </c>
      <c r="B2479" s="3" t="s">
        <v>73</v>
      </c>
      <c r="C2479" s="3" t="s">
        <v>74</v>
      </c>
      <c r="E2479" s="3" t="str">
        <f>"FES1162847260"</f>
        <v>FES1162847260</v>
      </c>
      <c r="F2479" s="4">
        <v>44588</v>
      </c>
      <c r="G2479" s="3">
        <v>202207</v>
      </c>
      <c r="H2479" s="3" t="s">
        <v>75</v>
      </c>
      <c r="I2479" s="3" t="s">
        <v>76</v>
      </c>
      <c r="J2479" s="3" t="s">
        <v>77</v>
      </c>
      <c r="K2479" s="3" t="s">
        <v>78</v>
      </c>
      <c r="L2479" s="3" t="s">
        <v>171</v>
      </c>
      <c r="M2479" s="3" t="s">
        <v>172</v>
      </c>
      <c r="N2479" s="3" t="s">
        <v>329</v>
      </c>
      <c r="O2479" s="3" t="s">
        <v>82</v>
      </c>
      <c r="P2479" s="3" t="str">
        <f>"2170801968                    "</f>
        <v xml:space="preserve">2170801968                    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15.46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0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3">
        <v>0</v>
      </c>
      <c r="AY2479" s="3">
        <v>0</v>
      </c>
      <c r="AZ2479" s="3">
        <v>0</v>
      </c>
      <c r="BA2479" s="3">
        <v>0</v>
      </c>
      <c r="BB2479" s="3">
        <v>0</v>
      </c>
      <c r="BC2479" s="3">
        <v>0</v>
      </c>
      <c r="BD2479" s="3">
        <v>0</v>
      </c>
      <c r="BE2479" s="3">
        <v>0</v>
      </c>
      <c r="BF2479" s="3">
        <v>0</v>
      </c>
      <c r="BG2479" s="3">
        <v>0</v>
      </c>
      <c r="BH2479" s="3">
        <v>1</v>
      </c>
      <c r="BI2479" s="3">
        <v>1</v>
      </c>
      <c r="BJ2479" s="3">
        <v>0.2</v>
      </c>
      <c r="BK2479" s="3">
        <v>1</v>
      </c>
      <c r="BL2479" s="3">
        <v>59</v>
      </c>
      <c r="BM2479" s="3">
        <v>8.85</v>
      </c>
      <c r="BN2479" s="3">
        <v>67.849999999999994</v>
      </c>
      <c r="BO2479" s="3">
        <v>67.849999999999994</v>
      </c>
      <c r="BQ2479" s="3" t="s">
        <v>83</v>
      </c>
      <c r="BR2479" s="3" t="s">
        <v>84</v>
      </c>
      <c r="BS2479" s="4">
        <v>44589</v>
      </c>
      <c r="BT2479" s="5">
        <v>0.31111111111111112</v>
      </c>
      <c r="BU2479" s="3" t="s">
        <v>330</v>
      </c>
      <c r="BV2479" s="3" t="s">
        <v>105</v>
      </c>
      <c r="BY2479" s="3">
        <v>1200</v>
      </c>
      <c r="BZ2479" s="3" t="s">
        <v>165</v>
      </c>
      <c r="CA2479" s="3" t="s">
        <v>331</v>
      </c>
      <c r="CC2479" s="3" t="s">
        <v>172</v>
      </c>
      <c r="CD2479" s="3">
        <v>6001</v>
      </c>
      <c r="CE2479" s="3" t="s">
        <v>93</v>
      </c>
      <c r="CF2479" s="4">
        <v>44589</v>
      </c>
      <c r="CI2479" s="3">
        <v>1</v>
      </c>
      <c r="CJ2479" s="3">
        <v>1</v>
      </c>
      <c r="CK2479" s="3">
        <v>21</v>
      </c>
      <c r="CL2479" s="3" t="s">
        <v>87</v>
      </c>
    </row>
    <row r="2480" spans="1:90" x14ac:dyDescent="0.2">
      <c r="A2480" s="3" t="s">
        <v>72</v>
      </c>
      <c r="B2480" s="3" t="s">
        <v>73</v>
      </c>
      <c r="C2480" s="3" t="s">
        <v>74</v>
      </c>
      <c r="E2480" s="3" t="str">
        <f>"FES1162847331"</f>
        <v>FES1162847331</v>
      </c>
      <c r="F2480" s="4">
        <v>44588</v>
      </c>
      <c r="G2480" s="3">
        <v>202207</v>
      </c>
      <c r="H2480" s="3" t="s">
        <v>75</v>
      </c>
      <c r="I2480" s="3" t="s">
        <v>76</v>
      </c>
      <c r="J2480" s="3" t="s">
        <v>77</v>
      </c>
      <c r="K2480" s="3" t="s">
        <v>78</v>
      </c>
      <c r="L2480" s="3" t="s">
        <v>2452</v>
      </c>
      <c r="M2480" s="3" t="s">
        <v>2453</v>
      </c>
      <c r="N2480" s="3" t="s">
        <v>2454</v>
      </c>
      <c r="O2480" s="3" t="s">
        <v>82</v>
      </c>
      <c r="P2480" s="3" t="str">
        <f>"2170818573                    "</f>
        <v xml:space="preserve">2170818573                    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29.95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0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3">
        <v>0</v>
      </c>
      <c r="AY2480" s="3">
        <v>0</v>
      </c>
      <c r="AZ2480" s="3">
        <v>0</v>
      </c>
      <c r="BA2480" s="3">
        <v>0</v>
      </c>
      <c r="BB2480" s="3">
        <v>0</v>
      </c>
      <c r="BC2480" s="3">
        <v>0</v>
      </c>
      <c r="BD2480" s="3">
        <v>0</v>
      </c>
      <c r="BE2480" s="3">
        <v>0</v>
      </c>
      <c r="BF2480" s="3">
        <v>0</v>
      </c>
      <c r="BG2480" s="3">
        <v>0</v>
      </c>
      <c r="BH2480" s="3">
        <v>1</v>
      </c>
      <c r="BI2480" s="3">
        <v>1</v>
      </c>
      <c r="BJ2480" s="3">
        <v>0.2</v>
      </c>
      <c r="BK2480" s="3">
        <v>1</v>
      </c>
      <c r="BL2480" s="3">
        <v>114.31</v>
      </c>
      <c r="BM2480" s="3">
        <v>17.149999999999999</v>
      </c>
      <c r="BN2480" s="3">
        <v>131.46</v>
      </c>
      <c r="BO2480" s="3">
        <v>131.46</v>
      </c>
      <c r="BQ2480" s="3" t="s">
        <v>89</v>
      </c>
      <c r="BR2480" s="3" t="s">
        <v>84</v>
      </c>
      <c r="BS2480" s="3" t="s">
        <v>85</v>
      </c>
      <c r="BY2480" s="3">
        <v>1200</v>
      </c>
      <c r="BZ2480" s="3" t="s">
        <v>165</v>
      </c>
      <c r="CC2480" s="3" t="s">
        <v>2453</v>
      </c>
      <c r="CD2480" s="3">
        <v>3760</v>
      </c>
      <c r="CE2480" s="3" t="s">
        <v>93</v>
      </c>
      <c r="CI2480" s="3">
        <v>5</v>
      </c>
      <c r="CJ2480" s="3" t="s">
        <v>85</v>
      </c>
      <c r="CK2480" s="3">
        <v>23</v>
      </c>
      <c r="CL2480" s="3" t="s">
        <v>87</v>
      </c>
    </row>
    <row r="2481" spans="1:90" x14ac:dyDescent="0.2">
      <c r="A2481" s="3" t="s">
        <v>72</v>
      </c>
      <c r="B2481" s="3" t="s">
        <v>73</v>
      </c>
      <c r="C2481" s="3" t="s">
        <v>74</v>
      </c>
      <c r="E2481" s="3" t="str">
        <f>"FES1162847237"</f>
        <v>FES1162847237</v>
      </c>
      <c r="F2481" s="4">
        <v>44588</v>
      </c>
      <c r="G2481" s="3">
        <v>202207</v>
      </c>
      <c r="H2481" s="3" t="s">
        <v>75</v>
      </c>
      <c r="I2481" s="3" t="s">
        <v>76</v>
      </c>
      <c r="J2481" s="3" t="s">
        <v>77</v>
      </c>
      <c r="K2481" s="3" t="s">
        <v>78</v>
      </c>
      <c r="L2481" s="3" t="s">
        <v>97</v>
      </c>
      <c r="M2481" s="3" t="s">
        <v>98</v>
      </c>
      <c r="N2481" s="3" t="s">
        <v>943</v>
      </c>
      <c r="O2481" s="3" t="s">
        <v>82</v>
      </c>
      <c r="P2481" s="3" t="str">
        <f>"2170817011                    "</f>
        <v xml:space="preserve">2170817011                    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12.07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0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3">
        <v>0</v>
      </c>
      <c r="AY2481" s="3">
        <v>0</v>
      </c>
      <c r="AZ2481" s="3">
        <v>0</v>
      </c>
      <c r="BA2481" s="3">
        <v>0</v>
      </c>
      <c r="BB2481" s="3">
        <v>0</v>
      </c>
      <c r="BC2481" s="3">
        <v>0</v>
      </c>
      <c r="BD2481" s="3">
        <v>0</v>
      </c>
      <c r="BE2481" s="3">
        <v>0</v>
      </c>
      <c r="BF2481" s="3">
        <v>0</v>
      </c>
      <c r="BG2481" s="3">
        <v>0</v>
      </c>
      <c r="BH2481" s="3">
        <v>1</v>
      </c>
      <c r="BI2481" s="3">
        <v>1</v>
      </c>
      <c r="BJ2481" s="3">
        <v>0.2</v>
      </c>
      <c r="BK2481" s="3">
        <v>1</v>
      </c>
      <c r="BL2481" s="3">
        <v>46.08</v>
      </c>
      <c r="BM2481" s="3">
        <v>6.91</v>
      </c>
      <c r="BN2481" s="3">
        <v>52.99</v>
      </c>
      <c r="BO2481" s="3">
        <v>52.99</v>
      </c>
      <c r="BQ2481" s="3" t="s">
        <v>89</v>
      </c>
      <c r="BR2481" s="3" t="s">
        <v>84</v>
      </c>
      <c r="BS2481" s="4">
        <v>44589</v>
      </c>
      <c r="BT2481" s="5">
        <v>0.32708333333333334</v>
      </c>
      <c r="BU2481" s="3" t="s">
        <v>1374</v>
      </c>
      <c r="BV2481" s="3" t="s">
        <v>105</v>
      </c>
      <c r="BY2481" s="3">
        <v>1200</v>
      </c>
      <c r="BZ2481" s="3" t="s">
        <v>165</v>
      </c>
      <c r="CA2481" s="3" t="s">
        <v>297</v>
      </c>
      <c r="CC2481" s="3" t="s">
        <v>98</v>
      </c>
      <c r="CD2481" s="3">
        <v>2013</v>
      </c>
      <c r="CE2481" s="3" t="s">
        <v>86</v>
      </c>
      <c r="CF2481" s="4">
        <v>44590</v>
      </c>
      <c r="CI2481" s="3">
        <v>1</v>
      </c>
      <c r="CJ2481" s="3">
        <v>1</v>
      </c>
      <c r="CK2481" s="3">
        <v>22</v>
      </c>
      <c r="CL2481" s="3" t="s">
        <v>87</v>
      </c>
    </row>
    <row r="2482" spans="1:90" x14ac:dyDescent="0.2">
      <c r="A2482" s="3" t="s">
        <v>72</v>
      </c>
      <c r="B2482" s="3" t="s">
        <v>73</v>
      </c>
      <c r="C2482" s="3" t="s">
        <v>74</v>
      </c>
      <c r="E2482" s="3" t="str">
        <f>"FES1162847242"</f>
        <v>FES1162847242</v>
      </c>
      <c r="F2482" s="4">
        <v>44588</v>
      </c>
      <c r="G2482" s="3">
        <v>202207</v>
      </c>
      <c r="H2482" s="3" t="s">
        <v>75</v>
      </c>
      <c r="I2482" s="3" t="s">
        <v>76</v>
      </c>
      <c r="J2482" s="3" t="s">
        <v>77</v>
      </c>
      <c r="K2482" s="3" t="s">
        <v>78</v>
      </c>
      <c r="L2482" s="3" t="s">
        <v>90</v>
      </c>
      <c r="M2482" s="3" t="s">
        <v>91</v>
      </c>
      <c r="N2482" s="3" t="s">
        <v>541</v>
      </c>
      <c r="O2482" s="3" t="s">
        <v>82</v>
      </c>
      <c r="P2482" s="3" t="str">
        <f>"2170817127                    "</f>
        <v xml:space="preserve">2170817127                    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15.46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3">
        <v>0</v>
      </c>
      <c r="AY2482" s="3">
        <v>0</v>
      </c>
      <c r="AZ2482" s="3">
        <v>0</v>
      </c>
      <c r="BA2482" s="3">
        <v>0</v>
      </c>
      <c r="BB2482" s="3">
        <v>0</v>
      </c>
      <c r="BC2482" s="3">
        <v>0</v>
      </c>
      <c r="BD2482" s="3">
        <v>0</v>
      </c>
      <c r="BE2482" s="3">
        <v>0</v>
      </c>
      <c r="BF2482" s="3">
        <v>0</v>
      </c>
      <c r="BG2482" s="3">
        <v>0</v>
      </c>
      <c r="BH2482" s="3">
        <v>1</v>
      </c>
      <c r="BI2482" s="3">
        <v>1</v>
      </c>
      <c r="BJ2482" s="3">
        <v>0.2</v>
      </c>
      <c r="BK2482" s="3">
        <v>1</v>
      </c>
      <c r="BL2482" s="3">
        <v>59</v>
      </c>
      <c r="BM2482" s="3">
        <v>8.85</v>
      </c>
      <c r="BN2482" s="3">
        <v>67.849999999999994</v>
      </c>
      <c r="BO2482" s="3">
        <v>67.849999999999994</v>
      </c>
      <c r="BQ2482" s="3" t="s">
        <v>89</v>
      </c>
      <c r="BR2482" s="3" t="s">
        <v>84</v>
      </c>
      <c r="BS2482" s="4">
        <v>44589</v>
      </c>
      <c r="BT2482" s="5">
        <v>0.41180555555555554</v>
      </c>
      <c r="BU2482" s="3" t="s">
        <v>2447</v>
      </c>
      <c r="BV2482" s="3" t="s">
        <v>105</v>
      </c>
      <c r="BY2482" s="3">
        <v>1200</v>
      </c>
      <c r="BZ2482" s="3" t="s">
        <v>165</v>
      </c>
      <c r="CA2482" s="3" t="s">
        <v>543</v>
      </c>
      <c r="CC2482" s="3" t="s">
        <v>91</v>
      </c>
      <c r="CD2482" s="3">
        <v>7561</v>
      </c>
      <c r="CE2482" s="3" t="s">
        <v>93</v>
      </c>
      <c r="CI2482" s="3">
        <v>1</v>
      </c>
      <c r="CJ2482" s="3">
        <v>1</v>
      </c>
      <c r="CK2482" s="3">
        <v>21</v>
      </c>
      <c r="CL2482" s="3" t="s">
        <v>87</v>
      </c>
    </row>
    <row r="2483" spans="1:90" x14ac:dyDescent="0.2">
      <c r="A2483" s="3" t="s">
        <v>72</v>
      </c>
      <c r="B2483" s="3" t="s">
        <v>73</v>
      </c>
      <c r="C2483" s="3" t="s">
        <v>74</v>
      </c>
      <c r="E2483" s="3" t="str">
        <f>"FES1162847301"</f>
        <v>FES1162847301</v>
      </c>
      <c r="F2483" s="4">
        <v>44588</v>
      </c>
      <c r="G2483" s="3">
        <v>202207</v>
      </c>
      <c r="H2483" s="3" t="s">
        <v>75</v>
      </c>
      <c r="I2483" s="3" t="s">
        <v>76</v>
      </c>
      <c r="J2483" s="3" t="s">
        <v>77</v>
      </c>
      <c r="K2483" s="3" t="s">
        <v>78</v>
      </c>
      <c r="L2483" s="3" t="s">
        <v>79</v>
      </c>
      <c r="M2483" s="3" t="s">
        <v>80</v>
      </c>
      <c r="N2483" s="3" t="s">
        <v>2170</v>
      </c>
      <c r="O2483" s="3" t="s">
        <v>82</v>
      </c>
      <c r="P2483" s="3" t="str">
        <f>"2170816689                    "</f>
        <v xml:space="preserve">2170816689                    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15.46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0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3">
        <v>0</v>
      </c>
      <c r="AY2483" s="3">
        <v>0</v>
      </c>
      <c r="AZ2483" s="3">
        <v>0</v>
      </c>
      <c r="BA2483" s="3">
        <v>0</v>
      </c>
      <c r="BB2483" s="3">
        <v>0</v>
      </c>
      <c r="BC2483" s="3">
        <v>0</v>
      </c>
      <c r="BD2483" s="3">
        <v>0</v>
      </c>
      <c r="BE2483" s="3">
        <v>0</v>
      </c>
      <c r="BF2483" s="3">
        <v>0</v>
      </c>
      <c r="BG2483" s="3">
        <v>0</v>
      </c>
      <c r="BH2483" s="3">
        <v>1</v>
      </c>
      <c r="BI2483" s="3">
        <v>1</v>
      </c>
      <c r="BJ2483" s="3">
        <v>0.2</v>
      </c>
      <c r="BK2483" s="3">
        <v>1</v>
      </c>
      <c r="BL2483" s="3">
        <v>59</v>
      </c>
      <c r="BM2483" s="3">
        <v>8.85</v>
      </c>
      <c r="BN2483" s="3">
        <v>67.849999999999994</v>
      </c>
      <c r="BO2483" s="3">
        <v>67.849999999999994</v>
      </c>
      <c r="BQ2483" s="3" t="s">
        <v>89</v>
      </c>
      <c r="BR2483" s="3" t="s">
        <v>84</v>
      </c>
      <c r="BS2483" s="4">
        <v>44589</v>
      </c>
      <c r="BT2483" s="5">
        <v>0.43402777777777773</v>
      </c>
      <c r="BU2483" s="3" t="s">
        <v>2455</v>
      </c>
      <c r="BV2483" s="3" t="s">
        <v>105</v>
      </c>
      <c r="BY2483" s="3">
        <v>1200</v>
      </c>
      <c r="BZ2483" s="3" t="s">
        <v>165</v>
      </c>
      <c r="CA2483" s="3" t="s">
        <v>328</v>
      </c>
      <c r="CC2483" s="3" t="s">
        <v>80</v>
      </c>
      <c r="CD2483" s="3">
        <v>200</v>
      </c>
      <c r="CE2483" s="3" t="s">
        <v>93</v>
      </c>
      <c r="CF2483" s="4">
        <v>44589</v>
      </c>
      <c r="CI2483" s="3">
        <v>1</v>
      </c>
      <c r="CJ2483" s="3">
        <v>1</v>
      </c>
      <c r="CK2483" s="3">
        <v>21</v>
      </c>
      <c r="CL2483" s="3" t="s">
        <v>87</v>
      </c>
    </row>
    <row r="2484" spans="1:90" x14ac:dyDescent="0.2">
      <c r="A2484" s="3" t="s">
        <v>72</v>
      </c>
      <c r="B2484" s="3" t="s">
        <v>73</v>
      </c>
      <c r="C2484" s="3" t="s">
        <v>74</v>
      </c>
      <c r="E2484" s="3" t="str">
        <f>"FES1162847354"</f>
        <v>FES1162847354</v>
      </c>
      <c r="F2484" s="4">
        <v>44588</v>
      </c>
      <c r="G2484" s="3">
        <v>202207</v>
      </c>
      <c r="H2484" s="3" t="s">
        <v>75</v>
      </c>
      <c r="I2484" s="3" t="s">
        <v>76</v>
      </c>
      <c r="J2484" s="3" t="s">
        <v>77</v>
      </c>
      <c r="K2484" s="3" t="s">
        <v>78</v>
      </c>
      <c r="L2484" s="3" t="s">
        <v>158</v>
      </c>
      <c r="M2484" s="3" t="s">
        <v>159</v>
      </c>
      <c r="N2484" s="3" t="s">
        <v>223</v>
      </c>
      <c r="O2484" s="3" t="s">
        <v>82</v>
      </c>
      <c r="P2484" s="3" t="str">
        <f>"2170818603                    "</f>
        <v xml:space="preserve">2170818603                    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12.07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0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3">
        <v>0</v>
      </c>
      <c r="AY2484" s="3">
        <v>0</v>
      </c>
      <c r="AZ2484" s="3">
        <v>0</v>
      </c>
      <c r="BA2484" s="3">
        <v>0</v>
      </c>
      <c r="BB2484" s="3">
        <v>0</v>
      </c>
      <c r="BC2484" s="3">
        <v>0</v>
      </c>
      <c r="BD2484" s="3">
        <v>0</v>
      </c>
      <c r="BE2484" s="3">
        <v>0</v>
      </c>
      <c r="BF2484" s="3">
        <v>0</v>
      </c>
      <c r="BG2484" s="3">
        <v>0</v>
      </c>
      <c r="BH2484" s="3">
        <v>1</v>
      </c>
      <c r="BI2484" s="3">
        <v>1</v>
      </c>
      <c r="BJ2484" s="3">
        <v>0.2</v>
      </c>
      <c r="BK2484" s="3">
        <v>1</v>
      </c>
      <c r="BL2484" s="3">
        <v>46.08</v>
      </c>
      <c r="BM2484" s="3">
        <v>6.91</v>
      </c>
      <c r="BN2484" s="3">
        <v>52.99</v>
      </c>
      <c r="BO2484" s="3">
        <v>52.99</v>
      </c>
      <c r="BQ2484" s="3" t="s">
        <v>89</v>
      </c>
      <c r="BR2484" s="3" t="s">
        <v>84</v>
      </c>
      <c r="BS2484" s="4">
        <v>44589</v>
      </c>
      <c r="BT2484" s="5">
        <v>0.52986111111111112</v>
      </c>
      <c r="BU2484" s="3" t="s">
        <v>2456</v>
      </c>
      <c r="BV2484" s="3" t="s">
        <v>87</v>
      </c>
      <c r="BW2484" s="3" t="s">
        <v>353</v>
      </c>
      <c r="BX2484" s="3" t="s">
        <v>618</v>
      </c>
      <c r="BY2484" s="3">
        <v>1200</v>
      </c>
      <c r="BZ2484" s="3" t="s">
        <v>165</v>
      </c>
      <c r="CA2484" s="3" t="s">
        <v>678</v>
      </c>
      <c r="CC2484" s="3" t="s">
        <v>159</v>
      </c>
      <c r="CD2484" s="3">
        <v>1459</v>
      </c>
      <c r="CE2484" s="3" t="s">
        <v>86</v>
      </c>
      <c r="CI2484" s="3">
        <v>1</v>
      </c>
      <c r="CJ2484" s="3">
        <v>1</v>
      </c>
      <c r="CK2484" s="3">
        <v>22</v>
      </c>
      <c r="CL2484" s="3" t="s">
        <v>87</v>
      </c>
    </row>
    <row r="2485" spans="1:90" x14ac:dyDescent="0.2">
      <c r="A2485" s="3" t="s">
        <v>72</v>
      </c>
      <c r="B2485" s="3" t="s">
        <v>73</v>
      </c>
      <c r="C2485" s="3" t="s">
        <v>74</v>
      </c>
      <c r="E2485" s="3" t="str">
        <f>"FES1162847196"</f>
        <v>FES1162847196</v>
      </c>
      <c r="F2485" s="4">
        <v>44588</v>
      </c>
      <c r="G2485" s="3">
        <v>202207</v>
      </c>
      <c r="H2485" s="3" t="s">
        <v>75</v>
      </c>
      <c r="I2485" s="3" t="s">
        <v>76</v>
      </c>
      <c r="J2485" s="3" t="s">
        <v>77</v>
      </c>
      <c r="K2485" s="3" t="s">
        <v>78</v>
      </c>
      <c r="L2485" s="3" t="s">
        <v>167</v>
      </c>
      <c r="M2485" s="3" t="s">
        <v>168</v>
      </c>
      <c r="N2485" s="3" t="s">
        <v>2015</v>
      </c>
      <c r="O2485" s="3" t="s">
        <v>82</v>
      </c>
      <c r="P2485" s="3" t="str">
        <f>"2170818502                    "</f>
        <v xml:space="preserve">2170818502                    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38.630000000000003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0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3">
        <v>0</v>
      </c>
      <c r="AY2485" s="3">
        <v>0</v>
      </c>
      <c r="AZ2485" s="3">
        <v>0</v>
      </c>
      <c r="BA2485" s="3">
        <v>0</v>
      </c>
      <c r="BB2485" s="3">
        <v>0</v>
      </c>
      <c r="BC2485" s="3">
        <v>0</v>
      </c>
      <c r="BD2485" s="3">
        <v>0</v>
      </c>
      <c r="BE2485" s="3">
        <v>0</v>
      </c>
      <c r="BF2485" s="3">
        <v>0</v>
      </c>
      <c r="BG2485" s="3">
        <v>0</v>
      </c>
      <c r="BH2485" s="3">
        <v>1</v>
      </c>
      <c r="BI2485" s="3">
        <v>5</v>
      </c>
      <c r="BJ2485" s="3">
        <v>4.0999999999999996</v>
      </c>
      <c r="BK2485" s="3">
        <v>5</v>
      </c>
      <c r="BL2485" s="3">
        <v>147.44999999999999</v>
      </c>
      <c r="BM2485" s="3">
        <v>22.12</v>
      </c>
      <c r="BN2485" s="3">
        <v>169.57</v>
      </c>
      <c r="BO2485" s="3">
        <v>169.57</v>
      </c>
      <c r="BQ2485" s="3" t="s">
        <v>126</v>
      </c>
      <c r="BR2485" s="3" t="s">
        <v>84</v>
      </c>
      <c r="BS2485" s="4">
        <v>44589</v>
      </c>
      <c r="BT2485" s="5">
        <v>0.3659722222222222</v>
      </c>
      <c r="BU2485" s="3" t="s">
        <v>2457</v>
      </c>
      <c r="BV2485" s="3" t="s">
        <v>105</v>
      </c>
      <c r="BY2485" s="3">
        <v>20358</v>
      </c>
      <c r="BZ2485" s="3" t="s">
        <v>165</v>
      </c>
      <c r="CA2485" s="3" t="s">
        <v>553</v>
      </c>
      <c r="CC2485" s="3" t="s">
        <v>168</v>
      </c>
      <c r="CD2485" s="3">
        <v>6229</v>
      </c>
      <c r="CE2485" s="3" t="s">
        <v>86</v>
      </c>
      <c r="CF2485" s="4">
        <v>44589</v>
      </c>
      <c r="CI2485" s="3">
        <v>1</v>
      </c>
      <c r="CJ2485" s="3">
        <v>1</v>
      </c>
      <c r="CK2485" s="3">
        <v>21</v>
      </c>
      <c r="CL2485" s="3" t="s">
        <v>87</v>
      </c>
    </row>
    <row r="2486" spans="1:90" x14ac:dyDescent="0.2">
      <c r="A2486" s="3" t="s">
        <v>72</v>
      </c>
      <c r="B2486" s="3" t="s">
        <v>73</v>
      </c>
      <c r="C2486" s="3" t="s">
        <v>74</v>
      </c>
      <c r="E2486" s="3" t="str">
        <f>"FES1162847200"</f>
        <v>FES1162847200</v>
      </c>
      <c r="F2486" s="4">
        <v>44588</v>
      </c>
      <c r="G2486" s="3">
        <v>202207</v>
      </c>
      <c r="H2486" s="3" t="s">
        <v>75</v>
      </c>
      <c r="I2486" s="3" t="s">
        <v>76</v>
      </c>
      <c r="J2486" s="3" t="s">
        <v>77</v>
      </c>
      <c r="K2486" s="3" t="s">
        <v>78</v>
      </c>
      <c r="L2486" s="3" t="s">
        <v>101</v>
      </c>
      <c r="M2486" s="3" t="s">
        <v>102</v>
      </c>
      <c r="N2486" s="3" t="s">
        <v>935</v>
      </c>
      <c r="O2486" s="3" t="s">
        <v>82</v>
      </c>
      <c r="P2486" s="3" t="str">
        <f>"2170818508                    "</f>
        <v xml:space="preserve">2170818508                    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15.46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0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3">
        <v>0</v>
      </c>
      <c r="AY2486" s="3">
        <v>0</v>
      </c>
      <c r="AZ2486" s="3">
        <v>0</v>
      </c>
      <c r="BA2486" s="3">
        <v>0</v>
      </c>
      <c r="BB2486" s="3">
        <v>0</v>
      </c>
      <c r="BC2486" s="3">
        <v>0</v>
      </c>
      <c r="BD2486" s="3">
        <v>0</v>
      </c>
      <c r="BE2486" s="3">
        <v>0</v>
      </c>
      <c r="BF2486" s="3">
        <v>0</v>
      </c>
      <c r="BG2486" s="3">
        <v>0</v>
      </c>
      <c r="BH2486" s="3">
        <v>1</v>
      </c>
      <c r="BI2486" s="3">
        <v>1</v>
      </c>
      <c r="BJ2486" s="3">
        <v>0.2</v>
      </c>
      <c r="BK2486" s="3">
        <v>1</v>
      </c>
      <c r="BL2486" s="3">
        <v>59</v>
      </c>
      <c r="BM2486" s="3">
        <v>8.85</v>
      </c>
      <c r="BN2486" s="3">
        <v>67.849999999999994</v>
      </c>
      <c r="BO2486" s="3">
        <v>67.849999999999994</v>
      </c>
      <c r="BQ2486" s="3" t="s">
        <v>89</v>
      </c>
      <c r="BR2486" s="3" t="s">
        <v>84</v>
      </c>
      <c r="BS2486" s="4">
        <v>44589</v>
      </c>
      <c r="BT2486" s="5">
        <v>0.35833333333333334</v>
      </c>
      <c r="BU2486" s="3" t="s">
        <v>2458</v>
      </c>
      <c r="BV2486" s="3" t="s">
        <v>105</v>
      </c>
      <c r="BY2486" s="3">
        <v>1200</v>
      </c>
      <c r="BZ2486" s="3" t="s">
        <v>165</v>
      </c>
      <c r="CA2486" s="3" t="s">
        <v>1040</v>
      </c>
      <c r="CC2486" s="3" t="s">
        <v>102</v>
      </c>
      <c r="CD2486" s="3">
        <v>4001</v>
      </c>
      <c r="CE2486" s="3" t="s">
        <v>93</v>
      </c>
      <c r="CI2486" s="3">
        <v>1</v>
      </c>
      <c r="CJ2486" s="3">
        <v>1</v>
      </c>
      <c r="CK2486" s="3">
        <v>21</v>
      </c>
      <c r="CL2486" s="3" t="s">
        <v>87</v>
      </c>
    </row>
    <row r="2487" spans="1:90" x14ac:dyDescent="0.2">
      <c r="A2487" s="3" t="s">
        <v>72</v>
      </c>
      <c r="B2487" s="3" t="s">
        <v>73</v>
      </c>
      <c r="C2487" s="3" t="s">
        <v>74</v>
      </c>
      <c r="E2487" s="3" t="str">
        <f>"FES1162847226"</f>
        <v>FES1162847226</v>
      </c>
      <c r="F2487" s="4">
        <v>44588</v>
      </c>
      <c r="G2487" s="3">
        <v>202207</v>
      </c>
      <c r="H2487" s="3" t="s">
        <v>75</v>
      </c>
      <c r="I2487" s="3" t="s">
        <v>76</v>
      </c>
      <c r="J2487" s="3" t="s">
        <v>77</v>
      </c>
      <c r="K2487" s="3" t="s">
        <v>78</v>
      </c>
      <c r="L2487" s="3" t="s">
        <v>90</v>
      </c>
      <c r="M2487" s="3" t="s">
        <v>91</v>
      </c>
      <c r="N2487" s="3" t="s">
        <v>584</v>
      </c>
      <c r="O2487" s="3" t="s">
        <v>82</v>
      </c>
      <c r="P2487" s="3" t="str">
        <f>"2170814697                    "</f>
        <v xml:space="preserve">2170814697                    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15.46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0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3">
        <v>0</v>
      </c>
      <c r="AY2487" s="3">
        <v>0</v>
      </c>
      <c r="AZ2487" s="3">
        <v>0</v>
      </c>
      <c r="BA2487" s="3">
        <v>0</v>
      </c>
      <c r="BB2487" s="3">
        <v>0</v>
      </c>
      <c r="BC2487" s="3">
        <v>0</v>
      </c>
      <c r="BD2487" s="3">
        <v>0</v>
      </c>
      <c r="BE2487" s="3">
        <v>0</v>
      </c>
      <c r="BF2487" s="3">
        <v>0</v>
      </c>
      <c r="BG2487" s="3">
        <v>0</v>
      </c>
      <c r="BH2487" s="3">
        <v>1</v>
      </c>
      <c r="BI2487" s="3">
        <v>1</v>
      </c>
      <c r="BJ2487" s="3">
        <v>0.2</v>
      </c>
      <c r="BK2487" s="3">
        <v>1</v>
      </c>
      <c r="BL2487" s="3">
        <v>59</v>
      </c>
      <c r="BM2487" s="3">
        <v>8.85</v>
      </c>
      <c r="BN2487" s="3">
        <v>67.849999999999994</v>
      </c>
      <c r="BO2487" s="3">
        <v>67.849999999999994</v>
      </c>
      <c r="BQ2487" s="3" t="s">
        <v>83</v>
      </c>
      <c r="BR2487" s="3" t="s">
        <v>84</v>
      </c>
      <c r="BS2487" s="4">
        <v>44589</v>
      </c>
      <c r="BT2487" s="5">
        <v>0.33124999999999999</v>
      </c>
      <c r="BU2487" s="3" t="s">
        <v>1656</v>
      </c>
      <c r="BV2487" s="3" t="s">
        <v>105</v>
      </c>
      <c r="BY2487" s="3">
        <v>1200</v>
      </c>
      <c r="BZ2487" s="3" t="s">
        <v>165</v>
      </c>
      <c r="CA2487" s="3" t="s">
        <v>543</v>
      </c>
      <c r="CC2487" s="3" t="s">
        <v>91</v>
      </c>
      <c r="CD2487" s="3">
        <v>7530</v>
      </c>
      <c r="CE2487" s="3" t="s">
        <v>93</v>
      </c>
      <c r="CI2487" s="3">
        <v>1</v>
      </c>
      <c r="CJ2487" s="3">
        <v>1</v>
      </c>
      <c r="CK2487" s="3">
        <v>21</v>
      </c>
      <c r="CL2487" s="3" t="s">
        <v>87</v>
      </c>
    </row>
    <row r="2488" spans="1:90" x14ac:dyDescent="0.2">
      <c r="A2488" s="3" t="s">
        <v>72</v>
      </c>
      <c r="B2488" s="3" t="s">
        <v>73</v>
      </c>
      <c r="C2488" s="3" t="s">
        <v>74</v>
      </c>
      <c r="E2488" s="3" t="str">
        <f>"FES1162847188"</f>
        <v>FES1162847188</v>
      </c>
      <c r="F2488" s="4">
        <v>44588</v>
      </c>
      <c r="G2488" s="3">
        <v>202207</v>
      </c>
      <c r="H2488" s="3" t="s">
        <v>75</v>
      </c>
      <c r="I2488" s="3" t="s">
        <v>76</v>
      </c>
      <c r="J2488" s="3" t="s">
        <v>77</v>
      </c>
      <c r="K2488" s="3" t="s">
        <v>78</v>
      </c>
      <c r="L2488" s="3" t="s">
        <v>90</v>
      </c>
      <c r="M2488" s="3" t="s">
        <v>91</v>
      </c>
      <c r="N2488" s="3" t="s">
        <v>541</v>
      </c>
      <c r="O2488" s="3" t="s">
        <v>82</v>
      </c>
      <c r="P2488" s="3" t="str">
        <f>"2170817255                    "</f>
        <v xml:space="preserve">2170817255                    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15.46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0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3">
        <v>0</v>
      </c>
      <c r="AY2488" s="3">
        <v>0</v>
      </c>
      <c r="AZ2488" s="3">
        <v>0</v>
      </c>
      <c r="BA2488" s="3">
        <v>0</v>
      </c>
      <c r="BB2488" s="3">
        <v>0</v>
      </c>
      <c r="BC2488" s="3">
        <v>0</v>
      </c>
      <c r="BD2488" s="3">
        <v>0</v>
      </c>
      <c r="BE2488" s="3">
        <v>0</v>
      </c>
      <c r="BF2488" s="3">
        <v>0</v>
      </c>
      <c r="BG2488" s="3">
        <v>0</v>
      </c>
      <c r="BH2488" s="3">
        <v>1</v>
      </c>
      <c r="BI2488" s="3">
        <v>1</v>
      </c>
      <c r="BJ2488" s="3">
        <v>0.2</v>
      </c>
      <c r="BK2488" s="3">
        <v>1</v>
      </c>
      <c r="BL2488" s="3">
        <v>59</v>
      </c>
      <c r="BM2488" s="3">
        <v>8.85</v>
      </c>
      <c r="BN2488" s="3">
        <v>67.849999999999994</v>
      </c>
      <c r="BO2488" s="3">
        <v>67.849999999999994</v>
      </c>
      <c r="BQ2488" s="3" t="s">
        <v>89</v>
      </c>
      <c r="BR2488" s="3" t="s">
        <v>84</v>
      </c>
      <c r="BS2488" s="4">
        <v>44589</v>
      </c>
      <c r="BT2488" s="5">
        <v>0.41180555555555554</v>
      </c>
      <c r="BU2488" s="3" t="s">
        <v>2447</v>
      </c>
      <c r="BV2488" s="3" t="s">
        <v>105</v>
      </c>
      <c r="BY2488" s="3">
        <v>1200</v>
      </c>
      <c r="BZ2488" s="3" t="s">
        <v>165</v>
      </c>
      <c r="CA2488" s="3" t="s">
        <v>543</v>
      </c>
      <c r="CC2488" s="3" t="s">
        <v>91</v>
      </c>
      <c r="CD2488" s="3">
        <v>7561</v>
      </c>
      <c r="CE2488" s="3" t="s">
        <v>93</v>
      </c>
      <c r="CI2488" s="3">
        <v>1</v>
      </c>
      <c r="CJ2488" s="3">
        <v>1</v>
      </c>
      <c r="CK2488" s="3">
        <v>21</v>
      </c>
      <c r="CL2488" s="3" t="s">
        <v>87</v>
      </c>
    </row>
    <row r="2489" spans="1:90" x14ac:dyDescent="0.2">
      <c r="A2489" s="3" t="s">
        <v>72</v>
      </c>
      <c r="B2489" s="3" t="s">
        <v>73</v>
      </c>
      <c r="C2489" s="3" t="s">
        <v>74</v>
      </c>
      <c r="E2489" s="3" t="str">
        <f>"FES1162847234"</f>
        <v>FES1162847234</v>
      </c>
      <c r="F2489" s="4">
        <v>44588</v>
      </c>
      <c r="G2489" s="3">
        <v>202207</v>
      </c>
      <c r="H2489" s="3" t="s">
        <v>75</v>
      </c>
      <c r="I2489" s="3" t="s">
        <v>76</v>
      </c>
      <c r="J2489" s="3" t="s">
        <v>77</v>
      </c>
      <c r="K2489" s="3" t="s">
        <v>78</v>
      </c>
      <c r="L2489" s="3" t="s">
        <v>79</v>
      </c>
      <c r="M2489" s="3" t="s">
        <v>80</v>
      </c>
      <c r="N2489" s="3" t="s">
        <v>390</v>
      </c>
      <c r="O2489" s="3" t="s">
        <v>82</v>
      </c>
      <c r="P2489" s="3" t="str">
        <f>"2170816315                    "</f>
        <v xml:space="preserve">2170816315                    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15.46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0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3">
        <v>0</v>
      </c>
      <c r="AY2489" s="3">
        <v>0</v>
      </c>
      <c r="AZ2489" s="3">
        <v>0</v>
      </c>
      <c r="BA2489" s="3">
        <v>0</v>
      </c>
      <c r="BB2489" s="3">
        <v>0</v>
      </c>
      <c r="BC2489" s="3">
        <v>0</v>
      </c>
      <c r="BD2489" s="3">
        <v>0</v>
      </c>
      <c r="BE2489" s="3">
        <v>0</v>
      </c>
      <c r="BF2489" s="3">
        <v>0</v>
      </c>
      <c r="BG2489" s="3">
        <v>0</v>
      </c>
      <c r="BH2489" s="3">
        <v>1</v>
      </c>
      <c r="BI2489" s="3">
        <v>1</v>
      </c>
      <c r="BJ2489" s="3">
        <v>0.2</v>
      </c>
      <c r="BK2489" s="3">
        <v>1</v>
      </c>
      <c r="BL2489" s="3">
        <v>59</v>
      </c>
      <c r="BM2489" s="3">
        <v>8.85</v>
      </c>
      <c r="BN2489" s="3">
        <v>67.849999999999994</v>
      </c>
      <c r="BO2489" s="3">
        <v>67.849999999999994</v>
      </c>
      <c r="BR2489" s="3" t="s">
        <v>84</v>
      </c>
      <c r="BS2489" s="4">
        <v>44589</v>
      </c>
      <c r="BT2489" s="5">
        <v>0.4375</v>
      </c>
      <c r="BU2489" s="3" t="s">
        <v>2459</v>
      </c>
      <c r="BV2489" s="3" t="s">
        <v>105</v>
      </c>
      <c r="BY2489" s="3">
        <v>1200</v>
      </c>
      <c r="BZ2489" s="3" t="s">
        <v>165</v>
      </c>
      <c r="CA2489" s="3" t="s">
        <v>328</v>
      </c>
      <c r="CC2489" s="3" t="s">
        <v>80</v>
      </c>
      <c r="CD2489" s="3">
        <v>200</v>
      </c>
      <c r="CE2489" s="3" t="s">
        <v>93</v>
      </c>
      <c r="CF2489" s="4">
        <v>44589</v>
      </c>
      <c r="CI2489" s="3">
        <v>1</v>
      </c>
      <c r="CJ2489" s="3">
        <v>1</v>
      </c>
      <c r="CK2489" s="3">
        <v>21</v>
      </c>
      <c r="CL2489" s="3" t="s">
        <v>87</v>
      </c>
    </row>
    <row r="2490" spans="1:90" x14ac:dyDescent="0.2">
      <c r="A2490" s="3" t="s">
        <v>72</v>
      </c>
      <c r="B2490" s="3" t="s">
        <v>73</v>
      </c>
      <c r="C2490" s="3" t="s">
        <v>74</v>
      </c>
      <c r="E2490" s="3" t="str">
        <f>"FES1162847290"</f>
        <v>FES1162847290</v>
      </c>
      <c r="F2490" s="4">
        <v>44588</v>
      </c>
      <c r="G2490" s="3">
        <v>202207</v>
      </c>
      <c r="H2490" s="3" t="s">
        <v>75</v>
      </c>
      <c r="I2490" s="3" t="s">
        <v>76</v>
      </c>
      <c r="J2490" s="3" t="s">
        <v>77</v>
      </c>
      <c r="K2490" s="3" t="s">
        <v>78</v>
      </c>
      <c r="L2490" s="3" t="s">
        <v>90</v>
      </c>
      <c r="M2490" s="3" t="s">
        <v>91</v>
      </c>
      <c r="N2490" s="3" t="s">
        <v>1699</v>
      </c>
      <c r="O2490" s="3" t="s">
        <v>82</v>
      </c>
      <c r="P2490" s="3" t="str">
        <f>"2170817049                    "</f>
        <v xml:space="preserve">2170817049                    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15.46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0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3">
        <v>0</v>
      </c>
      <c r="AY2490" s="3">
        <v>0</v>
      </c>
      <c r="AZ2490" s="3">
        <v>0</v>
      </c>
      <c r="BA2490" s="3">
        <v>0</v>
      </c>
      <c r="BB2490" s="3">
        <v>0</v>
      </c>
      <c r="BC2490" s="3">
        <v>0</v>
      </c>
      <c r="BD2490" s="3">
        <v>0</v>
      </c>
      <c r="BE2490" s="3">
        <v>0</v>
      </c>
      <c r="BF2490" s="3">
        <v>0</v>
      </c>
      <c r="BG2490" s="3">
        <v>0</v>
      </c>
      <c r="BH2490" s="3">
        <v>1</v>
      </c>
      <c r="BI2490" s="3">
        <v>2</v>
      </c>
      <c r="BJ2490" s="3">
        <v>2</v>
      </c>
      <c r="BK2490" s="3">
        <v>2</v>
      </c>
      <c r="BL2490" s="3">
        <v>59</v>
      </c>
      <c r="BM2490" s="3">
        <v>8.85</v>
      </c>
      <c r="BN2490" s="3">
        <v>67.849999999999994</v>
      </c>
      <c r="BO2490" s="3">
        <v>67.849999999999994</v>
      </c>
      <c r="BQ2490" s="3" t="s">
        <v>83</v>
      </c>
      <c r="BR2490" s="3" t="s">
        <v>84</v>
      </c>
      <c r="BS2490" s="4">
        <v>44589</v>
      </c>
      <c r="BT2490" s="5">
        <v>0.56111111111111112</v>
      </c>
      <c r="BU2490" s="3" t="s">
        <v>2460</v>
      </c>
      <c r="BV2490" s="3" t="s">
        <v>87</v>
      </c>
      <c r="BW2490" s="3" t="s">
        <v>457</v>
      </c>
      <c r="BX2490" s="3" t="s">
        <v>602</v>
      </c>
      <c r="BY2490" s="3">
        <v>9918</v>
      </c>
      <c r="BZ2490" s="3" t="s">
        <v>165</v>
      </c>
      <c r="CA2490" s="3" t="s">
        <v>623</v>
      </c>
      <c r="CC2490" s="3" t="s">
        <v>91</v>
      </c>
      <c r="CD2490" s="3">
        <v>7945</v>
      </c>
      <c r="CE2490" s="3" t="s">
        <v>86</v>
      </c>
      <c r="CI2490" s="3">
        <v>1</v>
      </c>
      <c r="CJ2490" s="3">
        <v>1</v>
      </c>
      <c r="CK2490" s="3">
        <v>21</v>
      </c>
      <c r="CL2490" s="3" t="s">
        <v>87</v>
      </c>
    </row>
    <row r="2491" spans="1:90" x14ac:dyDescent="0.2">
      <c r="A2491" s="3" t="s">
        <v>72</v>
      </c>
      <c r="B2491" s="3" t="s">
        <v>73</v>
      </c>
      <c r="C2491" s="3" t="s">
        <v>74</v>
      </c>
      <c r="E2491" s="3" t="str">
        <f>"FES1162847375"</f>
        <v>FES1162847375</v>
      </c>
      <c r="F2491" s="4">
        <v>44588</v>
      </c>
      <c r="G2491" s="3">
        <v>202207</v>
      </c>
      <c r="H2491" s="3" t="s">
        <v>75</v>
      </c>
      <c r="I2491" s="3" t="s">
        <v>76</v>
      </c>
      <c r="J2491" s="3" t="s">
        <v>77</v>
      </c>
      <c r="K2491" s="3" t="s">
        <v>78</v>
      </c>
      <c r="L2491" s="3" t="s">
        <v>187</v>
      </c>
      <c r="M2491" s="3" t="s">
        <v>188</v>
      </c>
      <c r="N2491" s="3" t="s">
        <v>189</v>
      </c>
      <c r="O2491" s="3" t="s">
        <v>82</v>
      </c>
      <c r="P2491" s="3" t="str">
        <f>"2170818629                    "</f>
        <v xml:space="preserve">2170818629                    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29.95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0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3">
        <v>0</v>
      </c>
      <c r="AY2491" s="3">
        <v>0</v>
      </c>
      <c r="AZ2491" s="3">
        <v>0</v>
      </c>
      <c r="BA2491" s="3">
        <v>0</v>
      </c>
      <c r="BB2491" s="3">
        <v>0</v>
      </c>
      <c r="BC2491" s="3">
        <v>0</v>
      </c>
      <c r="BD2491" s="3">
        <v>0</v>
      </c>
      <c r="BE2491" s="3">
        <v>0</v>
      </c>
      <c r="BF2491" s="3">
        <v>0</v>
      </c>
      <c r="BG2491" s="3">
        <v>0</v>
      </c>
      <c r="BH2491" s="3">
        <v>1</v>
      </c>
      <c r="BI2491" s="3">
        <v>1</v>
      </c>
      <c r="BJ2491" s="3">
        <v>0.2</v>
      </c>
      <c r="BK2491" s="3">
        <v>1</v>
      </c>
      <c r="BL2491" s="3">
        <v>114.31</v>
      </c>
      <c r="BM2491" s="3">
        <v>17.149999999999999</v>
      </c>
      <c r="BN2491" s="3">
        <v>131.46</v>
      </c>
      <c r="BO2491" s="3">
        <v>131.46</v>
      </c>
      <c r="BQ2491" s="3" t="s">
        <v>83</v>
      </c>
      <c r="BR2491" s="3" t="s">
        <v>84</v>
      </c>
      <c r="BS2491" s="4">
        <v>44589</v>
      </c>
      <c r="BT2491" s="5">
        <v>0.52847222222222223</v>
      </c>
      <c r="BU2491" s="3" t="s">
        <v>854</v>
      </c>
      <c r="BV2491" s="3" t="s">
        <v>105</v>
      </c>
      <c r="BY2491" s="3">
        <v>1200</v>
      </c>
      <c r="CA2491" s="3" t="s">
        <v>268</v>
      </c>
      <c r="CC2491" s="3" t="s">
        <v>188</v>
      </c>
      <c r="CD2491" s="3">
        <v>7300</v>
      </c>
      <c r="CE2491" s="3" t="s">
        <v>93</v>
      </c>
      <c r="CI2491" s="3">
        <v>1</v>
      </c>
      <c r="CJ2491" s="3">
        <v>1</v>
      </c>
      <c r="CK2491" s="3">
        <v>23</v>
      </c>
      <c r="CL2491" s="3" t="s">
        <v>87</v>
      </c>
    </row>
    <row r="2492" spans="1:90" x14ac:dyDescent="0.2">
      <c r="A2492" s="3" t="s">
        <v>72</v>
      </c>
      <c r="B2492" s="3" t="s">
        <v>73</v>
      </c>
      <c r="C2492" s="3" t="s">
        <v>74</v>
      </c>
      <c r="E2492" s="3" t="str">
        <f>"FES1162847415"</f>
        <v>FES1162847415</v>
      </c>
      <c r="F2492" s="4">
        <v>44588</v>
      </c>
      <c r="G2492" s="3">
        <v>202207</v>
      </c>
      <c r="H2492" s="3" t="s">
        <v>75</v>
      </c>
      <c r="I2492" s="3" t="s">
        <v>76</v>
      </c>
      <c r="J2492" s="3" t="s">
        <v>77</v>
      </c>
      <c r="K2492" s="3" t="s">
        <v>78</v>
      </c>
      <c r="L2492" s="3" t="s">
        <v>427</v>
      </c>
      <c r="M2492" s="3" t="s">
        <v>428</v>
      </c>
      <c r="N2492" s="3" t="s">
        <v>447</v>
      </c>
      <c r="O2492" s="3" t="s">
        <v>82</v>
      </c>
      <c r="P2492" s="3" t="str">
        <f>"2170818685                    "</f>
        <v xml:space="preserve">2170818685                    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29.95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0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3">
        <v>0</v>
      </c>
      <c r="AY2492" s="3">
        <v>0</v>
      </c>
      <c r="AZ2492" s="3">
        <v>0</v>
      </c>
      <c r="BA2492" s="3">
        <v>0</v>
      </c>
      <c r="BB2492" s="3">
        <v>0</v>
      </c>
      <c r="BC2492" s="3">
        <v>0</v>
      </c>
      <c r="BD2492" s="3">
        <v>0</v>
      </c>
      <c r="BE2492" s="3">
        <v>0</v>
      </c>
      <c r="BF2492" s="3">
        <v>0</v>
      </c>
      <c r="BG2492" s="3">
        <v>0</v>
      </c>
      <c r="BH2492" s="3">
        <v>1</v>
      </c>
      <c r="BI2492" s="3">
        <v>1</v>
      </c>
      <c r="BJ2492" s="3">
        <v>0.2</v>
      </c>
      <c r="BK2492" s="3">
        <v>1</v>
      </c>
      <c r="BL2492" s="3">
        <v>114.31</v>
      </c>
      <c r="BM2492" s="3">
        <v>17.149999999999999</v>
      </c>
      <c r="BN2492" s="3">
        <v>131.46</v>
      </c>
      <c r="BO2492" s="3">
        <v>131.46</v>
      </c>
      <c r="BQ2492" s="3" t="s">
        <v>89</v>
      </c>
      <c r="BR2492" s="3" t="s">
        <v>84</v>
      </c>
      <c r="BS2492" s="4">
        <v>44589</v>
      </c>
      <c r="BT2492" s="5">
        <v>0.5625</v>
      </c>
      <c r="BU2492" s="3" t="s">
        <v>2461</v>
      </c>
      <c r="BV2492" s="3" t="s">
        <v>87</v>
      </c>
      <c r="BW2492" s="3" t="s">
        <v>457</v>
      </c>
      <c r="BX2492" s="3" t="s">
        <v>602</v>
      </c>
      <c r="BY2492" s="3">
        <v>1200</v>
      </c>
      <c r="CA2492" s="3" t="s">
        <v>488</v>
      </c>
      <c r="CC2492" s="3" t="s">
        <v>428</v>
      </c>
      <c r="CD2492" s="3">
        <v>7130</v>
      </c>
      <c r="CE2492" s="3" t="s">
        <v>93</v>
      </c>
      <c r="CI2492" s="3">
        <v>1</v>
      </c>
      <c r="CJ2492" s="3">
        <v>1</v>
      </c>
      <c r="CK2492" s="3">
        <v>23</v>
      </c>
      <c r="CL2492" s="3" t="s">
        <v>87</v>
      </c>
    </row>
    <row r="2493" spans="1:90" x14ac:dyDescent="0.2">
      <c r="A2493" s="3" t="s">
        <v>72</v>
      </c>
      <c r="B2493" s="3" t="s">
        <v>73</v>
      </c>
      <c r="C2493" s="3" t="s">
        <v>74</v>
      </c>
      <c r="E2493" s="3" t="str">
        <f>"FES1162847387"</f>
        <v>FES1162847387</v>
      </c>
      <c r="F2493" s="4">
        <v>44588</v>
      </c>
      <c r="G2493" s="3">
        <v>202207</v>
      </c>
      <c r="H2493" s="3" t="s">
        <v>75</v>
      </c>
      <c r="I2493" s="3" t="s">
        <v>76</v>
      </c>
      <c r="J2493" s="3" t="s">
        <v>77</v>
      </c>
      <c r="K2493" s="3" t="s">
        <v>78</v>
      </c>
      <c r="L2493" s="3" t="s">
        <v>90</v>
      </c>
      <c r="M2493" s="3" t="s">
        <v>91</v>
      </c>
      <c r="N2493" s="3" t="s">
        <v>584</v>
      </c>
      <c r="O2493" s="3" t="s">
        <v>82</v>
      </c>
      <c r="P2493" s="3" t="str">
        <f>"2170818648                    "</f>
        <v xml:space="preserve">2170818648                    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15.46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0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3">
        <v>0</v>
      </c>
      <c r="AY2493" s="3">
        <v>0</v>
      </c>
      <c r="AZ2493" s="3">
        <v>0</v>
      </c>
      <c r="BA2493" s="3">
        <v>0</v>
      </c>
      <c r="BB2493" s="3">
        <v>0</v>
      </c>
      <c r="BC2493" s="3">
        <v>0</v>
      </c>
      <c r="BD2493" s="3">
        <v>0</v>
      </c>
      <c r="BE2493" s="3">
        <v>0</v>
      </c>
      <c r="BF2493" s="3">
        <v>0</v>
      </c>
      <c r="BG2493" s="3">
        <v>0</v>
      </c>
      <c r="BH2493" s="3">
        <v>1</v>
      </c>
      <c r="BI2493" s="3">
        <v>1</v>
      </c>
      <c r="BJ2493" s="3">
        <v>0.2</v>
      </c>
      <c r="BK2493" s="3">
        <v>1</v>
      </c>
      <c r="BL2493" s="3">
        <v>59</v>
      </c>
      <c r="BM2493" s="3">
        <v>8.85</v>
      </c>
      <c r="BN2493" s="3">
        <v>67.849999999999994</v>
      </c>
      <c r="BO2493" s="3">
        <v>67.849999999999994</v>
      </c>
      <c r="BQ2493" s="3" t="s">
        <v>83</v>
      </c>
      <c r="BR2493" s="3" t="s">
        <v>84</v>
      </c>
      <c r="BS2493" s="4">
        <v>44589</v>
      </c>
      <c r="BT2493" s="5">
        <v>0.33124999999999999</v>
      </c>
      <c r="BU2493" s="3" t="s">
        <v>1656</v>
      </c>
      <c r="BV2493" s="3" t="s">
        <v>105</v>
      </c>
      <c r="BY2493" s="3">
        <v>1200</v>
      </c>
      <c r="CA2493" s="3" t="s">
        <v>543</v>
      </c>
      <c r="CC2493" s="3" t="s">
        <v>91</v>
      </c>
      <c r="CD2493" s="3">
        <v>7530</v>
      </c>
      <c r="CE2493" s="3" t="s">
        <v>93</v>
      </c>
      <c r="CI2493" s="3">
        <v>1</v>
      </c>
      <c r="CJ2493" s="3">
        <v>1</v>
      </c>
      <c r="CK2493" s="3">
        <v>21</v>
      </c>
      <c r="CL2493" s="3" t="s">
        <v>87</v>
      </c>
    </row>
    <row r="2494" spans="1:90" x14ac:dyDescent="0.2">
      <c r="A2494" s="3" t="s">
        <v>72</v>
      </c>
      <c r="B2494" s="3" t="s">
        <v>73</v>
      </c>
      <c r="C2494" s="3" t="s">
        <v>74</v>
      </c>
      <c r="E2494" s="3" t="str">
        <f>"FES1162847404"</f>
        <v>FES1162847404</v>
      </c>
      <c r="F2494" s="4">
        <v>44588</v>
      </c>
      <c r="G2494" s="3">
        <v>202207</v>
      </c>
      <c r="H2494" s="3" t="s">
        <v>75</v>
      </c>
      <c r="I2494" s="3" t="s">
        <v>76</v>
      </c>
      <c r="J2494" s="3" t="s">
        <v>77</v>
      </c>
      <c r="K2494" s="3" t="s">
        <v>78</v>
      </c>
      <c r="L2494" s="3" t="s">
        <v>79</v>
      </c>
      <c r="M2494" s="3" t="s">
        <v>80</v>
      </c>
      <c r="N2494" s="3" t="s">
        <v>1382</v>
      </c>
      <c r="O2494" s="3" t="s">
        <v>148</v>
      </c>
      <c r="P2494" s="3" t="str">
        <f>"2170816882                    "</f>
        <v xml:space="preserve">2170816882                    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31.12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0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3">
        <v>0</v>
      </c>
      <c r="AY2494" s="3">
        <v>0</v>
      </c>
      <c r="AZ2494" s="3">
        <v>0</v>
      </c>
      <c r="BA2494" s="3">
        <v>0</v>
      </c>
      <c r="BB2494" s="3">
        <v>0</v>
      </c>
      <c r="BC2494" s="3">
        <v>0</v>
      </c>
      <c r="BD2494" s="3">
        <v>0</v>
      </c>
      <c r="BE2494" s="3">
        <v>0</v>
      </c>
      <c r="BF2494" s="3">
        <v>0</v>
      </c>
      <c r="BG2494" s="3">
        <v>0</v>
      </c>
      <c r="BH2494" s="3">
        <v>1</v>
      </c>
      <c r="BI2494" s="3">
        <v>15.9</v>
      </c>
      <c r="BJ2494" s="3">
        <v>2.9</v>
      </c>
      <c r="BK2494" s="3">
        <v>16</v>
      </c>
      <c r="BL2494" s="3">
        <v>124.04</v>
      </c>
      <c r="BM2494" s="3">
        <v>18.61</v>
      </c>
      <c r="BN2494" s="3">
        <v>142.65</v>
      </c>
      <c r="BO2494" s="3">
        <v>142.65</v>
      </c>
      <c r="BQ2494" s="3" t="s">
        <v>83</v>
      </c>
      <c r="BR2494" s="3" t="s">
        <v>84</v>
      </c>
      <c r="BS2494" s="4">
        <v>44589</v>
      </c>
      <c r="BT2494" s="5">
        <v>0.52083333333333337</v>
      </c>
      <c r="BU2494" s="3" t="s">
        <v>2462</v>
      </c>
      <c r="BV2494" s="3" t="s">
        <v>105</v>
      </c>
      <c r="BY2494" s="3">
        <v>14531.98</v>
      </c>
      <c r="CA2494" s="3" t="s">
        <v>328</v>
      </c>
      <c r="CC2494" s="3" t="s">
        <v>80</v>
      </c>
      <c r="CD2494" s="3">
        <v>200</v>
      </c>
      <c r="CE2494" s="3" t="s">
        <v>86</v>
      </c>
      <c r="CF2494" s="4">
        <v>44589</v>
      </c>
      <c r="CI2494" s="3">
        <v>1</v>
      </c>
      <c r="CJ2494" s="3">
        <v>1</v>
      </c>
      <c r="CK2494" s="3">
        <v>41</v>
      </c>
      <c r="CL2494" s="3" t="s">
        <v>87</v>
      </c>
    </row>
    <row r="2495" spans="1:90" x14ac:dyDescent="0.2">
      <c r="A2495" s="3" t="s">
        <v>72</v>
      </c>
      <c r="B2495" s="3" t="s">
        <v>73</v>
      </c>
      <c r="C2495" s="3" t="s">
        <v>74</v>
      </c>
      <c r="E2495" s="3" t="str">
        <f>"FES1162847392"</f>
        <v>FES1162847392</v>
      </c>
      <c r="F2495" s="4">
        <v>44588</v>
      </c>
      <c r="G2495" s="3">
        <v>202207</v>
      </c>
      <c r="H2495" s="3" t="s">
        <v>75</v>
      </c>
      <c r="I2495" s="3" t="s">
        <v>76</v>
      </c>
      <c r="J2495" s="3" t="s">
        <v>77</v>
      </c>
      <c r="K2495" s="3" t="s">
        <v>78</v>
      </c>
      <c r="L2495" s="3" t="s">
        <v>90</v>
      </c>
      <c r="M2495" s="3" t="s">
        <v>91</v>
      </c>
      <c r="N2495" s="3" t="s">
        <v>2463</v>
      </c>
      <c r="O2495" s="3" t="s">
        <v>82</v>
      </c>
      <c r="P2495" s="3" t="str">
        <f>"2170818652                    "</f>
        <v xml:space="preserve">2170818652                    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15.46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Q2495" s="3">
        <v>0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3">
        <v>0</v>
      </c>
      <c r="AY2495" s="3">
        <v>0</v>
      </c>
      <c r="AZ2495" s="3">
        <v>0</v>
      </c>
      <c r="BA2495" s="3">
        <v>0</v>
      </c>
      <c r="BB2495" s="3">
        <v>0</v>
      </c>
      <c r="BC2495" s="3">
        <v>0</v>
      </c>
      <c r="BD2495" s="3">
        <v>0</v>
      </c>
      <c r="BE2495" s="3">
        <v>0</v>
      </c>
      <c r="BF2495" s="3">
        <v>0</v>
      </c>
      <c r="BG2495" s="3">
        <v>0</v>
      </c>
      <c r="BH2495" s="3">
        <v>1</v>
      </c>
      <c r="BI2495" s="3">
        <v>1</v>
      </c>
      <c r="BJ2495" s="3">
        <v>0.2</v>
      </c>
      <c r="BK2495" s="3">
        <v>1</v>
      </c>
      <c r="BL2495" s="3">
        <v>59</v>
      </c>
      <c r="BM2495" s="3">
        <v>8.85</v>
      </c>
      <c r="BN2495" s="3">
        <v>67.849999999999994</v>
      </c>
      <c r="BO2495" s="3">
        <v>67.849999999999994</v>
      </c>
      <c r="BQ2495" s="3" t="s">
        <v>89</v>
      </c>
      <c r="BR2495" s="3" t="s">
        <v>84</v>
      </c>
      <c r="BS2495" s="4">
        <v>44589</v>
      </c>
      <c r="BT2495" s="5">
        <v>0.4069444444444445</v>
      </c>
      <c r="BU2495" s="3" t="s">
        <v>662</v>
      </c>
      <c r="BV2495" s="3" t="s">
        <v>105</v>
      </c>
      <c r="BY2495" s="3">
        <v>1200</v>
      </c>
      <c r="CA2495" s="3" t="s">
        <v>829</v>
      </c>
      <c r="CC2495" s="3" t="s">
        <v>91</v>
      </c>
      <c r="CD2495" s="3">
        <v>8000</v>
      </c>
      <c r="CE2495" s="3" t="s">
        <v>93</v>
      </c>
      <c r="CI2495" s="3">
        <v>1</v>
      </c>
      <c r="CJ2495" s="3">
        <v>1</v>
      </c>
      <c r="CK2495" s="3">
        <v>21</v>
      </c>
      <c r="CL2495" s="3" t="s">
        <v>87</v>
      </c>
    </row>
    <row r="2496" spans="1:90" x14ac:dyDescent="0.2">
      <c r="A2496" s="3" t="s">
        <v>72</v>
      </c>
      <c r="B2496" s="3" t="s">
        <v>73</v>
      </c>
      <c r="C2496" s="3" t="s">
        <v>74</v>
      </c>
      <c r="E2496" s="3" t="str">
        <f>"FES1162847413"</f>
        <v>FES1162847413</v>
      </c>
      <c r="F2496" s="4">
        <v>44588</v>
      </c>
      <c r="G2496" s="3">
        <v>202207</v>
      </c>
      <c r="H2496" s="3" t="s">
        <v>75</v>
      </c>
      <c r="I2496" s="3" t="s">
        <v>76</v>
      </c>
      <c r="J2496" s="3" t="s">
        <v>77</v>
      </c>
      <c r="K2496" s="3" t="s">
        <v>78</v>
      </c>
      <c r="L2496" s="3" t="s">
        <v>75</v>
      </c>
      <c r="M2496" s="3" t="s">
        <v>76</v>
      </c>
      <c r="N2496" s="3" t="s">
        <v>1221</v>
      </c>
      <c r="O2496" s="3" t="s">
        <v>82</v>
      </c>
      <c r="P2496" s="3" t="str">
        <f>"2170818676                    "</f>
        <v xml:space="preserve">2170818676                    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12.07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Q2496" s="3">
        <v>0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3">
        <v>0</v>
      </c>
      <c r="AY2496" s="3">
        <v>0</v>
      </c>
      <c r="AZ2496" s="3">
        <v>0</v>
      </c>
      <c r="BA2496" s="3">
        <v>0</v>
      </c>
      <c r="BB2496" s="3">
        <v>0</v>
      </c>
      <c r="BC2496" s="3">
        <v>0</v>
      </c>
      <c r="BD2496" s="3">
        <v>0</v>
      </c>
      <c r="BE2496" s="3">
        <v>0</v>
      </c>
      <c r="BF2496" s="3">
        <v>0</v>
      </c>
      <c r="BG2496" s="3">
        <v>0</v>
      </c>
      <c r="BH2496" s="3">
        <v>1</v>
      </c>
      <c r="BI2496" s="3">
        <v>3</v>
      </c>
      <c r="BJ2496" s="3">
        <v>2</v>
      </c>
      <c r="BK2496" s="3">
        <v>3</v>
      </c>
      <c r="BL2496" s="3">
        <v>46.08</v>
      </c>
      <c r="BM2496" s="3">
        <v>6.91</v>
      </c>
      <c r="BN2496" s="3">
        <v>52.99</v>
      </c>
      <c r="BO2496" s="3">
        <v>52.99</v>
      </c>
      <c r="BQ2496" s="3" t="s">
        <v>89</v>
      </c>
      <c r="BR2496" s="3" t="s">
        <v>84</v>
      </c>
      <c r="BS2496" s="4">
        <v>44589</v>
      </c>
      <c r="BT2496" s="5">
        <v>0.32083333333333336</v>
      </c>
      <c r="BU2496" s="3" t="s">
        <v>2091</v>
      </c>
      <c r="BV2496" s="3" t="s">
        <v>105</v>
      </c>
      <c r="BY2496" s="3">
        <v>9918</v>
      </c>
      <c r="CA2496" s="3" t="s">
        <v>311</v>
      </c>
      <c r="CC2496" s="3" t="s">
        <v>76</v>
      </c>
      <c r="CD2496" s="3">
        <v>1601</v>
      </c>
      <c r="CE2496" s="3" t="s">
        <v>86</v>
      </c>
      <c r="CF2496" s="4">
        <v>44589</v>
      </c>
      <c r="CI2496" s="3">
        <v>1</v>
      </c>
      <c r="CJ2496" s="3">
        <v>1</v>
      </c>
      <c r="CK2496" s="3">
        <v>22</v>
      </c>
      <c r="CL2496" s="3" t="s">
        <v>87</v>
      </c>
    </row>
    <row r="2497" spans="1:90" x14ac:dyDescent="0.2">
      <c r="A2497" s="3" t="s">
        <v>72</v>
      </c>
      <c r="B2497" s="3" t="s">
        <v>73</v>
      </c>
      <c r="C2497" s="3" t="s">
        <v>74</v>
      </c>
      <c r="E2497" s="3" t="str">
        <f>"FES1162847411"</f>
        <v>FES1162847411</v>
      </c>
      <c r="F2497" s="4">
        <v>44588</v>
      </c>
      <c r="G2497" s="3">
        <v>202207</v>
      </c>
      <c r="H2497" s="3" t="s">
        <v>75</v>
      </c>
      <c r="I2497" s="3" t="s">
        <v>76</v>
      </c>
      <c r="J2497" s="3" t="s">
        <v>77</v>
      </c>
      <c r="K2497" s="3" t="s">
        <v>78</v>
      </c>
      <c r="L2497" s="3" t="s">
        <v>171</v>
      </c>
      <c r="M2497" s="3" t="s">
        <v>172</v>
      </c>
      <c r="N2497" s="3" t="s">
        <v>1129</v>
      </c>
      <c r="O2497" s="3" t="s">
        <v>82</v>
      </c>
      <c r="P2497" s="3" t="str">
        <f>"2170818681                    "</f>
        <v xml:space="preserve">2170818681                    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15.46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0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3">
        <v>0</v>
      </c>
      <c r="AY2497" s="3">
        <v>0</v>
      </c>
      <c r="AZ2497" s="3">
        <v>0</v>
      </c>
      <c r="BA2497" s="3">
        <v>0</v>
      </c>
      <c r="BB2497" s="3">
        <v>0</v>
      </c>
      <c r="BC2497" s="3">
        <v>0</v>
      </c>
      <c r="BD2497" s="3">
        <v>0</v>
      </c>
      <c r="BE2497" s="3">
        <v>0</v>
      </c>
      <c r="BF2497" s="3">
        <v>0</v>
      </c>
      <c r="BG2497" s="3">
        <v>0</v>
      </c>
      <c r="BH2497" s="3">
        <v>1</v>
      </c>
      <c r="BI2497" s="3">
        <v>1.5</v>
      </c>
      <c r="BJ2497" s="3">
        <v>1.8</v>
      </c>
      <c r="BK2497" s="3">
        <v>2</v>
      </c>
      <c r="BL2497" s="3">
        <v>59</v>
      </c>
      <c r="BM2497" s="3">
        <v>8.85</v>
      </c>
      <c r="BN2497" s="3">
        <v>67.849999999999994</v>
      </c>
      <c r="BO2497" s="3">
        <v>67.849999999999994</v>
      </c>
      <c r="BQ2497" s="3" t="s">
        <v>89</v>
      </c>
      <c r="BR2497" s="3" t="s">
        <v>84</v>
      </c>
      <c r="BS2497" s="4">
        <v>44589</v>
      </c>
      <c r="BT2497" s="5">
        <v>0.42986111111111108</v>
      </c>
      <c r="BU2497" s="3" t="s">
        <v>1917</v>
      </c>
      <c r="BV2497" s="3" t="s">
        <v>105</v>
      </c>
      <c r="BY2497" s="3">
        <v>9018.16</v>
      </c>
      <c r="CA2497" s="3" t="s">
        <v>509</v>
      </c>
      <c r="CC2497" s="3" t="s">
        <v>172</v>
      </c>
      <c r="CD2497" s="3">
        <v>6000</v>
      </c>
      <c r="CE2497" s="3" t="s">
        <v>86</v>
      </c>
      <c r="CF2497" s="4">
        <v>44589</v>
      </c>
      <c r="CI2497" s="3">
        <v>1</v>
      </c>
      <c r="CJ2497" s="3">
        <v>1</v>
      </c>
      <c r="CK2497" s="3">
        <v>21</v>
      </c>
      <c r="CL2497" s="3" t="s">
        <v>87</v>
      </c>
    </row>
    <row r="2498" spans="1:90" x14ac:dyDescent="0.2">
      <c r="A2498" s="3" t="s">
        <v>72</v>
      </c>
      <c r="B2498" s="3" t="s">
        <v>73</v>
      </c>
      <c r="C2498" s="3" t="s">
        <v>74</v>
      </c>
      <c r="E2498" s="3" t="str">
        <f>"FES1162847185"</f>
        <v>FES1162847185</v>
      </c>
      <c r="F2498" s="4">
        <v>44588</v>
      </c>
      <c r="G2498" s="3">
        <v>202207</v>
      </c>
      <c r="H2498" s="3" t="s">
        <v>75</v>
      </c>
      <c r="I2498" s="3" t="s">
        <v>76</v>
      </c>
      <c r="J2498" s="3" t="s">
        <v>77</v>
      </c>
      <c r="K2498" s="3" t="s">
        <v>78</v>
      </c>
      <c r="L2498" s="3" t="s">
        <v>90</v>
      </c>
      <c r="M2498" s="3" t="s">
        <v>91</v>
      </c>
      <c r="N2498" s="3" t="s">
        <v>132</v>
      </c>
      <c r="O2498" s="3" t="s">
        <v>82</v>
      </c>
      <c r="P2498" s="3" t="str">
        <f>"2170817174                    "</f>
        <v xml:space="preserve">2170817174                    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15.46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0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3">
        <v>0</v>
      </c>
      <c r="AY2498" s="3">
        <v>0</v>
      </c>
      <c r="AZ2498" s="3">
        <v>0</v>
      </c>
      <c r="BA2498" s="3">
        <v>0</v>
      </c>
      <c r="BB2498" s="3">
        <v>0</v>
      </c>
      <c r="BC2498" s="3">
        <v>0</v>
      </c>
      <c r="BD2498" s="3">
        <v>0</v>
      </c>
      <c r="BE2498" s="3">
        <v>0</v>
      </c>
      <c r="BF2498" s="3">
        <v>0</v>
      </c>
      <c r="BG2498" s="3">
        <v>0</v>
      </c>
      <c r="BH2498" s="3">
        <v>1</v>
      </c>
      <c r="BI2498" s="3">
        <v>1</v>
      </c>
      <c r="BJ2498" s="3">
        <v>0.2</v>
      </c>
      <c r="BK2498" s="3">
        <v>1</v>
      </c>
      <c r="BL2498" s="3">
        <v>59</v>
      </c>
      <c r="BM2498" s="3">
        <v>8.85</v>
      </c>
      <c r="BN2498" s="3">
        <v>67.849999999999994</v>
      </c>
      <c r="BO2498" s="3">
        <v>67.849999999999994</v>
      </c>
      <c r="BQ2498" s="3" t="s">
        <v>83</v>
      </c>
      <c r="BR2498" s="3" t="s">
        <v>84</v>
      </c>
      <c r="BS2498" s="4">
        <v>44589</v>
      </c>
      <c r="BT2498" s="5">
        <v>0.4201388888888889</v>
      </c>
      <c r="BU2498" s="3" t="s">
        <v>595</v>
      </c>
      <c r="BV2498" s="3" t="s">
        <v>105</v>
      </c>
      <c r="BY2498" s="3">
        <v>1200</v>
      </c>
      <c r="BZ2498" s="3" t="s">
        <v>165</v>
      </c>
      <c r="CA2498" s="3" t="s">
        <v>1633</v>
      </c>
      <c r="CC2498" s="3" t="s">
        <v>91</v>
      </c>
      <c r="CD2498" s="3">
        <v>7530</v>
      </c>
      <c r="CE2498" s="3" t="s">
        <v>93</v>
      </c>
      <c r="CI2498" s="3">
        <v>1</v>
      </c>
      <c r="CJ2498" s="3">
        <v>1</v>
      </c>
      <c r="CK2498" s="3">
        <v>21</v>
      </c>
      <c r="CL2498" s="3" t="s">
        <v>87</v>
      </c>
    </row>
    <row r="2499" spans="1:90" x14ac:dyDescent="0.2">
      <c r="A2499" s="3" t="s">
        <v>72</v>
      </c>
      <c r="B2499" s="3" t="s">
        <v>73</v>
      </c>
      <c r="C2499" s="3" t="s">
        <v>74</v>
      </c>
      <c r="E2499" s="3" t="str">
        <f>"FES1162847280"</f>
        <v>FES1162847280</v>
      </c>
      <c r="F2499" s="4">
        <v>44588</v>
      </c>
      <c r="G2499" s="3">
        <v>202207</v>
      </c>
      <c r="H2499" s="3" t="s">
        <v>75</v>
      </c>
      <c r="I2499" s="3" t="s">
        <v>76</v>
      </c>
      <c r="J2499" s="3" t="s">
        <v>77</v>
      </c>
      <c r="K2499" s="3" t="s">
        <v>78</v>
      </c>
      <c r="L2499" s="3" t="s">
        <v>101</v>
      </c>
      <c r="M2499" s="3" t="s">
        <v>102</v>
      </c>
      <c r="N2499" s="3" t="s">
        <v>272</v>
      </c>
      <c r="O2499" s="3" t="s">
        <v>82</v>
      </c>
      <c r="P2499" s="3" t="str">
        <f>"2170816891                    "</f>
        <v xml:space="preserve">2170816891                    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15.46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0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3">
        <v>0</v>
      </c>
      <c r="AY2499" s="3">
        <v>0</v>
      </c>
      <c r="AZ2499" s="3">
        <v>0</v>
      </c>
      <c r="BA2499" s="3">
        <v>0</v>
      </c>
      <c r="BB2499" s="3">
        <v>0</v>
      </c>
      <c r="BC2499" s="3">
        <v>0</v>
      </c>
      <c r="BD2499" s="3">
        <v>0</v>
      </c>
      <c r="BE2499" s="3">
        <v>0</v>
      </c>
      <c r="BF2499" s="3">
        <v>0</v>
      </c>
      <c r="BG2499" s="3">
        <v>0</v>
      </c>
      <c r="BH2499" s="3">
        <v>1</v>
      </c>
      <c r="BI2499" s="3">
        <v>1</v>
      </c>
      <c r="BJ2499" s="3">
        <v>0.2</v>
      </c>
      <c r="BK2499" s="3">
        <v>1</v>
      </c>
      <c r="BL2499" s="3">
        <v>59</v>
      </c>
      <c r="BM2499" s="3">
        <v>8.85</v>
      </c>
      <c r="BN2499" s="3">
        <v>67.849999999999994</v>
      </c>
      <c r="BO2499" s="3">
        <v>67.849999999999994</v>
      </c>
      <c r="BQ2499" s="3" t="s">
        <v>273</v>
      </c>
      <c r="BR2499" s="3" t="s">
        <v>84</v>
      </c>
      <c r="BS2499" s="4">
        <v>44589</v>
      </c>
      <c r="BT2499" s="5">
        <v>0.41388888888888892</v>
      </c>
      <c r="BU2499" s="3" t="s">
        <v>2147</v>
      </c>
      <c r="BV2499" s="3" t="s">
        <v>105</v>
      </c>
      <c r="BY2499" s="3">
        <v>1200</v>
      </c>
      <c r="BZ2499" s="3" t="s">
        <v>165</v>
      </c>
      <c r="CA2499" s="3" t="s">
        <v>2148</v>
      </c>
      <c r="CC2499" s="3" t="s">
        <v>102</v>
      </c>
      <c r="CD2499" s="3">
        <v>4000</v>
      </c>
      <c r="CE2499" s="3" t="s">
        <v>93</v>
      </c>
      <c r="CI2499" s="3">
        <v>1</v>
      </c>
      <c r="CJ2499" s="3">
        <v>1</v>
      </c>
      <c r="CK2499" s="3">
        <v>21</v>
      </c>
      <c r="CL2499" s="3" t="s">
        <v>87</v>
      </c>
    </row>
    <row r="2500" spans="1:90" x14ac:dyDescent="0.2">
      <c r="A2500" s="3" t="s">
        <v>72</v>
      </c>
      <c r="B2500" s="3" t="s">
        <v>73</v>
      </c>
      <c r="C2500" s="3" t="s">
        <v>74</v>
      </c>
      <c r="E2500" s="3" t="str">
        <f>"FES1162847245"</f>
        <v>FES1162847245</v>
      </c>
      <c r="F2500" s="4">
        <v>44588</v>
      </c>
      <c r="G2500" s="3">
        <v>202207</v>
      </c>
      <c r="H2500" s="3" t="s">
        <v>75</v>
      </c>
      <c r="I2500" s="3" t="s">
        <v>76</v>
      </c>
      <c r="J2500" s="3" t="s">
        <v>77</v>
      </c>
      <c r="K2500" s="3" t="s">
        <v>78</v>
      </c>
      <c r="L2500" s="3" t="s">
        <v>138</v>
      </c>
      <c r="M2500" s="3" t="s">
        <v>139</v>
      </c>
      <c r="N2500" s="3" t="s">
        <v>140</v>
      </c>
      <c r="O2500" s="3" t="s">
        <v>82</v>
      </c>
      <c r="P2500" s="3" t="str">
        <f>"2170817983                    "</f>
        <v xml:space="preserve">2170817983                    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15.46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0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3">
        <v>0</v>
      </c>
      <c r="AY2500" s="3">
        <v>0</v>
      </c>
      <c r="AZ2500" s="3">
        <v>0</v>
      </c>
      <c r="BA2500" s="3">
        <v>0</v>
      </c>
      <c r="BB2500" s="3">
        <v>0</v>
      </c>
      <c r="BC2500" s="3">
        <v>0</v>
      </c>
      <c r="BD2500" s="3">
        <v>0</v>
      </c>
      <c r="BE2500" s="3">
        <v>0</v>
      </c>
      <c r="BF2500" s="3">
        <v>0</v>
      </c>
      <c r="BG2500" s="3">
        <v>0</v>
      </c>
      <c r="BH2500" s="3">
        <v>1</v>
      </c>
      <c r="BI2500" s="3">
        <v>1</v>
      </c>
      <c r="BJ2500" s="3">
        <v>0.2</v>
      </c>
      <c r="BK2500" s="3">
        <v>1</v>
      </c>
      <c r="BL2500" s="3">
        <v>59</v>
      </c>
      <c r="BM2500" s="3">
        <v>8.85</v>
      </c>
      <c r="BN2500" s="3">
        <v>67.849999999999994</v>
      </c>
      <c r="BO2500" s="3">
        <v>67.849999999999994</v>
      </c>
      <c r="BQ2500" s="3" t="s">
        <v>126</v>
      </c>
      <c r="BR2500" s="3" t="s">
        <v>84</v>
      </c>
      <c r="BS2500" s="4">
        <v>44589</v>
      </c>
      <c r="BT2500" s="5">
        <v>0.34513888888888888</v>
      </c>
      <c r="BU2500" s="3" t="s">
        <v>1397</v>
      </c>
      <c r="BV2500" s="3" t="s">
        <v>105</v>
      </c>
      <c r="BY2500" s="3">
        <v>1200</v>
      </c>
      <c r="BZ2500" s="3" t="s">
        <v>165</v>
      </c>
      <c r="CA2500" s="3" t="s">
        <v>106</v>
      </c>
      <c r="CC2500" s="3" t="s">
        <v>139</v>
      </c>
      <c r="CD2500" s="3">
        <v>3610</v>
      </c>
      <c r="CE2500" s="3" t="s">
        <v>93</v>
      </c>
      <c r="CI2500" s="3">
        <v>1</v>
      </c>
      <c r="CJ2500" s="3">
        <v>1</v>
      </c>
      <c r="CK2500" s="3">
        <v>21</v>
      </c>
      <c r="CL2500" s="3" t="s">
        <v>87</v>
      </c>
    </row>
    <row r="2501" spans="1:90" x14ac:dyDescent="0.2">
      <c r="A2501" s="3" t="s">
        <v>72</v>
      </c>
      <c r="B2501" s="3" t="s">
        <v>73</v>
      </c>
      <c r="C2501" s="3" t="s">
        <v>74</v>
      </c>
      <c r="E2501" s="3" t="str">
        <f>"FES1162847409"</f>
        <v>FES1162847409</v>
      </c>
      <c r="F2501" s="4">
        <v>44588</v>
      </c>
      <c r="G2501" s="3">
        <v>202207</v>
      </c>
      <c r="H2501" s="3" t="s">
        <v>75</v>
      </c>
      <c r="I2501" s="3" t="s">
        <v>76</v>
      </c>
      <c r="J2501" s="3" t="s">
        <v>77</v>
      </c>
      <c r="K2501" s="3" t="s">
        <v>78</v>
      </c>
      <c r="L2501" s="3" t="s">
        <v>171</v>
      </c>
      <c r="M2501" s="3" t="s">
        <v>172</v>
      </c>
      <c r="N2501" s="3" t="s">
        <v>249</v>
      </c>
      <c r="O2501" s="3" t="s">
        <v>82</v>
      </c>
      <c r="P2501" s="3" t="str">
        <f>"2170818679                    "</f>
        <v xml:space="preserve">2170818679                    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15.46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0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3">
        <v>0</v>
      </c>
      <c r="AY2501" s="3">
        <v>0</v>
      </c>
      <c r="AZ2501" s="3">
        <v>0</v>
      </c>
      <c r="BA2501" s="3">
        <v>0</v>
      </c>
      <c r="BB2501" s="3">
        <v>0</v>
      </c>
      <c r="BC2501" s="3">
        <v>0</v>
      </c>
      <c r="BD2501" s="3">
        <v>0</v>
      </c>
      <c r="BE2501" s="3">
        <v>0</v>
      </c>
      <c r="BF2501" s="3">
        <v>0</v>
      </c>
      <c r="BG2501" s="3">
        <v>0</v>
      </c>
      <c r="BH2501" s="3">
        <v>1</v>
      </c>
      <c r="BI2501" s="3">
        <v>1</v>
      </c>
      <c r="BJ2501" s="3">
        <v>0.2</v>
      </c>
      <c r="BK2501" s="3">
        <v>1</v>
      </c>
      <c r="BL2501" s="3">
        <v>59</v>
      </c>
      <c r="BM2501" s="3">
        <v>8.85</v>
      </c>
      <c r="BN2501" s="3">
        <v>67.849999999999994</v>
      </c>
      <c r="BO2501" s="3">
        <v>67.849999999999994</v>
      </c>
      <c r="BQ2501" s="3" t="s">
        <v>89</v>
      </c>
      <c r="BR2501" s="3" t="s">
        <v>84</v>
      </c>
      <c r="BS2501" s="4">
        <v>44589</v>
      </c>
      <c r="BT2501" s="5">
        <v>0.39374999999999999</v>
      </c>
      <c r="BU2501" s="3" t="s">
        <v>2388</v>
      </c>
      <c r="BV2501" s="3" t="s">
        <v>105</v>
      </c>
      <c r="BY2501" s="3">
        <v>1200</v>
      </c>
      <c r="CA2501" s="3" t="s">
        <v>509</v>
      </c>
      <c r="CC2501" s="3" t="s">
        <v>172</v>
      </c>
      <c r="CD2501" s="3">
        <v>6001</v>
      </c>
      <c r="CE2501" s="3" t="s">
        <v>93</v>
      </c>
      <c r="CF2501" s="4">
        <v>44589</v>
      </c>
      <c r="CI2501" s="3">
        <v>1</v>
      </c>
      <c r="CJ2501" s="3">
        <v>1</v>
      </c>
      <c r="CK2501" s="3">
        <v>21</v>
      </c>
      <c r="CL2501" s="3" t="s">
        <v>87</v>
      </c>
    </row>
    <row r="2502" spans="1:90" x14ac:dyDescent="0.2">
      <c r="A2502" s="3" t="s">
        <v>72</v>
      </c>
      <c r="B2502" s="3" t="s">
        <v>73</v>
      </c>
      <c r="C2502" s="3" t="s">
        <v>74</v>
      </c>
      <c r="E2502" s="3" t="str">
        <f>"FES1162847228"</f>
        <v>FES1162847228</v>
      </c>
      <c r="F2502" s="4">
        <v>44588</v>
      </c>
      <c r="G2502" s="3">
        <v>202207</v>
      </c>
      <c r="H2502" s="3" t="s">
        <v>75</v>
      </c>
      <c r="I2502" s="3" t="s">
        <v>76</v>
      </c>
      <c r="J2502" s="3" t="s">
        <v>77</v>
      </c>
      <c r="K2502" s="3" t="s">
        <v>78</v>
      </c>
      <c r="L2502" s="3" t="s">
        <v>250</v>
      </c>
      <c r="M2502" s="3" t="s">
        <v>251</v>
      </c>
      <c r="N2502" s="3" t="s">
        <v>252</v>
      </c>
      <c r="O2502" s="3" t="s">
        <v>82</v>
      </c>
      <c r="P2502" s="3" t="str">
        <f>"2170814977                    "</f>
        <v xml:space="preserve">2170814977                    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57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0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3">
        <v>0</v>
      </c>
      <c r="AY2502" s="3">
        <v>0</v>
      </c>
      <c r="AZ2502" s="3">
        <v>0</v>
      </c>
      <c r="BA2502" s="3">
        <v>0</v>
      </c>
      <c r="BB2502" s="3">
        <v>0</v>
      </c>
      <c r="BC2502" s="3">
        <v>0</v>
      </c>
      <c r="BD2502" s="3">
        <v>0</v>
      </c>
      <c r="BE2502" s="3">
        <v>0</v>
      </c>
      <c r="BF2502" s="3">
        <v>0</v>
      </c>
      <c r="BG2502" s="3">
        <v>0</v>
      </c>
      <c r="BH2502" s="3">
        <v>1</v>
      </c>
      <c r="BI2502" s="3">
        <v>4</v>
      </c>
      <c r="BJ2502" s="3">
        <v>1.1000000000000001</v>
      </c>
      <c r="BK2502" s="3">
        <v>4</v>
      </c>
      <c r="BL2502" s="3">
        <v>217.56</v>
      </c>
      <c r="BM2502" s="3">
        <v>32.630000000000003</v>
      </c>
      <c r="BN2502" s="3">
        <v>250.19</v>
      </c>
      <c r="BO2502" s="3">
        <v>250.19</v>
      </c>
      <c r="BQ2502" s="3" t="s">
        <v>253</v>
      </c>
      <c r="BR2502" s="3" t="s">
        <v>84</v>
      </c>
      <c r="BS2502" s="4">
        <v>44589</v>
      </c>
      <c r="BT2502" s="5">
        <v>0.5756944444444444</v>
      </c>
      <c r="BU2502" s="3" t="s">
        <v>1176</v>
      </c>
      <c r="BV2502" s="3" t="s">
        <v>105</v>
      </c>
      <c r="BY2502" s="3">
        <v>5643</v>
      </c>
      <c r="BZ2502" s="3" t="s">
        <v>165</v>
      </c>
      <c r="CA2502" s="3" t="s">
        <v>368</v>
      </c>
      <c r="CC2502" s="3" t="s">
        <v>251</v>
      </c>
      <c r="CD2502" s="3">
        <v>6300</v>
      </c>
      <c r="CE2502" s="3" t="s">
        <v>86</v>
      </c>
      <c r="CF2502" s="4">
        <v>44589</v>
      </c>
      <c r="CI2502" s="3">
        <v>2</v>
      </c>
      <c r="CJ2502" s="3">
        <v>1</v>
      </c>
      <c r="CK2502" s="3">
        <v>23</v>
      </c>
      <c r="CL2502" s="3" t="s">
        <v>87</v>
      </c>
    </row>
    <row r="2503" spans="1:90" x14ac:dyDescent="0.2">
      <c r="A2503" s="3" t="s">
        <v>72</v>
      </c>
      <c r="B2503" s="3" t="s">
        <v>73</v>
      </c>
      <c r="C2503" s="3" t="s">
        <v>74</v>
      </c>
      <c r="E2503" s="3" t="str">
        <f>"FES1162847269"</f>
        <v>FES1162847269</v>
      </c>
      <c r="F2503" s="4">
        <v>44588</v>
      </c>
      <c r="G2503" s="3">
        <v>202207</v>
      </c>
      <c r="H2503" s="3" t="s">
        <v>75</v>
      </c>
      <c r="I2503" s="3" t="s">
        <v>76</v>
      </c>
      <c r="J2503" s="3" t="s">
        <v>77</v>
      </c>
      <c r="K2503" s="3" t="s">
        <v>78</v>
      </c>
      <c r="L2503" s="3" t="s">
        <v>171</v>
      </c>
      <c r="M2503" s="3" t="s">
        <v>172</v>
      </c>
      <c r="N2503" s="3" t="s">
        <v>200</v>
      </c>
      <c r="O2503" s="3" t="s">
        <v>82</v>
      </c>
      <c r="P2503" s="3" t="str">
        <f>"2170815950                    "</f>
        <v xml:space="preserve">2170815950                    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15.46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0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3">
        <v>0</v>
      </c>
      <c r="AY2503" s="3">
        <v>0</v>
      </c>
      <c r="AZ2503" s="3">
        <v>0</v>
      </c>
      <c r="BA2503" s="3">
        <v>0</v>
      </c>
      <c r="BB2503" s="3">
        <v>0</v>
      </c>
      <c r="BC2503" s="3">
        <v>0</v>
      </c>
      <c r="BD2503" s="3">
        <v>0</v>
      </c>
      <c r="BE2503" s="3">
        <v>0</v>
      </c>
      <c r="BF2503" s="3">
        <v>0</v>
      </c>
      <c r="BG2503" s="3">
        <v>0</v>
      </c>
      <c r="BH2503" s="3">
        <v>1</v>
      </c>
      <c r="BI2503" s="3">
        <v>1</v>
      </c>
      <c r="BJ2503" s="3">
        <v>0.2</v>
      </c>
      <c r="BK2503" s="3">
        <v>1</v>
      </c>
      <c r="BL2503" s="3">
        <v>59</v>
      </c>
      <c r="BM2503" s="3">
        <v>8.85</v>
      </c>
      <c r="BN2503" s="3">
        <v>67.849999999999994</v>
      </c>
      <c r="BO2503" s="3">
        <v>67.849999999999994</v>
      </c>
      <c r="BQ2503" s="3" t="s">
        <v>89</v>
      </c>
      <c r="BR2503" s="3" t="s">
        <v>84</v>
      </c>
      <c r="BS2503" s="4">
        <v>44589</v>
      </c>
      <c r="BT2503" s="5">
        <v>0.41319444444444442</v>
      </c>
      <c r="BU2503" s="3" t="s">
        <v>2395</v>
      </c>
      <c r="BV2503" s="3" t="s">
        <v>105</v>
      </c>
      <c r="BY2503" s="3">
        <v>1200</v>
      </c>
      <c r="BZ2503" s="3" t="s">
        <v>165</v>
      </c>
      <c r="CA2503" s="3" t="s">
        <v>2396</v>
      </c>
      <c r="CC2503" s="3" t="s">
        <v>172</v>
      </c>
      <c r="CD2503" s="3">
        <v>6001</v>
      </c>
      <c r="CE2503" s="3" t="s">
        <v>93</v>
      </c>
      <c r="CF2503" s="4">
        <v>44589</v>
      </c>
      <c r="CI2503" s="3">
        <v>1</v>
      </c>
      <c r="CJ2503" s="3">
        <v>1</v>
      </c>
      <c r="CK2503" s="3">
        <v>21</v>
      </c>
      <c r="CL2503" s="3" t="s">
        <v>87</v>
      </c>
    </row>
    <row r="2504" spans="1:90" x14ac:dyDescent="0.2">
      <c r="A2504" s="3" t="s">
        <v>72</v>
      </c>
      <c r="B2504" s="3" t="s">
        <v>73</v>
      </c>
      <c r="C2504" s="3" t="s">
        <v>74</v>
      </c>
      <c r="E2504" s="3" t="str">
        <f>"FES1162847220"</f>
        <v>FES1162847220</v>
      </c>
      <c r="F2504" s="4">
        <v>44588</v>
      </c>
      <c r="G2504" s="3">
        <v>202207</v>
      </c>
      <c r="H2504" s="3" t="s">
        <v>75</v>
      </c>
      <c r="I2504" s="3" t="s">
        <v>76</v>
      </c>
      <c r="J2504" s="3" t="s">
        <v>77</v>
      </c>
      <c r="K2504" s="3" t="s">
        <v>78</v>
      </c>
      <c r="L2504" s="3" t="s">
        <v>101</v>
      </c>
      <c r="M2504" s="3" t="s">
        <v>102</v>
      </c>
      <c r="N2504" s="3" t="s">
        <v>935</v>
      </c>
      <c r="O2504" s="3" t="s">
        <v>82</v>
      </c>
      <c r="P2504" s="3" t="str">
        <f>"2170818535                    "</f>
        <v xml:space="preserve">2170818535                    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15.46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0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3">
        <v>0</v>
      </c>
      <c r="AY2504" s="3">
        <v>0</v>
      </c>
      <c r="AZ2504" s="3">
        <v>0</v>
      </c>
      <c r="BA2504" s="3">
        <v>0</v>
      </c>
      <c r="BB2504" s="3">
        <v>0</v>
      </c>
      <c r="BC2504" s="3">
        <v>0</v>
      </c>
      <c r="BD2504" s="3">
        <v>0</v>
      </c>
      <c r="BE2504" s="3">
        <v>0</v>
      </c>
      <c r="BF2504" s="3">
        <v>0</v>
      </c>
      <c r="BG2504" s="3">
        <v>0</v>
      </c>
      <c r="BH2504" s="3">
        <v>1</v>
      </c>
      <c r="BI2504" s="3">
        <v>1</v>
      </c>
      <c r="BJ2504" s="3">
        <v>0.2</v>
      </c>
      <c r="BK2504" s="3">
        <v>1</v>
      </c>
      <c r="BL2504" s="3">
        <v>59</v>
      </c>
      <c r="BM2504" s="3">
        <v>8.85</v>
      </c>
      <c r="BN2504" s="3">
        <v>67.849999999999994</v>
      </c>
      <c r="BO2504" s="3">
        <v>67.849999999999994</v>
      </c>
      <c r="BQ2504" s="3" t="s">
        <v>89</v>
      </c>
      <c r="BR2504" s="3" t="s">
        <v>84</v>
      </c>
      <c r="BS2504" s="4">
        <v>44589</v>
      </c>
      <c r="BT2504" s="5">
        <v>0.3576388888888889</v>
      </c>
      <c r="BU2504" s="3" t="s">
        <v>2458</v>
      </c>
      <c r="BV2504" s="3" t="s">
        <v>105</v>
      </c>
      <c r="BY2504" s="3">
        <v>1200</v>
      </c>
      <c r="BZ2504" s="3" t="s">
        <v>165</v>
      </c>
      <c r="CA2504" s="3" t="s">
        <v>1040</v>
      </c>
      <c r="CC2504" s="3" t="s">
        <v>102</v>
      </c>
      <c r="CD2504" s="3">
        <v>4001</v>
      </c>
      <c r="CE2504" s="3" t="s">
        <v>93</v>
      </c>
      <c r="CI2504" s="3">
        <v>1</v>
      </c>
      <c r="CJ2504" s="3">
        <v>1</v>
      </c>
      <c r="CK2504" s="3">
        <v>21</v>
      </c>
      <c r="CL2504" s="3" t="s">
        <v>87</v>
      </c>
    </row>
    <row r="2505" spans="1:90" x14ac:dyDescent="0.2">
      <c r="A2505" s="3" t="s">
        <v>72</v>
      </c>
      <c r="B2505" s="3" t="s">
        <v>73</v>
      </c>
      <c r="C2505" s="3" t="s">
        <v>74</v>
      </c>
      <c r="E2505" s="3" t="str">
        <f>"FES1162847399"</f>
        <v>FES1162847399</v>
      </c>
      <c r="F2505" s="4">
        <v>44588</v>
      </c>
      <c r="G2505" s="3">
        <v>202207</v>
      </c>
      <c r="H2505" s="3" t="s">
        <v>75</v>
      </c>
      <c r="I2505" s="3" t="s">
        <v>76</v>
      </c>
      <c r="J2505" s="3" t="s">
        <v>77</v>
      </c>
      <c r="K2505" s="3" t="s">
        <v>78</v>
      </c>
      <c r="L2505" s="3" t="s">
        <v>79</v>
      </c>
      <c r="M2505" s="3" t="s">
        <v>80</v>
      </c>
      <c r="N2505" s="3" t="s">
        <v>363</v>
      </c>
      <c r="O2505" s="3" t="s">
        <v>82</v>
      </c>
      <c r="P2505" s="3" t="str">
        <f>"2170815073                    "</f>
        <v xml:space="preserve">2170815073                    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15.46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0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3">
        <v>0</v>
      </c>
      <c r="AY2505" s="3">
        <v>0</v>
      </c>
      <c r="AZ2505" s="3">
        <v>0</v>
      </c>
      <c r="BA2505" s="3">
        <v>0</v>
      </c>
      <c r="BB2505" s="3">
        <v>0</v>
      </c>
      <c r="BC2505" s="3">
        <v>0</v>
      </c>
      <c r="BD2505" s="3">
        <v>0</v>
      </c>
      <c r="BE2505" s="3">
        <v>0</v>
      </c>
      <c r="BF2505" s="3">
        <v>0</v>
      </c>
      <c r="BG2505" s="3">
        <v>0</v>
      </c>
      <c r="BH2505" s="3">
        <v>1</v>
      </c>
      <c r="BI2505" s="3">
        <v>1</v>
      </c>
      <c r="BJ2505" s="3">
        <v>0.2</v>
      </c>
      <c r="BK2505" s="3">
        <v>1</v>
      </c>
      <c r="BL2505" s="3">
        <v>59</v>
      </c>
      <c r="BM2505" s="3">
        <v>8.85</v>
      </c>
      <c r="BN2505" s="3">
        <v>67.849999999999994</v>
      </c>
      <c r="BO2505" s="3">
        <v>67.849999999999994</v>
      </c>
      <c r="BQ2505" s="3" t="s">
        <v>273</v>
      </c>
      <c r="BR2505" s="3" t="s">
        <v>84</v>
      </c>
      <c r="BS2505" s="4">
        <v>44589</v>
      </c>
      <c r="BT2505" s="5">
        <v>0.40277777777777773</v>
      </c>
      <c r="BU2505" s="3" t="s">
        <v>2464</v>
      </c>
      <c r="BV2505" s="3" t="s">
        <v>105</v>
      </c>
      <c r="BY2505" s="3">
        <v>1200</v>
      </c>
      <c r="CA2505" s="3" t="s">
        <v>328</v>
      </c>
      <c r="CC2505" s="3" t="s">
        <v>80</v>
      </c>
      <c r="CD2505" s="3">
        <v>200</v>
      </c>
      <c r="CE2505" s="3" t="s">
        <v>93</v>
      </c>
      <c r="CF2505" s="4">
        <v>44589</v>
      </c>
      <c r="CI2505" s="3">
        <v>1</v>
      </c>
      <c r="CJ2505" s="3">
        <v>1</v>
      </c>
      <c r="CK2505" s="3">
        <v>21</v>
      </c>
      <c r="CL2505" s="3" t="s">
        <v>87</v>
      </c>
    </row>
    <row r="2506" spans="1:90" x14ac:dyDescent="0.2">
      <c r="A2506" s="3" t="s">
        <v>72</v>
      </c>
      <c r="B2506" s="3" t="s">
        <v>73</v>
      </c>
      <c r="C2506" s="3" t="s">
        <v>74</v>
      </c>
      <c r="E2506" s="3" t="str">
        <f>"FES1162847202"</f>
        <v>FES1162847202</v>
      </c>
      <c r="F2506" s="4">
        <v>44588</v>
      </c>
      <c r="G2506" s="3">
        <v>202207</v>
      </c>
      <c r="H2506" s="3" t="s">
        <v>75</v>
      </c>
      <c r="I2506" s="3" t="s">
        <v>76</v>
      </c>
      <c r="J2506" s="3" t="s">
        <v>77</v>
      </c>
      <c r="K2506" s="3" t="s">
        <v>78</v>
      </c>
      <c r="L2506" s="3" t="s">
        <v>167</v>
      </c>
      <c r="M2506" s="3" t="s">
        <v>168</v>
      </c>
      <c r="N2506" s="3" t="s">
        <v>247</v>
      </c>
      <c r="O2506" s="3" t="s">
        <v>82</v>
      </c>
      <c r="P2506" s="3" t="str">
        <f>"2170818511                    "</f>
        <v xml:space="preserve">2170818511                    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15.46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0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3">
        <v>0</v>
      </c>
      <c r="AY2506" s="3">
        <v>0</v>
      </c>
      <c r="AZ2506" s="3">
        <v>0</v>
      </c>
      <c r="BA2506" s="3">
        <v>0</v>
      </c>
      <c r="BB2506" s="3">
        <v>0</v>
      </c>
      <c r="BC2506" s="3">
        <v>0</v>
      </c>
      <c r="BD2506" s="3">
        <v>0</v>
      </c>
      <c r="BE2506" s="3">
        <v>0</v>
      </c>
      <c r="BF2506" s="3">
        <v>0</v>
      </c>
      <c r="BG2506" s="3">
        <v>0</v>
      </c>
      <c r="BH2506" s="3">
        <v>1</v>
      </c>
      <c r="BI2506" s="3">
        <v>1</v>
      </c>
      <c r="BJ2506" s="3">
        <v>0.2</v>
      </c>
      <c r="BK2506" s="3">
        <v>1</v>
      </c>
      <c r="BL2506" s="3">
        <v>59</v>
      </c>
      <c r="BM2506" s="3">
        <v>8.85</v>
      </c>
      <c r="BN2506" s="3">
        <v>67.849999999999994</v>
      </c>
      <c r="BO2506" s="3">
        <v>67.849999999999994</v>
      </c>
      <c r="BQ2506" s="3" t="s">
        <v>89</v>
      </c>
      <c r="BR2506" s="3" t="s">
        <v>84</v>
      </c>
      <c r="BS2506" s="4">
        <v>44589</v>
      </c>
      <c r="BT2506" s="5">
        <v>0.3298611111111111</v>
      </c>
      <c r="BU2506" s="3" t="s">
        <v>2465</v>
      </c>
      <c r="BV2506" s="3" t="s">
        <v>105</v>
      </c>
      <c r="BY2506" s="3">
        <v>1200</v>
      </c>
      <c r="BZ2506" s="3" t="s">
        <v>165</v>
      </c>
      <c r="CA2506" s="3" t="s">
        <v>553</v>
      </c>
      <c r="CC2506" s="3" t="s">
        <v>168</v>
      </c>
      <c r="CD2506" s="3">
        <v>6229</v>
      </c>
      <c r="CE2506" s="3" t="s">
        <v>93</v>
      </c>
      <c r="CF2506" s="4">
        <v>44589</v>
      </c>
      <c r="CI2506" s="3">
        <v>1</v>
      </c>
      <c r="CJ2506" s="3">
        <v>1</v>
      </c>
      <c r="CK2506" s="3">
        <v>21</v>
      </c>
      <c r="CL2506" s="3" t="s">
        <v>87</v>
      </c>
    </row>
    <row r="2507" spans="1:90" x14ac:dyDescent="0.2">
      <c r="A2507" s="3" t="s">
        <v>72</v>
      </c>
      <c r="B2507" s="3" t="s">
        <v>73</v>
      </c>
      <c r="C2507" s="3" t="s">
        <v>74</v>
      </c>
      <c r="E2507" s="3" t="str">
        <f>"FES1162847332"</f>
        <v>FES1162847332</v>
      </c>
      <c r="F2507" s="4">
        <v>44588</v>
      </c>
      <c r="G2507" s="3">
        <v>202207</v>
      </c>
      <c r="H2507" s="3" t="s">
        <v>75</v>
      </c>
      <c r="I2507" s="3" t="s">
        <v>76</v>
      </c>
      <c r="J2507" s="3" t="s">
        <v>77</v>
      </c>
      <c r="K2507" s="3" t="s">
        <v>78</v>
      </c>
      <c r="L2507" s="3" t="s">
        <v>1119</v>
      </c>
      <c r="M2507" s="3" t="s">
        <v>1120</v>
      </c>
      <c r="N2507" s="3" t="s">
        <v>1809</v>
      </c>
      <c r="O2507" s="3" t="s">
        <v>82</v>
      </c>
      <c r="P2507" s="3" t="str">
        <f>"2170818578                    "</f>
        <v xml:space="preserve">2170818578                    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29.95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0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3">
        <v>0</v>
      </c>
      <c r="AY2507" s="3">
        <v>0</v>
      </c>
      <c r="AZ2507" s="3">
        <v>0</v>
      </c>
      <c r="BA2507" s="3">
        <v>0</v>
      </c>
      <c r="BB2507" s="3">
        <v>0</v>
      </c>
      <c r="BC2507" s="3">
        <v>0</v>
      </c>
      <c r="BD2507" s="3">
        <v>0</v>
      </c>
      <c r="BE2507" s="3">
        <v>0</v>
      </c>
      <c r="BF2507" s="3">
        <v>0</v>
      </c>
      <c r="BG2507" s="3">
        <v>0</v>
      </c>
      <c r="BH2507" s="3">
        <v>1</v>
      </c>
      <c r="BI2507" s="3">
        <v>1</v>
      </c>
      <c r="BJ2507" s="3">
        <v>0.2</v>
      </c>
      <c r="BK2507" s="3">
        <v>1</v>
      </c>
      <c r="BL2507" s="3">
        <v>114.31</v>
      </c>
      <c r="BM2507" s="3">
        <v>17.149999999999999</v>
      </c>
      <c r="BN2507" s="3">
        <v>131.46</v>
      </c>
      <c r="BO2507" s="3">
        <v>131.46</v>
      </c>
      <c r="BR2507" s="3" t="s">
        <v>84</v>
      </c>
      <c r="BS2507" s="4">
        <v>44589</v>
      </c>
      <c r="BT2507" s="5">
        <v>0.57777777777777783</v>
      </c>
      <c r="BU2507" s="3" t="s">
        <v>559</v>
      </c>
      <c r="BV2507" s="3" t="s">
        <v>105</v>
      </c>
      <c r="BY2507" s="3">
        <v>1200</v>
      </c>
      <c r="BZ2507" s="3" t="s">
        <v>165</v>
      </c>
      <c r="CA2507" s="3" t="s">
        <v>809</v>
      </c>
      <c r="CC2507" s="3" t="s">
        <v>1120</v>
      </c>
      <c r="CD2507" s="3">
        <v>4380</v>
      </c>
      <c r="CE2507" s="3" t="s">
        <v>93</v>
      </c>
      <c r="CI2507" s="3">
        <v>1</v>
      </c>
      <c r="CJ2507" s="3">
        <v>1</v>
      </c>
      <c r="CK2507" s="3">
        <v>23</v>
      </c>
      <c r="CL2507" s="3" t="s">
        <v>87</v>
      </c>
    </row>
    <row r="2508" spans="1:90" x14ac:dyDescent="0.2">
      <c r="A2508" s="3" t="s">
        <v>72</v>
      </c>
      <c r="B2508" s="3" t="s">
        <v>73</v>
      </c>
      <c r="C2508" s="3" t="s">
        <v>74</v>
      </c>
      <c r="E2508" s="3" t="str">
        <f>"FES1162847224"</f>
        <v>FES1162847224</v>
      </c>
      <c r="F2508" s="4">
        <v>44588</v>
      </c>
      <c r="G2508" s="3">
        <v>202207</v>
      </c>
      <c r="H2508" s="3" t="s">
        <v>75</v>
      </c>
      <c r="I2508" s="3" t="s">
        <v>76</v>
      </c>
      <c r="J2508" s="3" t="s">
        <v>77</v>
      </c>
      <c r="K2508" s="3" t="s">
        <v>78</v>
      </c>
      <c r="L2508" s="3" t="s">
        <v>171</v>
      </c>
      <c r="M2508" s="3" t="s">
        <v>172</v>
      </c>
      <c r="N2508" s="3" t="s">
        <v>2423</v>
      </c>
      <c r="O2508" s="3" t="s">
        <v>82</v>
      </c>
      <c r="P2508" s="3" t="str">
        <f>"2170809969                    "</f>
        <v xml:space="preserve">2170809969                    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46.36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0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3">
        <v>0</v>
      </c>
      <c r="AY2508" s="3">
        <v>0</v>
      </c>
      <c r="AZ2508" s="3">
        <v>0</v>
      </c>
      <c r="BA2508" s="3">
        <v>0</v>
      </c>
      <c r="BB2508" s="3">
        <v>0</v>
      </c>
      <c r="BC2508" s="3">
        <v>0</v>
      </c>
      <c r="BD2508" s="3">
        <v>0</v>
      </c>
      <c r="BE2508" s="3">
        <v>0</v>
      </c>
      <c r="BF2508" s="3">
        <v>0</v>
      </c>
      <c r="BG2508" s="3">
        <v>0</v>
      </c>
      <c r="BH2508" s="3">
        <v>1</v>
      </c>
      <c r="BI2508" s="3">
        <v>6</v>
      </c>
      <c r="BJ2508" s="3">
        <v>2</v>
      </c>
      <c r="BK2508" s="3">
        <v>6</v>
      </c>
      <c r="BL2508" s="3">
        <v>176.94</v>
      </c>
      <c r="BM2508" s="3">
        <v>26.54</v>
      </c>
      <c r="BN2508" s="3">
        <v>203.48</v>
      </c>
      <c r="BO2508" s="3">
        <v>203.48</v>
      </c>
      <c r="BQ2508" s="3" t="s">
        <v>89</v>
      </c>
      <c r="BR2508" s="3" t="s">
        <v>84</v>
      </c>
      <c r="BS2508" s="4">
        <v>44589</v>
      </c>
      <c r="BT2508" s="5">
        <v>0.35347222222222219</v>
      </c>
      <c r="BU2508" s="3" t="s">
        <v>2424</v>
      </c>
      <c r="BV2508" s="3" t="s">
        <v>105</v>
      </c>
      <c r="BY2508" s="3">
        <v>9900</v>
      </c>
      <c r="BZ2508" s="3" t="s">
        <v>165</v>
      </c>
      <c r="CA2508" s="3" t="s">
        <v>1580</v>
      </c>
      <c r="CC2508" s="3" t="s">
        <v>172</v>
      </c>
      <c r="CD2508" s="3">
        <v>6001</v>
      </c>
      <c r="CE2508" s="3" t="s">
        <v>86</v>
      </c>
      <c r="CF2508" s="4">
        <v>44589</v>
      </c>
      <c r="CI2508" s="3">
        <v>1</v>
      </c>
      <c r="CJ2508" s="3">
        <v>1</v>
      </c>
      <c r="CK2508" s="3">
        <v>21</v>
      </c>
      <c r="CL2508" s="3" t="s">
        <v>87</v>
      </c>
    </row>
    <row r="2509" spans="1:90" x14ac:dyDescent="0.2">
      <c r="A2509" s="3" t="s">
        <v>72</v>
      </c>
      <c r="B2509" s="3" t="s">
        <v>73</v>
      </c>
      <c r="C2509" s="3" t="s">
        <v>74</v>
      </c>
      <c r="E2509" s="3" t="str">
        <f>"FES1162847410"</f>
        <v>FES1162847410</v>
      </c>
      <c r="F2509" s="4">
        <v>44588</v>
      </c>
      <c r="G2509" s="3">
        <v>202207</v>
      </c>
      <c r="H2509" s="3" t="s">
        <v>75</v>
      </c>
      <c r="I2509" s="3" t="s">
        <v>76</v>
      </c>
      <c r="J2509" s="3" t="s">
        <v>77</v>
      </c>
      <c r="K2509" s="3" t="s">
        <v>78</v>
      </c>
      <c r="L2509" s="3" t="s">
        <v>138</v>
      </c>
      <c r="M2509" s="3" t="s">
        <v>139</v>
      </c>
      <c r="N2509" s="3" t="s">
        <v>558</v>
      </c>
      <c r="O2509" s="3" t="s">
        <v>82</v>
      </c>
      <c r="P2509" s="3" t="str">
        <f>"2170818680                    "</f>
        <v xml:space="preserve">2170818680                    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15.46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0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3">
        <v>0</v>
      </c>
      <c r="AY2509" s="3">
        <v>0</v>
      </c>
      <c r="AZ2509" s="3">
        <v>0</v>
      </c>
      <c r="BA2509" s="3">
        <v>0</v>
      </c>
      <c r="BB2509" s="3">
        <v>0</v>
      </c>
      <c r="BC2509" s="3">
        <v>0</v>
      </c>
      <c r="BD2509" s="3">
        <v>0</v>
      </c>
      <c r="BE2509" s="3">
        <v>0</v>
      </c>
      <c r="BF2509" s="3">
        <v>0</v>
      </c>
      <c r="BG2509" s="3">
        <v>0</v>
      </c>
      <c r="BH2509" s="3">
        <v>1</v>
      </c>
      <c r="BI2509" s="3">
        <v>1</v>
      </c>
      <c r="BJ2509" s="3">
        <v>0.2</v>
      </c>
      <c r="BK2509" s="3">
        <v>1</v>
      </c>
      <c r="BL2509" s="3">
        <v>59</v>
      </c>
      <c r="BM2509" s="3">
        <v>8.85</v>
      </c>
      <c r="BN2509" s="3">
        <v>67.849999999999994</v>
      </c>
      <c r="BO2509" s="3">
        <v>67.849999999999994</v>
      </c>
      <c r="BR2509" s="3" t="s">
        <v>84</v>
      </c>
      <c r="BS2509" s="4">
        <v>44589</v>
      </c>
      <c r="BT2509" s="5">
        <v>0.38541666666666669</v>
      </c>
      <c r="BU2509" s="3" t="s">
        <v>2205</v>
      </c>
      <c r="BV2509" s="3" t="s">
        <v>105</v>
      </c>
      <c r="BY2509" s="3">
        <v>1200</v>
      </c>
      <c r="CA2509" s="3" t="s">
        <v>240</v>
      </c>
      <c r="CC2509" s="3" t="s">
        <v>139</v>
      </c>
      <c r="CD2509" s="3">
        <v>3610</v>
      </c>
      <c r="CE2509" s="3" t="s">
        <v>93</v>
      </c>
      <c r="CI2509" s="3">
        <v>1</v>
      </c>
      <c r="CJ2509" s="3">
        <v>1</v>
      </c>
      <c r="CK2509" s="3">
        <v>21</v>
      </c>
      <c r="CL2509" s="3" t="s">
        <v>87</v>
      </c>
    </row>
    <row r="2510" spans="1:90" x14ac:dyDescent="0.2">
      <c r="A2510" s="3" t="s">
        <v>72</v>
      </c>
      <c r="B2510" s="3" t="s">
        <v>73</v>
      </c>
      <c r="C2510" s="3" t="s">
        <v>74</v>
      </c>
      <c r="E2510" s="3" t="str">
        <f>"FES1162847192"</f>
        <v>FES1162847192</v>
      </c>
      <c r="F2510" s="4">
        <v>44588</v>
      </c>
      <c r="G2510" s="3">
        <v>202207</v>
      </c>
      <c r="H2510" s="3" t="s">
        <v>75</v>
      </c>
      <c r="I2510" s="3" t="s">
        <v>76</v>
      </c>
      <c r="J2510" s="3" t="s">
        <v>77</v>
      </c>
      <c r="K2510" s="3" t="s">
        <v>78</v>
      </c>
      <c r="L2510" s="3" t="s">
        <v>171</v>
      </c>
      <c r="M2510" s="3" t="s">
        <v>172</v>
      </c>
      <c r="N2510" s="3" t="s">
        <v>200</v>
      </c>
      <c r="O2510" s="3" t="s">
        <v>82</v>
      </c>
      <c r="P2510" s="3" t="str">
        <f>"2170818496                    "</f>
        <v xml:space="preserve">2170818496                    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15.46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0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3">
        <v>0</v>
      </c>
      <c r="AY2510" s="3">
        <v>0</v>
      </c>
      <c r="AZ2510" s="3">
        <v>0</v>
      </c>
      <c r="BA2510" s="3">
        <v>0</v>
      </c>
      <c r="BB2510" s="3">
        <v>0</v>
      </c>
      <c r="BC2510" s="3">
        <v>0</v>
      </c>
      <c r="BD2510" s="3">
        <v>0</v>
      </c>
      <c r="BE2510" s="3">
        <v>0</v>
      </c>
      <c r="BF2510" s="3">
        <v>0</v>
      </c>
      <c r="BG2510" s="3">
        <v>0</v>
      </c>
      <c r="BH2510" s="3">
        <v>1</v>
      </c>
      <c r="BI2510" s="3">
        <v>1</v>
      </c>
      <c r="BJ2510" s="3">
        <v>0.2</v>
      </c>
      <c r="BK2510" s="3">
        <v>1</v>
      </c>
      <c r="BL2510" s="3">
        <v>59</v>
      </c>
      <c r="BM2510" s="3">
        <v>8.85</v>
      </c>
      <c r="BN2510" s="3">
        <v>67.849999999999994</v>
      </c>
      <c r="BO2510" s="3">
        <v>67.849999999999994</v>
      </c>
      <c r="BQ2510" s="3" t="s">
        <v>89</v>
      </c>
      <c r="BR2510" s="3" t="s">
        <v>84</v>
      </c>
      <c r="BS2510" s="4">
        <v>44589</v>
      </c>
      <c r="BT2510" s="5">
        <v>0.41180555555555554</v>
      </c>
      <c r="BU2510" s="3" t="s">
        <v>2395</v>
      </c>
      <c r="BV2510" s="3" t="s">
        <v>105</v>
      </c>
      <c r="BY2510" s="3">
        <v>1200</v>
      </c>
      <c r="BZ2510" s="3" t="s">
        <v>165</v>
      </c>
      <c r="CA2510" s="3" t="s">
        <v>2396</v>
      </c>
      <c r="CC2510" s="3" t="s">
        <v>172</v>
      </c>
      <c r="CD2510" s="3">
        <v>6001</v>
      </c>
      <c r="CE2510" s="3" t="s">
        <v>93</v>
      </c>
      <c r="CF2510" s="4">
        <v>44589</v>
      </c>
      <c r="CI2510" s="3">
        <v>1</v>
      </c>
      <c r="CJ2510" s="3">
        <v>1</v>
      </c>
      <c r="CK2510" s="3">
        <v>21</v>
      </c>
      <c r="CL2510" s="3" t="s">
        <v>87</v>
      </c>
    </row>
    <row r="2511" spans="1:90" x14ac:dyDescent="0.2">
      <c r="A2511" s="3" t="s">
        <v>72</v>
      </c>
      <c r="B2511" s="3" t="s">
        <v>73</v>
      </c>
      <c r="C2511" s="3" t="s">
        <v>74</v>
      </c>
      <c r="E2511" s="3" t="str">
        <f>"FES1162847339"</f>
        <v>FES1162847339</v>
      </c>
      <c r="F2511" s="4">
        <v>44588</v>
      </c>
      <c r="G2511" s="3">
        <v>202207</v>
      </c>
      <c r="H2511" s="3" t="s">
        <v>75</v>
      </c>
      <c r="I2511" s="3" t="s">
        <v>76</v>
      </c>
      <c r="J2511" s="3" t="s">
        <v>77</v>
      </c>
      <c r="K2511" s="3" t="s">
        <v>78</v>
      </c>
      <c r="L2511" s="3" t="s">
        <v>101</v>
      </c>
      <c r="M2511" s="3" t="s">
        <v>102</v>
      </c>
      <c r="N2511" s="3" t="s">
        <v>1463</v>
      </c>
      <c r="O2511" s="3" t="s">
        <v>82</v>
      </c>
      <c r="P2511" s="3" t="str">
        <f>"2170818586                    "</f>
        <v xml:space="preserve">2170818586                    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15.46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0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3">
        <v>0</v>
      </c>
      <c r="AY2511" s="3">
        <v>0</v>
      </c>
      <c r="AZ2511" s="3">
        <v>0</v>
      </c>
      <c r="BA2511" s="3">
        <v>0</v>
      </c>
      <c r="BB2511" s="3">
        <v>0</v>
      </c>
      <c r="BC2511" s="3">
        <v>0</v>
      </c>
      <c r="BD2511" s="3">
        <v>0</v>
      </c>
      <c r="BE2511" s="3">
        <v>0</v>
      </c>
      <c r="BF2511" s="3">
        <v>0</v>
      </c>
      <c r="BG2511" s="3">
        <v>0</v>
      </c>
      <c r="BH2511" s="3">
        <v>1</v>
      </c>
      <c r="BI2511" s="3">
        <v>1</v>
      </c>
      <c r="BJ2511" s="3">
        <v>0.2</v>
      </c>
      <c r="BK2511" s="3">
        <v>1</v>
      </c>
      <c r="BL2511" s="3">
        <v>59</v>
      </c>
      <c r="BM2511" s="3">
        <v>8.85</v>
      </c>
      <c r="BN2511" s="3">
        <v>67.849999999999994</v>
      </c>
      <c r="BO2511" s="3">
        <v>67.849999999999994</v>
      </c>
      <c r="BQ2511" s="3" t="s">
        <v>2466</v>
      </c>
      <c r="BR2511" s="3" t="s">
        <v>84</v>
      </c>
      <c r="BS2511" s="4">
        <v>44589</v>
      </c>
      <c r="BT2511" s="5">
        <v>0.35000000000000003</v>
      </c>
      <c r="BU2511" s="3" t="s">
        <v>2467</v>
      </c>
      <c r="BV2511" s="3" t="s">
        <v>105</v>
      </c>
      <c r="BY2511" s="3">
        <v>1200</v>
      </c>
      <c r="BZ2511" s="3" t="s">
        <v>165</v>
      </c>
      <c r="CA2511" s="3" t="s">
        <v>240</v>
      </c>
      <c r="CC2511" s="3" t="s">
        <v>102</v>
      </c>
      <c r="CD2511" s="3">
        <v>4001</v>
      </c>
      <c r="CE2511" s="3" t="s">
        <v>93</v>
      </c>
      <c r="CI2511" s="3">
        <v>1</v>
      </c>
      <c r="CJ2511" s="3">
        <v>1</v>
      </c>
      <c r="CK2511" s="3">
        <v>21</v>
      </c>
      <c r="CL2511" s="3" t="s">
        <v>87</v>
      </c>
    </row>
    <row r="2512" spans="1:90" x14ac:dyDescent="0.2">
      <c r="A2512" s="3" t="s">
        <v>72</v>
      </c>
      <c r="B2512" s="3" t="s">
        <v>73</v>
      </c>
      <c r="C2512" s="3" t="s">
        <v>74</v>
      </c>
      <c r="E2512" s="3" t="str">
        <f>"FES1162847303"</f>
        <v>FES1162847303</v>
      </c>
      <c r="F2512" s="4">
        <v>44588</v>
      </c>
      <c r="G2512" s="3">
        <v>202207</v>
      </c>
      <c r="H2512" s="3" t="s">
        <v>75</v>
      </c>
      <c r="I2512" s="3" t="s">
        <v>76</v>
      </c>
      <c r="J2512" s="3" t="s">
        <v>77</v>
      </c>
      <c r="K2512" s="3" t="s">
        <v>78</v>
      </c>
      <c r="L2512" s="3" t="s">
        <v>298</v>
      </c>
      <c r="M2512" s="3" t="s">
        <v>299</v>
      </c>
      <c r="N2512" s="3" t="s">
        <v>300</v>
      </c>
      <c r="O2512" s="3" t="s">
        <v>82</v>
      </c>
      <c r="P2512" s="3" t="str">
        <f>"2170818546                    "</f>
        <v xml:space="preserve">2170818546                    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29.95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Q2512" s="3">
        <v>0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3">
        <v>0</v>
      </c>
      <c r="AY2512" s="3">
        <v>0</v>
      </c>
      <c r="AZ2512" s="3">
        <v>0</v>
      </c>
      <c r="BA2512" s="3">
        <v>0</v>
      </c>
      <c r="BB2512" s="3">
        <v>0</v>
      </c>
      <c r="BC2512" s="3">
        <v>0</v>
      </c>
      <c r="BD2512" s="3">
        <v>0</v>
      </c>
      <c r="BE2512" s="3">
        <v>0</v>
      </c>
      <c r="BF2512" s="3">
        <v>0</v>
      </c>
      <c r="BG2512" s="3">
        <v>0</v>
      </c>
      <c r="BH2512" s="3">
        <v>1</v>
      </c>
      <c r="BI2512" s="3">
        <v>1</v>
      </c>
      <c r="BJ2512" s="3">
        <v>0.2</v>
      </c>
      <c r="BK2512" s="3">
        <v>1</v>
      </c>
      <c r="BL2512" s="3">
        <v>114.31</v>
      </c>
      <c r="BM2512" s="3">
        <v>17.149999999999999</v>
      </c>
      <c r="BN2512" s="3">
        <v>131.46</v>
      </c>
      <c r="BO2512" s="3">
        <v>131.46</v>
      </c>
      <c r="BR2512" s="3" t="s">
        <v>84</v>
      </c>
      <c r="BS2512" s="4">
        <v>44589</v>
      </c>
      <c r="BT2512" s="5">
        <v>0.4680555555555555</v>
      </c>
      <c r="BU2512" s="3" t="s">
        <v>2468</v>
      </c>
      <c r="BV2512" s="3" t="s">
        <v>105</v>
      </c>
      <c r="BY2512" s="3">
        <v>1200</v>
      </c>
      <c r="BZ2512" s="3" t="s">
        <v>165</v>
      </c>
      <c r="CA2512" s="3" t="s">
        <v>268</v>
      </c>
      <c r="CC2512" s="3" t="s">
        <v>299</v>
      </c>
      <c r="CD2512" s="3">
        <v>7349</v>
      </c>
      <c r="CE2512" s="3" t="s">
        <v>93</v>
      </c>
      <c r="CI2512" s="3">
        <v>1</v>
      </c>
      <c r="CJ2512" s="3">
        <v>1</v>
      </c>
      <c r="CK2512" s="3">
        <v>23</v>
      </c>
      <c r="CL2512" s="3" t="s">
        <v>87</v>
      </c>
    </row>
    <row r="2513" spans="1:90" x14ac:dyDescent="0.2">
      <c r="A2513" s="3" t="s">
        <v>72</v>
      </c>
      <c r="B2513" s="3" t="s">
        <v>73</v>
      </c>
      <c r="C2513" s="3" t="s">
        <v>74</v>
      </c>
      <c r="E2513" s="3" t="str">
        <f>"FES1162847091"</f>
        <v>FES1162847091</v>
      </c>
      <c r="F2513" s="4">
        <v>44588</v>
      </c>
      <c r="G2513" s="3">
        <v>202207</v>
      </c>
      <c r="H2513" s="3" t="s">
        <v>75</v>
      </c>
      <c r="I2513" s="3" t="s">
        <v>76</v>
      </c>
      <c r="J2513" s="3" t="s">
        <v>77</v>
      </c>
      <c r="K2513" s="3" t="s">
        <v>78</v>
      </c>
      <c r="L2513" s="3" t="s">
        <v>90</v>
      </c>
      <c r="M2513" s="3" t="s">
        <v>91</v>
      </c>
      <c r="N2513" s="3" t="s">
        <v>827</v>
      </c>
      <c r="O2513" s="3" t="s">
        <v>82</v>
      </c>
      <c r="P2513" s="3" t="str">
        <f>"2170818372                    "</f>
        <v xml:space="preserve">2170818372                    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15.46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0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3">
        <v>0</v>
      </c>
      <c r="AY2513" s="3">
        <v>0</v>
      </c>
      <c r="AZ2513" s="3">
        <v>0</v>
      </c>
      <c r="BA2513" s="3">
        <v>0</v>
      </c>
      <c r="BB2513" s="3">
        <v>0</v>
      </c>
      <c r="BC2513" s="3">
        <v>0</v>
      </c>
      <c r="BD2513" s="3">
        <v>0</v>
      </c>
      <c r="BE2513" s="3">
        <v>0</v>
      </c>
      <c r="BF2513" s="3">
        <v>0</v>
      </c>
      <c r="BG2513" s="3">
        <v>0</v>
      </c>
      <c r="BH2513" s="3">
        <v>1</v>
      </c>
      <c r="BI2513" s="3">
        <v>1</v>
      </c>
      <c r="BJ2513" s="3">
        <v>0.2</v>
      </c>
      <c r="BK2513" s="3">
        <v>1</v>
      </c>
      <c r="BL2513" s="3">
        <v>59</v>
      </c>
      <c r="BM2513" s="3">
        <v>8.85</v>
      </c>
      <c r="BN2513" s="3">
        <v>67.849999999999994</v>
      </c>
      <c r="BO2513" s="3">
        <v>67.849999999999994</v>
      </c>
      <c r="BQ2513" s="3" t="s">
        <v>83</v>
      </c>
      <c r="BR2513" s="3" t="s">
        <v>84</v>
      </c>
      <c r="BS2513" s="4">
        <v>44589</v>
      </c>
      <c r="BT2513" s="5">
        <v>0.38194444444444442</v>
      </c>
      <c r="BU2513" s="3" t="s">
        <v>2469</v>
      </c>
      <c r="BV2513" s="3" t="s">
        <v>105</v>
      </c>
      <c r="BY2513" s="3">
        <v>1200</v>
      </c>
      <c r="CA2513" s="3" t="s">
        <v>829</v>
      </c>
      <c r="CC2513" s="3" t="s">
        <v>91</v>
      </c>
      <c r="CD2513" s="3">
        <v>7499</v>
      </c>
      <c r="CE2513" s="3" t="s">
        <v>93</v>
      </c>
      <c r="CI2513" s="3">
        <v>1</v>
      </c>
      <c r="CJ2513" s="3">
        <v>1</v>
      </c>
      <c r="CK2513" s="3">
        <v>21</v>
      </c>
      <c r="CL2513" s="3" t="s">
        <v>87</v>
      </c>
    </row>
    <row r="2514" spans="1:90" x14ac:dyDescent="0.2">
      <c r="A2514" s="3" t="s">
        <v>72</v>
      </c>
      <c r="B2514" s="3" t="s">
        <v>73</v>
      </c>
      <c r="C2514" s="3" t="s">
        <v>74</v>
      </c>
      <c r="E2514" s="3" t="str">
        <f>"FES1162847252"</f>
        <v>FES1162847252</v>
      </c>
      <c r="F2514" s="4">
        <v>44588</v>
      </c>
      <c r="G2514" s="3">
        <v>202207</v>
      </c>
      <c r="H2514" s="3" t="s">
        <v>75</v>
      </c>
      <c r="I2514" s="3" t="s">
        <v>76</v>
      </c>
      <c r="J2514" s="3" t="s">
        <v>77</v>
      </c>
      <c r="K2514" s="3" t="s">
        <v>78</v>
      </c>
      <c r="L2514" s="3" t="s">
        <v>75</v>
      </c>
      <c r="M2514" s="3" t="s">
        <v>76</v>
      </c>
      <c r="N2514" s="3" t="s">
        <v>224</v>
      </c>
      <c r="O2514" s="3" t="s">
        <v>82</v>
      </c>
      <c r="P2514" s="3" t="str">
        <f>"2170817026                    "</f>
        <v xml:space="preserve">2170817026                    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12.07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0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3">
        <v>0</v>
      </c>
      <c r="AY2514" s="3">
        <v>0</v>
      </c>
      <c r="AZ2514" s="3">
        <v>0</v>
      </c>
      <c r="BA2514" s="3">
        <v>0</v>
      </c>
      <c r="BB2514" s="3">
        <v>0</v>
      </c>
      <c r="BC2514" s="3">
        <v>0</v>
      </c>
      <c r="BD2514" s="3">
        <v>0</v>
      </c>
      <c r="BE2514" s="3">
        <v>0</v>
      </c>
      <c r="BF2514" s="3">
        <v>0</v>
      </c>
      <c r="BG2514" s="3">
        <v>0</v>
      </c>
      <c r="BH2514" s="3">
        <v>1</v>
      </c>
      <c r="BI2514" s="3">
        <v>1</v>
      </c>
      <c r="BJ2514" s="3">
        <v>0.2</v>
      </c>
      <c r="BK2514" s="3">
        <v>1</v>
      </c>
      <c r="BL2514" s="3">
        <v>46.08</v>
      </c>
      <c r="BM2514" s="3">
        <v>6.91</v>
      </c>
      <c r="BN2514" s="3">
        <v>52.99</v>
      </c>
      <c r="BO2514" s="3">
        <v>52.99</v>
      </c>
      <c r="BQ2514" s="3" t="s">
        <v>83</v>
      </c>
      <c r="BR2514" s="3" t="s">
        <v>84</v>
      </c>
      <c r="BS2514" s="4">
        <v>44589</v>
      </c>
      <c r="BT2514" s="5">
        <v>0.37222222222222223</v>
      </c>
      <c r="BU2514" s="3" t="s">
        <v>2470</v>
      </c>
      <c r="BV2514" s="3" t="s">
        <v>105</v>
      </c>
      <c r="BY2514" s="3">
        <v>1200</v>
      </c>
      <c r="BZ2514" s="3" t="s">
        <v>165</v>
      </c>
      <c r="CA2514" s="3" t="s">
        <v>227</v>
      </c>
      <c r="CC2514" s="3" t="s">
        <v>76</v>
      </c>
      <c r="CD2514" s="3">
        <v>1600</v>
      </c>
      <c r="CE2514" s="3" t="s">
        <v>86</v>
      </c>
      <c r="CF2514" s="4">
        <v>44589</v>
      </c>
      <c r="CI2514" s="3">
        <v>1</v>
      </c>
      <c r="CJ2514" s="3">
        <v>1</v>
      </c>
      <c r="CK2514" s="3">
        <v>22</v>
      </c>
      <c r="CL2514" s="3" t="s">
        <v>87</v>
      </c>
    </row>
    <row r="2515" spans="1:90" x14ac:dyDescent="0.2">
      <c r="A2515" s="3" t="s">
        <v>72</v>
      </c>
      <c r="B2515" s="3" t="s">
        <v>73</v>
      </c>
      <c r="C2515" s="3" t="s">
        <v>74</v>
      </c>
      <c r="E2515" s="3" t="str">
        <f>"FES1162847396"</f>
        <v>FES1162847396</v>
      </c>
      <c r="F2515" s="4">
        <v>44588</v>
      </c>
      <c r="G2515" s="3">
        <v>202207</v>
      </c>
      <c r="H2515" s="3" t="s">
        <v>75</v>
      </c>
      <c r="I2515" s="3" t="s">
        <v>76</v>
      </c>
      <c r="J2515" s="3" t="s">
        <v>77</v>
      </c>
      <c r="K2515" s="3" t="s">
        <v>78</v>
      </c>
      <c r="L2515" s="3" t="s">
        <v>258</v>
      </c>
      <c r="M2515" s="3" t="s">
        <v>259</v>
      </c>
      <c r="N2515" s="3" t="s">
        <v>412</v>
      </c>
      <c r="O2515" s="3" t="s">
        <v>82</v>
      </c>
      <c r="P2515" s="3" t="str">
        <f>"2170818667                    "</f>
        <v xml:space="preserve">2170818667                    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32.33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0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3">
        <v>0</v>
      </c>
      <c r="AY2515" s="3">
        <v>0</v>
      </c>
      <c r="AZ2515" s="3">
        <v>0</v>
      </c>
      <c r="BA2515" s="3">
        <v>0</v>
      </c>
      <c r="BB2515" s="3">
        <v>0</v>
      </c>
      <c r="BC2515" s="3">
        <v>0</v>
      </c>
      <c r="BD2515" s="3">
        <v>0</v>
      </c>
      <c r="BE2515" s="3">
        <v>0</v>
      </c>
      <c r="BF2515" s="3">
        <v>0</v>
      </c>
      <c r="BG2515" s="3">
        <v>0</v>
      </c>
      <c r="BH2515" s="3">
        <v>1</v>
      </c>
      <c r="BI2515" s="3">
        <v>3</v>
      </c>
      <c r="BJ2515" s="3">
        <v>0.9</v>
      </c>
      <c r="BK2515" s="3">
        <v>3</v>
      </c>
      <c r="BL2515" s="3">
        <v>123.39</v>
      </c>
      <c r="BM2515" s="3">
        <v>18.510000000000002</v>
      </c>
      <c r="BN2515" s="3">
        <v>141.9</v>
      </c>
      <c r="BO2515" s="3">
        <v>141.9</v>
      </c>
      <c r="BQ2515" s="3" t="s">
        <v>83</v>
      </c>
      <c r="BR2515" s="3" t="s">
        <v>84</v>
      </c>
      <c r="BS2515" s="4">
        <v>44589</v>
      </c>
      <c r="BT2515" s="5">
        <v>0.41666666666666669</v>
      </c>
      <c r="BU2515" s="3" t="s">
        <v>2208</v>
      </c>
      <c r="BV2515" s="3" t="s">
        <v>105</v>
      </c>
      <c r="BY2515" s="3">
        <v>4275</v>
      </c>
      <c r="CA2515" s="3" t="s">
        <v>779</v>
      </c>
      <c r="CC2515" s="3" t="s">
        <v>259</v>
      </c>
      <c r="CD2515" s="3">
        <v>2302</v>
      </c>
      <c r="CE2515" s="3" t="s">
        <v>86</v>
      </c>
      <c r="CF2515" s="4">
        <v>44592</v>
      </c>
      <c r="CI2515" s="3">
        <v>1</v>
      </c>
      <c r="CJ2515" s="3">
        <v>1</v>
      </c>
      <c r="CK2515" s="3">
        <v>24</v>
      </c>
      <c r="CL2515" s="3" t="s">
        <v>87</v>
      </c>
    </row>
    <row r="2516" spans="1:90" x14ac:dyDescent="0.2">
      <c r="A2516" s="3" t="s">
        <v>72</v>
      </c>
      <c r="B2516" s="3" t="s">
        <v>73</v>
      </c>
      <c r="C2516" s="3" t="s">
        <v>74</v>
      </c>
      <c r="E2516" s="3" t="str">
        <f>"FES1162847169"</f>
        <v>FES1162847169</v>
      </c>
      <c r="F2516" s="4">
        <v>44588</v>
      </c>
      <c r="G2516" s="3">
        <v>202207</v>
      </c>
      <c r="H2516" s="3" t="s">
        <v>75</v>
      </c>
      <c r="I2516" s="3" t="s">
        <v>76</v>
      </c>
      <c r="J2516" s="3" t="s">
        <v>77</v>
      </c>
      <c r="K2516" s="3" t="s">
        <v>78</v>
      </c>
      <c r="L2516" s="3" t="s">
        <v>158</v>
      </c>
      <c r="M2516" s="3" t="s">
        <v>159</v>
      </c>
      <c r="N2516" s="3" t="s">
        <v>1140</v>
      </c>
      <c r="O2516" s="3" t="s">
        <v>82</v>
      </c>
      <c r="P2516" s="3" t="str">
        <f>"2170818489                    "</f>
        <v xml:space="preserve">2170818489                    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12.07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0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3">
        <v>0</v>
      </c>
      <c r="AY2516" s="3">
        <v>0</v>
      </c>
      <c r="AZ2516" s="3">
        <v>0</v>
      </c>
      <c r="BA2516" s="3">
        <v>0</v>
      </c>
      <c r="BB2516" s="3">
        <v>0</v>
      </c>
      <c r="BC2516" s="3">
        <v>0</v>
      </c>
      <c r="BD2516" s="3">
        <v>0</v>
      </c>
      <c r="BE2516" s="3">
        <v>0</v>
      </c>
      <c r="BF2516" s="3">
        <v>0</v>
      </c>
      <c r="BG2516" s="3">
        <v>0</v>
      </c>
      <c r="BH2516" s="3">
        <v>1</v>
      </c>
      <c r="BI2516" s="3">
        <v>1</v>
      </c>
      <c r="BJ2516" s="3">
        <v>0.2</v>
      </c>
      <c r="BK2516" s="3">
        <v>1</v>
      </c>
      <c r="BL2516" s="3">
        <v>46.08</v>
      </c>
      <c r="BM2516" s="3">
        <v>6.91</v>
      </c>
      <c r="BN2516" s="3">
        <v>52.99</v>
      </c>
      <c r="BO2516" s="3">
        <v>52.99</v>
      </c>
      <c r="BQ2516" s="3" t="s">
        <v>89</v>
      </c>
      <c r="BR2516" s="3" t="s">
        <v>84</v>
      </c>
      <c r="BS2516" s="4">
        <v>44589</v>
      </c>
      <c r="BT2516" s="5">
        <v>0.4680555555555555</v>
      </c>
      <c r="BU2516" s="3" t="s">
        <v>2471</v>
      </c>
      <c r="BV2516" s="3" t="s">
        <v>87</v>
      </c>
      <c r="BW2516" s="3" t="s">
        <v>353</v>
      </c>
      <c r="BX2516" s="3" t="s">
        <v>758</v>
      </c>
      <c r="BY2516" s="3">
        <v>1200</v>
      </c>
      <c r="BZ2516" s="3" t="s">
        <v>165</v>
      </c>
      <c r="CA2516" s="3" t="s">
        <v>678</v>
      </c>
      <c r="CC2516" s="3" t="s">
        <v>159</v>
      </c>
      <c r="CD2516" s="3">
        <v>1459</v>
      </c>
      <c r="CE2516" s="3" t="s">
        <v>86</v>
      </c>
      <c r="CF2516" s="4">
        <v>44590</v>
      </c>
      <c r="CI2516" s="3">
        <v>1</v>
      </c>
      <c r="CJ2516" s="3">
        <v>1</v>
      </c>
      <c r="CK2516" s="3">
        <v>22</v>
      </c>
      <c r="CL2516" s="3" t="s">
        <v>87</v>
      </c>
    </row>
    <row r="2517" spans="1:90" x14ac:dyDescent="0.2">
      <c r="A2517" s="3" t="s">
        <v>72</v>
      </c>
      <c r="B2517" s="3" t="s">
        <v>73</v>
      </c>
      <c r="C2517" s="3" t="s">
        <v>74</v>
      </c>
      <c r="E2517" s="3" t="str">
        <f>"FES1162847401"</f>
        <v>FES1162847401</v>
      </c>
      <c r="F2517" s="4">
        <v>44588</v>
      </c>
      <c r="G2517" s="3">
        <v>202207</v>
      </c>
      <c r="H2517" s="3" t="s">
        <v>75</v>
      </c>
      <c r="I2517" s="3" t="s">
        <v>76</v>
      </c>
      <c r="J2517" s="3" t="s">
        <v>77</v>
      </c>
      <c r="K2517" s="3" t="s">
        <v>78</v>
      </c>
      <c r="L2517" s="3" t="s">
        <v>90</v>
      </c>
      <c r="M2517" s="3" t="s">
        <v>91</v>
      </c>
      <c r="N2517" s="3" t="s">
        <v>584</v>
      </c>
      <c r="O2517" s="3" t="s">
        <v>82</v>
      </c>
      <c r="P2517" s="3" t="str">
        <f>"2170818674                    "</f>
        <v xml:space="preserve">2170818674                    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23.18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0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3">
        <v>0</v>
      </c>
      <c r="AY2517" s="3">
        <v>0</v>
      </c>
      <c r="AZ2517" s="3">
        <v>0</v>
      </c>
      <c r="BA2517" s="3">
        <v>0</v>
      </c>
      <c r="BB2517" s="3">
        <v>0</v>
      </c>
      <c r="BC2517" s="3">
        <v>0</v>
      </c>
      <c r="BD2517" s="3">
        <v>0</v>
      </c>
      <c r="BE2517" s="3">
        <v>0</v>
      </c>
      <c r="BF2517" s="3">
        <v>0</v>
      </c>
      <c r="BG2517" s="3">
        <v>0</v>
      </c>
      <c r="BH2517" s="3">
        <v>1</v>
      </c>
      <c r="BI2517" s="3">
        <v>1</v>
      </c>
      <c r="BJ2517" s="3">
        <v>2.9</v>
      </c>
      <c r="BK2517" s="3">
        <v>3</v>
      </c>
      <c r="BL2517" s="3">
        <v>88.48</v>
      </c>
      <c r="BM2517" s="3">
        <v>13.27</v>
      </c>
      <c r="BN2517" s="3">
        <v>101.75</v>
      </c>
      <c r="BO2517" s="3">
        <v>101.75</v>
      </c>
      <c r="BQ2517" s="3" t="s">
        <v>83</v>
      </c>
      <c r="BR2517" s="3" t="s">
        <v>84</v>
      </c>
      <c r="BS2517" s="4">
        <v>44589</v>
      </c>
      <c r="BT2517" s="5">
        <v>0.33124999999999999</v>
      </c>
      <c r="BU2517" s="3" t="s">
        <v>1656</v>
      </c>
      <c r="BV2517" s="3" t="s">
        <v>105</v>
      </c>
      <c r="BY2517" s="3">
        <v>14336</v>
      </c>
      <c r="CA2517" s="3" t="s">
        <v>543</v>
      </c>
      <c r="CC2517" s="3" t="s">
        <v>91</v>
      </c>
      <c r="CD2517" s="3">
        <v>7530</v>
      </c>
      <c r="CE2517" s="3" t="s">
        <v>86</v>
      </c>
      <c r="CI2517" s="3">
        <v>1</v>
      </c>
      <c r="CJ2517" s="3">
        <v>1</v>
      </c>
      <c r="CK2517" s="3">
        <v>21</v>
      </c>
      <c r="CL2517" s="3" t="s">
        <v>87</v>
      </c>
    </row>
    <row r="2518" spans="1:90" x14ac:dyDescent="0.2">
      <c r="A2518" s="3" t="s">
        <v>72</v>
      </c>
      <c r="B2518" s="3" t="s">
        <v>73</v>
      </c>
      <c r="C2518" s="3" t="s">
        <v>74</v>
      </c>
      <c r="E2518" s="3" t="str">
        <f>"FES1162847305"</f>
        <v>FES1162847305</v>
      </c>
      <c r="F2518" s="4">
        <v>44588</v>
      </c>
      <c r="G2518" s="3">
        <v>202207</v>
      </c>
      <c r="H2518" s="3" t="s">
        <v>75</v>
      </c>
      <c r="I2518" s="3" t="s">
        <v>76</v>
      </c>
      <c r="J2518" s="3" t="s">
        <v>77</v>
      </c>
      <c r="K2518" s="3" t="s">
        <v>78</v>
      </c>
      <c r="L2518" s="3" t="s">
        <v>195</v>
      </c>
      <c r="M2518" s="3" t="s">
        <v>196</v>
      </c>
      <c r="N2518" s="3" t="s">
        <v>197</v>
      </c>
      <c r="O2518" s="3" t="s">
        <v>82</v>
      </c>
      <c r="P2518" s="3" t="str">
        <f>"2170847305                    "</f>
        <v xml:space="preserve">2170847305                    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34.770000000000003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0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3">
        <v>0</v>
      </c>
      <c r="AY2518" s="3">
        <v>0</v>
      </c>
      <c r="AZ2518" s="3">
        <v>0</v>
      </c>
      <c r="BA2518" s="3">
        <v>0</v>
      </c>
      <c r="BB2518" s="3">
        <v>0</v>
      </c>
      <c r="BC2518" s="3">
        <v>0</v>
      </c>
      <c r="BD2518" s="3">
        <v>0</v>
      </c>
      <c r="BE2518" s="3">
        <v>0</v>
      </c>
      <c r="BF2518" s="3">
        <v>0</v>
      </c>
      <c r="BG2518" s="3">
        <v>0</v>
      </c>
      <c r="BH2518" s="3">
        <v>1</v>
      </c>
      <c r="BI2518" s="3">
        <v>3</v>
      </c>
      <c r="BJ2518" s="3">
        <v>4.0999999999999996</v>
      </c>
      <c r="BK2518" s="3">
        <v>4.5</v>
      </c>
      <c r="BL2518" s="3">
        <v>132.71</v>
      </c>
      <c r="BM2518" s="3">
        <v>19.91</v>
      </c>
      <c r="BN2518" s="3">
        <v>152.62</v>
      </c>
      <c r="BO2518" s="3">
        <v>152.62</v>
      </c>
      <c r="BQ2518" s="3" t="s">
        <v>89</v>
      </c>
      <c r="BR2518" s="3" t="s">
        <v>84</v>
      </c>
      <c r="BS2518" s="4">
        <v>44589</v>
      </c>
      <c r="BT2518" s="5">
        <v>0.3756944444444445</v>
      </c>
      <c r="BU2518" s="3" t="s">
        <v>2400</v>
      </c>
      <c r="BV2518" s="3" t="s">
        <v>105</v>
      </c>
      <c r="BY2518" s="3">
        <v>20358</v>
      </c>
      <c r="BZ2518" s="3" t="s">
        <v>165</v>
      </c>
      <c r="CA2518" s="3" t="s">
        <v>571</v>
      </c>
      <c r="CC2518" s="3" t="s">
        <v>196</v>
      </c>
      <c r="CD2518" s="3">
        <v>4302</v>
      </c>
      <c r="CE2518" s="3" t="s">
        <v>86</v>
      </c>
      <c r="CI2518" s="3">
        <v>1</v>
      </c>
      <c r="CJ2518" s="3">
        <v>1</v>
      </c>
      <c r="CK2518" s="3">
        <v>21</v>
      </c>
      <c r="CL2518" s="3" t="s">
        <v>87</v>
      </c>
    </row>
    <row r="2519" spans="1:90" x14ac:dyDescent="0.2">
      <c r="A2519" s="3" t="s">
        <v>72</v>
      </c>
      <c r="B2519" s="3" t="s">
        <v>73</v>
      </c>
      <c r="C2519" s="3" t="s">
        <v>74</v>
      </c>
      <c r="E2519" s="3" t="str">
        <f>"FES1162847090"</f>
        <v>FES1162847090</v>
      </c>
      <c r="F2519" s="4">
        <v>44588</v>
      </c>
      <c r="G2519" s="3">
        <v>202207</v>
      </c>
      <c r="H2519" s="3" t="s">
        <v>75</v>
      </c>
      <c r="I2519" s="3" t="s">
        <v>76</v>
      </c>
      <c r="J2519" s="3" t="s">
        <v>77</v>
      </c>
      <c r="K2519" s="3" t="s">
        <v>78</v>
      </c>
      <c r="L2519" s="3" t="s">
        <v>90</v>
      </c>
      <c r="M2519" s="3" t="s">
        <v>91</v>
      </c>
      <c r="N2519" s="3" t="s">
        <v>827</v>
      </c>
      <c r="O2519" s="3" t="s">
        <v>82</v>
      </c>
      <c r="P2519" s="3" t="str">
        <f>"2170818371                    "</f>
        <v xml:space="preserve">2170818371                    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15.46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Q2519" s="3">
        <v>0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3">
        <v>0</v>
      </c>
      <c r="AY2519" s="3">
        <v>0</v>
      </c>
      <c r="AZ2519" s="3">
        <v>0</v>
      </c>
      <c r="BA2519" s="3">
        <v>0</v>
      </c>
      <c r="BB2519" s="3">
        <v>0</v>
      </c>
      <c r="BC2519" s="3">
        <v>0</v>
      </c>
      <c r="BD2519" s="3">
        <v>0</v>
      </c>
      <c r="BE2519" s="3">
        <v>0</v>
      </c>
      <c r="BF2519" s="3">
        <v>0</v>
      </c>
      <c r="BG2519" s="3">
        <v>0</v>
      </c>
      <c r="BH2519" s="3">
        <v>1</v>
      </c>
      <c r="BI2519" s="3">
        <v>1</v>
      </c>
      <c r="BJ2519" s="3">
        <v>0.2</v>
      </c>
      <c r="BK2519" s="3">
        <v>1</v>
      </c>
      <c r="BL2519" s="3">
        <v>59</v>
      </c>
      <c r="BM2519" s="3">
        <v>8.85</v>
      </c>
      <c r="BN2519" s="3">
        <v>67.849999999999994</v>
      </c>
      <c r="BO2519" s="3">
        <v>67.849999999999994</v>
      </c>
      <c r="BQ2519" s="3" t="s">
        <v>83</v>
      </c>
      <c r="BR2519" s="3" t="s">
        <v>84</v>
      </c>
      <c r="BS2519" s="4">
        <v>44589</v>
      </c>
      <c r="BT2519" s="5">
        <v>0.38194444444444442</v>
      </c>
      <c r="BU2519" s="3" t="s">
        <v>2469</v>
      </c>
      <c r="BV2519" s="3" t="s">
        <v>105</v>
      </c>
      <c r="BY2519" s="3">
        <v>1200</v>
      </c>
      <c r="CA2519" s="3" t="s">
        <v>829</v>
      </c>
      <c r="CC2519" s="3" t="s">
        <v>91</v>
      </c>
      <c r="CD2519" s="3">
        <v>7499</v>
      </c>
      <c r="CE2519" s="3" t="s">
        <v>93</v>
      </c>
      <c r="CI2519" s="3">
        <v>1</v>
      </c>
      <c r="CJ2519" s="3">
        <v>1</v>
      </c>
      <c r="CK2519" s="3">
        <v>21</v>
      </c>
      <c r="CL2519" s="3" t="s">
        <v>87</v>
      </c>
    </row>
    <row r="2520" spans="1:90" x14ac:dyDescent="0.2">
      <c r="A2520" s="3" t="s">
        <v>72</v>
      </c>
      <c r="B2520" s="3" t="s">
        <v>73</v>
      </c>
      <c r="C2520" s="3" t="s">
        <v>74</v>
      </c>
      <c r="E2520" s="3" t="str">
        <f>"FES1162847353"</f>
        <v>FES1162847353</v>
      </c>
      <c r="F2520" s="4">
        <v>44588</v>
      </c>
      <c r="G2520" s="3">
        <v>202207</v>
      </c>
      <c r="H2520" s="3" t="s">
        <v>75</v>
      </c>
      <c r="I2520" s="3" t="s">
        <v>76</v>
      </c>
      <c r="J2520" s="3" t="s">
        <v>77</v>
      </c>
      <c r="K2520" s="3" t="s">
        <v>78</v>
      </c>
      <c r="L2520" s="3" t="s">
        <v>138</v>
      </c>
      <c r="M2520" s="3" t="s">
        <v>139</v>
      </c>
      <c r="N2520" s="3" t="s">
        <v>140</v>
      </c>
      <c r="O2520" s="3" t="s">
        <v>148</v>
      </c>
      <c r="P2520" s="3" t="str">
        <f>"2170818602                    "</f>
        <v xml:space="preserve">2170818602                    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38.51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0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3">
        <v>0</v>
      </c>
      <c r="AY2520" s="3">
        <v>0</v>
      </c>
      <c r="AZ2520" s="3">
        <v>0</v>
      </c>
      <c r="BA2520" s="3">
        <v>0</v>
      </c>
      <c r="BB2520" s="3">
        <v>0</v>
      </c>
      <c r="BC2520" s="3">
        <v>0</v>
      </c>
      <c r="BD2520" s="3">
        <v>0</v>
      </c>
      <c r="BE2520" s="3">
        <v>0</v>
      </c>
      <c r="BF2520" s="3">
        <v>0</v>
      </c>
      <c r="BG2520" s="3">
        <v>0</v>
      </c>
      <c r="BH2520" s="3">
        <v>1</v>
      </c>
      <c r="BI2520" s="3">
        <v>22</v>
      </c>
      <c r="BJ2520" s="3">
        <v>9.1</v>
      </c>
      <c r="BK2520" s="3">
        <v>22</v>
      </c>
      <c r="BL2520" s="3">
        <v>152.25</v>
      </c>
      <c r="BM2520" s="3">
        <v>22.84</v>
      </c>
      <c r="BN2520" s="3">
        <v>175.09</v>
      </c>
      <c r="BO2520" s="3">
        <v>175.09</v>
      </c>
      <c r="BQ2520" s="3" t="s">
        <v>126</v>
      </c>
      <c r="BR2520" s="3" t="s">
        <v>84</v>
      </c>
      <c r="BS2520" s="4">
        <v>44589</v>
      </c>
      <c r="BT2520" s="5">
        <v>0.47152777777777777</v>
      </c>
      <c r="BU2520" s="3" t="s">
        <v>2421</v>
      </c>
      <c r="BV2520" s="3" t="s">
        <v>105</v>
      </c>
      <c r="BY2520" s="3">
        <v>45632</v>
      </c>
      <c r="BZ2520" s="3" t="s">
        <v>327</v>
      </c>
      <c r="CA2520" s="3" t="s">
        <v>2422</v>
      </c>
      <c r="CC2520" s="3" t="s">
        <v>139</v>
      </c>
      <c r="CD2520" s="3">
        <v>3610</v>
      </c>
      <c r="CE2520" s="3" t="s">
        <v>86</v>
      </c>
      <c r="CI2520" s="3">
        <v>1</v>
      </c>
      <c r="CJ2520" s="3">
        <v>1</v>
      </c>
      <c r="CK2520" s="3">
        <v>41</v>
      </c>
      <c r="CL2520" s="3" t="s">
        <v>87</v>
      </c>
    </row>
    <row r="2521" spans="1:90" x14ac:dyDescent="0.2">
      <c r="A2521" s="3" t="s">
        <v>72</v>
      </c>
      <c r="B2521" s="3" t="s">
        <v>73</v>
      </c>
      <c r="C2521" s="3" t="s">
        <v>74</v>
      </c>
      <c r="E2521" s="3" t="str">
        <f>"FES1162847092"</f>
        <v>FES1162847092</v>
      </c>
      <c r="F2521" s="4">
        <v>44588</v>
      </c>
      <c r="G2521" s="3">
        <v>202207</v>
      </c>
      <c r="H2521" s="3" t="s">
        <v>75</v>
      </c>
      <c r="I2521" s="3" t="s">
        <v>76</v>
      </c>
      <c r="J2521" s="3" t="s">
        <v>77</v>
      </c>
      <c r="K2521" s="3" t="s">
        <v>78</v>
      </c>
      <c r="L2521" s="3" t="s">
        <v>90</v>
      </c>
      <c r="M2521" s="3" t="s">
        <v>91</v>
      </c>
      <c r="N2521" s="3" t="s">
        <v>827</v>
      </c>
      <c r="O2521" s="3" t="s">
        <v>82</v>
      </c>
      <c r="P2521" s="3" t="str">
        <f>"2170818374                    "</f>
        <v xml:space="preserve">2170818374                    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15.46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0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3">
        <v>0</v>
      </c>
      <c r="AY2521" s="3">
        <v>0</v>
      </c>
      <c r="AZ2521" s="3">
        <v>0</v>
      </c>
      <c r="BA2521" s="3">
        <v>0</v>
      </c>
      <c r="BB2521" s="3">
        <v>0</v>
      </c>
      <c r="BC2521" s="3">
        <v>0</v>
      </c>
      <c r="BD2521" s="3">
        <v>0</v>
      </c>
      <c r="BE2521" s="3">
        <v>0</v>
      </c>
      <c r="BF2521" s="3">
        <v>0</v>
      </c>
      <c r="BG2521" s="3">
        <v>0</v>
      </c>
      <c r="BH2521" s="3">
        <v>1</v>
      </c>
      <c r="BI2521" s="3">
        <v>1</v>
      </c>
      <c r="BJ2521" s="3">
        <v>0.2</v>
      </c>
      <c r="BK2521" s="3">
        <v>1</v>
      </c>
      <c r="BL2521" s="3">
        <v>59</v>
      </c>
      <c r="BM2521" s="3">
        <v>8.85</v>
      </c>
      <c r="BN2521" s="3">
        <v>67.849999999999994</v>
      </c>
      <c r="BO2521" s="3">
        <v>67.849999999999994</v>
      </c>
      <c r="BQ2521" s="3" t="s">
        <v>83</v>
      </c>
      <c r="BR2521" s="3" t="s">
        <v>84</v>
      </c>
      <c r="BS2521" s="4">
        <v>44589</v>
      </c>
      <c r="BT2521" s="5">
        <v>0.38194444444444442</v>
      </c>
      <c r="BU2521" s="3" t="s">
        <v>2469</v>
      </c>
      <c r="BV2521" s="3" t="s">
        <v>105</v>
      </c>
      <c r="BY2521" s="3">
        <v>1200</v>
      </c>
      <c r="CA2521" s="3" t="s">
        <v>829</v>
      </c>
      <c r="CC2521" s="3" t="s">
        <v>91</v>
      </c>
      <c r="CD2521" s="3">
        <v>7499</v>
      </c>
      <c r="CE2521" s="3" t="s">
        <v>93</v>
      </c>
      <c r="CI2521" s="3">
        <v>1</v>
      </c>
      <c r="CJ2521" s="3">
        <v>1</v>
      </c>
      <c r="CK2521" s="3">
        <v>21</v>
      </c>
      <c r="CL2521" s="3" t="s">
        <v>87</v>
      </c>
    </row>
    <row r="2522" spans="1:90" x14ac:dyDescent="0.2">
      <c r="A2522" s="3" t="s">
        <v>72</v>
      </c>
      <c r="B2522" s="3" t="s">
        <v>73</v>
      </c>
      <c r="C2522" s="3" t="s">
        <v>74</v>
      </c>
      <c r="E2522" s="3" t="str">
        <f>"FES1162847232"</f>
        <v>FES1162847232</v>
      </c>
      <c r="F2522" s="4">
        <v>44588</v>
      </c>
      <c r="G2522" s="3">
        <v>202207</v>
      </c>
      <c r="H2522" s="3" t="s">
        <v>75</v>
      </c>
      <c r="I2522" s="3" t="s">
        <v>76</v>
      </c>
      <c r="J2522" s="3" t="s">
        <v>77</v>
      </c>
      <c r="K2522" s="3" t="s">
        <v>78</v>
      </c>
      <c r="L2522" s="3" t="s">
        <v>258</v>
      </c>
      <c r="M2522" s="3" t="s">
        <v>259</v>
      </c>
      <c r="N2522" s="3" t="s">
        <v>412</v>
      </c>
      <c r="O2522" s="3" t="s">
        <v>82</v>
      </c>
      <c r="P2522" s="3" t="str">
        <f>"2170815996                    "</f>
        <v xml:space="preserve">2170815996                    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48.21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0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3">
        <v>0</v>
      </c>
      <c r="AY2522" s="3">
        <v>0</v>
      </c>
      <c r="AZ2522" s="3">
        <v>0</v>
      </c>
      <c r="BA2522" s="3">
        <v>0</v>
      </c>
      <c r="BB2522" s="3">
        <v>0</v>
      </c>
      <c r="BC2522" s="3">
        <v>0</v>
      </c>
      <c r="BD2522" s="3">
        <v>0</v>
      </c>
      <c r="BE2522" s="3">
        <v>0</v>
      </c>
      <c r="BF2522" s="3">
        <v>0</v>
      </c>
      <c r="BG2522" s="3">
        <v>0</v>
      </c>
      <c r="BH2522" s="3">
        <v>1</v>
      </c>
      <c r="BI2522" s="3">
        <v>2</v>
      </c>
      <c r="BJ2522" s="3">
        <v>4.0999999999999996</v>
      </c>
      <c r="BK2522" s="3">
        <v>4.5</v>
      </c>
      <c r="BL2522" s="3">
        <v>184</v>
      </c>
      <c r="BM2522" s="3">
        <v>27.6</v>
      </c>
      <c r="BN2522" s="3">
        <v>211.6</v>
      </c>
      <c r="BO2522" s="3">
        <v>211.6</v>
      </c>
      <c r="BQ2522" s="3" t="s">
        <v>83</v>
      </c>
      <c r="BR2522" s="3" t="s">
        <v>84</v>
      </c>
      <c r="BS2522" s="4">
        <v>44589</v>
      </c>
      <c r="BT2522" s="5">
        <v>0.41597222222222219</v>
      </c>
      <c r="BU2522" s="3" t="s">
        <v>2472</v>
      </c>
      <c r="BV2522" s="3" t="s">
        <v>105</v>
      </c>
      <c r="BY2522" s="3">
        <v>20358</v>
      </c>
      <c r="BZ2522" s="3" t="s">
        <v>165</v>
      </c>
      <c r="CA2522" s="3" t="s">
        <v>2473</v>
      </c>
      <c r="CC2522" s="3" t="s">
        <v>259</v>
      </c>
      <c r="CD2522" s="3">
        <v>2302</v>
      </c>
      <c r="CE2522" s="3" t="s">
        <v>86</v>
      </c>
      <c r="CF2522" s="4">
        <v>44592</v>
      </c>
      <c r="CI2522" s="3">
        <v>1</v>
      </c>
      <c r="CJ2522" s="3">
        <v>1</v>
      </c>
      <c r="CK2522" s="3">
        <v>24</v>
      </c>
      <c r="CL2522" s="3" t="s">
        <v>87</v>
      </c>
    </row>
    <row r="2523" spans="1:90" x14ac:dyDescent="0.2">
      <c r="A2523" s="3" t="s">
        <v>72</v>
      </c>
      <c r="B2523" s="3" t="s">
        <v>73</v>
      </c>
      <c r="C2523" s="3" t="s">
        <v>74</v>
      </c>
      <c r="E2523" s="3" t="str">
        <f>"FES1162847398"</f>
        <v>FES1162847398</v>
      </c>
      <c r="F2523" s="4">
        <v>44588</v>
      </c>
      <c r="G2523" s="3">
        <v>202207</v>
      </c>
      <c r="H2523" s="3" t="s">
        <v>75</v>
      </c>
      <c r="I2523" s="3" t="s">
        <v>76</v>
      </c>
      <c r="J2523" s="3" t="s">
        <v>77</v>
      </c>
      <c r="K2523" s="3" t="s">
        <v>78</v>
      </c>
      <c r="L2523" s="3" t="s">
        <v>101</v>
      </c>
      <c r="M2523" s="3" t="s">
        <v>102</v>
      </c>
      <c r="N2523" s="3" t="s">
        <v>628</v>
      </c>
      <c r="O2523" s="3" t="s">
        <v>148</v>
      </c>
      <c r="P2523" s="3" t="str">
        <f>"2170818672                    "</f>
        <v xml:space="preserve">2170818672                    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34.82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0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3">
        <v>0</v>
      </c>
      <c r="AY2523" s="3">
        <v>0</v>
      </c>
      <c r="AZ2523" s="3">
        <v>0</v>
      </c>
      <c r="BA2523" s="3">
        <v>0</v>
      </c>
      <c r="BB2523" s="3">
        <v>0</v>
      </c>
      <c r="BC2523" s="3">
        <v>0</v>
      </c>
      <c r="BD2523" s="3">
        <v>0</v>
      </c>
      <c r="BE2523" s="3">
        <v>0</v>
      </c>
      <c r="BF2523" s="3">
        <v>0</v>
      </c>
      <c r="BG2523" s="3">
        <v>0</v>
      </c>
      <c r="BH2523" s="3">
        <v>1</v>
      </c>
      <c r="BI2523" s="3">
        <v>6</v>
      </c>
      <c r="BJ2523" s="3">
        <v>18.3</v>
      </c>
      <c r="BK2523" s="3">
        <v>19</v>
      </c>
      <c r="BL2523" s="3">
        <v>138.15</v>
      </c>
      <c r="BM2523" s="3">
        <v>20.72</v>
      </c>
      <c r="BN2523" s="3">
        <v>158.87</v>
      </c>
      <c r="BO2523" s="3">
        <v>158.87</v>
      </c>
      <c r="BQ2523" s="3" t="s">
        <v>83</v>
      </c>
      <c r="BR2523" s="3" t="s">
        <v>84</v>
      </c>
      <c r="BS2523" s="3" t="s">
        <v>85</v>
      </c>
      <c r="BY2523" s="3">
        <v>91264</v>
      </c>
      <c r="CC2523" s="3" t="s">
        <v>102</v>
      </c>
      <c r="CD2523" s="3">
        <v>4052</v>
      </c>
      <c r="CE2523" s="3" t="s">
        <v>86</v>
      </c>
      <c r="CI2523" s="3">
        <v>1</v>
      </c>
      <c r="CJ2523" s="3" t="s">
        <v>85</v>
      </c>
      <c r="CK2523" s="3">
        <v>41</v>
      </c>
      <c r="CL2523" s="3" t="s">
        <v>87</v>
      </c>
    </row>
    <row r="2524" spans="1:90" x14ac:dyDescent="0.2">
      <c r="A2524" s="3" t="s">
        <v>72</v>
      </c>
      <c r="B2524" s="3" t="s">
        <v>73</v>
      </c>
      <c r="C2524" s="3" t="s">
        <v>74</v>
      </c>
      <c r="E2524" s="3" t="str">
        <f>"FES1162847189"</f>
        <v>FES1162847189</v>
      </c>
      <c r="F2524" s="4">
        <v>44588</v>
      </c>
      <c r="G2524" s="3">
        <v>202207</v>
      </c>
      <c r="H2524" s="3" t="s">
        <v>75</v>
      </c>
      <c r="I2524" s="3" t="s">
        <v>76</v>
      </c>
      <c r="J2524" s="3" t="s">
        <v>77</v>
      </c>
      <c r="K2524" s="3" t="s">
        <v>78</v>
      </c>
      <c r="L2524" s="3" t="s">
        <v>90</v>
      </c>
      <c r="M2524" s="3" t="s">
        <v>91</v>
      </c>
      <c r="N2524" s="3" t="s">
        <v>735</v>
      </c>
      <c r="O2524" s="3" t="s">
        <v>82</v>
      </c>
      <c r="P2524" s="3" t="str">
        <f>"2170818112                    "</f>
        <v xml:space="preserve">2170818112                    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15.46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0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0</v>
      </c>
      <c r="AX2524" s="3">
        <v>0</v>
      </c>
      <c r="AY2524" s="3">
        <v>0</v>
      </c>
      <c r="AZ2524" s="3">
        <v>0</v>
      </c>
      <c r="BA2524" s="3">
        <v>0</v>
      </c>
      <c r="BB2524" s="3">
        <v>0</v>
      </c>
      <c r="BC2524" s="3">
        <v>0</v>
      </c>
      <c r="BD2524" s="3">
        <v>0</v>
      </c>
      <c r="BE2524" s="3">
        <v>0</v>
      </c>
      <c r="BF2524" s="3">
        <v>0</v>
      </c>
      <c r="BG2524" s="3">
        <v>0</v>
      </c>
      <c r="BH2524" s="3">
        <v>1</v>
      </c>
      <c r="BI2524" s="3">
        <v>1</v>
      </c>
      <c r="BJ2524" s="3">
        <v>0.2</v>
      </c>
      <c r="BK2524" s="3">
        <v>1</v>
      </c>
      <c r="BL2524" s="3">
        <v>59</v>
      </c>
      <c r="BM2524" s="3">
        <v>8.85</v>
      </c>
      <c r="BN2524" s="3">
        <v>67.849999999999994</v>
      </c>
      <c r="BO2524" s="3">
        <v>67.849999999999994</v>
      </c>
      <c r="BQ2524" s="3" t="s">
        <v>273</v>
      </c>
      <c r="BR2524" s="3" t="s">
        <v>84</v>
      </c>
      <c r="BS2524" s="4">
        <v>44589</v>
      </c>
      <c r="BT2524" s="5">
        <v>0.34166666666666662</v>
      </c>
      <c r="BU2524" s="3" t="s">
        <v>2430</v>
      </c>
      <c r="BV2524" s="3" t="s">
        <v>105</v>
      </c>
      <c r="BY2524" s="3">
        <v>1200</v>
      </c>
      <c r="BZ2524" s="3" t="s">
        <v>165</v>
      </c>
      <c r="CA2524" s="3" t="s">
        <v>566</v>
      </c>
      <c r="CC2524" s="3" t="s">
        <v>91</v>
      </c>
      <c r="CD2524" s="3">
        <v>7460</v>
      </c>
      <c r="CE2524" s="3" t="s">
        <v>93</v>
      </c>
      <c r="CI2524" s="3">
        <v>1</v>
      </c>
      <c r="CJ2524" s="3">
        <v>1</v>
      </c>
      <c r="CK2524" s="3">
        <v>21</v>
      </c>
      <c r="CL2524" s="3" t="s">
        <v>87</v>
      </c>
    </row>
    <row r="2525" spans="1:90" x14ac:dyDescent="0.2">
      <c r="A2525" s="3" t="s">
        <v>72</v>
      </c>
      <c r="B2525" s="3" t="s">
        <v>73</v>
      </c>
      <c r="C2525" s="3" t="s">
        <v>74</v>
      </c>
      <c r="E2525" s="3" t="str">
        <f>"FES1162847408"</f>
        <v>FES1162847408</v>
      </c>
      <c r="F2525" s="4">
        <v>44588</v>
      </c>
      <c r="G2525" s="3">
        <v>202207</v>
      </c>
      <c r="H2525" s="3" t="s">
        <v>75</v>
      </c>
      <c r="I2525" s="3" t="s">
        <v>76</v>
      </c>
      <c r="J2525" s="3" t="s">
        <v>77</v>
      </c>
      <c r="K2525" s="3" t="s">
        <v>78</v>
      </c>
      <c r="L2525" s="3" t="s">
        <v>786</v>
      </c>
      <c r="M2525" s="3" t="s">
        <v>787</v>
      </c>
      <c r="N2525" s="3" t="s">
        <v>788</v>
      </c>
      <c r="O2525" s="3" t="s">
        <v>82</v>
      </c>
      <c r="P2525" s="3" t="str">
        <f>"2170818678                    "</f>
        <v xml:space="preserve">2170818678                    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21.74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0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3">
        <v>0</v>
      </c>
      <c r="AY2525" s="3">
        <v>0</v>
      </c>
      <c r="AZ2525" s="3">
        <v>0</v>
      </c>
      <c r="BA2525" s="3">
        <v>0</v>
      </c>
      <c r="BB2525" s="3">
        <v>0</v>
      </c>
      <c r="BC2525" s="3">
        <v>0</v>
      </c>
      <c r="BD2525" s="3">
        <v>0</v>
      </c>
      <c r="BE2525" s="3">
        <v>0</v>
      </c>
      <c r="BF2525" s="3">
        <v>0</v>
      </c>
      <c r="BG2525" s="3">
        <v>0</v>
      </c>
      <c r="BH2525" s="3">
        <v>1</v>
      </c>
      <c r="BI2525" s="3">
        <v>1</v>
      </c>
      <c r="BJ2525" s="3">
        <v>0.2</v>
      </c>
      <c r="BK2525" s="3">
        <v>1</v>
      </c>
      <c r="BL2525" s="3">
        <v>82.98</v>
      </c>
      <c r="BM2525" s="3">
        <v>12.45</v>
      </c>
      <c r="BN2525" s="3">
        <v>95.43</v>
      </c>
      <c r="BO2525" s="3">
        <v>95.43</v>
      </c>
      <c r="BQ2525" s="3" t="s">
        <v>83</v>
      </c>
      <c r="BR2525" s="3" t="s">
        <v>84</v>
      </c>
      <c r="BS2525" s="4">
        <v>44589</v>
      </c>
      <c r="BT2525" s="5">
        <v>0.43541666666666662</v>
      </c>
      <c r="BU2525" s="3" t="s">
        <v>658</v>
      </c>
      <c r="BV2525" s="3" t="s">
        <v>105</v>
      </c>
      <c r="BY2525" s="3">
        <v>1200</v>
      </c>
      <c r="CA2525" s="3" t="s">
        <v>803</v>
      </c>
      <c r="CC2525" s="3" t="s">
        <v>787</v>
      </c>
      <c r="CD2525" s="3">
        <v>2410</v>
      </c>
      <c r="CE2525" s="3" t="s">
        <v>93</v>
      </c>
      <c r="CI2525" s="3">
        <v>1</v>
      </c>
      <c r="CJ2525" s="3">
        <v>1</v>
      </c>
      <c r="CK2525" s="3">
        <v>24</v>
      </c>
      <c r="CL2525" s="3" t="s">
        <v>87</v>
      </c>
    </row>
    <row r="2526" spans="1:90" x14ac:dyDescent="0.2">
      <c r="A2526" s="3" t="s">
        <v>72</v>
      </c>
      <c r="B2526" s="3" t="s">
        <v>73</v>
      </c>
      <c r="C2526" s="3" t="s">
        <v>74</v>
      </c>
      <c r="E2526" s="3" t="str">
        <f>"FES1162847171"</f>
        <v>FES1162847171</v>
      </c>
      <c r="F2526" s="4">
        <v>44588</v>
      </c>
      <c r="G2526" s="3">
        <v>202207</v>
      </c>
      <c r="H2526" s="3" t="s">
        <v>75</v>
      </c>
      <c r="I2526" s="3" t="s">
        <v>76</v>
      </c>
      <c r="J2526" s="3" t="s">
        <v>77</v>
      </c>
      <c r="K2526" s="3" t="s">
        <v>78</v>
      </c>
      <c r="L2526" s="3" t="s">
        <v>75</v>
      </c>
      <c r="M2526" s="3" t="s">
        <v>76</v>
      </c>
      <c r="N2526" s="3" t="s">
        <v>688</v>
      </c>
      <c r="O2526" s="3" t="s">
        <v>82</v>
      </c>
      <c r="P2526" s="3" t="str">
        <f>"2170818492                    "</f>
        <v xml:space="preserve">2170818492                    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12.07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0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3">
        <v>0</v>
      </c>
      <c r="AY2526" s="3">
        <v>0</v>
      </c>
      <c r="AZ2526" s="3">
        <v>0</v>
      </c>
      <c r="BA2526" s="3">
        <v>0</v>
      </c>
      <c r="BB2526" s="3">
        <v>0</v>
      </c>
      <c r="BC2526" s="3">
        <v>0</v>
      </c>
      <c r="BD2526" s="3">
        <v>0</v>
      </c>
      <c r="BE2526" s="3">
        <v>0</v>
      </c>
      <c r="BF2526" s="3">
        <v>0</v>
      </c>
      <c r="BG2526" s="3">
        <v>0</v>
      </c>
      <c r="BH2526" s="3">
        <v>1</v>
      </c>
      <c r="BI2526" s="3">
        <v>2</v>
      </c>
      <c r="BJ2526" s="3">
        <v>0.9</v>
      </c>
      <c r="BK2526" s="3">
        <v>2</v>
      </c>
      <c r="BL2526" s="3">
        <v>46.08</v>
      </c>
      <c r="BM2526" s="3">
        <v>6.91</v>
      </c>
      <c r="BN2526" s="3">
        <v>52.99</v>
      </c>
      <c r="BO2526" s="3">
        <v>52.99</v>
      </c>
      <c r="BQ2526" s="3" t="s">
        <v>83</v>
      </c>
      <c r="BR2526" s="3" t="s">
        <v>84</v>
      </c>
      <c r="BS2526" s="4">
        <v>44589</v>
      </c>
      <c r="BT2526" s="5">
        <v>0.32083333333333336</v>
      </c>
      <c r="BU2526" s="3" t="s">
        <v>2474</v>
      </c>
      <c r="BV2526" s="3" t="s">
        <v>105</v>
      </c>
      <c r="BY2526" s="3">
        <v>4275</v>
      </c>
      <c r="BZ2526" s="3" t="s">
        <v>165</v>
      </c>
      <c r="CC2526" s="3" t="s">
        <v>76</v>
      </c>
      <c r="CD2526" s="3">
        <v>1620</v>
      </c>
      <c r="CE2526" s="3" t="s">
        <v>86</v>
      </c>
      <c r="CF2526" s="4">
        <v>44589</v>
      </c>
      <c r="CI2526" s="3">
        <v>1</v>
      </c>
      <c r="CJ2526" s="3">
        <v>1</v>
      </c>
      <c r="CK2526" s="3">
        <v>22</v>
      </c>
      <c r="CL2526" s="3" t="s">
        <v>87</v>
      </c>
    </row>
    <row r="2527" spans="1:90" x14ac:dyDescent="0.2">
      <c r="A2527" s="3" t="s">
        <v>72</v>
      </c>
      <c r="B2527" s="3" t="s">
        <v>73</v>
      </c>
      <c r="C2527" s="3" t="s">
        <v>74</v>
      </c>
      <c r="E2527" s="3" t="str">
        <f>"FES1162847402"</f>
        <v>FES1162847402</v>
      </c>
      <c r="F2527" s="4">
        <v>44588</v>
      </c>
      <c r="G2527" s="3">
        <v>202207</v>
      </c>
      <c r="H2527" s="3" t="s">
        <v>75</v>
      </c>
      <c r="I2527" s="3" t="s">
        <v>76</v>
      </c>
      <c r="J2527" s="3" t="s">
        <v>77</v>
      </c>
      <c r="K2527" s="3" t="s">
        <v>78</v>
      </c>
      <c r="L2527" s="3" t="s">
        <v>187</v>
      </c>
      <c r="M2527" s="3" t="s">
        <v>188</v>
      </c>
      <c r="N2527" s="3" t="s">
        <v>189</v>
      </c>
      <c r="O2527" s="3" t="s">
        <v>82</v>
      </c>
      <c r="P2527" s="3" t="str">
        <f>"2170818675                    "</f>
        <v xml:space="preserve">2170818675                    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29.95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Q2527" s="3">
        <v>0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3">
        <v>0</v>
      </c>
      <c r="AY2527" s="3">
        <v>0</v>
      </c>
      <c r="AZ2527" s="3">
        <v>0</v>
      </c>
      <c r="BA2527" s="3">
        <v>0</v>
      </c>
      <c r="BB2527" s="3">
        <v>0</v>
      </c>
      <c r="BC2527" s="3">
        <v>0</v>
      </c>
      <c r="BD2527" s="3">
        <v>0</v>
      </c>
      <c r="BE2527" s="3">
        <v>0</v>
      </c>
      <c r="BF2527" s="3">
        <v>0</v>
      </c>
      <c r="BG2527" s="3">
        <v>0</v>
      </c>
      <c r="BH2527" s="3">
        <v>1</v>
      </c>
      <c r="BI2527" s="3">
        <v>1</v>
      </c>
      <c r="BJ2527" s="3">
        <v>0.2</v>
      </c>
      <c r="BK2527" s="3">
        <v>1</v>
      </c>
      <c r="BL2527" s="3">
        <v>114.31</v>
      </c>
      <c r="BM2527" s="3">
        <v>17.149999999999999</v>
      </c>
      <c r="BN2527" s="3">
        <v>131.46</v>
      </c>
      <c r="BO2527" s="3">
        <v>131.46</v>
      </c>
      <c r="BQ2527" s="3" t="s">
        <v>83</v>
      </c>
      <c r="BR2527" s="3" t="s">
        <v>84</v>
      </c>
      <c r="BS2527" s="4">
        <v>44589</v>
      </c>
      <c r="BT2527" s="5">
        <v>0.52916666666666667</v>
      </c>
      <c r="BU2527" s="3" t="s">
        <v>854</v>
      </c>
      <c r="BV2527" s="3" t="s">
        <v>105</v>
      </c>
      <c r="BY2527" s="3">
        <v>1200</v>
      </c>
      <c r="CA2527" s="3" t="s">
        <v>268</v>
      </c>
      <c r="CC2527" s="3" t="s">
        <v>188</v>
      </c>
      <c r="CD2527" s="3">
        <v>7300</v>
      </c>
      <c r="CE2527" s="3" t="s">
        <v>93</v>
      </c>
      <c r="CI2527" s="3">
        <v>1</v>
      </c>
      <c r="CJ2527" s="3">
        <v>1</v>
      </c>
      <c r="CK2527" s="3">
        <v>23</v>
      </c>
      <c r="CL2527" s="3" t="s">
        <v>87</v>
      </c>
    </row>
    <row r="2528" spans="1:90" x14ac:dyDescent="0.2">
      <c r="A2528" s="3" t="s">
        <v>72</v>
      </c>
      <c r="B2528" s="3" t="s">
        <v>73</v>
      </c>
      <c r="C2528" s="3" t="s">
        <v>74</v>
      </c>
      <c r="E2528" s="3" t="str">
        <f>"FES1162847216"</f>
        <v>FES1162847216</v>
      </c>
      <c r="F2528" s="4">
        <v>44588</v>
      </c>
      <c r="G2528" s="3">
        <v>202207</v>
      </c>
      <c r="H2528" s="3" t="s">
        <v>75</v>
      </c>
      <c r="I2528" s="3" t="s">
        <v>76</v>
      </c>
      <c r="J2528" s="3" t="s">
        <v>77</v>
      </c>
      <c r="K2528" s="3" t="s">
        <v>78</v>
      </c>
      <c r="L2528" s="3" t="s">
        <v>94</v>
      </c>
      <c r="M2528" s="3" t="s">
        <v>95</v>
      </c>
      <c r="N2528" s="3" t="s">
        <v>96</v>
      </c>
      <c r="O2528" s="3" t="s">
        <v>82</v>
      </c>
      <c r="P2528" s="3" t="str">
        <f>"2170818381                    "</f>
        <v xml:space="preserve">2170818381                    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15.46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0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3">
        <v>0</v>
      </c>
      <c r="AY2528" s="3">
        <v>0</v>
      </c>
      <c r="AZ2528" s="3">
        <v>0</v>
      </c>
      <c r="BA2528" s="3">
        <v>0</v>
      </c>
      <c r="BB2528" s="3">
        <v>0</v>
      </c>
      <c r="BC2528" s="3">
        <v>0</v>
      </c>
      <c r="BD2528" s="3">
        <v>0</v>
      </c>
      <c r="BE2528" s="3">
        <v>0</v>
      </c>
      <c r="BF2528" s="3">
        <v>0</v>
      </c>
      <c r="BG2528" s="3">
        <v>0</v>
      </c>
      <c r="BH2528" s="3">
        <v>1</v>
      </c>
      <c r="BI2528" s="3">
        <v>1</v>
      </c>
      <c r="BJ2528" s="3">
        <v>0.2</v>
      </c>
      <c r="BK2528" s="3">
        <v>1</v>
      </c>
      <c r="BL2528" s="3">
        <v>59</v>
      </c>
      <c r="BM2528" s="3">
        <v>8.85</v>
      </c>
      <c r="BN2528" s="3">
        <v>67.849999999999994</v>
      </c>
      <c r="BO2528" s="3">
        <v>67.849999999999994</v>
      </c>
      <c r="BQ2528" s="3" t="s">
        <v>89</v>
      </c>
      <c r="BR2528" s="3" t="s">
        <v>84</v>
      </c>
      <c r="BS2528" s="4">
        <v>44589</v>
      </c>
      <c r="BT2528" s="5">
        <v>0.5</v>
      </c>
      <c r="BU2528" s="3" t="s">
        <v>821</v>
      </c>
      <c r="BV2528" s="3" t="s">
        <v>87</v>
      </c>
      <c r="BY2528" s="3">
        <v>1200</v>
      </c>
      <c r="BZ2528" s="3" t="s">
        <v>165</v>
      </c>
      <c r="CC2528" s="3" t="s">
        <v>95</v>
      </c>
      <c r="CD2528" s="3">
        <v>3201</v>
      </c>
      <c r="CE2528" s="3" t="s">
        <v>93</v>
      </c>
      <c r="CI2528" s="3">
        <v>1</v>
      </c>
      <c r="CJ2528" s="3">
        <v>1</v>
      </c>
      <c r="CK2528" s="3">
        <v>21</v>
      </c>
      <c r="CL2528" s="3" t="s">
        <v>87</v>
      </c>
    </row>
    <row r="2529" spans="1:90" x14ac:dyDescent="0.2">
      <c r="A2529" s="3" t="s">
        <v>72</v>
      </c>
      <c r="B2529" s="3" t="s">
        <v>73</v>
      </c>
      <c r="C2529" s="3" t="s">
        <v>74</v>
      </c>
      <c r="E2529" s="3" t="str">
        <f>"FES1162847233"</f>
        <v>FES1162847233</v>
      </c>
      <c r="F2529" s="4">
        <v>44588</v>
      </c>
      <c r="G2529" s="3">
        <v>202207</v>
      </c>
      <c r="H2529" s="3" t="s">
        <v>75</v>
      </c>
      <c r="I2529" s="3" t="s">
        <v>76</v>
      </c>
      <c r="J2529" s="3" t="s">
        <v>77</v>
      </c>
      <c r="K2529" s="3" t="s">
        <v>78</v>
      </c>
      <c r="L2529" s="3" t="s">
        <v>90</v>
      </c>
      <c r="M2529" s="3" t="s">
        <v>91</v>
      </c>
      <c r="N2529" s="3" t="s">
        <v>418</v>
      </c>
      <c r="O2529" s="3" t="s">
        <v>82</v>
      </c>
      <c r="P2529" s="3" t="str">
        <f>"2170816250                    "</f>
        <v xml:space="preserve">2170816250                    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15.46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0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3">
        <v>0</v>
      </c>
      <c r="AY2529" s="3">
        <v>0</v>
      </c>
      <c r="AZ2529" s="3">
        <v>0</v>
      </c>
      <c r="BA2529" s="3">
        <v>0</v>
      </c>
      <c r="BB2529" s="3">
        <v>0</v>
      </c>
      <c r="BC2529" s="3">
        <v>0</v>
      </c>
      <c r="BD2529" s="3">
        <v>0</v>
      </c>
      <c r="BE2529" s="3">
        <v>0</v>
      </c>
      <c r="BF2529" s="3">
        <v>0</v>
      </c>
      <c r="BG2529" s="3">
        <v>0</v>
      </c>
      <c r="BH2529" s="3">
        <v>1</v>
      </c>
      <c r="BI2529" s="3">
        <v>1</v>
      </c>
      <c r="BJ2529" s="3">
        <v>0.2</v>
      </c>
      <c r="BK2529" s="3">
        <v>1</v>
      </c>
      <c r="BL2529" s="3">
        <v>59</v>
      </c>
      <c r="BM2529" s="3">
        <v>8.85</v>
      </c>
      <c r="BN2529" s="3">
        <v>67.849999999999994</v>
      </c>
      <c r="BO2529" s="3">
        <v>67.849999999999994</v>
      </c>
      <c r="BQ2529" s="3" t="s">
        <v>128</v>
      </c>
      <c r="BR2529" s="3" t="s">
        <v>84</v>
      </c>
      <c r="BS2529" s="4">
        <v>44589</v>
      </c>
      <c r="BT2529" s="5">
        <v>0.38611111111111113</v>
      </c>
      <c r="BU2529" s="3" t="s">
        <v>2475</v>
      </c>
      <c r="BV2529" s="3" t="s">
        <v>105</v>
      </c>
      <c r="BY2529" s="3">
        <v>1200</v>
      </c>
      <c r="BZ2529" s="3" t="s">
        <v>165</v>
      </c>
      <c r="CA2529" s="3" t="s">
        <v>271</v>
      </c>
      <c r="CC2529" s="3" t="s">
        <v>91</v>
      </c>
      <c r="CD2529" s="3">
        <v>7441</v>
      </c>
      <c r="CE2529" s="3" t="s">
        <v>93</v>
      </c>
      <c r="CI2529" s="3">
        <v>1</v>
      </c>
      <c r="CJ2529" s="3">
        <v>1</v>
      </c>
      <c r="CK2529" s="3">
        <v>21</v>
      </c>
      <c r="CL2529" s="3" t="s">
        <v>87</v>
      </c>
    </row>
    <row r="2530" spans="1:90" x14ac:dyDescent="0.2">
      <c r="A2530" s="3" t="s">
        <v>72</v>
      </c>
      <c r="B2530" s="3" t="s">
        <v>73</v>
      </c>
      <c r="C2530" s="3" t="s">
        <v>74</v>
      </c>
      <c r="E2530" s="3" t="str">
        <f>"FES1162847230"</f>
        <v>FES1162847230</v>
      </c>
      <c r="F2530" s="4">
        <v>44588</v>
      </c>
      <c r="G2530" s="3">
        <v>202207</v>
      </c>
      <c r="H2530" s="3" t="s">
        <v>75</v>
      </c>
      <c r="I2530" s="3" t="s">
        <v>76</v>
      </c>
      <c r="J2530" s="3" t="s">
        <v>77</v>
      </c>
      <c r="K2530" s="3" t="s">
        <v>78</v>
      </c>
      <c r="L2530" s="3" t="s">
        <v>101</v>
      </c>
      <c r="M2530" s="3" t="s">
        <v>102</v>
      </c>
      <c r="N2530" s="3" t="s">
        <v>2476</v>
      </c>
      <c r="O2530" s="3" t="s">
        <v>82</v>
      </c>
      <c r="P2530" s="3" t="str">
        <f>"2170815579                    "</f>
        <v xml:space="preserve">2170815579                    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15.46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0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3">
        <v>0</v>
      </c>
      <c r="AY2530" s="3">
        <v>0</v>
      </c>
      <c r="AZ2530" s="3">
        <v>0</v>
      </c>
      <c r="BA2530" s="3">
        <v>0</v>
      </c>
      <c r="BB2530" s="3">
        <v>0</v>
      </c>
      <c r="BC2530" s="3">
        <v>0</v>
      </c>
      <c r="BD2530" s="3">
        <v>0</v>
      </c>
      <c r="BE2530" s="3">
        <v>0</v>
      </c>
      <c r="BF2530" s="3">
        <v>0</v>
      </c>
      <c r="BG2530" s="3">
        <v>0</v>
      </c>
      <c r="BH2530" s="3">
        <v>1</v>
      </c>
      <c r="BI2530" s="3">
        <v>1</v>
      </c>
      <c r="BJ2530" s="3">
        <v>0.2</v>
      </c>
      <c r="BK2530" s="3">
        <v>1</v>
      </c>
      <c r="BL2530" s="3">
        <v>59</v>
      </c>
      <c r="BM2530" s="3">
        <v>8.85</v>
      </c>
      <c r="BN2530" s="3">
        <v>67.849999999999994</v>
      </c>
      <c r="BO2530" s="3">
        <v>67.849999999999994</v>
      </c>
      <c r="BR2530" s="3" t="s">
        <v>84</v>
      </c>
      <c r="BS2530" s="4">
        <v>44589</v>
      </c>
      <c r="BT2530" s="5">
        <v>0.67847222222222225</v>
      </c>
      <c r="BU2530" s="3" t="s">
        <v>381</v>
      </c>
      <c r="BV2530" s="3" t="s">
        <v>87</v>
      </c>
      <c r="BW2530" s="3" t="s">
        <v>353</v>
      </c>
      <c r="BX2530" s="3" t="s">
        <v>1878</v>
      </c>
      <c r="BY2530" s="3">
        <v>1200</v>
      </c>
      <c r="BZ2530" s="3" t="s">
        <v>165</v>
      </c>
      <c r="CA2530" s="3" t="s">
        <v>2341</v>
      </c>
      <c r="CC2530" s="3" t="s">
        <v>102</v>
      </c>
      <c r="CD2530" s="3">
        <v>4093</v>
      </c>
      <c r="CE2530" s="3" t="s">
        <v>93</v>
      </c>
      <c r="CI2530" s="3">
        <v>1</v>
      </c>
      <c r="CJ2530" s="3">
        <v>1</v>
      </c>
      <c r="CK2530" s="3">
        <v>21</v>
      </c>
      <c r="CL2530" s="3" t="s">
        <v>87</v>
      </c>
    </row>
    <row r="2531" spans="1:90" x14ac:dyDescent="0.2">
      <c r="A2531" s="3" t="s">
        <v>72</v>
      </c>
      <c r="B2531" s="3" t="s">
        <v>73</v>
      </c>
      <c r="C2531" s="3" t="s">
        <v>74</v>
      </c>
      <c r="E2531" s="3" t="str">
        <f>"FES1162847229"</f>
        <v>FES1162847229</v>
      </c>
      <c r="F2531" s="4">
        <v>44588</v>
      </c>
      <c r="G2531" s="3">
        <v>202207</v>
      </c>
      <c r="H2531" s="3" t="s">
        <v>75</v>
      </c>
      <c r="I2531" s="3" t="s">
        <v>76</v>
      </c>
      <c r="J2531" s="3" t="s">
        <v>77</v>
      </c>
      <c r="K2531" s="3" t="s">
        <v>78</v>
      </c>
      <c r="L2531" s="3" t="s">
        <v>184</v>
      </c>
      <c r="M2531" s="3" t="s">
        <v>185</v>
      </c>
      <c r="N2531" s="3" t="s">
        <v>186</v>
      </c>
      <c r="O2531" s="3" t="s">
        <v>82</v>
      </c>
      <c r="P2531" s="3" t="str">
        <f>"2170815084                    "</f>
        <v xml:space="preserve">2170815084                    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15.46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0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3">
        <v>0</v>
      </c>
      <c r="AY2531" s="3">
        <v>0</v>
      </c>
      <c r="AZ2531" s="3">
        <v>0</v>
      </c>
      <c r="BA2531" s="3">
        <v>0</v>
      </c>
      <c r="BB2531" s="3">
        <v>0</v>
      </c>
      <c r="BC2531" s="3">
        <v>0</v>
      </c>
      <c r="BD2531" s="3">
        <v>0</v>
      </c>
      <c r="BE2531" s="3">
        <v>0</v>
      </c>
      <c r="BF2531" s="3">
        <v>0</v>
      </c>
      <c r="BG2531" s="3">
        <v>0</v>
      </c>
      <c r="BH2531" s="3">
        <v>1</v>
      </c>
      <c r="BI2531" s="3">
        <v>1</v>
      </c>
      <c r="BJ2531" s="3">
        <v>1.5</v>
      </c>
      <c r="BK2531" s="3">
        <v>1.5</v>
      </c>
      <c r="BL2531" s="3">
        <v>59</v>
      </c>
      <c r="BM2531" s="3">
        <v>8.85</v>
      </c>
      <c r="BN2531" s="3">
        <v>67.849999999999994</v>
      </c>
      <c r="BO2531" s="3">
        <v>67.849999999999994</v>
      </c>
      <c r="BQ2531" s="3" t="s">
        <v>83</v>
      </c>
      <c r="BR2531" s="3" t="s">
        <v>84</v>
      </c>
      <c r="BS2531" s="4">
        <v>44589</v>
      </c>
      <c r="BT2531" s="5">
        <v>0.4368055555555555</v>
      </c>
      <c r="BU2531" s="3" t="s">
        <v>2189</v>
      </c>
      <c r="BV2531" s="3" t="s">
        <v>105</v>
      </c>
      <c r="BY2531" s="3">
        <v>7540</v>
      </c>
      <c r="BZ2531" s="3" t="s">
        <v>165</v>
      </c>
      <c r="CA2531" s="3" t="s">
        <v>1681</v>
      </c>
      <c r="CC2531" s="3" t="s">
        <v>185</v>
      </c>
      <c r="CD2531" s="3">
        <v>5201</v>
      </c>
      <c r="CE2531" s="3" t="s">
        <v>86</v>
      </c>
      <c r="CF2531" s="4">
        <v>44589</v>
      </c>
      <c r="CI2531" s="3">
        <v>1</v>
      </c>
      <c r="CJ2531" s="3">
        <v>1</v>
      </c>
      <c r="CK2531" s="3">
        <v>21</v>
      </c>
      <c r="CL2531" s="3" t="s">
        <v>87</v>
      </c>
    </row>
    <row r="2532" spans="1:90" x14ac:dyDescent="0.2">
      <c r="A2532" s="3" t="s">
        <v>72</v>
      </c>
      <c r="B2532" s="3" t="s">
        <v>73</v>
      </c>
      <c r="C2532" s="3" t="s">
        <v>74</v>
      </c>
      <c r="E2532" s="3" t="str">
        <f>"FES1162847174"</f>
        <v>FES1162847174</v>
      </c>
      <c r="F2532" s="4">
        <v>44588</v>
      </c>
      <c r="G2532" s="3">
        <v>202207</v>
      </c>
      <c r="H2532" s="3" t="s">
        <v>75</v>
      </c>
      <c r="I2532" s="3" t="s">
        <v>76</v>
      </c>
      <c r="J2532" s="3" t="s">
        <v>77</v>
      </c>
      <c r="K2532" s="3" t="s">
        <v>78</v>
      </c>
      <c r="L2532" s="3" t="s">
        <v>158</v>
      </c>
      <c r="M2532" s="3" t="s">
        <v>159</v>
      </c>
      <c r="N2532" s="3" t="s">
        <v>823</v>
      </c>
      <c r="O2532" s="3" t="s">
        <v>82</v>
      </c>
      <c r="P2532" s="3" t="str">
        <f>"2170812367                    "</f>
        <v xml:space="preserve">2170812367                    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20.76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0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3">
        <v>0</v>
      </c>
      <c r="AY2532" s="3">
        <v>0</v>
      </c>
      <c r="AZ2532" s="3">
        <v>0</v>
      </c>
      <c r="BA2532" s="3">
        <v>0</v>
      </c>
      <c r="BB2532" s="3">
        <v>0</v>
      </c>
      <c r="BC2532" s="3">
        <v>0</v>
      </c>
      <c r="BD2532" s="3">
        <v>0</v>
      </c>
      <c r="BE2532" s="3">
        <v>0</v>
      </c>
      <c r="BF2532" s="3">
        <v>0</v>
      </c>
      <c r="BG2532" s="3">
        <v>0</v>
      </c>
      <c r="BH2532" s="3">
        <v>1</v>
      </c>
      <c r="BI2532" s="3">
        <v>11</v>
      </c>
      <c r="BJ2532" s="3">
        <v>4.0999999999999996</v>
      </c>
      <c r="BK2532" s="3">
        <v>11</v>
      </c>
      <c r="BL2532" s="3">
        <v>79.25</v>
      </c>
      <c r="BM2532" s="3">
        <v>11.89</v>
      </c>
      <c r="BN2532" s="3">
        <v>91.14</v>
      </c>
      <c r="BO2532" s="3">
        <v>91.14</v>
      </c>
      <c r="BQ2532" s="3" t="s">
        <v>89</v>
      </c>
      <c r="BR2532" s="3" t="s">
        <v>84</v>
      </c>
      <c r="BS2532" s="4">
        <v>44589</v>
      </c>
      <c r="BT2532" s="5">
        <v>0.35972222222222222</v>
      </c>
      <c r="BU2532" s="3" t="s">
        <v>2024</v>
      </c>
      <c r="BV2532" s="3" t="s">
        <v>105</v>
      </c>
      <c r="BY2532" s="3">
        <v>20358</v>
      </c>
      <c r="BZ2532" s="3" t="s">
        <v>165</v>
      </c>
      <c r="CA2532" s="3" t="s">
        <v>1146</v>
      </c>
      <c r="CC2532" s="3" t="s">
        <v>159</v>
      </c>
      <c r="CD2532" s="3">
        <v>1459</v>
      </c>
      <c r="CE2532" s="3" t="s">
        <v>86</v>
      </c>
      <c r="CF2532" s="4">
        <v>44589</v>
      </c>
      <c r="CI2532" s="3">
        <v>1</v>
      </c>
      <c r="CJ2532" s="3">
        <v>1</v>
      </c>
      <c r="CK2532" s="3">
        <v>22</v>
      </c>
      <c r="CL2532" s="3" t="s">
        <v>87</v>
      </c>
    </row>
    <row r="2533" spans="1:90" x14ac:dyDescent="0.2">
      <c r="A2533" s="3" t="s">
        <v>72</v>
      </c>
      <c r="B2533" s="3" t="s">
        <v>73</v>
      </c>
      <c r="C2533" s="3" t="s">
        <v>74</v>
      </c>
      <c r="E2533" s="3" t="str">
        <f>"FES1162847204"</f>
        <v>FES1162847204</v>
      </c>
      <c r="F2533" s="4">
        <v>44588</v>
      </c>
      <c r="G2533" s="3">
        <v>202207</v>
      </c>
      <c r="H2533" s="3" t="s">
        <v>75</v>
      </c>
      <c r="I2533" s="3" t="s">
        <v>76</v>
      </c>
      <c r="J2533" s="3" t="s">
        <v>77</v>
      </c>
      <c r="K2533" s="3" t="s">
        <v>78</v>
      </c>
      <c r="L2533" s="3" t="s">
        <v>101</v>
      </c>
      <c r="M2533" s="3" t="s">
        <v>102</v>
      </c>
      <c r="N2533" s="3" t="s">
        <v>1676</v>
      </c>
      <c r="O2533" s="3" t="s">
        <v>82</v>
      </c>
      <c r="P2533" s="3" t="str">
        <f>"2170818516                    "</f>
        <v xml:space="preserve">2170818516                    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23.18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0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3">
        <v>0</v>
      </c>
      <c r="AY2533" s="3">
        <v>0</v>
      </c>
      <c r="AZ2533" s="3">
        <v>0</v>
      </c>
      <c r="BA2533" s="3">
        <v>0</v>
      </c>
      <c r="BB2533" s="3">
        <v>0</v>
      </c>
      <c r="BC2533" s="3">
        <v>0</v>
      </c>
      <c r="BD2533" s="3">
        <v>0</v>
      </c>
      <c r="BE2533" s="3">
        <v>0</v>
      </c>
      <c r="BF2533" s="3">
        <v>0</v>
      </c>
      <c r="BG2533" s="3">
        <v>0</v>
      </c>
      <c r="BH2533" s="3">
        <v>1</v>
      </c>
      <c r="BI2533" s="3">
        <v>3</v>
      </c>
      <c r="BJ2533" s="3">
        <v>2</v>
      </c>
      <c r="BK2533" s="3">
        <v>3</v>
      </c>
      <c r="BL2533" s="3">
        <v>88.48</v>
      </c>
      <c r="BM2533" s="3">
        <v>13.27</v>
      </c>
      <c r="BN2533" s="3">
        <v>101.75</v>
      </c>
      <c r="BO2533" s="3">
        <v>101.75</v>
      </c>
      <c r="BQ2533" s="3" t="s">
        <v>83</v>
      </c>
      <c r="BR2533" s="3" t="s">
        <v>84</v>
      </c>
      <c r="BS2533" s="4">
        <v>44589</v>
      </c>
      <c r="BT2533" s="5">
        <v>0.34513888888888888</v>
      </c>
      <c r="BU2533" s="3" t="s">
        <v>2477</v>
      </c>
      <c r="BV2533" s="3" t="s">
        <v>105</v>
      </c>
      <c r="BY2533" s="3">
        <v>9918</v>
      </c>
      <c r="BZ2533" s="3" t="s">
        <v>165</v>
      </c>
      <c r="CA2533" s="3" t="s">
        <v>1678</v>
      </c>
      <c r="CC2533" s="3" t="s">
        <v>102</v>
      </c>
      <c r="CD2533" s="3">
        <v>4001</v>
      </c>
      <c r="CE2533" s="3" t="s">
        <v>86</v>
      </c>
      <c r="CI2533" s="3">
        <v>1</v>
      </c>
      <c r="CJ2533" s="3">
        <v>1</v>
      </c>
      <c r="CK2533" s="3">
        <v>21</v>
      </c>
      <c r="CL2533" s="3" t="s">
        <v>87</v>
      </c>
    </row>
    <row r="2534" spans="1:90" x14ac:dyDescent="0.2">
      <c r="A2534" s="3" t="s">
        <v>72</v>
      </c>
      <c r="B2534" s="3" t="s">
        <v>73</v>
      </c>
      <c r="C2534" s="3" t="s">
        <v>74</v>
      </c>
      <c r="E2534" s="3" t="str">
        <f>"FES1162847195"</f>
        <v>FES1162847195</v>
      </c>
      <c r="F2534" s="4">
        <v>44588</v>
      </c>
      <c r="G2534" s="3">
        <v>202207</v>
      </c>
      <c r="H2534" s="3" t="s">
        <v>75</v>
      </c>
      <c r="I2534" s="3" t="s">
        <v>76</v>
      </c>
      <c r="J2534" s="3" t="s">
        <v>77</v>
      </c>
      <c r="K2534" s="3" t="s">
        <v>78</v>
      </c>
      <c r="L2534" s="3" t="s">
        <v>1241</v>
      </c>
      <c r="M2534" s="3" t="s">
        <v>1242</v>
      </c>
      <c r="N2534" s="3" t="s">
        <v>1243</v>
      </c>
      <c r="O2534" s="3" t="s">
        <v>82</v>
      </c>
      <c r="P2534" s="3" t="str">
        <f>"2170818501                    "</f>
        <v xml:space="preserve">2170818501                    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84.05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0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3">
        <v>0</v>
      </c>
      <c r="AY2534" s="3">
        <v>0</v>
      </c>
      <c r="AZ2534" s="3">
        <v>0</v>
      </c>
      <c r="BA2534" s="3">
        <v>0</v>
      </c>
      <c r="BB2534" s="3">
        <v>0</v>
      </c>
      <c r="BC2534" s="3">
        <v>0</v>
      </c>
      <c r="BD2534" s="3">
        <v>0</v>
      </c>
      <c r="BE2534" s="3">
        <v>0</v>
      </c>
      <c r="BF2534" s="3">
        <v>0</v>
      </c>
      <c r="BG2534" s="3">
        <v>0</v>
      </c>
      <c r="BH2534" s="3">
        <v>1</v>
      </c>
      <c r="BI2534" s="3">
        <v>4</v>
      </c>
      <c r="BJ2534" s="3">
        <v>5.9</v>
      </c>
      <c r="BK2534" s="3">
        <v>6</v>
      </c>
      <c r="BL2534" s="3">
        <v>320.81</v>
      </c>
      <c r="BM2534" s="3">
        <v>48.12</v>
      </c>
      <c r="BN2534" s="3">
        <v>368.93</v>
      </c>
      <c r="BO2534" s="3">
        <v>368.93</v>
      </c>
      <c r="BQ2534" s="3" t="s">
        <v>1244</v>
      </c>
      <c r="BR2534" s="3" t="s">
        <v>84</v>
      </c>
      <c r="BS2534" s="4">
        <v>44589</v>
      </c>
      <c r="BT2534" s="5">
        <v>0.44791666666666669</v>
      </c>
      <c r="BU2534" s="3" t="s">
        <v>1245</v>
      </c>
      <c r="BV2534" s="3" t="s">
        <v>87</v>
      </c>
      <c r="BW2534" s="3" t="s">
        <v>493</v>
      </c>
      <c r="BX2534" s="3" t="s">
        <v>494</v>
      </c>
      <c r="BY2534" s="3">
        <v>29624</v>
      </c>
      <c r="BZ2534" s="3" t="s">
        <v>165</v>
      </c>
      <c r="CA2534" s="3" t="s">
        <v>1246</v>
      </c>
      <c r="CC2534" s="3" t="s">
        <v>1242</v>
      </c>
      <c r="CD2534" s="3">
        <v>299</v>
      </c>
      <c r="CE2534" s="3" t="s">
        <v>86</v>
      </c>
      <c r="CF2534" s="4">
        <v>44589</v>
      </c>
      <c r="CI2534" s="3">
        <v>1</v>
      </c>
      <c r="CJ2534" s="3">
        <v>1</v>
      </c>
      <c r="CK2534" s="3">
        <v>23</v>
      </c>
      <c r="CL2534" s="3" t="s">
        <v>87</v>
      </c>
    </row>
    <row r="2535" spans="1:90" x14ac:dyDescent="0.2">
      <c r="A2535" s="3" t="s">
        <v>72</v>
      </c>
      <c r="B2535" s="3" t="s">
        <v>73</v>
      </c>
      <c r="C2535" s="3" t="s">
        <v>74</v>
      </c>
      <c r="E2535" s="3" t="str">
        <f>"FES1162847247"</f>
        <v>FES1162847247</v>
      </c>
      <c r="F2535" s="4">
        <v>44588</v>
      </c>
      <c r="G2535" s="3">
        <v>202207</v>
      </c>
      <c r="H2535" s="3" t="s">
        <v>75</v>
      </c>
      <c r="I2535" s="3" t="s">
        <v>76</v>
      </c>
      <c r="J2535" s="3" t="s">
        <v>77</v>
      </c>
      <c r="K2535" s="3" t="s">
        <v>78</v>
      </c>
      <c r="L2535" s="3" t="s">
        <v>75</v>
      </c>
      <c r="M2535" s="3" t="s">
        <v>76</v>
      </c>
      <c r="N2535" s="3" t="s">
        <v>153</v>
      </c>
      <c r="O2535" s="3" t="s">
        <v>82</v>
      </c>
      <c r="P2535" s="3" t="str">
        <f>"2170818186                    "</f>
        <v xml:space="preserve">2170818186                    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12.07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0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3">
        <v>0</v>
      </c>
      <c r="AY2535" s="3">
        <v>0</v>
      </c>
      <c r="AZ2535" s="3">
        <v>0</v>
      </c>
      <c r="BA2535" s="3">
        <v>0</v>
      </c>
      <c r="BB2535" s="3">
        <v>0</v>
      </c>
      <c r="BC2535" s="3">
        <v>0</v>
      </c>
      <c r="BD2535" s="3">
        <v>0</v>
      </c>
      <c r="BE2535" s="3">
        <v>0</v>
      </c>
      <c r="BF2535" s="3">
        <v>0</v>
      </c>
      <c r="BG2535" s="3">
        <v>0</v>
      </c>
      <c r="BH2535" s="3">
        <v>1</v>
      </c>
      <c r="BI2535" s="3">
        <v>2</v>
      </c>
      <c r="BJ2535" s="3">
        <v>2.9</v>
      </c>
      <c r="BK2535" s="3">
        <v>3</v>
      </c>
      <c r="BL2535" s="3">
        <v>46.08</v>
      </c>
      <c r="BM2535" s="3">
        <v>6.91</v>
      </c>
      <c r="BN2535" s="3">
        <v>52.99</v>
      </c>
      <c r="BO2535" s="3">
        <v>52.99</v>
      </c>
      <c r="BR2535" s="3" t="s">
        <v>84</v>
      </c>
      <c r="BS2535" s="4">
        <v>44589</v>
      </c>
      <c r="BT2535" s="5">
        <v>0.38750000000000001</v>
      </c>
      <c r="BU2535" s="3" t="s">
        <v>2478</v>
      </c>
      <c r="BV2535" s="3" t="s">
        <v>105</v>
      </c>
      <c r="BY2535" s="3">
        <v>14336</v>
      </c>
      <c r="BZ2535" s="3" t="s">
        <v>165</v>
      </c>
      <c r="CA2535" s="3" t="s">
        <v>227</v>
      </c>
      <c r="CC2535" s="3" t="s">
        <v>76</v>
      </c>
      <c r="CD2535" s="3">
        <v>1600</v>
      </c>
      <c r="CE2535" s="3" t="s">
        <v>86</v>
      </c>
      <c r="CF2535" s="4">
        <v>44589</v>
      </c>
      <c r="CI2535" s="3">
        <v>1</v>
      </c>
      <c r="CJ2535" s="3">
        <v>1</v>
      </c>
      <c r="CK2535" s="3">
        <v>22</v>
      </c>
      <c r="CL2535" s="3" t="s">
        <v>87</v>
      </c>
    </row>
    <row r="2536" spans="1:90" x14ac:dyDescent="0.2">
      <c r="A2536" s="3" t="s">
        <v>72</v>
      </c>
      <c r="B2536" s="3" t="s">
        <v>73</v>
      </c>
      <c r="C2536" s="3" t="s">
        <v>74</v>
      </c>
      <c r="E2536" s="3" t="str">
        <f>"FES1162847227"</f>
        <v>FES1162847227</v>
      </c>
      <c r="F2536" s="4">
        <v>44588</v>
      </c>
      <c r="G2536" s="3">
        <v>202207</v>
      </c>
      <c r="H2536" s="3" t="s">
        <v>75</v>
      </c>
      <c r="I2536" s="3" t="s">
        <v>76</v>
      </c>
      <c r="J2536" s="3" t="s">
        <v>77</v>
      </c>
      <c r="K2536" s="3" t="s">
        <v>78</v>
      </c>
      <c r="L2536" s="3" t="s">
        <v>187</v>
      </c>
      <c r="M2536" s="3" t="s">
        <v>188</v>
      </c>
      <c r="N2536" s="3" t="s">
        <v>189</v>
      </c>
      <c r="O2536" s="3" t="s">
        <v>82</v>
      </c>
      <c r="P2536" s="3" t="str">
        <f>"2170814705                    "</f>
        <v xml:space="preserve">2170814705                    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29.95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0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3">
        <v>0</v>
      </c>
      <c r="AY2536" s="3">
        <v>0</v>
      </c>
      <c r="AZ2536" s="3">
        <v>0</v>
      </c>
      <c r="BA2536" s="3">
        <v>0</v>
      </c>
      <c r="BB2536" s="3">
        <v>0</v>
      </c>
      <c r="BC2536" s="3">
        <v>0</v>
      </c>
      <c r="BD2536" s="3">
        <v>0</v>
      </c>
      <c r="BE2536" s="3">
        <v>0</v>
      </c>
      <c r="BF2536" s="3">
        <v>0</v>
      </c>
      <c r="BG2536" s="3">
        <v>0</v>
      </c>
      <c r="BH2536" s="3">
        <v>1</v>
      </c>
      <c r="BI2536" s="3">
        <v>1</v>
      </c>
      <c r="BJ2536" s="3">
        <v>0.2</v>
      </c>
      <c r="BK2536" s="3">
        <v>1</v>
      </c>
      <c r="BL2536" s="3">
        <v>114.31</v>
      </c>
      <c r="BM2536" s="3">
        <v>17.149999999999999</v>
      </c>
      <c r="BN2536" s="3">
        <v>131.46</v>
      </c>
      <c r="BO2536" s="3">
        <v>131.46</v>
      </c>
      <c r="BQ2536" s="3" t="s">
        <v>83</v>
      </c>
      <c r="BR2536" s="3" t="s">
        <v>84</v>
      </c>
      <c r="BS2536" s="4">
        <v>44589</v>
      </c>
      <c r="BT2536" s="5">
        <v>0.52777777777777779</v>
      </c>
      <c r="BU2536" s="3" t="s">
        <v>854</v>
      </c>
      <c r="BV2536" s="3" t="s">
        <v>105</v>
      </c>
      <c r="BY2536" s="3">
        <v>1200</v>
      </c>
      <c r="BZ2536" s="3" t="s">
        <v>165</v>
      </c>
      <c r="CA2536" s="3" t="s">
        <v>268</v>
      </c>
      <c r="CC2536" s="3" t="s">
        <v>188</v>
      </c>
      <c r="CD2536" s="3">
        <v>7300</v>
      </c>
      <c r="CE2536" s="3" t="s">
        <v>93</v>
      </c>
      <c r="CI2536" s="3">
        <v>1</v>
      </c>
      <c r="CJ2536" s="3">
        <v>1</v>
      </c>
      <c r="CK2536" s="3">
        <v>23</v>
      </c>
      <c r="CL2536" s="3" t="s">
        <v>87</v>
      </c>
    </row>
    <row r="2537" spans="1:90" x14ac:dyDescent="0.2">
      <c r="A2537" s="3" t="s">
        <v>72</v>
      </c>
      <c r="B2537" s="3" t="s">
        <v>73</v>
      </c>
      <c r="C2537" s="3" t="s">
        <v>74</v>
      </c>
      <c r="E2537" s="3" t="str">
        <f>"FES1162847235"</f>
        <v>FES1162847235</v>
      </c>
      <c r="F2537" s="4">
        <v>44588</v>
      </c>
      <c r="G2537" s="3">
        <v>202207</v>
      </c>
      <c r="H2537" s="3" t="s">
        <v>75</v>
      </c>
      <c r="I2537" s="3" t="s">
        <v>76</v>
      </c>
      <c r="J2537" s="3" t="s">
        <v>77</v>
      </c>
      <c r="K2537" s="3" t="s">
        <v>78</v>
      </c>
      <c r="L2537" s="3" t="s">
        <v>187</v>
      </c>
      <c r="M2537" s="3" t="s">
        <v>188</v>
      </c>
      <c r="N2537" s="3" t="s">
        <v>189</v>
      </c>
      <c r="O2537" s="3" t="s">
        <v>82</v>
      </c>
      <c r="P2537" s="3" t="str">
        <f>"2170816563                    "</f>
        <v xml:space="preserve">2170816563                    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29.95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0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3">
        <v>0</v>
      </c>
      <c r="AY2537" s="3">
        <v>0</v>
      </c>
      <c r="AZ2537" s="3">
        <v>0</v>
      </c>
      <c r="BA2537" s="3">
        <v>0</v>
      </c>
      <c r="BB2537" s="3">
        <v>0</v>
      </c>
      <c r="BC2537" s="3">
        <v>0</v>
      </c>
      <c r="BD2537" s="3">
        <v>0</v>
      </c>
      <c r="BE2537" s="3">
        <v>0</v>
      </c>
      <c r="BF2537" s="3">
        <v>0</v>
      </c>
      <c r="BG2537" s="3">
        <v>0</v>
      </c>
      <c r="BH2537" s="3">
        <v>1</v>
      </c>
      <c r="BI2537" s="3">
        <v>1</v>
      </c>
      <c r="BJ2537" s="3">
        <v>0.2</v>
      </c>
      <c r="BK2537" s="3">
        <v>1</v>
      </c>
      <c r="BL2537" s="3">
        <v>114.31</v>
      </c>
      <c r="BM2537" s="3">
        <v>17.149999999999999</v>
      </c>
      <c r="BN2537" s="3">
        <v>131.46</v>
      </c>
      <c r="BO2537" s="3">
        <v>131.46</v>
      </c>
      <c r="BQ2537" s="3" t="s">
        <v>83</v>
      </c>
      <c r="BR2537" s="3" t="s">
        <v>84</v>
      </c>
      <c r="BS2537" s="4">
        <v>44589</v>
      </c>
      <c r="BT2537" s="5">
        <v>0.52847222222222223</v>
      </c>
      <c r="BU2537" s="3" t="s">
        <v>854</v>
      </c>
      <c r="BV2537" s="3" t="s">
        <v>105</v>
      </c>
      <c r="BY2537" s="3">
        <v>1200</v>
      </c>
      <c r="BZ2537" s="3" t="s">
        <v>165</v>
      </c>
      <c r="CA2537" s="3" t="s">
        <v>268</v>
      </c>
      <c r="CC2537" s="3" t="s">
        <v>188</v>
      </c>
      <c r="CD2537" s="3">
        <v>7300</v>
      </c>
      <c r="CE2537" s="3" t="s">
        <v>93</v>
      </c>
      <c r="CI2537" s="3">
        <v>1</v>
      </c>
      <c r="CJ2537" s="3">
        <v>1</v>
      </c>
      <c r="CK2537" s="3">
        <v>23</v>
      </c>
      <c r="CL2537" s="3" t="s">
        <v>87</v>
      </c>
    </row>
    <row r="2538" spans="1:90" x14ac:dyDescent="0.2">
      <c r="A2538" s="3" t="s">
        <v>72</v>
      </c>
      <c r="B2538" s="3" t="s">
        <v>73</v>
      </c>
      <c r="C2538" s="3" t="s">
        <v>74</v>
      </c>
      <c r="E2538" s="3" t="str">
        <f>"FES1162847366"</f>
        <v>FES1162847366</v>
      </c>
      <c r="F2538" s="4">
        <v>44588</v>
      </c>
      <c r="G2538" s="3">
        <v>202207</v>
      </c>
      <c r="H2538" s="3" t="s">
        <v>75</v>
      </c>
      <c r="I2538" s="3" t="s">
        <v>76</v>
      </c>
      <c r="J2538" s="3" t="s">
        <v>77</v>
      </c>
      <c r="K2538" s="3" t="s">
        <v>78</v>
      </c>
      <c r="L2538" s="3" t="s">
        <v>244</v>
      </c>
      <c r="M2538" s="3" t="s">
        <v>245</v>
      </c>
      <c r="N2538" s="3" t="s">
        <v>246</v>
      </c>
      <c r="O2538" s="3" t="s">
        <v>82</v>
      </c>
      <c r="P2538" s="3" t="str">
        <f>"2170810721                    "</f>
        <v xml:space="preserve">2170810721                    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57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0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3">
        <v>0</v>
      </c>
      <c r="AY2538" s="3">
        <v>0</v>
      </c>
      <c r="AZ2538" s="3">
        <v>0</v>
      </c>
      <c r="BA2538" s="3">
        <v>0</v>
      </c>
      <c r="BB2538" s="3">
        <v>0</v>
      </c>
      <c r="BC2538" s="3">
        <v>0</v>
      </c>
      <c r="BD2538" s="3">
        <v>0</v>
      </c>
      <c r="BE2538" s="3">
        <v>0</v>
      </c>
      <c r="BF2538" s="3">
        <v>0</v>
      </c>
      <c r="BG2538" s="3">
        <v>0</v>
      </c>
      <c r="BH2538" s="3">
        <v>1</v>
      </c>
      <c r="BI2538" s="3">
        <v>4</v>
      </c>
      <c r="BJ2538" s="3">
        <v>1.4</v>
      </c>
      <c r="BK2538" s="3">
        <v>4</v>
      </c>
      <c r="BL2538" s="3">
        <v>217.56</v>
      </c>
      <c r="BM2538" s="3">
        <v>32.630000000000003</v>
      </c>
      <c r="BN2538" s="3">
        <v>250.19</v>
      </c>
      <c r="BO2538" s="3">
        <v>250.19</v>
      </c>
      <c r="BQ2538" s="3" t="s">
        <v>89</v>
      </c>
      <c r="BR2538" s="3" t="s">
        <v>84</v>
      </c>
      <c r="BS2538" s="4">
        <v>44589</v>
      </c>
      <c r="BT2538" s="5">
        <v>0.64652777777777781</v>
      </c>
      <c r="BU2538" s="3" t="s">
        <v>658</v>
      </c>
      <c r="BV2538" s="3" t="s">
        <v>87</v>
      </c>
      <c r="BW2538" s="3" t="s">
        <v>353</v>
      </c>
      <c r="BX2538" s="3" t="s">
        <v>723</v>
      </c>
      <c r="BY2538" s="3">
        <v>7000</v>
      </c>
      <c r="BZ2538" s="3" t="s">
        <v>165</v>
      </c>
      <c r="CA2538" s="3" t="s">
        <v>402</v>
      </c>
      <c r="CC2538" s="3" t="s">
        <v>245</v>
      </c>
      <c r="CD2538" s="3">
        <v>1947</v>
      </c>
      <c r="CE2538" s="3" t="s">
        <v>86</v>
      </c>
      <c r="CI2538" s="3">
        <v>1</v>
      </c>
      <c r="CJ2538" s="3">
        <v>1</v>
      </c>
      <c r="CK2538" s="3">
        <v>23</v>
      </c>
      <c r="CL2538" s="3" t="s">
        <v>87</v>
      </c>
    </row>
    <row r="2539" spans="1:90" x14ac:dyDescent="0.2">
      <c r="A2539" s="3" t="s">
        <v>72</v>
      </c>
      <c r="B2539" s="3" t="s">
        <v>73</v>
      </c>
      <c r="C2539" s="3" t="s">
        <v>74</v>
      </c>
      <c r="E2539" s="3" t="str">
        <f>"FES1162847231"</f>
        <v>FES1162847231</v>
      </c>
      <c r="F2539" s="4">
        <v>44588</v>
      </c>
      <c r="G2539" s="3">
        <v>202207</v>
      </c>
      <c r="H2539" s="3" t="s">
        <v>75</v>
      </c>
      <c r="I2539" s="3" t="s">
        <v>76</v>
      </c>
      <c r="J2539" s="3" t="s">
        <v>77</v>
      </c>
      <c r="K2539" s="3" t="s">
        <v>78</v>
      </c>
      <c r="L2539" s="3" t="s">
        <v>90</v>
      </c>
      <c r="M2539" s="3" t="s">
        <v>91</v>
      </c>
      <c r="N2539" s="3" t="s">
        <v>132</v>
      </c>
      <c r="O2539" s="3" t="s">
        <v>82</v>
      </c>
      <c r="P2539" s="3" t="str">
        <f>"2170815670                    "</f>
        <v xml:space="preserve">2170815670                    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15.46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0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3">
        <v>0</v>
      </c>
      <c r="AY2539" s="3">
        <v>0</v>
      </c>
      <c r="AZ2539" s="3">
        <v>0</v>
      </c>
      <c r="BA2539" s="3">
        <v>0</v>
      </c>
      <c r="BB2539" s="3">
        <v>0</v>
      </c>
      <c r="BC2539" s="3">
        <v>0</v>
      </c>
      <c r="BD2539" s="3">
        <v>0</v>
      </c>
      <c r="BE2539" s="3">
        <v>0</v>
      </c>
      <c r="BF2539" s="3">
        <v>0</v>
      </c>
      <c r="BG2539" s="3">
        <v>0</v>
      </c>
      <c r="BH2539" s="3">
        <v>1</v>
      </c>
      <c r="BI2539" s="3">
        <v>1</v>
      </c>
      <c r="BJ2539" s="3">
        <v>0.2</v>
      </c>
      <c r="BK2539" s="3">
        <v>1</v>
      </c>
      <c r="BL2539" s="3">
        <v>59</v>
      </c>
      <c r="BM2539" s="3">
        <v>8.85</v>
      </c>
      <c r="BN2539" s="3">
        <v>67.849999999999994</v>
      </c>
      <c r="BO2539" s="3">
        <v>67.849999999999994</v>
      </c>
      <c r="BQ2539" s="3" t="s">
        <v>83</v>
      </c>
      <c r="BR2539" s="3" t="s">
        <v>84</v>
      </c>
      <c r="BS2539" s="4">
        <v>44589</v>
      </c>
      <c r="BT2539" s="5">
        <v>0.42083333333333334</v>
      </c>
      <c r="BU2539" s="3" t="s">
        <v>595</v>
      </c>
      <c r="BV2539" s="3" t="s">
        <v>105</v>
      </c>
      <c r="BY2539" s="3">
        <v>1200</v>
      </c>
      <c r="BZ2539" s="3" t="s">
        <v>165</v>
      </c>
      <c r="CA2539" s="3" t="s">
        <v>1633</v>
      </c>
      <c r="CC2539" s="3" t="s">
        <v>91</v>
      </c>
      <c r="CD2539" s="3">
        <v>7530</v>
      </c>
      <c r="CE2539" s="3" t="s">
        <v>93</v>
      </c>
      <c r="CI2539" s="3">
        <v>1</v>
      </c>
      <c r="CJ2539" s="3">
        <v>1</v>
      </c>
      <c r="CK2539" s="3">
        <v>21</v>
      </c>
      <c r="CL2539" s="3" t="s">
        <v>87</v>
      </c>
    </row>
    <row r="2540" spans="1:90" x14ac:dyDescent="0.2">
      <c r="A2540" s="3" t="s">
        <v>72</v>
      </c>
      <c r="B2540" s="3" t="s">
        <v>73</v>
      </c>
      <c r="C2540" s="3" t="s">
        <v>74</v>
      </c>
      <c r="E2540" s="3" t="str">
        <f>"FES1162847193"</f>
        <v>FES1162847193</v>
      </c>
      <c r="F2540" s="4">
        <v>44588</v>
      </c>
      <c r="G2540" s="3">
        <v>202207</v>
      </c>
      <c r="H2540" s="3" t="s">
        <v>75</v>
      </c>
      <c r="I2540" s="3" t="s">
        <v>76</v>
      </c>
      <c r="J2540" s="3" t="s">
        <v>77</v>
      </c>
      <c r="K2540" s="3" t="s">
        <v>78</v>
      </c>
      <c r="L2540" s="3" t="s">
        <v>162</v>
      </c>
      <c r="M2540" s="3" t="s">
        <v>163</v>
      </c>
      <c r="N2540" s="3" t="s">
        <v>164</v>
      </c>
      <c r="O2540" s="3" t="s">
        <v>82</v>
      </c>
      <c r="P2540" s="3" t="str">
        <f>"2170818498                    "</f>
        <v xml:space="preserve">2170818498                    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12.07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0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3">
        <v>0</v>
      </c>
      <c r="AY2540" s="3">
        <v>0</v>
      </c>
      <c r="AZ2540" s="3">
        <v>0</v>
      </c>
      <c r="BA2540" s="3">
        <v>0</v>
      </c>
      <c r="BB2540" s="3">
        <v>0</v>
      </c>
      <c r="BC2540" s="3">
        <v>0</v>
      </c>
      <c r="BD2540" s="3">
        <v>0</v>
      </c>
      <c r="BE2540" s="3">
        <v>0</v>
      </c>
      <c r="BF2540" s="3">
        <v>0</v>
      </c>
      <c r="BG2540" s="3">
        <v>0</v>
      </c>
      <c r="BH2540" s="3">
        <v>1</v>
      </c>
      <c r="BI2540" s="3">
        <v>2</v>
      </c>
      <c r="BJ2540" s="3">
        <v>0.9</v>
      </c>
      <c r="BK2540" s="3">
        <v>2</v>
      </c>
      <c r="BL2540" s="3">
        <v>46.08</v>
      </c>
      <c r="BM2540" s="3">
        <v>6.91</v>
      </c>
      <c r="BN2540" s="3">
        <v>52.99</v>
      </c>
      <c r="BO2540" s="3">
        <v>52.99</v>
      </c>
      <c r="BQ2540" s="3" t="s">
        <v>89</v>
      </c>
      <c r="BR2540" s="3" t="s">
        <v>84</v>
      </c>
      <c r="BS2540" s="4">
        <v>44589</v>
      </c>
      <c r="BT2540" s="5">
        <v>0.45208333333333334</v>
      </c>
      <c r="BU2540" s="3" t="s">
        <v>2479</v>
      </c>
      <c r="BV2540" s="3" t="s">
        <v>87</v>
      </c>
      <c r="BW2540" s="3" t="s">
        <v>353</v>
      </c>
      <c r="BX2540" s="3" t="s">
        <v>377</v>
      </c>
      <c r="BY2540" s="3">
        <v>4275</v>
      </c>
      <c r="BZ2540" s="3" t="s">
        <v>165</v>
      </c>
      <c r="CA2540" s="3" t="s">
        <v>591</v>
      </c>
      <c r="CC2540" s="3" t="s">
        <v>163</v>
      </c>
      <c r="CD2540" s="3">
        <v>1428</v>
      </c>
      <c r="CE2540" s="3" t="s">
        <v>86</v>
      </c>
      <c r="CF2540" s="4">
        <v>44589</v>
      </c>
      <c r="CI2540" s="3">
        <v>1</v>
      </c>
      <c r="CJ2540" s="3">
        <v>1</v>
      </c>
      <c r="CK2540" s="3">
        <v>22</v>
      </c>
      <c r="CL2540" s="3" t="s">
        <v>87</v>
      </c>
    </row>
    <row r="2541" spans="1:90" x14ac:dyDescent="0.2">
      <c r="A2541" s="3" t="s">
        <v>72</v>
      </c>
      <c r="B2541" s="3" t="s">
        <v>73</v>
      </c>
      <c r="C2541" s="3" t="s">
        <v>74</v>
      </c>
      <c r="E2541" s="3" t="str">
        <f>"FES1162847175"</f>
        <v>FES1162847175</v>
      </c>
      <c r="F2541" s="4">
        <v>44588</v>
      </c>
      <c r="G2541" s="3">
        <v>202207</v>
      </c>
      <c r="H2541" s="3" t="s">
        <v>75</v>
      </c>
      <c r="I2541" s="3" t="s">
        <v>76</v>
      </c>
      <c r="J2541" s="3" t="s">
        <v>77</v>
      </c>
      <c r="K2541" s="3" t="s">
        <v>78</v>
      </c>
      <c r="L2541" s="3" t="s">
        <v>171</v>
      </c>
      <c r="M2541" s="3" t="s">
        <v>172</v>
      </c>
      <c r="N2541" s="3" t="s">
        <v>200</v>
      </c>
      <c r="O2541" s="3" t="s">
        <v>82</v>
      </c>
      <c r="P2541" s="3" t="str">
        <f>"2170813506                    "</f>
        <v xml:space="preserve">2170813506                    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46.36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0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3">
        <v>0</v>
      </c>
      <c r="AY2541" s="3">
        <v>0</v>
      </c>
      <c r="AZ2541" s="3">
        <v>0</v>
      </c>
      <c r="BA2541" s="3">
        <v>0</v>
      </c>
      <c r="BB2541" s="3">
        <v>0</v>
      </c>
      <c r="BC2541" s="3">
        <v>0</v>
      </c>
      <c r="BD2541" s="3">
        <v>0</v>
      </c>
      <c r="BE2541" s="3">
        <v>0</v>
      </c>
      <c r="BF2541" s="3">
        <v>0</v>
      </c>
      <c r="BG2541" s="3">
        <v>0</v>
      </c>
      <c r="BH2541" s="3">
        <v>1</v>
      </c>
      <c r="BI2541" s="3">
        <v>6</v>
      </c>
      <c r="BJ2541" s="3">
        <v>2</v>
      </c>
      <c r="BK2541" s="3">
        <v>6</v>
      </c>
      <c r="BL2541" s="3">
        <v>176.94</v>
      </c>
      <c r="BM2541" s="3">
        <v>26.54</v>
      </c>
      <c r="BN2541" s="3">
        <v>203.48</v>
      </c>
      <c r="BO2541" s="3">
        <v>203.48</v>
      </c>
      <c r="BQ2541" s="3" t="s">
        <v>89</v>
      </c>
      <c r="BR2541" s="3" t="s">
        <v>84</v>
      </c>
      <c r="BS2541" s="4">
        <v>44589</v>
      </c>
      <c r="BT2541" s="5">
        <v>0.4145833333333333</v>
      </c>
      <c r="BU2541" s="3" t="s">
        <v>2395</v>
      </c>
      <c r="BV2541" s="3" t="s">
        <v>105</v>
      </c>
      <c r="BY2541" s="3">
        <v>9918</v>
      </c>
      <c r="BZ2541" s="3" t="s">
        <v>165</v>
      </c>
      <c r="CA2541" s="3" t="s">
        <v>2396</v>
      </c>
      <c r="CC2541" s="3" t="s">
        <v>172</v>
      </c>
      <c r="CD2541" s="3">
        <v>6001</v>
      </c>
      <c r="CE2541" s="3" t="s">
        <v>86</v>
      </c>
      <c r="CF2541" s="4">
        <v>44589</v>
      </c>
      <c r="CI2541" s="3">
        <v>1</v>
      </c>
      <c r="CJ2541" s="3">
        <v>1</v>
      </c>
      <c r="CK2541" s="3">
        <v>21</v>
      </c>
      <c r="CL2541" s="3" t="s">
        <v>87</v>
      </c>
    </row>
    <row r="2542" spans="1:90" x14ac:dyDescent="0.2">
      <c r="A2542" s="3" t="s">
        <v>72</v>
      </c>
      <c r="B2542" s="3" t="s">
        <v>73</v>
      </c>
      <c r="C2542" s="3" t="s">
        <v>74</v>
      </c>
      <c r="E2542" s="3" t="str">
        <f>"FES1162847201"</f>
        <v>FES1162847201</v>
      </c>
      <c r="F2542" s="4">
        <v>44588</v>
      </c>
      <c r="G2542" s="3">
        <v>202207</v>
      </c>
      <c r="H2542" s="3" t="s">
        <v>75</v>
      </c>
      <c r="I2542" s="3" t="s">
        <v>76</v>
      </c>
      <c r="J2542" s="3" t="s">
        <v>77</v>
      </c>
      <c r="K2542" s="3" t="s">
        <v>78</v>
      </c>
      <c r="L2542" s="3" t="s">
        <v>101</v>
      </c>
      <c r="M2542" s="3" t="s">
        <v>102</v>
      </c>
      <c r="N2542" s="3" t="s">
        <v>935</v>
      </c>
      <c r="O2542" s="3" t="s">
        <v>82</v>
      </c>
      <c r="P2542" s="3" t="str">
        <f>"2170818509                    "</f>
        <v xml:space="preserve">2170818509                    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15.46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0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3">
        <v>0</v>
      </c>
      <c r="AY2542" s="3">
        <v>0</v>
      </c>
      <c r="AZ2542" s="3">
        <v>0</v>
      </c>
      <c r="BA2542" s="3">
        <v>0</v>
      </c>
      <c r="BB2542" s="3">
        <v>0</v>
      </c>
      <c r="BC2542" s="3">
        <v>0</v>
      </c>
      <c r="BD2542" s="3">
        <v>0</v>
      </c>
      <c r="BE2542" s="3">
        <v>0</v>
      </c>
      <c r="BF2542" s="3">
        <v>0</v>
      </c>
      <c r="BG2542" s="3">
        <v>0</v>
      </c>
      <c r="BH2542" s="3">
        <v>1</v>
      </c>
      <c r="BI2542" s="3">
        <v>1</v>
      </c>
      <c r="BJ2542" s="3">
        <v>0.2</v>
      </c>
      <c r="BK2542" s="3">
        <v>1</v>
      </c>
      <c r="BL2542" s="3">
        <v>59</v>
      </c>
      <c r="BM2542" s="3">
        <v>8.85</v>
      </c>
      <c r="BN2542" s="3">
        <v>67.849999999999994</v>
      </c>
      <c r="BO2542" s="3">
        <v>67.849999999999994</v>
      </c>
      <c r="BQ2542" s="3" t="s">
        <v>89</v>
      </c>
      <c r="BR2542" s="3" t="s">
        <v>84</v>
      </c>
      <c r="BS2542" s="4">
        <v>44589</v>
      </c>
      <c r="BT2542" s="5">
        <v>0.35555555555555557</v>
      </c>
      <c r="BU2542" s="3" t="s">
        <v>2458</v>
      </c>
      <c r="BV2542" s="3" t="s">
        <v>105</v>
      </c>
      <c r="BY2542" s="3">
        <v>975</v>
      </c>
      <c r="BZ2542" s="3" t="s">
        <v>165</v>
      </c>
      <c r="CA2542" s="3" t="s">
        <v>1040</v>
      </c>
      <c r="CC2542" s="3" t="s">
        <v>102</v>
      </c>
      <c r="CD2542" s="3">
        <v>4001</v>
      </c>
      <c r="CE2542" s="3" t="s">
        <v>86</v>
      </c>
      <c r="CI2542" s="3">
        <v>1</v>
      </c>
      <c r="CJ2542" s="3">
        <v>1</v>
      </c>
      <c r="CK2542" s="3">
        <v>21</v>
      </c>
      <c r="CL2542" s="3" t="s">
        <v>87</v>
      </c>
    </row>
    <row r="2543" spans="1:90" x14ac:dyDescent="0.2">
      <c r="A2543" s="3" t="s">
        <v>72</v>
      </c>
      <c r="B2543" s="3" t="s">
        <v>73</v>
      </c>
      <c r="C2543" s="3" t="s">
        <v>74</v>
      </c>
      <c r="E2543" s="3" t="str">
        <f>"FES1162847287"</f>
        <v>FES1162847287</v>
      </c>
      <c r="F2543" s="4">
        <v>44588</v>
      </c>
      <c r="G2543" s="3">
        <v>202207</v>
      </c>
      <c r="H2543" s="3" t="s">
        <v>75</v>
      </c>
      <c r="I2543" s="3" t="s">
        <v>76</v>
      </c>
      <c r="J2543" s="3" t="s">
        <v>77</v>
      </c>
      <c r="K2543" s="3" t="s">
        <v>78</v>
      </c>
      <c r="L2543" s="3" t="s">
        <v>94</v>
      </c>
      <c r="M2543" s="3" t="s">
        <v>95</v>
      </c>
      <c r="N2543" s="3" t="s">
        <v>1052</v>
      </c>
      <c r="O2543" s="3" t="s">
        <v>82</v>
      </c>
      <c r="P2543" s="3" t="str">
        <f>"2170817020                    "</f>
        <v xml:space="preserve">2170817020                    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38.630000000000003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0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3">
        <v>0</v>
      </c>
      <c r="AY2543" s="3">
        <v>0</v>
      </c>
      <c r="AZ2543" s="3">
        <v>0</v>
      </c>
      <c r="BA2543" s="3">
        <v>0</v>
      </c>
      <c r="BB2543" s="3">
        <v>0</v>
      </c>
      <c r="BC2543" s="3">
        <v>0</v>
      </c>
      <c r="BD2543" s="3">
        <v>0</v>
      </c>
      <c r="BE2543" s="3">
        <v>0</v>
      </c>
      <c r="BF2543" s="3">
        <v>0</v>
      </c>
      <c r="BG2543" s="3">
        <v>0</v>
      </c>
      <c r="BH2543" s="3">
        <v>1</v>
      </c>
      <c r="BI2543" s="3">
        <v>5</v>
      </c>
      <c r="BJ2543" s="3">
        <v>1.1000000000000001</v>
      </c>
      <c r="BK2543" s="3">
        <v>5</v>
      </c>
      <c r="BL2543" s="3">
        <v>147.44999999999999</v>
      </c>
      <c r="BM2543" s="3">
        <v>22.12</v>
      </c>
      <c r="BN2543" s="3">
        <v>169.57</v>
      </c>
      <c r="BO2543" s="3">
        <v>169.57</v>
      </c>
      <c r="BQ2543" s="3" t="s">
        <v>83</v>
      </c>
      <c r="BR2543" s="3" t="s">
        <v>84</v>
      </c>
      <c r="BS2543" s="4">
        <v>44589</v>
      </c>
      <c r="BT2543" s="5">
        <v>0.55555555555555558</v>
      </c>
      <c r="BU2543" s="3" t="s">
        <v>1053</v>
      </c>
      <c r="BV2543" s="3" t="s">
        <v>87</v>
      </c>
      <c r="BY2543" s="3">
        <v>5400</v>
      </c>
      <c r="BZ2543" s="3" t="s">
        <v>165</v>
      </c>
      <c r="CC2543" s="3" t="s">
        <v>95</v>
      </c>
      <c r="CD2543" s="3">
        <v>3201</v>
      </c>
      <c r="CE2543" s="3" t="s">
        <v>86</v>
      </c>
      <c r="CI2543" s="3">
        <v>1</v>
      </c>
      <c r="CJ2543" s="3">
        <v>1</v>
      </c>
      <c r="CK2543" s="3">
        <v>21</v>
      </c>
      <c r="CL2543" s="3" t="s">
        <v>87</v>
      </c>
    </row>
    <row r="2544" spans="1:90" x14ac:dyDescent="0.2">
      <c r="A2544" s="3" t="s">
        <v>72</v>
      </c>
      <c r="B2544" s="3" t="s">
        <v>73</v>
      </c>
      <c r="C2544" s="3" t="s">
        <v>74</v>
      </c>
      <c r="E2544" s="3" t="str">
        <f>"FES1162847199"</f>
        <v>FES1162847199</v>
      </c>
      <c r="F2544" s="4">
        <v>44588</v>
      </c>
      <c r="G2544" s="3">
        <v>202207</v>
      </c>
      <c r="H2544" s="3" t="s">
        <v>75</v>
      </c>
      <c r="I2544" s="3" t="s">
        <v>76</v>
      </c>
      <c r="J2544" s="3" t="s">
        <v>77</v>
      </c>
      <c r="K2544" s="3" t="s">
        <v>78</v>
      </c>
      <c r="L2544" s="3" t="s">
        <v>101</v>
      </c>
      <c r="M2544" s="3" t="s">
        <v>102</v>
      </c>
      <c r="N2544" s="3" t="s">
        <v>935</v>
      </c>
      <c r="O2544" s="3" t="s">
        <v>82</v>
      </c>
      <c r="P2544" s="3" t="str">
        <f>"2170818507                    "</f>
        <v xml:space="preserve">2170818507                    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15.46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0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3">
        <v>0</v>
      </c>
      <c r="AY2544" s="3">
        <v>0</v>
      </c>
      <c r="AZ2544" s="3">
        <v>0</v>
      </c>
      <c r="BA2544" s="3">
        <v>0</v>
      </c>
      <c r="BB2544" s="3">
        <v>0</v>
      </c>
      <c r="BC2544" s="3">
        <v>0</v>
      </c>
      <c r="BD2544" s="3">
        <v>0</v>
      </c>
      <c r="BE2544" s="3">
        <v>0</v>
      </c>
      <c r="BF2544" s="3">
        <v>0</v>
      </c>
      <c r="BG2544" s="3">
        <v>0</v>
      </c>
      <c r="BH2544" s="3">
        <v>1</v>
      </c>
      <c r="BI2544" s="3">
        <v>1</v>
      </c>
      <c r="BJ2544" s="3">
        <v>0.2</v>
      </c>
      <c r="BK2544" s="3">
        <v>1</v>
      </c>
      <c r="BL2544" s="3">
        <v>59</v>
      </c>
      <c r="BM2544" s="3">
        <v>8.85</v>
      </c>
      <c r="BN2544" s="3">
        <v>67.849999999999994</v>
      </c>
      <c r="BO2544" s="3">
        <v>67.849999999999994</v>
      </c>
      <c r="BQ2544" s="3" t="s">
        <v>89</v>
      </c>
      <c r="BR2544" s="3" t="s">
        <v>84</v>
      </c>
      <c r="BS2544" s="4">
        <v>44589</v>
      </c>
      <c r="BT2544" s="5">
        <v>0.35625000000000001</v>
      </c>
      <c r="BU2544" s="3" t="s">
        <v>2480</v>
      </c>
      <c r="BV2544" s="3" t="s">
        <v>105</v>
      </c>
      <c r="BY2544" s="3">
        <v>1200</v>
      </c>
      <c r="BZ2544" s="3" t="s">
        <v>165</v>
      </c>
      <c r="CA2544" s="3" t="s">
        <v>1040</v>
      </c>
      <c r="CC2544" s="3" t="s">
        <v>102</v>
      </c>
      <c r="CD2544" s="3">
        <v>4001</v>
      </c>
      <c r="CE2544" s="3" t="s">
        <v>93</v>
      </c>
      <c r="CI2544" s="3">
        <v>1</v>
      </c>
      <c r="CJ2544" s="3">
        <v>1</v>
      </c>
      <c r="CK2544" s="3">
        <v>21</v>
      </c>
      <c r="CL2544" s="3" t="s">
        <v>87</v>
      </c>
    </row>
    <row r="2545" spans="1:90" x14ac:dyDescent="0.2">
      <c r="A2545" s="3" t="s">
        <v>72</v>
      </c>
      <c r="B2545" s="3" t="s">
        <v>73</v>
      </c>
      <c r="C2545" s="3" t="s">
        <v>74</v>
      </c>
      <c r="E2545" s="3" t="str">
        <f>"FES1162847179"</f>
        <v>FES1162847179</v>
      </c>
      <c r="F2545" s="4">
        <v>44588</v>
      </c>
      <c r="G2545" s="3">
        <v>202207</v>
      </c>
      <c r="H2545" s="3" t="s">
        <v>75</v>
      </c>
      <c r="I2545" s="3" t="s">
        <v>76</v>
      </c>
      <c r="J2545" s="3" t="s">
        <v>77</v>
      </c>
      <c r="K2545" s="3" t="s">
        <v>78</v>
      </c>
      <c r="L2545" s="3" t="s">
        <v>97</v>
      </c>
      <c r="M2545" s="3" t="s">
        <v>98</v>
      </c>
      <c r="N2545" s="3" t="s">
        <v>1187</v>
      </c>
      <c r="O2545" s="3" t="s">
        <v>82</v>
      </c>
      <c r="P2545" s="3" t="str">
        <f>"2170816697                    "</f>
        <v xml:space="preserve">2170816697                    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12.07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0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3">
        <v>0</v>
      </c>
      <c r="AY2545" s="3">
        <v>0</v>
      </c>
      <c r="AZ2545" s="3">
        <v>0</v>
      </c>
      <c r="BA2545" s="3">
        <v>0</v>
      </c>
      <c r="BB2545" s="3">
        <v>0</v>
      </c>
      <c r="BC2545" s="3">
        <v>0</v>
      </c>
      <c r="BD2545" s="3">
        <v>0</v>
      </c>
      <c r="BE2545" s="3">
        <v>0</v>
      </c>
      <c r="BF2545" s="3">
        <v>0</v>
      </c>
      <c r="BG2545" s="3">
        <v>0</v>
      </c>
      <c r="BH2545" s="3">
        <v>1</v>
      </c>
      <c r="BI2545" s="3">
        <v>1</v>
      </c>
      <c r="BJ2545" s="3">
        <v>1.2</v>
      </c>
      <c r="BK2545" s="3">
        <v>1.5</v>
      </c>
      <c r="BL2545" s="3">
        <v>46.08</v>
      </c>
      <c r="BM2545" s="3">
        <v>6.91</v>
      </c>
      <c r="BN2545" s="3">
        <v>52.99</v>
      </c>
      <c r="BO2545" s="3">
        <v>52.99</v>
      </c>
      <c r="BQ2545" s="3" t="s">
        <v>83</v>
      </c>
      <c r="BR2545" s="3" t="s">
        <v>84</v>
      </c>
      <c r="BS2545" s="4">
        <v>44589</v>
      </c>
      <c r="BT2545" s="5">
        <v>0.39305555555555555</v>
      </c>
      <c r="BU2545" s="3" t="s">
        <v>1188</v>
      </c>
      <c r="BV2545" s="3" t="s">
        <v>105</v>
      </c>
      <c r="BY2545" s="3">
        <v>5850</v>
      </c>
      <c r="BZ2545" s="3" t="s">
        <v>165</v>
      </c>
      <c r="CA2545" s="3" t="s">
        <v>1189</v>
      </c>
      <c r="CC2545" s="3" t="s">
        <v>98</v>
      </c>
      <c r="CD2545" s="3">
        <v>2091</v>
      </c>
      <c r="CE2545" s="3" t="s">
        <v>86</v>
      </c>
      <c r="CF2545" s="4">
        <v>44589</v>
      </c>
      <c r="CI2545" s="3">
        <v>1</v>
      </c>
      <c r="CJ2545" s="3">
        <v>1</v>
      </c>
      <c r="CK2545" s="3">
        <v>22</v>
      </c>
      <c r="CL2545" s="3" t="s">
        <v>87</v>
      </c>
    </row>
    <row r="2546" spans="1:90" x14ac:dyDescent="0.2">
      <c r="A2546" s="3" t="s">
        <v>72</v>
      </c>
      <c r="B2546" s="3" t="s">
        <v>73</v>
      </c>
      <c r="C2546" s="3" t="s">
        <v>74</v>
      </c>
      <c r="E2546" s="3" t="str">
        <f>"FES1162847295"</f>
        <v>FES1162847295</v>
      </c>
      <c r="F2546" s="4">
        <v>44588</v>
      </c>
      <c r="G2546" s="3">
        <v>202207</v>
      </c>
      <c r="H2546" s="3" t="s">
        <v>75</v>
      </c>
      <c r="I2546" s="3" t="s">
        <v>76</v>
      </c>
      <c r="J2546" s="3" t="s">
        <v>77</v>
      </c>
      <c r="K2546" s="3" t="s">
        <v>78</v>
      </c>
      <c r="L2546" s="3" t="s">
        <v>94</v>
      </c>
      <c r="M2546" s="3" t="s">
        <v>95</v>
      </c>
      <c r="N2546" s="3" t="s">
        <v>96</v>
      </c>
      <c r="O2546" s="3" t="s">
        <v>82</v>
      </c>
      <c r="P2546" s="3" t="str">
        <f>"2170817198                    "</f>
        <v xml:space="preserve">2170817198                    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23.18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0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3">
        <v>0</v>
      </c>
      <c r="AY2546" s="3">
        <v>0</v>
      </c>
      <c r="AZ2546" s="3">
        <v>0</v>
      </c>
      <c r="BA2546" s="3">
        <v>0</v>
      </c>
      <c r="BB2546" s="3">
        <v>0</v>
      </c>
      <c r="BC2546" s="3">
        <v>0</v>
      </c>
      <c r="BD2546" s="3">
        <v>0</v>
      </c>
      <c r="BE2546" s="3">
        <v>0</v>
      </c>
      <c r="BF2546" s="3">
        <v>0</v>
      </c>
      <c r="BG2546" s="3">
        <v>0</v>
      </c>
      <c r="BH2546" s="3">
        <v>1</v>
      </c>
      <c r="BI2546" s="3">
        <v>3</v>
      </c>
      <c r="BJ2546" s="3">
        <v>2</v>
      </c>
      <c r="BK2546" s="3">
        <v>3</v>
      </c>
      <c r="BL2546" s="3">
        <v>88.48</v>
      </c>
      <c r="BM2546" s="3">
        <v>13.27</v>
      </c>
      <c r="BN2546" s="3">
        <v>101.75</v>
      </c>
      <c r="BO2546" s="3">
        <v>101.75</v>
      </c>
      <c r="BQ2546" s="3" t="s">
        <v>89</v>
      </c>
      <c r="BR2546" s="3" t="s">
        <v>84</v>
      </c>
      <c r="BS2546" s="4">
        <v>44589</v>
      </c>
      <c r="BT2546" s="5">
        <v>0.5</v>
      </c>
      <c r="BU2546" s="3" t="s">
        <v>821</v>
      </c>
      <c r="BV2546" s="3" t="s">
        <v>87</v>
      </c>
      <c r="BY2546" s="3">
        <v>9918</v>
      </c>
      <c r="BZ2546" s="3" t="s">
        <v>165</v>
      </c>
      <c r="CC2546" s="3" t="s">
        <v>95</v>
      </c>
      <c r="CD2546" s="3">
        <v>3201</v>
      </c>
      <c r="CE2546" s="3" t="s">
        <v>86</v>
      </c>
      <c r="CI2546" s="3">
        <v>1</v>
      </c>
      <c r="CJ2546" s="3">
        <v>1</v>
      </c>
      <c r="CK2546" s="3">
        <v>21</v>
      </c>
      <c r="CL2546" s="3" t="s">
        <v>87</v>
      </c>
    </row>
    <row r="2547" spans="1:90" x14ac:dyDescent="0.2">
      <c r="A2547" s="3" t="s">
        <v>72</v>
      </c>
      <c r="B2547" s="3" t="s">
        <v>73</v>
      </c>
      <c r="C2547" s="3" t="s">
        <v>74</v>
      </c>
      <c r="E2547" s="3" t="str">
        <f>"FES1162847292"</f>
        <v>FES1162847292</v>
      </c>
      <c r="F2547" s="4">
        <v>44588</v>
      </c>
      <c r="G2547" s="3">
        <v>202207</v>
      </c>
      <c r="H2547" s="3" t="s">
        <v>75</v>
      </c>
      <c r="I2547" s="3" t="s">
        <v>76</v>
      </c>
      <c r="J2547" s="3" t="s">
        <v>77</v>
      </c>
      <c r="K2547" s="3" t="s">
        <v>78</v>
      </c>
      <c r="L2547" s="3" t="s">
        <v>142</v>
      </c>
      <c r="M2547" s="3" t="s">
        <v>143</v>
      </c>
      <c r="N2547" s="3" t="s">
        <v>2481</v>
      </c>
      <c r="O2547" s="3" t="s">
        <v>82</v>
      </c>
      <c r="P2547" s="3" t="str">
        <f>"2170817086                    "</f>
        <v xml:space="preserve">2170817086                    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12.07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0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3">
        <v>0</v>
      </c>
      <c r="AY2547" s="3">
        <v>0</v>
      </c>
      <c r="AZ2547" s="3">
        <v>0</v>
      </c>
      <c r="BA2547" s="3">
        <v>0</v>
      </c>
      <c r="BB2547" s="3">
        <v>0</v>
      </c>
      <c r="BC2547" s="3">
        <v>0</v>
      </c>
      <c r="BD2547" s="3">
        <v>0</v>
      </c>
      <c r="BE2547" s="3">
        <v>0</v>
      </c>
      <c r="BF2547" s="3">
        <v>0</v>
      </c>
      <c r="BG2547" s="3">
        <v>0</v>
      </c>
      <c r="BH2547" s="3">
        <v>1</v>
      </c>
      <c r="BI2547" s="3">
        <v>2</v>
      </c>
      <c r="BJ2547" s="3">
        <v>2</v>
      </c>
      <c r="BK2547" s="3">
        <v>2</v>
      </c>
      <c r="BL2547" s="3">
        <v>46.08</v>
      </c>
      <c r="BM2547" s="3">
        <v>6.91</v>
      </c>
      <c r="BN2547" s="3">
        <v>52.99</v>
      </c>
      <c r="BO2547" s="3">
        <v>52.99</v>
      </c>
      <c r="BQ2547" s="3" t="s">
        <v>89</v>
      </c>
      <c r="BR2547" s="3" t="s">
        <v>84</v>
      </c>
      <c r="BS2547" s="4">
        <v>44589</v>
      </c>
      <c r="BT2547" s="5">
        <v>0.36805555555555558</v>
      </c>
      <c r="BU2547" s="3" t="s">
        <v>861</v>
      </c>
      <c r="BV2547" s="3" t="s">
        <v>105</v>
      </c>
      <c r="BY2547" s="3">
        <v>9918</v>
      </c>
      <c r="BZ2547" s="3" t="s">
        <v>165</v>
      </c>
      <c r="CA2547" s="3" t="s">
        <v>471</v>
      </c>
      <c r="CC2547" s="3" t="s">
        <v>143</v>
      </c>
      <c r="CD2547" s="3">
        <v>1451</v>
      </c>
      <c r="CE2547" s="3" t="s">
        <v>86</v>
      </c>
      <c r="CF2547" s="4">
        <v>44589</v>
      </c>
      <c r="CI2547" s="3">
        <v>1</v>
      </c>
      <c r="CJ2547" s="3">
        <v>1</v>
      </c>
      <c r="CK2547" s="3">
        <v>22</v>
      </c>
      <c r="CL2547" s="3" t="s">
        <v>87</v>
      </c>
    </row>
    <row r="2548" spans="1:90" x14ac:dyDescent="0.2">
      <c r="A2548" s="3" t="s">
        <v>72</v>
      </c>
      <c r="B2548" s="3" t="s">
        <v>73</v>
      </c>
      <c r="C2548" s="3" t="s">
        <v>74</v>
      </c>
      <c r="E2548" s="3" t="str">
        <f>"FES1162847273"</f>
        <v>FES1162847273</v>
      </c>
      <c r="F2548" s="4">
        <v>44588</v>
      </c>
      <c r="G2548" s="3">
        <v>202207</v>
      </c>
      <c r="H2548" s="3" t="s">
        <v>75</v>
      </c>
      <c r="I2548" s="3" t="s">
        <v>76</v>
      </c>
      <c r="J2548" s="3" t="s">
        <v>77</v>
      </c>
      <c r="K2548" s="3" t="s">
        <v>78</v>
      </c>
      <c r="L2548" s="3" t="s">
        <v>90</v>
      </c>
      <c r="M2548" s="3" t="s">
        <v>91</v>
      </c>
      <c r="N2548" s="3" t="s">
        <v>157</v>
      </c>
      <c r="O2548" s="3" t="s">
        <v>82</v>
      </c>
      <c r="P2548" s="3" t="str">
        <f>"2170816231                    "</f>
        <v xml:space="preserve">2170816231                    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15.46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0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3">
        <v>0</v>
      </c>
      <c r="AY2548" s="3">
        <v>0</v>
      </c>
      <c r="AZ2548" s="3">
        <v>0</v>
      </c>
      <c r="BA2548" s="3">
        <v>0</v>
      </c>
      <c r="BB2548" s="3">
        <v>0</v>
      </c>
      <c r="BC2548" s="3">
        <v>0</v>
      </c>
      <c r="BD2548" s="3">
        <v>0</v>
      </c>
      <c r="BE2548" s="3">
        <v>0</v>
      </c>
      <c r="BF2548" s="3">
        <v>0</v>
      </c>
      <c r="BG2548" s="3">
        <v>0</v>
      </c>
      <c r="BH2548" s="3">
        <v>1</v>
      </c>
      <c r="BI2548" s="3">
        <v>1</v>
      </c>
      <c r="BJ2548" s="3">
        <v>0.2</v>
      </c>
      <c r="BK2548" s="3">
        <v>1</v>
      </c>
      <c r="BL2548" s="3">
        <v>59</v>
      </c>
      <c r="BM2548" s="3">
        <v>8.85</v>
      </c>
      <c r="BN2548" s="3">
        <v>67.849999999999994</v>
      </c>
      <c r="BO2548" s="3">
        <v>67.849999999999994</v>
      </c>
      <c r="BQ2548" s="3" t="s">
        <v>89</v>
      </c>
      <c r="BR2548" s="3" t="s">
        <v>84</v>
      </c>
      <c r="BS2548" s="4">
        <v>44589</v>
      </c>
      <c r="BT2548" s="5">
        <v>0.38680555555555557</v>
      </c>
      <c r="BU2548" s="3" t="s">
        <v>693</v>
      </c>
      <c r="BV2548" s="3" t="s">
        <v>105</v>
      </c>
      <c r="BY2548" s="3">
        <v>1200</v>
      </c>
      <c r="BZ2548" s="3" t="s">
        <v>165</v>
      </c>
      <c r="CA2548" s="3" t="s">
        <v>289</v>
      </c>
      <c r="CC2548" s="3" t="s">
        <v>91</v>
      </c>
      <c r="CD2548" s="3">
        <v>7441</v>
      </c>
      <c r="CE2548" s="3" t="s">
        <v>93</v>
      </c>
      <c r="CI2548" s="3">
        <v>1</v>
      </c>
      <c r="CJ2548" s="3">
        <v>1</v>
      </c>
      <c r="CK2548" s="3">
        <v>21</v>
      </c>
      <c r="CL2548" s="3" t="s">
        <v>87</v>
      </c>
    </row>
    <row r="2549" spans="1:90" x14ac:dyDescent="0.2">
      <c r="A2549" s="3" t="s">
        <v>72</v>
      </c>
      <c r="B2549" s="3" t="s">
        <v>73</v>
      </c>
      <c r="C2549" s="3" t="s">
        <v>74</v>
      </c>
      <c r="E2549" s="3" t="str">
        <f>"FES1162847288"</f>
        <v>FES1162847288</v>
      </c>
      <c r="F2549" s="4">
        <v>44588</v>
      </c>
      <c r="G2549" s="3">
        <v>202207</v>
      </c>
      <c r="H2549" s="3" t="s">
        <v>75</v>
      </c>
      <c r="I2549" s="3" t="s">
        <v>76</v>
      </c>
      <c r="J2549" s="3" t="s">
        <v>77</v>
      </c>
      <c r="K2549" s="3" t="s">
        <v>78</v>
      </c>
      <c r="L2549" s="3" t="s">
        <v>79</v>
      </c>
      <c r="M2549" s="3" t="s">
        <v>80</v>
      </c>
      <c r="N2549" s="3" t="s">
        <v>248</v>
      </c>
      <c r="O2549" s="3" t="s">
        <v>148</v>
      </c>
      <c r="P2549" s="3" t="str">
        <f>"2170817037                    "</f>
        <v xml:space="preserve">2170817037                    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32.35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0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3">
        <v>0</v>
      </c>
      <c r="AY2549" s="3">
        <v>0</v>
      </c>
      <c r="AZ2549" s="3">
        <v>0</v>
      </c>
      <c r="BA2549" s="3">
        <v>0</v>
      </c>
      <c r="BB2549" s="3">
        <v>0</v>
      </c>
      <c r="BC2549" s="3">
        <v>0</v>
      </c>
      <c r="BD2549" s="3">
        <v>0</v>
      </c>
      <c r="BE2549" s="3">
        <v>0</v>
      </c>
      <c r="BF2549" s="3">
        <v>0</v>
      </c>
      <c r="BG2549" s="3">
        <v>0</v>
      </c>
      <c r="BH2549" s="3">
        <v>1</v>
      </c>
      <c r="BI2549" s="3">
        <v>17</v>
      </c>
      <c r="BJ2549" s="3">
        <v>16.3</v>
      </c>
      <c r="BK2549" s="3">
        <v>17</v>
      </c>
      <c r="BL2549" s="3">
        <v>128.74</v>
      </c>
      <c r="BM2549" s="3">
        <v>19.309999999999999</v>
      </c>
      <c r="BN2549" s="3">
        <v>148.05000000000001</v>
      </c>
      <c r="BO2549" s="3">
        <v>148.05000000000001</v>
      </c>
      <c r="BQ2549" s="3" t="s">
        <v>83</v>
      </c>
      <c r="BR2549" s="3" t="s">
        <v>84</v>
      </c>
      <c r="BS2549" s="4">
        <v>44589</v>
      </c>
      <c r="BT2549" s="5">
        <v>0.62777777777777777</v>
      </c>
      <c r="BU2549" s="3" t="s">
        <v>2446</v>
      </c>
      <c r="BV2549" s="3" t="s">
        <v>105</v>
      </c>
      <c r="BY2549" s="3">
        <v>81675</v>
      </c>
      <c r="BZ2549" s="3" t="s">
        <v>327</v>
      </c>
      <c r="CC2549" s="3" t="s">
        <v>80</v>
      </c>
      <c r="CD2549" s="3">
        <v>1</v>
      </c>
      <c r="CE2549" s="3" t="s">
        <v>86</v>
      </c>
      <c r="CI2549" s="3">
        <v>1</v>
      </c>
      <c r="CJ2549" s="3">
        <v>1</v>
      </c>
      <c r="CK2549" s="3">
        <v>41</v>
      </c>
      <c r="CL2549" s="3" t="s">
        <v>87</v>
      </c>
    </row>
    <row r="2550" spans="1:90" x14ac:dyDescent="0.2">
      <c r="A2550" s="3" t="s">
        <v>72</v>
      </c>
      <c r="B2550" s="3" t="s">
        <v>73</v>
      </c>
      <c r="C2550" s="3" t="s">
        <v>74</v>
      </c>
      <c r="E2550" s="3" t="str">
        <f>"FES1162847208"</f>
        <v>FES1162847208</v>
      </c>
      <c r="F2550" s="4">
        <v>44588</v>
      </c>
      <c r="G2550" s="3">
        <v>202207</v>
      </c>
      <c r="H2550" s="3" t="s">
        <v>75</v>
      </c>
      <c r="I2550" s="3" t="s">
        <v>76</v>
      </c>
      <c r="J2550" s="3" t="s">
        <v>77</v>
      </c>
      <c r="K2550" s="3" t="s">
        <v>78</v>
      </c>
      <c r="L2550" s="3" t="s">
        <v>176</v>
      </c>
      <c r="M2550" s="3" t="s">
        <v>177</v>
      </c>
      <c r="N2550" s="3" t="s">
        <v>178</v>
      </c>
      <c r="O2550" s="3" t="s">
        <v>82</v>
      </c>
      <c r="P2550" s="3" t="str">
        <f>"2170818521                    "</f>
        <v xml:space="preserve">2170818521                    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15.46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0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3">
        <v>0</v>
      </c>
      <c r="AY2550" s="3">
        <v>0</v>
      </c>
      <c r="AZ2550" s="3">
        <v>0</v>
      </c>
      <c r="BA2550" s="3">
        <v>0</v>
      </c>
      <c r="BB2550" s="3">
        <v>0</v>
      </c>
      <c r="BC2550" s="3">
        <v>0</v>
      </c>
      <c r="BD2550" s="3">
        <v>0</v>
      </c>
      <c r="BE2550" s="3">
        <v>0</v>
      </c>
      <c r="BF2550" s="3">
        <v>0</v>
      </c>
      <c r="BG2550" s="3">
        <v>0</v>
      </c>
      <c r="BH2550" s="3">
        <v>1</v>
      </c>
      <c r="BI2550" s="3">
        <v>1</v>
      </c>
      <c r="BJ2550" s="3">
        <v>0.2</v>
      </c>
      <c r="BK2550" s="3">
        <v>1</v>
      </c>
      <c r="BL2550" s="3">
        <v>59</v>
      </c>
      <c r="BM2550" s="3">
        <v>8.85</v>
      </c>
      <c r="BN2550" s="3">
        <v>67.849999999999994</v>
      </c>
      <c r="BO2550" s="3">
        <v>67.849999999999994</v>
      </c>
      <c r="BQ2550" s="3" t="s">
        <v>83</v>
      </c>
      <c r="BR2550" s="3" t="s">
        <v>84</v>
      </c>
      <c r="BS2550" s="4">
        <v>44589</v>
      </c>
      <c r="BT2550" s="5">
        <v>0.3743055555555555</v>
      </c>
      <c r="BU2550" s="3" t="s">
        <v>2425</v>
      </c>
      <c r="BV2550" s="3" t="s">
        <v>105</v>
      </c>
      <c r="BY2550" s="3">
        <v>1200</v>
      </c>
      <c r="BZ2550" s="3" t="s">
        <v>165</v>
      </c>
      <c r="CA2550" s="3" t="s">
        <v>339</v>
      </c>
      <c r="CC2550" s="3" t="s">
        <v>177</v>
      </c>
      <c r="CD2550" s="3">
        <v>4026</v>
      </c>
      <c r="CE2550" s="3" t="s">
        <v>93</v>
      </c>
      <c r="CI2550" s="3">
        <v>1</v>
      </c>
      <c r="CJ2550" s="3">
        <v>1</v>
      </c>
      <c r="CK2550" s="3">
        <v>21</v>
      </c>
      <c r="CL2550" s="3" t="s">
        <v>87</v>
      </c>
    </row>
    <row r="2551" spans="1:90" x14ac:dyDescent="0.2">
      <c r="A2551" s="3" t="s">
        <v>72</v>
      </c>
      <c r="B2551" s="3" t="s">
        <v>73</v>
      </c>
      <c r="C2551" s="3" t="s">
        <v>74</v>
      </c>
      <c r="E2551" s="3" t="str">
        <f>"FES1162847298"</f>
        <v>FES1162847298</v>
      </c>
      <c r="F2551" s="4">
        <v>44588</v>
      </c>
      <c r="G2551" s="3">
        <v>202207</v>
      </c>
      <c r="H2551" s="3" t="s">
        <v>75</v>
      </c>
      <c r="I2551" s="3" t="s">
        <v>76</v>
      </c>
      <c r="J2551" s="3" t="s">
        <v>77</v>
      </c>
      <c r="K2551" s="3" t="s">
        <v>78</v>
      </c>
      <c r="L2551" s="3" t="s">
        <v>97</v>
      </c>
      <c r="M2551" s="3" t="s">
        <v>98</v>
      </c>
      <c r="N2551" s="3" t="s">
        <v>845</v>
      </c>
      <c r="O2551" s="3" t="s">
        <v>82</v>
      </c>
      <c r="P2551" s="3" t="str">
        <f>"2170818542                    "</f>
        <v xml:space="preserve">2170818542                    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12.07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0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3">
        <v>0</v>
      </c>
      <c r="AY2551" s="3">
        <v>0</v>
      </c>
      <c r="AZ2551" s="3">
        <v>0</v>
      </c>
      <c r="BA2551" s="3">
        <v>0</v>
      </c>
      <c r="BB2551" s="3">
        <v>0</v>
      </c>
      <c r="BC2551" s="3">
        <v>0</v>
      </c>
      <c r="BD2551" s="3">
        <v>0</v>
      </c>
      <c r="BE2551" s="3">
        <v>0</v>
      </c>
      <c r="BF2551" s="3">
        <v>0</v>
      </c>
      <c r="BG2551" s="3">
        <v>0</v>
      </c>
      <c r="BH2551" s="3">
        <v>1</v>
      </c>
      <c r="BI2551" s="3">
        <v>1</v>
      </c>
      <c r="BJ2551" s="3">
        <v>0.2</v>
      </c>
      <c r="BK2551" s="3">
        <v>1</v>
      </c>
      <c r="BL2551" s="3">
        <v>46.08</v>
      </c>
      <c r="BM2551" s="3">
        <v>6.91</v>
      </c>
      <c r="BN2551" s="3">
        <v>52.99</v>
      </c>
      <c r="BO2551" s="3">
        <v>52.99</v>
      </c>
      <c r="BQ2551" s="3" t="s">
        <v>83</v>
      </c>
      <c r="BR2551" s="3" t="s">
        <v>84</v>
      </c>
      <c r="BS2551" s="4">
        <v>44589</v>
      </c>
      <c r="BT2551" s="5">
        <v>0.42222222222222222</v>
      </c>
      <c r="BU2551" s="3" t="s">
        <v>2482</v>
      </c>
      <c r="BV2551" s="3" t="s">
        <v>105</v>
      </c>
      <c r="BY2551" s="3">
        <v>1200</v>
      </c>
      <c r="BZ2551" s="3" t="s">
        <v>165</v>
      </c>
      <c r="CA2551" s="3" t="s">
        <v>1189</v>
      </c>
      <c r="CC2551" s="3" t="s">
        <v>98</v>
      </c>
      <c r="CD2551" s="3">
        <v>2091</v>
      </c>
      <c r="CE2551" s="3" t="s">
        <v>86</v>
      </c>
      <c r="CF2551" s="4">
        <v>44589</v>
      </c>
      <c r="CI2551" s="3">
        <v>1</v>
      </c>
      <c r="CJ2551" s="3">
        <v>1</v>
      </c>
      <c r="CK2551" s="3">
        <v>22</v>
      </c>
      <c r="CL2551" s="3" t="s">
        <v>87</v>
      </c>
    </row>
    <row r="2552" spans="1:90" x14ac:dyDescent="0.2">
      <c r="A2552" s="3" t="s">
        <v>72</v>
      </c>
      <c r="B2552" s="3" t="s">
        <v>73</v>
      </c>
      <c r="C2552" s="3" t="s">
        <v>74</v>
      </c>
      <c r="E2552" s="3" t="str">
        <f>"FES1162847297"</f>
        <v>FES1162847297</v>
      </c>
      <c r="F2552" s="4">
        <v>44588</v>
      </c>
      <c r="G2552" s="3">
        <v>202207</v>
      </c>
      <c r="H2552" s="3" t="s">
        <v>75</v>
      </c>
      <c r="I2552" s="3" t="s">
        <v>76</v>
      </c>
      <c r="J2552" s="3" t="s">
        <v>77</v>
      </c>
      <c r="K2552" s="3" t="s">
        <v>78</v>
      </c>
      <c r="L2552" s="3" t="s">
        <v>90</v>
      </c>
      <c r="M2552" s="3" t="s">
        <v>91</v>
      </c>
      <c r="N2552" s="3" t="s">
        <v>1550</v>
      </c>
      <c r="O2552" s="3" t="s">
        <v>82</v>
      </c>
      <c r="P2552" s="3" t="str">
        <f>"2170818068                    "</f>
        <v xml:space="preserve">2170818068                    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15.46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0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3">
        <v>0</v>
      </c>
      <c r="AY2552" s="3">
        <v>0</v>
      </c>
      <c r="AZ2552" s="3">
        <v>0</v>
      </c>
      <c r="BA2552" s="3">
        <v>0</v>
      </c>
      <c r="BB2552" s="3">
        <v>0</v>
      </c>
      <c r="BC2552" s="3">
        <v>0</v>
      </c>
      <c r="BD2552" s="3">
        <v>0</v>
      </c>
      <c r="BE2552" s="3">
        <v>0</v>
      </c>
      <c r="BF2552" s="3">
        <v>0</v>
      </c>
      <c r="BG2552" s="3">
        <v>0</v>
      </c>
      <c r="BH2552" s="3">
        <v>1</v>
      </c>
      <c r="BI2552" s="3">
        <v>1</v>
      </c>
      <c r="BJ2552" s="3">
        <v>0.2</v>
      </c>
      <c r="BK2552" s="3">
        <v>1</v>
      </c>
      <c r="BL2552" s="3">
        <v>59</v>
      </c>
      <c r="BM2552" s="3">
        <v>8.85</v>
      </c>
      <c r="BN2552" s="3">
        <v>67.849999999999994</v>
      </c>
      <c r="BO2552" s="3">
        <v>67.849999999999994</v>
      </c>
      <c r="BQ2552" s="3" t="s">
        <v>83</v>
      </c>
      <c r="BR2552" s="3" t="s">
        <v>84</v>
      </c>
      <c r="BS2552" s="4">
        <v>44589</v>
      </c>
      <c r="BT2552" s="5">
        <v>0.38750000000000001</v>
      </c>
      <c r="BU2552" s="3" t="s">
        <v>1551</v>
      </c>
      <c r="BV2552" s="3" t="s">
        <v>105</v>
      </c>
      <c r="BY2552" s="3">
        <v>1200</v>
      </c>
      <c r="BZ2552" s="3" t="s">
        <v>165</v>
      </c>
      <c r="CA2552" s="3" t="s">
        <v>566</v>
      </c>
      <c r="CC2552" s="3" t="s">
        <v>91</v>
      </c>
      <c r="CD2552" s="3">
        <v>7460</v>
      </c>
      <c r="CE2552" s="3" t="s">
        <v>93</v>
      </c>
      <c r="CI2552" s="3">
        <v>1</v>
      </c>
      <c r="CJ2552" s="3">
        <v>1</v>
      </c>
      <c r="CK2552" s="3">
        <v>21</v>
      </c>
      <c r="CL2552" s="3" t="s">
        <v>87</v>
      </c>
    </row>
    <row r="2553" spans="1:90" x14ac:dyDescent="0.2">
      <c r="A2553" s="3" t="s">
        <v>72</v>
      </c>
      <c r="B2553" s="3" t="s">
        <v>73</v>
      </c>
      <c r="C2553" s="3" t="s">
        <v>74</v>
      </c>
      <c r="E2553" s="3" t="str">
        <f>"FES1162847268"</f>
        <v>FES1162847268</v>
      </c>
      <c r="F2553" s="4">
        <v>44588</v>
      </c>
      <c r="G2553" s="3">
        <v>202207</v>
      </c>
      <c r="H2553" s="3" t="s">
        <v>75</v>
      </c>
      <c r="I2553" s="3" t="s">
        <v>76</v>
      </c>
      <c r="J2553" s="3" t="s">
        <v>77</v>
      </c>
      <c r="K2553" s="3" t="s">
        <v>78</v>
      </c>
      <c r="L2553" s="3" t="s">
        <v>75</v>
      </c>
      <c r="M2553" s="3" t="s">
        <v>76</v>
      </c>
      <c r="N2553" s="3" t="s">
        <v>153</v>
      </c>
      <c r="O2553" s="3" t="s">
        <v>82</v>
      </c>
      <c r="P2553" s="3" t="str">
        <f>"2170815796                    "</f>
        <v xml:space="preserve">2170815796                    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12.07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0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3">
        <v>0</v>
      </c>
      <c r="AY2553" s="3">
        <v>0</v>
      </c>
      <c r="AZ2553" s="3">
        <v>0</v>
      </c>
      <c r="BA2553" s="3">
        <v>0</v>
      </c>
      <c r="BB2553" s="3">
        <v>0</v>
      </c>
      <c r="BC2553" s="3">
        <v>0</v>
      </c>
      <c r="BD2553" s="3">
        <v>0</v>
      </c>
      <c r="BE2553" s="3">
        <v>0</v>
      </c>
      <c r="BF2553" s="3">
        <v>0</v>
      </c>
      <c r="BG2553" s="3">
        <v>0</v>
      </c>
      <c r="BH2553" s="3">
        <v>1</v>
      </c>
      <c r="BI2553" s="3">
        <v>1</v>
      </c>
      <c r="BJ2553" s="3">
        <v>0.2</v>
      </c>
      <c r="BK2553" s="3">
        <v>1</v>
      </c>
      <c r="BL2553" s="3">
        <v>46.08</v>
      </c>
      <c r="BM2553" s="3">
        <v>6.91</v>
      </c>
      <c r="BN2553" s="3">
        <v>52.99</v>
      </c>
      <c r="BO2553" s="3">
        <v>52.99</v>
      </c>
      <c r="BR2553" s="3" t="s">
        <v>84</v>
      </c>
      <c r="BS2553" s="4">
        <v>44589</v>
      </c>
      <c r="BT2553" s="5">
        <v>0.38541666666666669</v>
      </c>
      <c r="BU2553" s="3" t="s">
        <v>2478</v>
      </c>
      <c r="BV2553" s="3" t="s">
        <v>105</v>
      </c>
      <c r="BY2553" s="3">
        <v>1200</v>
      </c>
      <c r="BZ2553" s="3" t="s">
        <v>165</v>
      </c>
      <c r="CC2553" s="3" t="s">
        <v>76</v>
      </c>
      <c r="CD2553" s="3">
        <v>1600</v>
      </c>
      <c r="CE2553" s="3" t="s">
        <v>86</v>
      </c>
      <c r="CF2553" s="4">
        <v>44589</v>
      </c>
      <c r="CI2553" s="3">
        <v>1</v>
      </c>
      <c r="CJ2553" s="3">
        <v>1</v>
      </c>
      <c r="CK2553" s="3">
        <v>22</v>
      </c>
      <c r="CL2553" s="3" t="s">
        <v>87</v>
      </c>
    </row>
    <row r="2554" spans="1:90" x14ac:dyDescent="0.2">
      <c r="A2554" s="3" t="s">
        <v>72</v>
      </c>
      <c r="B2554" s="3" t="s">
        <v>73</v>
      </c>
      <c r="C2554" s="3" t="s">
        <v>74</v>
      </c>
      <c r="E2554" s="3" t="str">
        <f>"FES1162847244"</f>
        <v>FES1162847244</v>
      </c>
      <c r="F2554" s="4">
        <v>44588</v>
      </c>
      <c r="G2554" s="3">
        <v>202207</v>
      </c>
      <c r="H2554" s="3" t="s">
        <v>75</v>
      </c>
      <c r="I2554" s="3" t="s">
        <v>76</v>
      </c>
      <c r="J2554" s="3" t="s">
        <v>77</v>
      </c>
      <c r="K2554" s="3" t="s">
        <v>78</v>
      </c>
      <c r="L2554" s="3" t="s">
        <v>731</v>
      </c>
      <c r="M2554" s="3" t="s">
        <v>732</v>
      </c>
      <c r="N2554" s="3" t="s">
        <v>733</v>
      </c>
      <c r="O2554" s="3" t="s">
        <v>82</v>
      </c>
      <c r="P2554" s="3" t="str">
        <f>"2170817937                    "</f>
        <v xml:space="preserve">2170817937                    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29.95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0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3">
        <v>0</v>
      </c>
      <c r="AY2554" s="3">
        <v>0</v>
      </c>
      <c r="AZ2554" s="3">
        <v>0</v>
      </c>
      <c r="BA2554" s="3">
        <v>0</v>
      </c>
      <c r="BB2554" s="3">
        <v>0</v>
      </c>
      <c r="BC2554" s="3">
        <v>0</v>
      </c>
      <c r="BD2554" s="3">
        <v>0</v>
      </c>
      <c r="BE2554" s="3">
        <v>0</v>
      </c>
      <c r="BF2554" s="3">
        <v>0</v>
      </c>
      <c r="BG2554" s="3">
        <v>0</v>
      </c>
      <c r="BH2554" s="3">
        <v>1</v>
      </c>
      <c r="BI2554" s="3">
        <v>1</v>
      </c>
      <c r="BJ2554" s="3">
        <v>0.2</v>
      </c>
      <c r="BK2554" s="3">
        <v>1</v>
      </c>
      <c r="BL2554" s="3">
        <v>114.31</v>
      </c>
      <c r="BM2554" s="3">
        <v>17.149999999999999</v>
      </c>
      <c r="BN2554" s="3">
        <v>131.46</v>
      </c>
      <c r="BO2554" s="3">
        <v>131.46</v>
      </c>
      <c r="BQ2554" s="3" t="s">
        <v>89</v>
      </c>
      <c r="BR2554" s="3" t="s">
        <v>84</v>
      </c>
      <c r="BS2554" s="4">
        <v>44589</v>
      </c>
      <c r="BT2554" s="5">
        <v>0.40972222222222227</v>
      </c>
      <c r="BU2554" s="3" t="s">
        <v>937</v>
      </c>
      <c r="BV2554" s="3" t="s">
        <v>105</v>
      </c>
      <c r="BY2554" s="3">
        <v>1200</v>
      </c>
      <c r="BZ2554" s="3" t="s">
        <v>165</v>
      </c>
      <c r="CC2554" s="3" t="s">
        <v>732</v>
      </c>
      <c r="CD2554" s="3">
        <v>3290</v>
      </c>
      <c r="CE2554" s="3" t="s">
        <v>93</v>
      </c>
      <c r="CI2554" s="3">
        <v>1</v>
      </c>
      <c r="CJ2554" s="3">
        <v>1</v>
      </c>
      <c r="CK2554" s="3">
        <v>23</v>
      </c>
      <c r="CL2554" s="3" t="s">
        <v>87</v>
      </c>
    </row>
    <row r="2555" spans="1:90" x14ac:dyDescent="0.2">
      <c r="A2555" s="3" t="s">
        <v>72</v>
      </c>
      <c r="B2555" s="3" t="s">
        <v>73</v>
      </c>
      <c r="C2555" s="3" t="s">
        <v>74</v>
      </c>
      <c r="E2555" s="3" t="str">
        <f>"FES1162847211"</f>
        <v>FES1162847211</v>
      </c>
      <c r="F2555" s="4">
        <v>44588</v>
      </c>
      <c r="G2555" s="3">
        <v>202207</v>
      </c>
      <c r="H2555" s="3" t="s">
        <v>75</v>
      </c>
      <c r="I2555" s="3" t="s">
        <v>76</v>
      </c>
      <c r="J2555" s="3" t="s">
        <v>77</v>
      </c>
      <c r="K2555" s="3" t="s">
        <v>78</v>
      </c>
      <c r="L2555" s="3" t="s">
        <v>94</v>
      </c>
      <c r="M2555" s="3" t="s">
        <v>95</v>
      </c>
      <c r="N2555" s="3" t="s">
        <v>179</v>
      </c>
      <c r="O2555" s="3" t="s">
        <v>82</v>
      </c>
      <c r="P2555" s="3" t="str">
        <f>"2170818524                    "</f>
        <v xml:space="preserve">2170818524                    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15.46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0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3">
        <v>0</v>
      </c>
      <c r="AY2555" s="3">
        <v>0</v>
      </c>
      <c r="AZ2555" s="3">
        <v>0</v>
      </c>
      <c r="BA2555" s="3">
        <v>0</v>
      </c>
      <c r="BB2555" s="3">
        <v>0</v>
      </c>
      <c r="BC2555" s="3">
        <v>0</v>
      </c>
      <c r="BD2555" s="3">
        <v>0</v>
      </c>
      <c r="BE2555" s="3">
        <v>0</v>
      </c>
      <c r="BF2555" s="3">
        <v>0</v>
      </c>
      <c r="BG2555" s="3">
        <v>0</v>
      </c>
      <c r="BH2555" s="3">
        <v>1</v>
      </c>
      <c r="BI2555" s="3">
        <v>1</v>
      </c>
      <c r="BJ2555" s="3">
        <v>0.2</v>
      </c>
      <c r="BK2555" s="3">
        <v>1</v>
      </c>
      <c r="BL2555" s="3">
        <v>59</v>
      </c>
      <c r="BM2555" s="3">
        <v>8.85</v>
      </c>
      <c r="BN2555" s="3">
        <v>67.849999999999994</v>
      </c>
      <c r="BO2555" s="3">
        <v>67.849999999999994</v>
      </c>
      <c r="BQ2555" s="3" t="s">
        <v>83</v>
      </c>
      <c r="BR2555" s="3" t="s">
        <v>84</v>
      </c>
      <c r="BS2555" s="4">
        <v>44589</v>
      </c>
      <c r="BT2555" s="5">
        <v>0.4375</v>
      </c>
      <c r="BU2555" s="3" t="s">
        <v>1480</v>
      </c>
      <c r="BV2555" s="3" t="s">
        <v>105</v>
      </c>
      <c r="BY2555" s="3">
        <v>1200</v>
      </c>
      <c r="BZ2555" s="3" t="s">
        <v>165</v>
      </c>
      <c r="CC2555" s="3" t="s">
        <v>95</v>
      </c>
      <c r="CD2555" s="3">
        <v>3201</v>
      </c>
      <c r="CE2555" s="3" t="s">
        <v>93</v>
      </c>
      <c r="CI2555" s="3">
        <v>1</v>
      </c>
      <c r="CJ2555" s="3">
        <v>1</v>
      </c>
      <c r="CK2555" s="3">
        <v>21</v>
      </c>
      <c r="CL2555" s="3" t="s">
        <v>87</v>
      </c>
    </row>
    <row r="2556" spans="1:90" x14ac:dyDescent="0.2">
      <c r="A2556" s="3" t="s">
        <v>72</v>
      </c>
      <c r="B2556" s="3" t="s">
        <v>73</v>
      </c>
      <c r="C2556" s="3" t="s">
        <v>74</v>
      </c>
      <c r="E2556" s="3" t="str">
        <f>"FES1162847191"</f>
        <v>FES1162847191</v>
      </c>
      <c r="F2556" s="4">
        <v>44588</v>
      </c>
      <c r="G2556" s="3">
        <v>202207</v>
      </c>
      <c r="H2556" s="3" t="s">
        <v>75</v>
      </c>
      <c r="I2556" s="3" t="s">
        <v>76</v>
      </c>
      <c r="J2556" s="3" t="s">
        <v>77</v>
      </c>
      <c r="K2556" s="3" t="s">
        <v>78</v>
      </c>
      <c r="L2556" s="3" t="s">
        <v>94</v>
      </c>
      <c r="M2556" s="3" t="s">
        <v>95</v>
      </c>
      <c r="N2556" s="3" t="s">
        <v>96</v>
      </c>
      <c r="O2556" s="3" t="s">
        <v>82</v>
      </c>
      <c r="P2556" s="3" t="str">
        <f>"2170818386                    "</f>
        <v xml:space="preserve">2170818386                    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15.46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0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3">
        <v>0</v>
      </c>
      <c r="AY2556" s="3">
        <v>0</v>
      </c>
      <c r="AZ2556" s="3">
        <v>0</v>
      </c>
      <c r="BA2556" s="3">
        <v>0</v>
      </c>
      <c r="BB2556" s="3">
        <v>0</v>
      </c>
      <c r="BC2556" s="3">
        <v>0</v>
      </c>
      <c r="BD2556" s="3">
        <v>0</v>
      </c>
      <c r="BE2556" s="3">
        <v>0</v>
      </c>
      <c r="BF2556" s="3">
        <v>0</v>
      </c>
      <c r="BG2556" s="3">
        <v>0</v>
      </c>
      <c r="BH2556" s="3">
        <v>1</v>
      </c>
      <c r="BI2556" s="3">
        <v>1</v>
      </c>
      <c r="BJ2556" s="3">
        <v>0.2</v>
      </c>
      <c r="BK2556" s="3">
        <v>1</v>
      </c>
      <c r="BL2556" s="3">
        <v>59</v>
      </c>
      <c r="BM2556" s="3">
        <v>8.85</v>
      </c>
      <c r="BN2556" s="3">
        <v>67.849999999999994</v>
      </c>
      <c r="BO2556" s="3">
        <v>67.849999999999994</v>
      </c>
      <c r="BQ2556" s="3" t="s">
        <v>89</v>
      </c>
      <c r="BR2556" s="3" t="s">
        <v>84</v>
      </c>
      <c r="BS2556" s="4">
        <v>44589</v>
      </c>
      <c r="BT2556" s="5">
        <v>0.54166666666666663</v>
      </c>
      <c r="BU2556" s="3" t="s">
        <v>2483</v>
      </c>
      <c r="BV2556" s="3" t="s">
        <v>87</v>
      </c>
      <c r="BY2556" s="3">
        <v>1200</v>
      </c>
      <c r="BZ2556" s="3" t="s">
        <v>165</v>
      </c>
      <c r="CC2556" s="3" t="s">
        <v>95</v>
      </c>
      <c r="CD2556" s="3">
        <v>3201</v>
      </c>
      <c r="CE2556" s="3" t="s">
        <v>93</v>
      </c>
      <c r="CI2556" s="3">
        <v>1</v>
      </c>
      <c r="CJ2556" s="3">
        <v>1</v>
      </c>
      <c r="CK2556" s="3">
        <v>21</v>
      </c>
      <c r="CL2556" s="3" t="s">
        <v>87</v>
      </c>
    </row>
    <row r="2557" spans="1:90" x14ac:dyDescent="0.2">
      <c r="A2557" s="3" t="s">
        <v>72</v>
      </c>
      <c r="B2557" s="3" t="s">
        <v>73</v>
      </c>
      <c r="C2557" s="3" t="s">
        <v>74</v>
      </c>
      <c r="E2557" s="3" t="str">
        <f>"FES1162847218"</f>
        <v>FES1162847218</v>
      </c>
      <c r="F2557" s="4">
        <v>44588</v>
      </c>
      <c r="G2557" s="3">
        <v>202207</v>
      </c>
      <c r="H2557" s="3" t="s">
        <v>75</v>
      </c>
      <c r="I2557" s="3" t="s">
        <v>76</v>
      </c>
      <c r="J2557" s="3" t="s">
        <v>77</v>
      </c>
      <c r="K2557" s="3" t="s">
        <v>78</v>
      </c>
      <c r="L2557" s="3" t="s">
        <v>75</v>
      </c>
      <c r="M2557" s="3" t="s">
        <v>76</v>
      </c>
      <c r="N2557" s="3" t="s">
        <v>688</v>
      </c>
      <c r="O2557" s="3" t="s">
        <v>82</v>
      </c>
      <c r="P2557" s="3" t="str">
        <f>"2170818533                    "</f>
        <v xml:space="preserve">2170818533                    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12.07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0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3">
        <v>0</v>
      </c>
      <c r="AY2557" s="3">
        <v>0</v>
      </c>
      <c r="AZ2557" s="3">
        <v>0</v>
      </c>
      <c r="BA2557" s="3">
        <v>0</v>
      </c>
      <c r="BB2557" s="3">
        <v>0</v>
      </c>
      <c r="BC2557" s="3">
        <v>0</v>
      </c>
      <c r="BD2557" s="3">
        <v>0</v>
      </c>
      <c r="BE2557" s="3">
        <v>0</v>
      </c>
      <c r="BF2557" s="3">
        <v>0</v>
      </c>
      <c r="BG2557" s="3">
        <v>0</v>
      </c>
      <c r="BH2557" s="3">
        <v>1</v>
      </c>
      <c r="BI2557" s="3">
        <v>1</v>
      </c>
      <c r="BJ2557" s="3">
        <v>0.2</v>
      </c>
      <c r="BK2557" s="3">
        <v>1</v>
      </c>
      <c r="BL2557" s="3">
        <v>46.08</v>
      </c>
      <c r="BM2557" s="3">
        <v>6.91</v>
      </c>
      <c r="BN2557" s="3">
        <v>52.99</v>
      </c>
      <c r="BO2557" s="3">
        <v>52.99</v>
      </c>
      <c r="BQ2557" s="3" t="s">
        <v>83</v>
      </c>
      <c r="BR2557" s="3" t="s">
        <v>84</v>
      </c>
      <c r="BS2557" s="4">
        <v>44589</v>
      </c>
      <c r="BT2557" s="5">
        <v>0.32083333333333336</v>
      </c>
      <c r="BU2557" s="3" t="s">
        <v>2474</v>
      </c>
      <c r="BV2557" s="3" t="s">
        <v>105</v>
      </c>
      <c r="BY2557" s="3">
        <v>1200</v>
      </c>
      <c r="BZ2557" s="3" t="s">
        <v>165</v>
      </c>
      <c r="CC2557" s="3" t="s">
        <v>76</v>
      </c>
      <c r="CD2557" s="3">
        <v>1620</v>
      </c>
      <c r="CE2557" s="3" t="s">
        <v>86</v>
      </c>
      <c r="CF2557" s="4">
        <v>44589</v>
      </c>
      <c r="CI2557" s="3">
        <v>1</v>
      </c>
      <c r="CJ2557" s="3">
        <v>1</v>
      </c>
      <c r="CK2557" s="3">
        <v>22</v>
      </c>
      <c r="CL2557" s="3" t="s">
        <v>87</v>
      </c>
    </row>
    <row r="2558" spans="1:90" x14ac:dyDescent="0.2">
      <c r="A2558" s="3" t="s">
        <v>72</v>
      </c>
      <c r="B2558" s="3" t="s">
        <v>73</v>
      </c>
      <c r="C2558" s="3" t="s">
        <v>74</v>
      </c>
      <c r="E2558" s="3" t="str">
        <f>"FES1162847225"</f>
        <v>FES1162847225</v>
      </c>
      <c r="F2558" s="4">
        <v>44588</v>
      </c>
      <c r="G2558" s="3">
        <v>202207</v>
      </c>
      <c r="H2558" s="3" t="s">
        <v>75</v>
      </c>
      <c r="I2558" s="3" t="s">
        <v>76</v>
      </c>
      <c r="J2558" s="3" t="s">
        <v>77</v>
      </c>
      <c r="K2558" s="3" t="s">
        <v>78</v>
      </c>
      <c r="L2558" s="3" t="s">
        <v>158</v>
      </c>
      <c r="M2558" s="3" t="s">
        <v>159</v>
      </c>
      <c r="N2558" s="3" t="s">
        <v>823</v>
      </c>
      <c r="O2558" s="3" t="s">
        <v>82</v>
      </c>
      <c r="P2558" s="3" t="str">
        <f>"2170812367                    "</f>
        <v xml:space="preserve">2170812367                    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12.07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Q2558" s="3">
        <v>0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3">
        <v>0</v>
      </c>
      <c r="AY2558" s="3">
        <v>0</v>
      </c>
      <c r="AZ2558" s="3">
        <v>0</v>
      </c>
      <c r="BA2558" s="3">
        <v>0</v>
      </c>
      <c r="BB2558" s="3">
        <v>0</v>
      </c>
      <c r="BC2558" s="3">
        <v>0</v>
      </c>
      <c r="BD2558" s="3">
        <v>0</v>
      </c>
      <c r="BE2558" s="3">
        <v>0</v>
      </c>
      <c r="BF2558" s="3">
        <v>0</v>
      </c>
      <c r="BG2558" s="3">
        <v>0</v>
      </c>
      <c r="BH2558" s="3">
        <v>1</v>
      </c>
      <c r="BI2558" s="3">
        <v>4</v>
      </c>
      <c r="BJ2558" s="3">
        <v>0.9</v>
      </c>
      <c r="BK2558" s="3">
        <v>4</v>
      </c>
      <c r="BL2558" s="3">
        <v>46.08</v>
      </c>
      <c r="BM2558" s="3">
        <v>6.91</v>
      </c>
      <c r="BN2558" s="3">
        <v>52.99</v>
      </c>
      <c r="BO2558" s="3">
        <v>52.99</v>
      </c>
      <c r="BQ2558" s="3" t="s">
        <v>89</v>
      </c>
      <c r="BR2558" s="3" t="s">
        <v>84</v>
      </c>
      <c r="BS2558" s="4">
        <v>44589</v>
      </c>
      <c r="BT2558" s="5">
        <v>0.35902777777777778</v>
      </c>
      <c r="BU2558" s="3" t="s">
        <v>2024</v>
      </c>
      <c r="BV2558" s="3" t="s">
        <v>105</v>
      </c>
      <c r="BY2558" s="3">
        <v>4275</v>
      </c>
      <c r="BZ2558" s="3" t="s">
        <v>165</v>
      </c>
      <c r="CA2558" s="3" t="s">
        <v>1146</v>
      </c>
      <c r="CC2558" s="3" t="s">
        <v>159</v>
      </c>
      <c r="CD2558" s="3">
        <v>1459</v>
      </c>
      <c r="CE2558" s="3" t="s">
        <v>86</v>
      </c>
      <c r="CF2558" s="4">
        <v>44589</v>
      </c>
      <c r="CI2558" s="3">
        <v>1</v>
      </c>
      <c r="CJ2558" s="3">
        <v>1</v>
      </c>
      <c r="CK2558" s="3">
        <v>22</v>
      </c>
      <c r="CL2558" s="3" t="s">
        <v>87</v>
      </c>
    </row>
    <row r="2559" spans="1:90" x14ac:dyDescent="0.2">
      <c r="A2559" s="3" t="s">
        <v>72</v>
      </c>
      <c r="B2559" s="3" t="s">
        <v>73</v>
      </c>
      <c r="C2559" s="3" t="s">
        <v>74</v>
      </c>
      <c r="E2559" s="3" t="str">
        <f>"FES1162847186"</f>
        <v>FES1162847186</v>
      </c>
      <c r="F2559" s="4">
        <v>44588</v>
      </c>
      <c r="G2559" s="3">
        <v>202207</v>
      </c>
      <c r="H2559" s="3" t="s">
        <v>75</v>
      </c>
      <c r="I2559" s="3" t="s">
        <v>76</v>
      </c>
      <c r="J2559" s="3" t="s">
        <v>77</v>
      </c>
      <c r="K2559" s="3" t="s">
        <v>78</v>
      </c>
      <c r="L2559" s="3" t="s">
        <v>94</v>
      </c>
      <c r="M2559" s="3" t="s">
        <v>95</v>
      </c>
      <c r="N2559" s="3" t="s">
        <v>96</v>
      </c>
      <c r="O2559" s="3" t="s">
        <v>82</v>
      </c>
      <c r="P2559" s="3" t="str">
        <f>"2170817198                    "</f>
        <v xml:space="preserve">2170817198                    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46.36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0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3">
        <v>0</v>
      </c>
      <c r="AY2559" s="3">
        <v>0</v>
      </c>
      <c r="AZ2559" s="3">
        <v>0</v>
      </c>
      <c r="BA2559" s="3">
        <v>0</v>
      </c>
      <c r="BB2559" s="3">
        <v>0</v>
      </c>
      <c r="BC2559" s="3">
        <v>0</v>
      </c>
      <c r="BD2559" s="3">
        <v>0</v>
      </c>
      <c r="BE2559" s="3">
        <v>0</v>
      </c>
      <c r="BF2559" s="3">
        <v>0</v>
      </c>
      <c r="BG2559" s="3">
        <v>0</v>
      </c>
      <c r="BH2559" s="3">
        <v>1</v>
      </c>
      <c r="BI2559" s="3">
        <v>6</v>
      </c>
      <c r="BJ2559" s="3">
        <v>2</v>
      </c>
      <c r="BK2559" s="3">
        <v>6</v>
      </c>
      <c r="BL2559" s="3">
        <v>176.94</v>
      </c>
      <c r="BM2559" s="3">
        <v>26.54</v>
      </c>
      <c r="BN2559" s="3">
        <v>203.48</v>
      </c>
      <c r="BO2559" s="3">
        <v>203.48</v>
      </c>
      <c r="BQ2559" s="3" t="s">
        <v>89</v>
      </c>
      <c r="BR2559" s="3" t="s">
        <v>84</v>
      </c>
      <c r="BS2559" s="4">
        <v>44589</v>
      </c>
      <c r="BT2559" s="5">
        <v>0.5</v>
      </c>
      <c r="BU2559" s="3" t="s">
        <v>821</v>
      </c>
      <c r="BV2559" s="3" t="s">
        <v>87</v>
      </c>
      <c r="BY2559" s="3">
        <v>9918</v>
      </c>
      <c r="BZ2559" s="3" t="s">
        <v>165</v>
      </c>
      <c r="CC2559" s="3" t="s">
        <v>95</v>
      </c>
      <c r="CD2559" s="3">
        <v>3201</v>
      </c>
      <c r="CE2559" s="3" t="s">
        <v>86</v>
      </c>
      <c r="CI2559" s="3">
        <v>1</v>
      </c>
      <c r="CJ2559" s="3">
        <v>1</v>
      </c>
      <c r="CK2559" s="3">
        <v>21</v>
      </c>
      <c r="CL2559" s="3" t="s">
        <v>87</v>
      </c>
    </row>
    <row r="2560" spans="1:90" x14ac:dyDescent="0.2">
      <c r="A2560" s="3" t="s">
        <v>72</v>
      </c>
      <c r="B2560" s="3" t="s">
        <v>73</v>
      </c>
      <c r="C2560" s="3" t="s">
        <v>74</v>
      </c>
      <c r="E2560" s="3" t="str">
        <f>"FES1162847302"</f>
        <v>FES1162847302</v>
      </c>
      <c r="F2560" s="4">
        <v>44588</v>
      </c>
      <c r="G2560" s="3">
        <v>202207</v>
      </c>
      <c r="H2560" s="3" t="s">
        <v>75</v>
      </c>
      <c r="I2560" s="3" t="s">
        <v>76</v>
      </c>
      <c r="J2560" s="3" t="s">
        <v>77</v>
      </c>
      <c r="K2560" s="3" t="s">
        <v>78</v>
      </c>
      <c r="L2560" s="3" t="s">
        <v>75</v>
      </c>
      <c r="M2560" s="3" t="s">
        <v>76</v>
      </c>
      <c r="N2560" s="3" t="s">
        <v>147</v>
      </c>
      <c r="O2560" s="3" t="s">
        <v>82</v>
      </c>
      <c r="P2560" s="3" t="str">
        <f>"2170816762                    "</f>
        <v xml:space="preserve">2170816762                    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12.07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Q2560" s="3">
        <v>0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3">
        <v>0</v>
      </c>
      <c r="AY2560" s="3">
        <v>0</v>
      </c>
      <c r="AZ2560" s="3">
        <v>0</v>
      </c>
      <c r="BA2560" s="3">
        <v>0</v>
      </c>
      <c r="BB2560" s="3">
        <v>0</v>
      </c>
      <c r="BC2560" s="3">
        <v>0</v>
      </c>
      <c r="BD2560" s="3">
        <v>0</v>
      </c>
      <c r="BE2560" s="3">
        <v>0</v>
      </c>
      <c r="BF2560" s="3">
        <v>0</v>
      </c>
      <c r="BG2560" s="3">
        <v>0</v>
      </c>
      <c r="BH2560" s="3">
        <v>1</v>
      </c>
      <c r="BI2560" s="3">
        <v>2</v>
      </c>
      <c r="BJ2560" s="3">
        <v>0.9</v>
      </c>
      <c r="BK2560" s="3">
        <v>2</v>
      </c>
      <c r="BL2560" s="3">
        <v>46.08</v>
      </c>
      <c r="BM2560" s="3">
        <v>6.91</v>
      </c>
      <c r="BN2560" s="3">
        <v>52.99</v>
      </c>
      <c r="BO2560" s="3">
        <v>52.99</v>
      </c>
      <c r="BQ2560" s="3" t="s">
        <v>89</v>
      </c>
      <c r="BR2560" s="3" t="s">
        <v>84</v>
      </c>
      <c r="BS2560" s="4">
        <v>44589</v>
      </c>
      <c r="BT2560" s="5">
        <v>0.39166666666666666</v>
      </c>
      <c r="BU2560" s="3" t="s">
        <v>2374</v>
      </c>
      <c r="BV2560" s="3" t="s">
        <v>105</v>
      </c>
      <c r="BY2560" s="3">
        <v>4275</v>
      </c>
      <c r="BZ2560" s="3" t="s">
        <v>165</v>
      </c>
      <c r="CA2560" s="3" t="s">
        <v>1311</v>
      </c>
      <c r="CC2560" s="3" t="s">
        <v>76</v>
      </c>
      <c r="CD2560" s="3">
        <v>1645</v>
      </c>
      <c r="CE2560" s="3" t="s">
        <v>86</v>
      </c>
      <c r="CI2560" s="3">
        <v>1</v>
      </c>
      <c r="CJ2560" s="3">
        <v>1</v>
      </c>
      <c r="CK2560" s="3">
        <v>22</v>
      </c>
      <c r="CL2560" s="3" t="s">
        <v>87</v>
      </c>
    </row>
    <row r="2561" spans="1:90" x14ac:dyDescent="0.2">
      <c r="A2561" s="3" t="s">
        <v>72</v>
      </c>
      <c r="B2561" s="3" t="s">
        <v>73</v>
      </c>
      <c r="C2561" s="3" t="s">
        <v>74</v>
      </c>
      <c r="E2561" s="3" t="str">
        <f>"FES1162846694"</f>
        <v>FES1162846694</v>
      </c>
      <c r="F2561" s="4">
        <v>44586</v>
      </c>
      <c r="G2561" s="3">
        <v>202207</v>
      </c>
      <c r="H2561" s="3" t="s">
        <v>75</v>
      </c>
      <c r="I2561" s="3" t="s">
        <v>76</v>
      </c>
      <c r="J2561" s="3" t="s">
        <v>77</v>
      </c>
      <c r="K2561" s="3" t="s">
        <v>78</v>
      </c>
      <c r="L2561" s="3" t="s">
        <v>123</v>
      </c>
      <c r="M2561" s="3" t="s">
        <v>124</v>
      </c>
      <c r="N2561" s="3" t="s">
        <v>264</v>
      </c>
      <c r="O2561" s="3" t="s">
        <v>82</v>
      </c>
      <c r="P2561" s="3" t="str">
        <f>"2170816328                    "</f>
        <v xml:space="preserve">2170816328                    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12.07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0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3">
        <v>0</v>
      </c>
      <c r="AY2561" s="3">
        <v>0</v>
      </c>
      <c r="AZ2561" s="3">
        <v>0</v>
      </c>
      <c r="BA2561" s="3">
        <v>0</v>
      </c>
      <c r="BB2561" s="3">
        <v>0</v>
      </c>
      <c r="BC2561" s="3">
        <v>0</v>
      </c>
      <c r="BD2561" s="3">
        <v>0</v>
      </c>
      <c r="BE2561" s="3">
        <v>0</v>
      </c>
      <c r="BF2561" s="3">
        <v>0</v>
      </c>
      <c r="BG2561" s="3">
        <v>0</v>
      </c>
      <c r="BH2561" s="3">
        <v>1</v>
      </c>
      <c r="BI2561" s="3">
        <v>1</v>
      </c>
      <c r="BJ2561" s="3">
        <v>1.5</v>
      </c>
      <c r="BK2561" s="3">
        <v>1.5</v>
      </c>
      <c r="BL2561" s="3">
        <v>46.08</v>
      </c>
      <c r="BM2561" s="3">
        <v>6.91</v>
      </c>
      <c r="BN2561" s="3">
        <v>52.99</v>
      </c>
      <c r="BO2561" s="3">
        <v>52.99</v>
      </c>
      <c r="BQ2561" s="3" t="s">
        <v>89</v>
      </c>
      <c r="BR2561" s="3" t="s">
        <v>84</v>
      </c>
      <c r="BS2561" s="4">
        <v>44587</v>
      </c>
      <c r="BT2561" s="5">
        <v>0.33888888888888885</v>
      </c>
      <c r="BU2561" s="3" t="s">
        <v>865</v>
      </c>
      <c r="BV2561" s="3" t="s">
        <v>105</v>
      </c>
      <c r="BY2561" s="3">
        <v>7540</v>
      </c>
      <c r="BZ2561" s="3" t="s">
        <v>165</v>
      </c>
      <c r="CA2561" s="3" t="s">
        <v>266</v>
      </c>
      <c r="CC2561" s="3" t="s">
        <v>124</v>
      </c>
      <c r="CD2561" s="3">
        <v>1724</v>
      </c>
      <c r="CE2561" s="3" t="s">
        <v>86</v>
      </c>
      <c r="CF2561" s="4">
        <v>44588</v>
      </c>
      <c r="CI2561" s="3">
        <v>1</v>
      </c>
      <c r="CJ2561" s="3">
        <v>1</v>
      </c>
      <c r="CK2561" s="3">
        <v>22</v>
      </c>
      <c r="CL2561" s="3" t="s">
        <v>87</v>
      </c>
    </row>
    <row r="2562" spans="1:90" x14ac:dyDescent="0.2">
      <c r="A2562" s="3" t="s">
        <v>72</v>
      </c>
      <c r="B2562" s="3" t="s">
        <v>73</v>
      </c>
      <c r="C2562" s="3" t="s">
        <v>74</v>
      </c>
      <c r="E2562" s="3" t="str">
        <f>"FES1162846746"</f>
        <v>FES1162846746</v>
      </c>
      <c r="F2562" s="4">
        <v>44586</v>
      </c>
      <c r="G2562" s="3">
        <v>202207</v>
      </c>
      <c r="H2562" s="3" t="s">
        <v>75</v>
      </c>
      <c r="I2562" s="3" t="s">
        <v>76</v>
      </c>
      <c r="J2562" s="3" t="s">
        <v>77</v>
      </c>
      <c r="K2562" s="3" t="s">
        <v>78</v>
      </c>
      <c r="L2562" s="3" t="s">
        <v>79</v>
      </c>
      <c r="M2562" s="3" t="s">
        <v>80</v>
      </c>
      <c r="N2562" s="3" t="s">
        <v>88</v>
      </c>
      <c r="O2562" s="3" t="s">
        <v>82</v>
      </c>
      <c r="P2562" s="3" t="str">
        <f>"2170816002                    "</f>
        <v xml:space="preserve">2170816002                    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15.46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0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3">
        <v>0</v>
      </c>
      <c r="AY2562" s="3">
        <v>0</v>
      </c>
      <c r="AZ2562" s="3">
        <v>0</v>
      </c>
      <c r="BA2562" s="3">
        <v>0</v>
      </c>
      <c r="BB2562" s="3">
        <v>0</v>
      </c>
      <c r="BC2562" s="3">
        <v>0</v>
      </c>
      <c r="BD2562" s="3">
        <v>0</v>
      </c>
      <c r="BE2562" s="3">
        <v>0</v>
      </c>
      <c r="BF2562" s="3">
        <v>0</v>
      </c>
      <c r="BG2562" s="3">
        <v>0</v>
      </c>
      <c r="BH2562" s="3">
        <v>1</v>
      </c>
      <c r="BI2562" s="3">
        <v>1</v>
      </c>
      <c r="BJ2562" s="3">
        <v>1.1000000000000001</v>
      </c>
      <c r="BK2562" s="3">
        <v>1.5</v>
      </c>
      <c r="BL2562" s="3">
        <v>59</v>
      </c>
      <c r="BM2562" s="3">
        <v>8.85</v>
      </c>
      <c r="BN2562" s="3">
        <v>67.849999999999994</v>
      </c>
      <c r="BO2562" s="3">
        <v>67.849999999999994</v>
      </c>
      <c r="BQ2562" s="3" t="s">
        <v>89</v>
      </c>
      <c r="BR2562" s="3" t="s">
        <v>84</v>
      </c>
      <c r="BS2562" s="4">
        <v>44587</v>
      </c>
      <c r="BT2562" s="5">
        <v>0.43958333333333338</v>
      </c>
      <c r="BU2562" s="3" t="s">
        <v>2484</v>
      </c>
      <c r="BV2562" s="3" t="s">
        <v>87</v>
      </c>
      <c r="BY2562" s="3">
        <v>5320</v>
      </c>
      <c r="BZ2562" s="3" t="s">
        <v>165</v>
      </c>
      <c r="CA2562" s="3" t="s">
        <v>366</v>
      </c>
      <c r="CC2562" s="3" t="s">
        <v>80</v>
      </c>
      <c r="CD2562" s="3">
        <v>200</v>
      </c>
      <c r="CE2562" s="3" t="s">
        <v>86</v>
      </c>
      <c r="CF2562" s="4">
        <v>44588</v>
      </c>
      <c r="CI2562" s="3">
        <v>1</v>
      </c>
      <c r="CJ2562" s="3">
        <v>1</v>
      </c>
      <c r="CK2562" s="3">
        <v>21</v>
      </c>
      <c r="CL2562" s="3" t="s">
        <v>87</v>
      </c>
    </row>
    <row r="2563" spans="1:90" x14ac:dyDescent="0.2">
      <c r="A2563" s="3" t="s">
        <v>72</v>
      </c>
      <c r="B2563" s="3" t="s">
        <v>73</v>
      </c>
      <c r="C2563" s="3" t="s">
        <v>74</v>
      </c>
      <c r="E2563" s="3" t="str">
        <f>"FES1162846620"</f>
        <v>FES1162846620</v>
      </c>
      <c r="F2563" s="4">
        <v>44586</v>
      </c>
      <c r="G2563" s="3">
        <v>202207</v>
      </c>
      <c r="H2563" s="3" t="s">
        <v>75</v>
      </c>
      <c r="I2563" s="3" t="s">
        <v>76</v>
      </c>
      <c r="J2563" s="3" t="s">
        <v>77</v>
      </c>
      <c r="K2563" s="3" t="s">
        <v>78</v>
      </c>
      <c r="L2563" s="3" t="s">
        <v>79</v>
      </c>
      <c r="M2563" s="3" t="s">
        <v>80</v>
      </c>
      <c r="N2563" s="3" t="s">
        <v>1719</v>
      </c>
      <c r="O2563" s="3" t="s">
        <v>82</v>
      </c>
      <c r="P2563" s="3" t="str">
        <f>"2170812826                    "</f>
        <v xml:space="preserve">2170812826                    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115.88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Q2563" s="3">
        <v>0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3">
        <v>0</v>
      </c>
      <c r="AY2563" s="3">
        <v>0</v>
      </c>
      <c r="AZ2563" s="3">
        <v>0</v>
      </c>
      <c r="BA2563" s="3">
        <v>0</v>
      </c>
      <c r="BB2563" s="3">
        <v>0</v>
      </c>
      <c r="BC2563" s="3">
        <v>0</v>
      </c>
      <c r="BD2563" s="3">
        <v>0</v>
      </c>
      <c r="BE2563" s="3">
        <v>0</v>
      </c>
      <c r="BF2563" s="3">
        <v>0</v>
      </c>
      <c r="BG2563" s="3">
        <v>0</v>
      </c>
      <c r="BH2563" s="3">
        <v>1</v>
      </c>
      <c r="BI2563" s="3">
        <v>15</v>
      </c>
      <c r="BJ2563" s="3">
        <v>4.0999999999999996</v>
      </c>
      <c r="BK2563" s="3">
        <v>15</v>
      </c>
      <c r="BL2563" s="3">
        <v>442.3</v>
      </c>
      <c r="BM2563" s="3">
        <v>66.349999999999994</v>
      </c>
      <c r="BN2563" s="3">
        <v>508.65</v>
      </c>
      <c r="BO2563" s="3">
        <v>508.65</v>
      </c>
      <c r="BQ2563" s="3" t="s">
        <v>89</v>
      </c>
      <c r="BR2563" s="3" t="s">
        <v>84</v>
      </c>
      <c r="BS2563" s="4">
        <v>44587</v>
      </c>
      <c r="BT2563" s="5">
        <v>0.38194444444444442</v>
      </c>
      <c r="BU2563" s="3" t="s">
        <v>2122</v>
      </c>
      <c r="BV2563" s="3" t="s">
        <v>105</v>
      </c>
      <c r="BY2563" s="3">
        <v>20358</v>
      </c>
      <c r="BZ2563" s="3" t="s">
        <v>165</v>
      </c>
      <c r="CA2563" s="3" t="s">
        <v>366</v>
      </c>
      <c r="CC2563" s="3" t="s">
        <v>80</v>
      </c>
      <c r="CD2563" s="3">
        <v>200</v>
      </c>
      <c r="CE2563" s="3" t="s">
        <v>86</v>
      </c>
      <c r="CF2563" s="4">
        <v>44588</v>
      </c>
      <c r="CI2563" s="3">
        <v>1</v>
      </c>
      <c r="CJ2563" s="3">
        <v>1</v>
      </c>
      <c r="CK2563" s="3">
        <v>21</v>
      </c>
      <c r="CL2563" s="3" t="s">
        <v>87</v>
      </c>
    </row>
    <row r="2564" spans="1:90" x14ac:dyDescent="0.2">
      <c r="A2564" s="3" t="s">
        <v>72</v>
      </c>
      <c r="B2564" s="3" t="s">
        <v>73</v>
      </c>
      <c r="C2564" s="3" t="s">
        <v>74</v>
      </c>
      <c r="E2564" s="3" t="str">
        <f>"FES1162846704"</f>
        <v>FES1162846704</v>
      </c>
      <c r="F2564" s="4">
        <v>44586</v>
      </c>
      <c r="G2564" s="3">
        <v>202207</v>
      </c>
      <c r="H2564" s="3" t="s">
        <v>75</v>
      </c>
      <c r="I2564" s="3" t="s">
        <v>76</v>
      </c>
      <c r="J2564" s="3" t="s">
        <v>77</v>
      </c>
      <c r="K2564" s="3" t="s">
        <v>78</v>
      </c>
      <c r="L2564" s="3" t="s">
        <v>101</v>
      </c>
      <c r="M2564" s="3" t="s">
        <v>102</v>
      </c>
      <c r="N2564" s="3" t="s">
        <v>272</v>
      </c>
      <c r="O2564" s="3" t="s">
        <v>82</v>
      </c>
      <c r="P2564" s="3" t="str">
        <f>"2170787665                    "</f>
        <v xml:space="preserve">2170787665                    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30.91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0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3">
        <v>0</v>
      </c>
      <c r="AY2564" s="3">
        <v>0</v>
      </c>
      <c r="AZ2564" s="3">
        <v>0</v>
      </c>
      <c r="BA2564" s="3">
        <v>0</v>
      </c>
      <c r="BB2564" s="3">
        <v>0</v>
      </c>
      <c r="BC2564" s="3">
        <v>0</v>
      </c>
      <c r="BD2564" s="3">
        <v>0</v>
      </c>
      <c r="BE2564" s="3">
        <v>0</v>
      </c>
      <c r="BF2564" s="3">
        <v>0</v>
      </c>
      <c r="BG2564" s="3">
        <v>0</v>
      </c>
      <c r="BH2564" s="3">
        <v>1</v>
      </c>
      <c r="BI2564" s="3">
        <v>4</v>
      </c>
      <c r="BJ2564" s="3">
        <v>2</v>
      </c>
      <c r="BK2564" s="3">
        <v>4</v>
      </c>
      <c r="BL2564" s="3">
        <v>117.97</v>
      </c>
      <c r="BM2564" s="3">
        <v>17.7</v>
      </c>
      <c r="BN2564" s="3">
        <v>135.66999999999999</v>
      </c>
      <c r="BO2564" s="3">
        <v>135.66999999999999</v>
      </c>
      <c r="BQ2564" s="3" t="s">
        <v>273</v>
      </c>
      <c r="BR2564" s="3" t="s">
        <v>84</v>
      </c>
      <c r="BS2564" s="4">
        <v>44587</v>
      </c>
      <c r="BT2564" s="5">
        <v>0.38194444444444442</v>
      </c>
      <c r="BU2564" s="3" t="s">
        <v>274</v>
      </c>
      <c r="BV2564" s="3" t="s">
        <v>105</v>
      </c>
      <c r="BY2564" s="3">
        <v>9918</v>
      </c>
      <c r="BZ2564" s="3" t="s">
        <v>165</v>
      </c>
      <c r="CA2564" s="3" t="s">
        <v>275</v>
      </c>
      <c r="CC2564" s="3" t="s">
        <v>102</v>
      </c>
      <c r="CD2564" s="3">
        <v>4000</v>
      </c>
      <c r="CE2564" s="3" t="s">
        <v>86</v>
      </c>
      <c r="CF2564" s="4">
        <v>44587</v>
      </c>
      <c r="CI2564" s="3">
        <v>1</v>
      </c>
      <c r="CJ2564" s="3">
        <v>1</v>
      </c>
      <c r="CK2564" s="3">
        <v>21</v>
      </c>
      <c r="CL2564" s="3" t="s">
        <v>87</v>
      </c>
    </row>
    <row r="2565" spans="1:90" x14ac:dyDescent="0.2">
      <c r="A2565" s="3" t="s">
        <v>72</v>
      </c>
      <c r="B2565" s="3" t="s">
        <v>73</v>
      </c>
      <c r="C2565" s="3" t="s">
        <v>74</v>
      </c>
      <c r="E2565" s="3" t="str">
        <f>"FES1162846676"</f>
        <v>FES1162846676</v>
      </c>
      <c r="F2565" s="4">
        <v>44586</v>
      </c>
      <c r="G2565" s="3">
        <v>202207</v>
      </c>
      <c r="H2565" s="3" t="s">
        <v>75</v>
      </c>
      <c r="I2565" s="3" t="s">
        <v>76</v>
      </c>
      <c r="J2565" s="3" t="s">
        <v>77</v>
      </c>
      <c r="K2565" s="3" t="s">
        <v>78</v>
      </c>
      <c r="L2565" s="3" t="s">
        <v>138</v>
      </c>
      <c r="M2565" s="3" t="s">
        <v>139</v>
      </c>
      <c r="N2565" s="3" t="s">
        <v>238</v>
      </c>
      <c r="O2565" s="3" t="s">
        <v>82</v>
      </c>
      <c r="P2565" s="3" t="str">
        <f>"2170818070                    "</f>
        <v xml:space="preserve">2170818070                    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27.04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0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3">
        <v>0</v>
      </c>
      <c r="AY2565" s="3">
        <v>0</v>
      </c>
      <c r="AZ2565" s="3">
        <v>0</v>
      </c>
      <c r="BA2565" s="3">
        <v>0</v>
      </c>
      <c r="BB2565" s="3">
        <v>0</v>
      </c>
      <c r="BC2565" s="3">
        <v>0</v>
      </c>
      <c r="BD2565" s="3">
        <v>0</v>
      </c>
      <c r="BE2565" s="3">
        <v>0</v>
      </c>
      <c r="BF2565" s="3">
        <v>0</v>
      </c>
      <c r="BG2565" s="3">
        <v>0</v>
      </c>
      <c r="BH2565" s="3">
        <v>1</v>
      </c>
      <c r="BI2565" s="3">
        <v>2</v>
      </c>
      <c r="BJ2565" s="3">
        <v>3.4</v>
      </c>
      <c r="BK2565" s="3">
        <v>3.5</v>
      </c>
      <c r="BL2565" s="3">
        <v>103.22</v>
      </c>
      <c r="BM2565" s="3">
        <v>15.48</v>
      </c>
      <c r="BN2565" s="3">
        <v>118.7</v>
      </c>
      <c r="BO2565" s="3">
        <v>118.7</v>
      </c>
      <c r="BQ2565" s="3" t="s">
        <v>89</v>
      </c>
      <c r="BR2565" s="3" t="s">
        <v>84</v>
      </c>
      <c r="BS2565" s="4">
        <v>44587</v>
      </c>
      <c r="BT2565" s="5">
        <v>0.34861111111111115</v>
      </c>
      <c r="BU2565" s="3" t="s">
        <v>469</v>
      </c>
      <c r="BV2565" s="3" t="s">
        <v>105</v>
      </c>
      <c r="BY2565" s="3">
        <v>17248</v>
      </c>
      <c r="BZ2565" s="3" t="s">
        <v>165</v>
      </c>
      <c r="CA2565" s="3" t="s">
        <v>303</v>
      </c>
      <c r="CC2565" s="3" t="s">
        <v>139</v>
      </c>
      <c r="CD2565" s="3">
        <v>3610</v>
      </c>
      <c r="CE2565" s="3" t="s">
        <v>86</v>
      </c>
      <c r="CF2565" s="4">
        <v>44588</v>
      </c>
      <c r="CI2565" s="3">
        <v>1</v>
      </c>
      <c r="CJ2565" s="3">
        <v>1</v>
      </c>
      <c r="CK2565" s="3">
        <v>21</v>
      </c>
      <c r="CL2565" s="3" t="s">
        <v>87</v>
      </c>
    </row>
    <row r="2566" spans="1:90" x14ac:dyDescent="0.2">
      <c r="A2566" s="3" t="s">
        <v>72</v>
      </c>
      <c r="B2566" s="3" t="s">
        <v>73</v>
      </c>
      <c r="C2566" s="3" t="s">
        <v>74</v>
      </c>
      <c r="E2566" s="3" t="str">
        <f>"FES1162846805"</f>
        <v>FES1162846805</v>
      </c>
      <c r="F2566" s="4">
        <v>44586</v>
      </c>
      <c r="G2566" s="3">
        <v>202207</v>
      </c>
      <c r="H2566" s="3" t="s">
        <v>75</v>
      </c>
      <c r="I2566" s="3" t="s">
        <v>76</v>
      </c>
      <c r="J2566" s="3" t="s">
        <v>77</v>
      </c>
      <c r="K2566" s="3" t="s">
        <v>78</v>
      </c>
      <c r="L2566" s="3" t="s">
        <v>138</v>
      </c>
      <c r="M2566" s="3" t="s">
        <v>139</v>
      </c>
      <c r="N2566" s="3" t="s">
        <v>1206</v>
      </c>
      <c r="O2566" s="3" t="s">
        <v>82</v>
      </c>
      <c r="P2566" s="3" t="str">
        <f>"2170810517                    "</f>
        <v xml:space="preserve">2170810517                    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34.770000000000003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Q2566" s="3">
        <v>0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3">
        <v>0</v>
      </c>
      <c r="AY2566" s="3">
        <v>0</v>
      </c>
      <c r="AZ2566" s="3">
        <v>0</v>
      </c>
      <c r="BA2566" s="3">
        <v>0</v>
      </c>
      <c r="BB2566" s="3">
        <v>0</v>
      </c>
      <c r="BC2566" s="3">
        <v>0</v>
      </c>
      <c r="BD2566" s="3">
        <v>0</v>
      </c>
      <c r="BE2566" s="3">
        <v>0</v>
      </c>
      <c r="BF2566" s="3">
        <v>0</v>
      </c>
      <c r="BG2566" s="3">
        <v>0</v>
      </c>
      <c r="BH2566" s="3">
        <v>1</v>
      </c>
      <c r="BI2566" s="3">
        <v>3</v>
      </c>
      <c r="BJ2566" s="3">
        <v>4.0999999999999996</v>
      </c>
      <c r="BK2566" s="3">
        <v>4.5</v>
      </c>
      <c r="BL2566" s="3">
        <v>132.71</v>
      </c>
      <c r="BM2566" s="3">
        <v>19.91</v>
      </c>
      <c r="BN2566" s="3">
        <v>152.62</v>
      </c>
      <c r="BO2566" s="3">
        <v>152.62</v>
      </c>
      <c r="BR2566" s="3" t="s">
        <v>84</v>
      </c>
      <c r="BS2566" s="4">
        <v>44587</v>
      </c>
      <c r="BT2566" s="5">
        <v>0.45416666666666666</v>
      </c>
      <c r="BU2566" s="3" t="s">
        <v>1207</v>
      </c>
      <c r="BV2566" s="3" t="s">
        <v>105</v>
      </c>
      <c r="BY2566" s="3">
        <v>20358</v>
      </c>
      <c r="BZ2566" s="3" t="s">
        <v>165</v>
      </c>
      <c r="CA2566" s="3" t="s">
        <v>303</v>
      </c>
      <c r="CC2566" s="3" t="s">
        <v>139</v>
      </c>
      <c r="CD2566" s="3">
        <v>3610</v>
      </c>
      <c r="CE2566" s="3" t="s">
        <v>86</v>
      </c>
      <c r="CF2566" s="4">
        <v>44588</v>
      </c>
      <c r="CI2566" s="3">
        <v>1</v>
      </c>
      <c r="CJ2566" s="3">
        <v>1</v>
      </c>
      <c r="CK2566" s="3">
        <v>21</v>
      </c>
      <c r="CL2566" s="3" t="s">
        <v>87</v>
      </c>
    </row>
    <row r="2567" spans="1:90" x14ac:dyDescent="0.2">
      <c r="A2567" s="3" t="s">
        <v>72</v>
      </c>
      <c r="B2567" s="3" t="s">
        <v>73</v>
      </c>
      <c r="C2567" s="3" t="s">
        <v>74</v>
      </c>
      <c r="E2567" s="3" t="str">
        <f>"FES1162846753"</f>
        <v>FES1162846753</v>
      </c>
      <c r="F2567" s="4">
        <v>44586</v>
      </c>
      <c r="G2567" s="3">
        <v>202207</v>
      </c>
      <c r="H2567" s="3" t="s">
        <v>75</v>
      </c>
      <c r="I2567" s="3" t="s">
        <v>76</v>
      </c>
      <c r="J2567" s="3" t="s">
        <v>77</v>
      </c>
      <c r="K2567" s="3" t="s">
        <v>78</v>
      </c>
      <c r="L2567" s="3" t="s">
        <v>97</v>
      </c>
      <c r="M2567" s="3" t="s">
        <v>98</v>
      </c>
      <c r="N2567" s="3" t="s">
        <v>482</v>
      </c>
      <c r="O2567" s="3" t="s">
        <v>82</v>
      </c>
      <c r="P2567" s="3" t="str">
        <f>"2170816105                    "</f>
        <v xml:space="preserve">2170816105                    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12.07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0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3">
        <v>0</v>
      </c>
      <c r="AY2567" s="3">
        <v>0</v>
      </c>
      <c r="AZ2567" s="3">
        <v>0</v>
      </c>
      <c r="BA2567" s="3">
        <v>0</v>
      </c>
      <c r="BB2567" s="3">
        <v>0</v>
      </c>
      <c r="BC2567" s="3">
        <v>0</v>
      </c>
      <c r="BD2567" s="3">
        <v>0</v>
      </c>
      <c r="BE2567" s="3">
        <v>0</v>
      </c>
      <c r="BF2567" s="3">
        <v>0</v>
      </c>
      <c r="BG2567" s="3">
        <v>0</v>
      </c>
      <c r="BH2567" s="3">
        <v>1</v>
      </c>
      <c r="BI2567" s="3">
        <v>2</v>
      </c>
      <c r="BJ2567" s="3">
        <v>2</v>
      </c>
      <c r="BK2567" s="3">
        <v>2</v>
      </c>
      <c r="BL2567" s="3">
        <v>46.08</v>
      </c>
      <c r="BM2567" s="3">
        <v>6.91</v>
      </c>
      <c r="BN2567" s="3">
        <v>52.99</v>
      </c>
      <c r="BO2567" s="3">
        <v>52.99</v>
      </c>
      <c r="BQ2567" s="3" t="s">
        <v>89</v>
      </c>
      <c r="BR2567" s="3" t="s">
        <v>84</v>
      </c>
      <c r="BS2567" s="4">
        <v>44587</v>
      </c>
      <c r="BT2567" s="5">
        <v>0.40277777777777773</v>
      </c>
      <c r="BU2567" s="3" t="s">
        <v>1380</v>
      </c>
      <c r="BV2567" s="3" t="s">
        <v>105</v>
      </c>
      <c r="BY2567" s="3">
        <v>9918</v>
      </c>
      <c r="BZ2567" s="3" t="s">
        <v>165</v>
      </c>
      <c r="CA2567" s="3" t="s">
        <v>2185</v>
      </c>
      <c r="CC2567" s="3" t="s">
        <v>98</v>
      </c>
      <c r="CD2567" s="3">
        <v>2197</v>
      </c>
      <c r="CE2567" s="3" t="s">
        <v>86</v>
      </c>
      <c r="CF2567" s="4">
        <v>44587</v>
      </c>
      <c r="CI2567" s="3">
        <v>1</v>
      </c>
      <c r="CJ2567" s="3">
        <v>1</v>
      </c>
      <c r="CK2567" s="3">
        <v>22</v>
      </c>
      <c r="CL2567" s="3" t="s">
        <v>87</v>
      </c>
    </row>
    <row r="2568" spans="1:90" x14ac:dyDescent="0.2">
      <c r="A2568" s="3" t="s">
        <v>72</v>
      </c>
      <c r="B2568" s="3" t="s">
        <v>73</v>
      </c>
      <c r="C2568" s="3" t="s">
        <v>74</v>
      </c>
      <c r="E2568" s="3" t="str">
        <f>"FES1162846821"</f>
        <v>FES1162846821</v>
      </c>
      <c r="F2568" s="4">
        <v>44586</v>
      </c>
      <c r="G2568" s="3">
        <v>202207</v>
      </c>
      <c r="H2568" s="3" t="s">
        <v>75</v>
      </c>
      <c r="I2568" s="3" t="s">
        <v>76</v>
      </c>
      <c r="J2568" s="3" t="s">
        <v>77</v>
      </c>
      <c r="K2568" s="3" t="s">
        <v>78</v>
      </c>
      <c r="L2568" s="3" t="s">
        <v>2328</v>
      </c>
      <c r="M2568" s="3" t="s">
        <v>2329</v>
      </c>
      <c r="N2568" s="3" t="s">
        <v>2485</v>
      </c>
      <c r="O2568" s="3" t="s">
        <v>82</v>
      </c>
      <c r="P2568" s="3" t="str">
        <f>"2170818100                    "</f>
        <v xml:space="preserve">2170818100                    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29.95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Q2568" s="3">
        <v>0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3">
        <v>0</v>
      </c>
      <c r="AY2568" s="3">
        <v>0</v>
      </c>
      <c r="AZ2568" s="3">
        <v>0</v>
      </c>
      <c r="BA2568" s="3">
        <v>0</v>
      </c>
      <c r="BB2568" s="3">
        <v>0</v>
      </c>
      <c r="BC2568" s="3">
        <v>0</v>
      </c>
      <c r="BD2568" s="3">
        <v>0</v>
      </c>
      <c r="BE2568" s="3">
        <v>0</v>
      </c>
      <c r="BF2568" s="3">
        <v>0</v>
      </c>
      <c r="BG2568" s="3">
        <v>0</v>
      </c>
      <c r="BH2568" s="3">
        <v>1</v>
      </c>
      <c r="BI2568" s="3">
        <v>2</v>
      </c>
      <c r="BJ2568" s="3">
        <v>0.6</v>
      </c>
      <c r="BK2568" s="3">
        <v>2</v>
      </c>
      <c r="BL2568" s="3">
        <v>114.31</v>
      </c>
      <c r="BM2568" s="3">
        <v>17.149999999999999</v>
      </c>
      <c r="BN2568" s="3">
        <v>131.46</v>
      </c>
      <c r="BO2568" s="3">
        <v>131.46</v>
      </c>
      <c r="BQ2568" s="3" t="s">
        <v>128</v>
      </c>
      <c r="BR2568" s="3" t="s">
        <v>84</v>
      </c>
      <c r="BS2568" s="4">
        <v>44588</v>
      </c>
      <c r="BT2568" s="5">
        <v>0.58333333333333337</v>
      </c>
      <c r="BU2568" s="3" t="s">
        <v>2486</v>
      </c>
      <c r="BV2568" s="3" t="s">
        <v>87</v>
      </c>
      <c r="BW2568" s="3" t="s">
        <v>453</v>
      </c>
      <c r="BX2568" s="3" t="s">
        <v>1335</v>
      </c>
      <c r="BY2568" s="3">
        <v>2916</v>
      </c>
      <c r="BZ2568" s="3" t="s">
        <v>165</v>
      </c>
      <c r="CC2568" s="3" t="s">
        <v>2329</v>
      </c>
      <c r="CD2568" s="3">
        <v>3310</v>
      </c>
      <c r="CE2568" s="3" t="s">
        <v>86</v>
      </c>
      <c r="CF2568" s="4">
        <v>44589</v>
      </c>
      <c r="CI2568" s="3">
        <v>1</v>
      </c>
      <c r="CJ2568" s="3">
        <v>2</v>
      </c>
      <c r="CK2568" s="3">
        <v>23</v>
      </c>
      <c r="CL2568" s="3" t="s">
        <v>87</v>
      </c>
    </row>
    <row r="2569" spans="1:90" x14ac:dyDescent="0.2">
      <c r="A2569" s="3" t="s">
        <v>72</v>
      </c>
      <c r="B2569" s="3" t="s">
        <v>73</v>
      </c>
      <c r="C2569" s="3" t="s">
        <v>74</v>
      </c>
      <c r="E2569" s="3" t="str">
        <f>"FES1162846777"</f>
        <v>FES1162846777</v>
      </c>
      <c r="F2569" s="4">
        <v>44586</v>
      </c>
      <c r="G2569" s="3">
        <v>202207</v>
      </c>
      <c r="H2569" s="3" t="s">
        <v>75</v>
      </c>
      <c r="I2569" s="3" t="s">
        <v>76</v>
      </c>
      <c r="J2569" s="3" t="s">
        <v>77</v>
      </c>
      <c r="K2569" s="3" t="s">
        <v>78</v>
      </c>
      <c r="L2569" s="3" t="s">
        <v>101</v>
      </c>
      <c r="M2569" s="3" t="s">
        <v>102</v>
      </c>
      <c r="N2569" s="3" t="s">
        <v>2487</v>
      </c>
      <c r="O2569" s="3" t="s">
        <v>82</v>
      </c>
      <c r="P2569" s="3" t="str">
        <f>"2170816295                    "</f>
        <v xml:space="preserve">2170816295                    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15.46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0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3">
        <v>0</v>
      </c>
      <c r="AY2569" s="3">
        <v>0</v>
      </c>
      <c r="AZ2569" s="3">
        <v>0</v>
      </c>
      <c r="BA2569" s="3">
        <v>0</v>
      </c>
      <c r="BB2569" s="3">
        <v>0</v>
      </c>
      <c r="BC2569" s="3">
        <v>0</v>
      </c>
      <c r="BD2569" s="3">
        <v>0</v>
      </c>
      <c r="BE2569" s="3">
        <v>0</v>
      </c>
      <c r="BF2569" s="3">
        <v>0</v>
      </c>
      <c r="BG2569" s="3">
        <v>0</v>
      </c>
      <c r="BH2569" s="3">
        <v>1</v>
      </c>
      <c r="BI2569" s="3">
        <v>1</v>
      </c>
      <c r="BJ2569" s="3">
        <v>0.2</v>
      </c>
      <c r="BK2569" s="3">
        <v>1</v>
      </c>
      <c r="BL2569" s="3">
        <v>59</v>
      </c>
      <c r="BM2569" s="3">
        <v>8.85</v>
      </c>
      <c r="BN2569" s="3">
        <v>67.849999999999994</v>
      </c>
      <c r="BO2569" s="3">
        <v>67.849999999999994</v>
      </c>
      <c r="BQ2569" s="3" t="s">
        <v>83</v>
      </c>
      <c r="BR2569" s="3" t="s">
        <v>84</v>
      </c>
      <c r="BS2569" s="4">
        <v>44587</v>
      </c>
      <c r="BT2569" s="5">
        <v>0.54375000000000007</v>
      </c>
      <c r="BU2569" s="3" t="s">
        <v>2488</v>
      </c>
      <c r="BV2569" s="3" t="s">
        <v>87</v>
      </c>
      <c r="BW2569" s="3" t="s">
        <v>353</v>
      </c>
      <c r="BX2569" s="3" t="s">
        <v>1878</v>
      </c>
      <c r="BY2569" s="3">
        <v>1200</v>
      </c>
      <c r="BZ2569" s="3" t="s">
        <v>165</v>
      </c>
      <c r="CA2569" s="3" t="s">
        <v>280</v>
      </c>
      <c r="CC2569" s="3" t="s">
        <v>102</v>
      </c>
      <c r="CD2569" s="3">
        <v>4001</v>
      </c>
      <c r="CE2569" s="3" t="s">
        <v>93</v>
      </c>
      <c r="CF2569" s="4">
        <v>44588</v>
      </c>
      <c r="CI2569" s="3">
        <v>1</v>
      </c>
      <c r="CJ2569" s="3">
        <v>1</v>
      </c>
      <c r="CK2569" s="3">
        <v>21</v>
      </c>
      <c r="CL2569" s="3" t="s">
        <v>87</v>
      </c>
    </row>
    <row r="2570" spans="1:90" x14ac:dyDescent="0.2">
      <c r="A2570" s="3" t="s">
        <v>72</v>
      </c>
      <c r="B2570" s="3" t="s">
        <v>73</v>
      </c>
      <c r="C2570" s="3" t="s">
        <v>74</v>
      </c>
      <c r="E2570" s="3" t="str">
        <f>"FES1162846960"</f>
        <v>FES1162846960</v>
      </c>
      <c r="F2570" s="4">
        <v>44586</v>
      </c>
      <c r="G2570" s="3">
        <v>202207</v>
      </c>
      <c r="H2570" s="3" t="s">
        <v>75</v>
      </c>
      <c r="I2570" s="3" t="s">
        <v>76</v>
      </c>
      <c r="J2570" s="3" t="s">
        <v>77</v>
      </c>
      <c r="K2570" s="3" t="s">
        <v>78</v>
      </c>
      <c r="L2570" s="3" t="s">
        <v>90</v>
      </c>
      <c r="M2570" s="3" t="s">
        <v>91</v>
      </c>
      <c r="N2570" s="3" t="s">
        <v>157</v>
      </c>
      <c r="O2570" s="3" t="s">
        <v>82</v>
      </c>
      <c r="P2570" s="3" t="str">
        <f>"2170818255                    "</f>
        <v xml:space="preserve">2170818255                    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15.46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Q2570" s="3">
        <v>0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3">
        <v>0</v>
      </c>
      <c r="AY2570" s="3">
        <v>0</v>
      </c>
      <c r="AZ2570" s="3">
        <v>0</v>
      </c>
      <c r="BA2570" s="3">
        <v>0</v>
      </c>
      <c r="BB2570" s="3">
        <v>0</v>
      </c>
      <c r="BC2570" s="3">
        <v>0</v>
      </c>
      <c r="BD2570" s="3">
        <v>0</v>
      </c>
      <c r="BE2570" s="3">
        <v>0</v>
      </c>
      <c r="BF2570" s="3">
        <v>0</v>
      </c>
      <c r="BG2570" s="3">
        <v>0</v>
      </c>
      <c r="BH2570" s="3">
        <v>1</v>
      </c>
      <c r="BI2570" s="3">
        <v>1</v>
      </c>
      <c r="BJ2570" s="3">
        <v>0.2</v>
      </c>
      <c r="BK2570" s="3">
        <v>1</v>
      </c>
      <c r="BL2570" s="3">
        <v>59</v>
      </c>
      <c r="BM2570" s="3">
        <v>8.85</v>
      </c>
      <c r="BN2570" s="3">
        <v>67.849999999999994</v>
      </c>
      <c r="BO2570" s="3">
        <v>67.849999999999994</v>
      </c>
      <c r="BQ2570" s="3" t="s">
        <v>89</v>
      </c>
      <c r="BR2570" s="3" t="s">
        <v>84</v>
      </c>
      <c r="BS2570" s="4">
        <v>44587</v>
      </c>
      <c r="BT2570" s="5">
        <v>0.3923611111111111</v>
      </c>
      <c r="BU2570" s="3" t="s">
        <v>1825</v>
      </c>
      <c r="BV2570" s="3" t="s">
        <v>105</v>
      </c>
      <c r="BY2570" s="3">
        <v>1200</v>
      </c>
      <c r="BZ2570" s="3" t="s">
        <v>165</v>
      </c>
      <c r="CA2570" s="3" t="s">
        <v>289</v>
      </c>
      <c r="CC2570" s="3" t="s">
        <v>91</v>
      </c>
      <c r="CD2570" s="3">
        <v>7441</v>
      </c>
      <c r="CE2570" s="3" t="s">
        <v>93</v>
      </c>
      <c r="CF2570" s="4">
        <v>44588</v>
      </c>
      <c r="CI2570" s="3">
        <v>1</v>
      </c>
      <c r="CJ2570" s="3">
        <v>1</v>
      </c>
      <c r="CK2570" s="3">
        <v>21</v>
      </c>
      <c r="CL2570" s="3" t="s">
        <v>87</v>
      </c>
    </row>
    <row r="2571" spans="1:90" x14ac:dyDescent="0.2">
      <c r="A2571" s="3" t="s">
        <v>72</v>
      </c>
      <c r="B2571" s="3" t="s">
        <v>73</v>
      </c>
      <c r="C2571" s="3" t="s">
        <v>74</v>
      </c>
      <c r="E2571" s="3" t="str">
        <f>"FES1162846794"</f>
        <v>FES1162846794</v>
      </c>
      <c r="F2571" s="4">
        <v>44586</v>
      </c>
      <c r="G2571" s="3">
        <v>202207</v>
      </c>
      <c r="H2571" s="3" t="s">
        <v>75</v>
      </c>
      <c r="I2571" s="3" t="s">
        <v>76</v>
      </c>
      <c r="J2571" s="3" t="s">
        <v>77</v>
      </c>
      <c r="K2571" s="3" t="s">
        <v>78</v>
      </c>
      <c r="L2571" s="3" t="s">
        <v>90</v>
      </c>
      <c r="M2571" s="3" t="s">
        <v>91</v>
      </c>
      <c r="N2571" s="3" t="s">
        <v>776</v>
      </c>
      <c r="O2571" s="3" t="s">
        <v>82</v>
      </c>
      <c r="P2571" s="3" t="str">
        <f>"2170817974                    "</f>
        <v xml:space="preserve">2170817974                    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15.46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0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3">
        <v>0</v>
      </c>
      <c r="AY2571" s="3">
        <v>0</v>
      </c>
      <c r="AZ2571" s="3">
        <v>0</v>
      </c>
      <c r="BA2571" s="3">
        <v>0</v>
      </c>
      <c r="BB2571" s="3">
        <v>0</v>
      </c>
      <c r="BC2571" s="3">
        <v>0</v>
      </c>
      <c r="BD2571" s="3">
        <v>0</v>
      </c>
      <c r="BE2571" s="3">
        <v>0</v>
      </c>
      <c r="BF2571" s="3">
        <v>0</v>
      </c>
      <c r="BG2571" s="3">
        <v>0</v>
      </c>
      <c r="BH2571" s="3">
        <v>1</v>
      </c>
      <c r="BI2571" s="3">
        <v>1</v>
      </c>
      <c r="BJ2571" s="3">
        <v>0.2</v>
      </c>
      <c r="BK2571" s="3">
        <v>1</v>
      </c>
      <c r="BL2571" s="3">
        <v>59</v>
      </c>
      <c r="BM2571" s="3">
        <v>8.85</v>
      </c>
      <c r="BN2571" s="3">
        <v>67.849999999999994</v>
      </c>
      <c r="BO2571" s="3">
        <v>67.849999999999994</v>
      </c>
      <c r="BQ2571" s="3" t="s">
        <v>83</v>
      </c>
      <c r="BR2571" s="3" t="s">
        <v>84</v>
      </c>
      <c r="BS2571" s="4">
        <v>44587</v>
      </c>
      <c r="BT2571" s="5">
        <v>0.44236111111111115</v>
      </c>
      <c r="BU2571" s="3" t="s">
        <v>1079</v>
      </c>
      <c r="BV2571" s="3" t="s">
        <v>105</v>
      </c>
      <c r="BY2571" s="3">
        <v>1200</v>
      </c>
      <c r="BZ2571" s="3" t="s">
        <v>165</v>
      </c>
      <c r="CA2571" s="3" t="s">
        <v>603</v>
      </c>
      <c r="CC2571" s="3" t="s">
        <v>91</v>
      </c>
      <c r="CD2571" s="3">
        <v>7975</v>
      </c>
      <c r="CE2571" s="3" t="s">
        <v>93</v>
      </c>
      <c r="CF2571" s="4">
        <v>44588</v>
      </c>
      <c r="CI2571" s="3">
        <v>1</v>
      </c>
      <c r="CJ2571" s="3">
        <v>1</v>
      </c>
      <c r="CK2571" s="3">
        <v>21</v>
      </c>
      <c r="CL2571" s="3" t="s">
        <v>87</v>
      </c>
    </row>
    <row r="2572" spans="1:90" x14ac:dyDescent="0.2">
      <c r="A2572" s="3" t="s">
        <v>72</v>
      </c>
      <c r="B2572" s="3" t="s">
        <v>73</v>
      </c>
      <c r="C2572" s="3" t="s">
        <v>74</v>
      </c>
      <c r="E2572" s="3" t="str">
        <f>"FES1162846722"</f>
        <v>FES1162846722</v>
      </c>
      <c r="F2572" s="4">
        <v>44586</v>
      </c>
      <c r="G2572" s="3">
        <v>202207</v>
      </c>
      <c r="H2572" s="3" t="s">
        <v>75</v>
      </c>
      <c r="I2572" s="3" t="s">
        <v>76</v>
      </c>
      <c r="J2572" s="3" t="s">
        <v>77</v>
      </c>
      <c r="K2572" s="3" t="s">
        <v>78</v>
      </c>
      <c r="L2572" s="3" t="s">
        <v>101</v>
      </c>
      <c r="M2572" s="3" t="s">
        <v>102</v>
      </c>
      <c r="N2572" s="3" t="s">
        <v>103</v>
      </c>
      <c r="O2572" s="3" t="s">
        <v>82</v>
      </c>
      <c r="P2572" s="3" t="str">
        <f>"2170810434                    "</f>
        <v xml:space="preserve">2170810434                    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73.39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0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3">
        <v>0</v>
      </c>
      <c r="AY2572" s="3">
        <v>0</v>
      </c>
      <c r="AZ2572" s="3">
        <v>0</v>
      </c>
      <c r="BA2572" s="3">
        <v>0</v>
      </c>
      <c r="BB2572" s="3">
        <v>0</v>
      </c>
      <c r="BC2572" s="3">
        <v>0</v>
      </c>
      <c r="BD2572" s="3">
        <v>0</v>
      </c>
      <c r="BE2572" s="3">
        <v>0</v>
      </c>
      <c r="BF2572" s="3">
        <v>0</v>
      </c>
      <c r="BG2572" s="3">
        <v>0</v>
      </c>
      <c r="BH2572" s="3">
        <v>1</v>
      </c>
      <c r="BI2572" s="3">
        <v>4</v>
      </c>
      <c r="BJ2572" s="3">
        <v>9.1</v>
      </c>
      <c r="BK2572" s="3">
        <v>9.5</v>
      </c>
      <c r="BL2572" s="3">
        <v>280.13</v>
      </c>
      <c r="BM2572" s="3">
        <v>42.02</v>
      </c>
      <c r="BN2572" s="3">
        <v>322.14999999999998</v>
      </c>
      <c r="BO2572" s="3">
        <v>322.14999999999998</v>
      </c>
      <c r="BQ2572" s="3" t="s">
        <v>83</v>
      </c>
      <c r="BR2572" s="3" t="s">
        <v>84</v>
      </c>
      <c r="BS2572" s="4">
        <v>44587</v>
      </c>
      <c r="BT2572" s="5">
        <v>0.32013888888888892</v>
      </c>
      <c r="BU2572" s="3" t="s">
        <v>463</v>
      </c>
      <c r="BV2572" s="3" t="s">
        <v>105</v>
      </c>
      <c r="BY2572" s="3">
        <v>45632</v>
      </c>
      <c r="BZ2572" s="3" t="s">
        <v>165</v>
      </c>
      <c r="CA2572" s="3" t="s">
        <v>334</v>
      </c>
      <c r="CC2572" s="3" t="s">
        <v>102</v>
      </c>
      <c r="CD2572" s="3">
        <v>4001</v>
      </c>
      <c r="CE2572" s="3" t="s">
        <v>86</v>
      </c>
      <c r="CF2572" s="4">
        <v>44588</v>
      </c>
      <c r="CI2572" s="3">
        <v>1</v>
      </c>
      <c r="CJ2572" s="3">
        <v>1</v>
      </c>
      <c r="CK2572" s="3">
        <v>21</v>
      </c>
      <c r="CL2572" s="3" t="s">
        <v>87</v>
      </c>
    </row>
    <row r="2573" spans="1:90" x14ac:dyDescent="0.2">
      <c r="A2573" s="3" t="s">
        <v>72</v>
      </c>
      <c r="B2573" s="3" t="s">
        <v>73</v>
      </c>
      <c r="C2573" s="3" t="s">
        <v>74</v>
      </c>
      <c r="E2573" s="3" t="str">
        <f>"FES1162846789"</f>
        <v>FES1162846789</v>
      </c>
      <c r="F2573" s="4">
        <v>44586</v>
      </c>
      <c r="G2573" s="3">
        <v>202207</v>
      </c>
      <c r="H2573" s="3" t="s">
        <v>75</v>
      </c>
      <c r="I2573" s="3" t="s">
        <v>76</v>
      </c>
      <c r="J2573" s="3" t="s">
        <v>77</v>
      </c>
      <c r="K2573" s="3" t="s">
        <v>78</v>
      </c>
      <c r="L2573" s="3" t="s">
        <v>101</v>
      </c>
      <c r="M2573" s="3" t="s">
        <v>102</v>
      </c>
      <c r="N2573" s="3" t="s">
        <v>272</v>
      </c>
      <c r="O2573" s="3" t="s">
        <v>82</v>
      </c>
      <c r="P2573" s="3" t="str">
        <f>"2170817172                    "</f>
        <v xml:space="preserve">2170817172                    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15.46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0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3">
        <v>0</v>
      </c>
      <c r="AY2573" s="3">
        <v>0</v>
      </c>
      <c r="AZ2573" s="3">
        <v>0</v>
      </c>
      <c r="BA2573" s="3">
        <v>0</v>
      </c>
      <c r="BB2573" s="3">
        <v>0</v>
      </c>
      <c r="BC2573" s="3">
        <v>0</v>
      </c>
      <c r="BD2573" s="3">
        <v>0</v>
      </c>
      <c r="BE2573" s="3">
        <v>0</v>
      </c>
      <c r="BF2573" s="3">
        <v>0</v>
      </c>
      <c r="BG2573" s="3">
        <v>0</v>
      </c>
      <c r="BH2573" s="3">
        <v>1</v>
      </c>
      <c r="BI2573" s="3">
        <v>1</v>
      </c>
      <c r="BJ2573" s="3">
        <v>0.2</v>
      </c>
      <c r="BK2573" s="3">
        <v>1</v>
      </c>
      <c r="BL2573" s="3">
        <v>59</v>
      </c>
      <c r="BM2573" s="3">
        <v>8.85</v>
      </c>
      <c r="BN2573" s="3">
        <v>67.849999999999994</v>
      </c>
      <c r="BO2573" s="3">
        <v>67.849999999999994</v>
      </c>
      <c r="BQ2573" s="3" t="s">
        <v>273</v>
      </c>
      <c r="BR2573" s="3" t="s">
        <v>84</v>
      </c>
      <c r="BS2573" s="4">
        <v>44587</v>
      </c>
      <c r="BT2573" s="5">
        <v>0.38194444444444442</v>
      </c>
      <c r="BU2573" s="3" t="s">
        <v>274</v>
      </c>
      <c r="BV2573" s="3" t="s">
        <v>105</v>
      </c>
      <c r="BY2573" s="3">
        <v>1200</v>
      </c>
      <c r="BZ2573" s="3" t="s">
        <v>165</v>
      </c>
      <c r="CA2573" s="3" t="s">
        <v>275</v>
      </c>
      <c r="CC2573" s="3" t="s">
        <v>102</v>
      </c>
      <c r="CD2573" s="3">
        <v>4000</v>
      </c>
      <c r="CE2573" s="3" t="s">
        <v>93</v>
      </c>
      <c r="CF2573" s="4">
        <v>44587</v>
      </c>
      <c r="CI2573" s="3">
        <v>1</v>
      </c>
      <c r="CJ2573" s="3">
        <v>1</v>
      </c>
      <c r="CK2573" s="3">
        <v>21</v>
      </c>
      <c r="CL2573" s="3" t="s">
        <v>87</v>
      </c>
    </row>
    <row r="2574" spans="1:90" x14ac:dyDescent="0.2">
      <c r="A2574" s="3" t="s">
        <v>72</v>
      </c>
      <c r="B2574" s="3" t="s">
        <v>73</v>
      </c>
      <c r="C2574" s="3" t="s">
        <v>74</v>
      </c>
      <c r="E2574" s="3" t="str">
        <f>"FES1162846758"</f>
        <v>FES1162846758</v>
      </c>
      <c r="F2574" s="4">
        <v>44586</v>
      </c>
      <c r="G2574" s="3">
        <v>202207</v>
      </c>
      <c r="H2574" s="3" t="s">
        <v>75</v>
      </c>
      <c r="I2574" s="3" t="s">
        <v>76</v>
      </c>
      <c r="J2574" s="3" t="s">
        <v>77</v>
      </c>
      <c r="K2574" s="3" t="s">
        <v>78</v>
      </c>
      <c r="L2574" s="3" t="s">
        <v>90</v>
      </c>
      <c r="M2574" s="3" t="s">
        <v>91</v>
      </c>
      <c r="N2574" s="3" t="s">
        <v>1095</v>
      </c>
      <c r="O2574" s="3" t="s">
        <v>82</v>
      </c>
      <c r="P2574" s="3" t="str">
        <f>"2170816139                    "</f>
        <v xml:space="preserve">2170816139                    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15.46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0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3">
        <v>0</v>
      </c>
      <c r="AY2574" s="3">
        <v>0</v>
      </c>
      <c r="AZ2574" s="3">
        <v>0</v>
      </c>
      <c r="BA2574" s="3">
        <v>0</v>
      </c>
      <c r="BB2574" s="3">
        <v>0</v>
      </c>
      <c r="BC2574" s="3">
        <v>0</v>
      </c>
      <c r="BD2574" s="3">
        <v>0</v>
      </c>
      <c r="BE2574" s="3">
        <v>0</v>
      </c>
      <c r="BF2574" s="3">
        <v>0</v>
      </c>
      <c r="BG2574" s="3">
        <v>0</v>
      </c>
      <c r="BH2574" s="3">
        <v>1</v>
      </c>
      <c r="BI2574" s="3">
        <v>1</v>
      </c>
      <c r="BJ2574" s="3">
        <v>0.2</v>
      </c>
      <c r="BK2574" s="3">
        <v>1</v>
      </c>
      <c r="BL2574" s="3">
        <v>59</v>
      </c>
      <c r="BM2574" s="3">
        <v>8.85</v>
      </c>
      <c r="BN2574" s="3">
        <v>67.849999999999994</v>
      </c>
      <c r="BO2574" s="3">
        <v>67.849999999999994</v>
      </c>
      <c r="BQ2574" s="3" t="s">
        <v>83</v>
      </c>
      <c r="BR2574" s="3" t="s">
        <v>84</v>
      </c>
      <c r="BS2574" s="4">
        <v>44587</v>
      </c>
      <c r="BT2574" s="5">
        <v>0.4548611111111111</v>
      </c>
      <c r="BU2574" s="3" t="s">
        <v>538</v>
      </c>
      <c r="BV2574" s="3" t="s">
        <v>87</v>
      </c>
      <c r="BW2574" s="3" t="s">
        <v>353</v>
      </c>
      <c r="BX2574" s="3" t="s">
        <v>602</v>
      </c>
      <c r="BY2574" s="3">
        <v>1200</v>
      </c>
      <c r="BZ2574" s="3" t="s">
        <v>165</v>
      </c>
      <c r="CA2574" s="3" t="s">
        <v>289</v>
      </c>
      <c r="CC2574" s="3" t="s">
        <v>91</v>
      </c>
      <c r="CD2574" s="3">
        <v>7441</v>
      </c>
      <c r="CE2574" s="3" t="s">
        <v>93</v>
      </c>
      <c r="CF2574" s="4">
        <v>44588</v>
      </c>
      <c r="CI2574" s="3">
        <v>1</v>
      </c>
      <c r="CJ2574" s="3">
        <v>1</v>
      </c>
      <c r="CK2574" s="3">
        <v>21</v>
      </c>
      <c r="CL2574" s="3" t="s">
        <v>87</v>
      </c>
    </row>
    <row r="2575" spans="1:90" x14ac:dyDescent="0.2">
      <c r="A2575" s="3" t="s">
        <v>72</v>
      </c>
      <c r="B2575" s="3" t="s">
        <v>73</v>
      </c>
      <c r="C2575" s="3" t="s">
        <v>74</v>
      </c>
      <c r="E2575" s="3" t="str">
        <f>"FES1162846673"</f>
        <v>FES1162846673</v>
      </c>
      <c r="F2575" s="4">
        <v>44586</v>
      </c>
      <c r="G2575" s="3">
        <v>202207</v>
      </c>
      <c r="H2575" s="3" t="s">
        <v>75</v>
      </c>
      <c r="I2575" s="3" t="s">
        <v>76</v>
      </c>
      <c r="J2575" s="3" t="s">
        <v>77</v>
      </c>
      <c r="K2575" s="3" t="s">
        <v>78</v>
      </c>
      <c r="L2575" s="3" t="s">
        <v>184</v>
      </c>
      <c r="M2575" s="3" t="s">
        <v>185</v>
      </c>
      <c r="N2575" s="3" t="s">
        <v>2416</v>
      </c>
      <c r="O2575" s="3" t="s">
        <v>82</v>
      </c>
      <c r="P2575" s="3" t="str">
        <f>"2170818066                    "</f>
        <v xml:space="preserve">2170818066                    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15.46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0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3">
        <v>0</v>
      </c>
      <c r="AY2575" s="3">
        <v>0</v>
      </c>
      <c r="AZ2575" s="3">
        <v>0</v>
      </c>
      <c r="BA2575" s="3">
        <v>0</v>
      </c>
      <c r="BB2575" s="3">
        <v>0</v>
      </c>
      <c r="BC2575" s="3">
        <v>0</v>
      </c>
      <c r="BD2575" s="3">
        <v>0</v>
      </c>
      <c r="BE2575" s="3">
        <v>0</v>
      </c>
      <c r="BF2575" s="3">
        <v>0</v>
      </c>
      <c r="BG2575" s="3">
        <v>0</v>
      </c>
      <c r="BH2575" s="3">
        <v>1</v>
      </c>
      <c r="BI2575" s="3">
        <v>1</v>
      </c>
      <c r="BJ2575" s="3">
        <v>0.2</v>
      </c>
      <c r="BK2575" s="3">
        <v>1</v>
      </c>
      <c r="BL2575" s="3">
        <v>59</v>
      </c>
      <c r="BM2575" s="3">
        <v>8.85</v>
      </c>
      <c r="BN2575" s="3">
        <v>67.849999999999994</v>
      </c>
      <c r="BO2575" s="3">
        <v>67.849999999999994</v>
      </c>
      <c r="BQ2575" s="3" t="s">
        <v>2417</v>
      </c>
      <c r="BR2575" s="3" t="s">
        <v>84</v>
      </c>
      <c r="BS2575" s="4">
        <v>44588</v>
      </c>
      <c r="BT2575" s="5">
        <v>0.49583333333333335</v>
      </c>
      <c r="BU2575" s="3" t="s">
        <v>2418</v>
      </c>
      <c r="BV2575" s="3" t="s">
        <v>87</v>
      </c>
      <c r="BW2575" s="3" t="s">
        <v>376</v>
      </c>
      <c r="BX2575" s="3" t="s">
        <v>605</v>
      </c>
      <c r="BY2575" s="3">
        <v>1200</v>
      </c>
      <c r="BZ2575" s="3" t="s">
        <v>165</v>
      </c>
      <c r="CA2575" s="3" t="s">
        <v>2125</v>
      </c>
      <c r="CC2575" s="3" t="s">
        <v>185</v>
      </c>
      <c r="CD2575" s="3">
        <v>5201</v>
      </c>
      <c r="CE2575" s="3" t="s">
        <v>93</v>
      </c>
      <c r="CF2575" s="4">
        <v>44588</v>
      </c>
      <c r="CI2575" s="3">
        <v>1</v>
      </c>
      <c r="CJ2575" s="3">
        <v>2</v>
      </c>
      <c r="CK2575" s="3">
        <v>21</v>
      </c>
      <c r="CL2575" s="3" t="s">
        <v>87</v>
      </c>
    </row>
    <row r="2576" spans="1:90" x14ac:dyDescent="0.2">
      <c r="A2576" s="3" t="s">
        <v>72</v>
      </c>
      <c r="B2576" s="3" t="s">
        <v>73</v>
      </c>
      <c r="C2576" s="3" t="s">
        <v>74</v>
      </c>
      <c r="E2576" s="3" t="str">
        <f>"FES1162846492"</f>
        <v>FES1162846492</v>
      </c>
      <c r="F2576" s="4">
        <v>44586</v>
      </c>
      <c r="G2576" s="3">
        <v>202207</v>
      </c>
      <c r="H2576" s="3" t="s">
        <v>75</v>
      </c>
      <c r="I2576" s="3" t="s">
        <v>76</v>
      </c>
      <c r="J2576" s="3" t="s">
        <v>77</v>
      </c>
      <c r="K2576" s="3" t="s">
        <v>78</v>
      </c>
      <c r="L2576" s="3" t="s">
        <v>679</v>
      </c>
      <c r="M2576" s="3" t="s">
        <v>680</v>
      </c>
      <c r="N2576" s="3" t="s">
        <v>681</v>
      </c>
      <c r="O2576" s="3" t="s">
        <v>82</v>
      </c>
      <c r="P2576" s="3" t="str">
        <f>"2170815847                    "</f>
        <v xml:space="preserve">2170815847                    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43.47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15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3">
        <v>0</v>
      </c>
      <c r="AY2576" s="3">
        <v>0</v>
      </c>
      <c r="AZ2576" s="3">
        <v>0</v>
      </c>
      <c r="BA2576" s="3">
        <v>0</v>
      </c>
      <c r="BB2576" s="3">
        <v>0</v>
      </c>
      <c r="BC2576" s="3">
        <v>0</v>
      </c>
      <c r="BD2576" s="3">
        <v>0</v>
      </c>
      <c r="BE2576" s="3">
        <v>0</v>
      </c>
      <c r="BF2576" s="3">
        <v>0</v>
      </c>
      <c r="BG2576" s="3">
        <v>0</v>
      </c>
      <c r="BH2576" s="3">
        <v>1</v>
      </c>
      <c r="BI2576" s="3">
        <v>2.6</v>
      </c>
      <c r="BJ2576" s="3">
        <v>1.7</v>
      </c>
      <c r="BK2576" s="3">
        <v>3</v>
      </c>
      <c r="BL2576" s="3">
        <v>180.93</v>
      </c>
      <c r="BM2576" s="3">
        <v>27.14</v>
      </c>
      <c r="BN2576" s="3">
        <v>208.07</v>
      </c>
      <c r="BO2576" s="3">
        <v>208.07</v>
      </c>
      <c r="BQ2576" s="3" t="s">
        <v>128</v>
      </c>
      <c r="BR2576" s="3" t="s">
        <v>84</v>
      </c>
      <c r="BS2576" s="4">
        <v>44588</v>
      </c>
      <c r="BT2576" s="5">
        <v>0.41666666666666669</v>
      </c>
      <c r="BU2576" s="3" t="s">
        <v>2489</v>
      </c>
      <c r="BV2576" s="3" t="s">
        <v>105</v>
      </c>
      <c r="BY2576" s="3">
        <v>8712</v>
      </c>
      <c r="BZ2576" s="3" t="s">
        <v>446</v>
      </c>
      <c r="CC2576" s="3" t="s">
        <v>680</v>
      </c>
      <c r="CD2576" s="3">
        <v>3930</v>
      </c>
      <c r="CE2576" s="3" t="s">
        <v>86</v>
      </c>
      <c r="CF2576" s="4">
        <v>44589</v>
      </c>
      <c r="CI2576" s="3">
        <v>2</v>
      </c>
      <c r="CJ2576" s="3">
        <v>2</v>
      </c>
      <c r="CK2576" s="3">
        <v>23</v>
      </c>
      <c r="CL2576" s="3" t="s">
        <v>87</v>
      </c>
    </row>
    <row r="2577" spans="1:90" x14ac:dyDescent="0.2">
      <c r="A2577" s="3" t="s">
        <v>72</v>
      </c>
      <c r="B2577" s="3" t="s">
        <v>73</v>
      </c>
      <c r="C2577" s="3" t="s">
        <v>74</v>
      </c>
      <c r="E2577" s="3" t="str">
        <f>"FES1162846678"</f>
        <v>FES1162846678</v>
      </c>
      <c r="F2577" s="4">
        <v>44586</v>
      </c>
      <c r="G2577" s="3">
        <v>202207</v>
      </c>
      <c r="H2577" s="3" t="s">
        <v>75</v>
      </c>
      <c r="I2577" s="3" t="s">
        <v>76</v>
      </c>
      <c r="J2577" s="3" t="s">
        <v>77</v>
      </c>
      <c r="K2577" s="3" t="s">
        <v>78</v>
      </c>
      <c r="L2577" s="3" t="s">
        <v>218</v>
      </c>
      <c r="M2577" s="3" t="s">
        <v>219</v>
      </c>
      <c r="N2577" s="3" t="s">
        <v>766</v>
      </c>
      <c r="O2577" s="3" t="s">
        <v>82</v>
      </c>
      <c r="P2577" s="3" t="str">
        <f>"2170816005                    "</f>
        <v xml:space="preserve">2170816005                    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15.46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0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3">
        <v>0</v>
      </c>
      <c r="AY2577" s="3">
        <v>0</v>
      </c>
      <c r="AZ2577" s="3">
        <v>0</v>
      </c>
      <c r="BA2577" s="3">
        <v>0</v>
      </c>
      <c r="BB2577" s="3">
        <v>0</v>
      </c>
      <c r="BC2577" s="3">
        <v>0</v>
      </c>
      <c r="BD2577" s="3">
        <v>0</v>
      </c>
      <c r="BE2577" s="3">
        <v>0</v>
      </c>
      <c r="BF2577" s="3">
        <v>0</v>
      </c>
      <c r="BG2577" s="3">
        <v>0</v>
      </c>
      <c r="BH2577" s="3">
        <v>1</v>
      </c>
      <c r="BI2577" s="3">
        <v>1</v>
      </c>
      <c r="BJ2577" s="3">
        <v>0.2</v>
      </c>
      <c r="BK2577" s="3">
        <v>1</v>
      </c>
      <c r="BL2577" s="3">
        <v>59</v>
      </c>
      <c r="BM2577" s="3">
        <v>8.85</v>
      </c>
      <c r="BN2577" s="3">
        <v>67.849999999999994</v>
      </c>
      <c r="BO2577" s="3">
        <v>67.849999999999994</v>
      </c>
      <c r="BR2577" s="3" t="s">
        <v>84</v>
      </c>
      <c r="BS2577" s="4">
        <v>44587</v>
      </c>
      <c r="BT2577" s="5">
        <v>0.42777777777777781</v>
      </c>
      <c r="BU2577" s="3" t="s">
        <v>2490</v>
      </c>
      <c r="BV2577" s="3" t="s">
        <v>105</v>
      </c>
      <c r="BY2577" s="3">
        <v>1200</v>
      </c>
      <c r="BZ2577" s="3" t="s">
        <v>165</v>
      </c>
      <c r="CA2577" s="3" t="s">
        <v>2491</v>
      </c>
      <c r="CC2577" s="3" t="s">
        <v>219</v>
      </c>
      <c r="CD2577" s="3">
        <v>157</v>
      </c>
      <c r="CE2577" s="3" t="s">
        <v>93</v>
      </c>
      <c r="CF2577" s="4">
        <v>44588</v>
      </c>
      <c r="CI2577" s="3">
        <v>1</v>
      </c>
      <c r="CJ2577" s="3">
        <v>1</v>
      </c>
      <c r="CK2577" s="3">
        <v>21</v>
      </c>
      <c r="CL2577" s="3" t="s">
        <v>87</v>
      </c>
    </row>
    <row r="2578" spans="1:90" x14ac:dyDescent="0.2">
      <c r="A2578" s="3" t="s">
        <v>72</v>
      </c>
      <c r="B2578" s="3" t="s">
        <v>73</v>
      </c>
      <c r="C2578" s="3" t="s">
        <v>74</v>
      </c>
      <c r="E2578" s="3" t="str">
        <f>"FES1162846619"</f>
        <v>FES1162846619</v>
      </c>
      <c r="F2578" s="4">
        <v>44586</v>
      </c>
      <c r="G2578" s="3">
        <v>202207</v>
      </c>
      <c r="H2578" s="3" t="s">
        <v>75</v>
      </c>
      <c r="I2578" s="3" t="s">
        <v>76</v>
      </c>
      <c r="J2578" s="3" t="s">
        <v>77</v>
      </c>
      <c r="K2578" s="3" t="s">
        <v>78</v>
      </c>
      <c r="L2578" s="3" t="s">
        <v>75</v>
      </c>
      <c r="M2578" s="3" t="s">
        <v>76</v>
      </c>
      <c r="N2578" s="3" t="s">
        <v>1393</v>
      </c>
      <c r="O2578" s="3" t="s">
        <v>82</v>
      </c>
      <c r="P2578" s="3" t="str">
        <f>"2170812277                    "</f>
        <v xml:space="preserve">2170812277                    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12.07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0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3">
        <v>0</v>
      </c>
      <c r="AY2578" s="3">
        <v>0</v>
      </c>
      <c r="AZ2578" s="3">
        <v>0</v>
      </c>
      <c r="BA2578" s="3">
        <v>0</v>
      </c>
      <c r="BB2578" s="3">
        <v>0</v>
      </c>
      <c r="BC2578" s="3">
        <v>0</v>
      </c>
      <c r="BD2578" s="3">
        <v>0</v>
      </c>
      <c r="BE2578" s="3">
        <v>0</v>
      </c>
      <c r="BF2578" s="3">
        <v>0</v>
      </c>
      <c r="BG2578" s="3">
        <v>0</v>
      </c>
      <c r="BH2578" s="3">
        <v>1</v>
      </c>
      <c r="BI2578" s="3">
        <v>2</v>
      </c>
      <c r="BJ2578" s="3">
        <v>1.3</v>
      </c>
      <c r="BK2578" s="3">
        <v>2</v>
      </c>
      <c r="BL2578" s="3">
        <v>46.08</v>
      </c>
      <c r="BM2578" s="3">
        <v>6.91</v>
      </c>
      <c r="BN2578" s="3">
        <v>52.99</v>
      </c>
      <c r="BO2578" s="3">
        <v>52.99</v>
      </c>
      <c r="BQ2578" s="3" t="s">
        <v>83</v>
      </c>
      <c r="BR2578" s="3" t="s">
        <v>84</v>
      </c>
      <c r="BS2578" s="4">
        <v>44587</v>
      </c>
      <c r="BT2578" s="5">
        <v>0.30069444444444443</v>
      </c>
      <c r="BU2578" s="3" t="s">
        <v>2276</v>
      </c>
      <c r="BV2578" s="3" t="s">
        <v>105</v>
      </c>
      <c r="BY2578" s="3">
        <v>6272</v>
      </c>
      <c r="BZ2578" s="3" t="s">
        <v>165</v>
      </c>
      <c r="CA2578" s="3" t="s">
        <v>607</v>
      </c>
      <c r="CC2578" s="3" t="s">
        <v>76</v>
      </c>
      <c r="CD2578" s="3">
        <v>1665</v>
      </c>
      <c r="CE2578" s="3" t="s">
        <v>86</v>
      </c>
      <c r="CF2578" s="4">
        <v>44588</v>
      </c>
      <c r="CI2578" s="3">
        <v>1</v>
      </c>
      <c r="CJ2578" s="3">
        <v>1</v>
      </c>
      <c r="CK2578" s="3">
        <v>22</v>
      </c>
      <c r="CL2578" s="3" t="s">
        <v>87</v>
      </c>
    </row>
    <row r="2579" spans="1:90" x14ac:dyDescent="0.2">
      <c r="A2579" s="3" t="s">
        <v>72</v>
      </c>
      <c r="B2579" s="3" t="s">
        <v>73</v>
      </c>
      <c r="C2579" s="3" t="s">
        <v>74</v>
      </c>
      <c r="E2579" s="3" t="str">
        <f>"FES1162846637"</f>
        <v>FES1162846637</v>
      </c>
      <c r="F2579" s="4">
        <v>44586</v>
      </c>
      <c r="G2579" s="3">
        <v>202207</v>
      </c>
      <c r="H2579" s="3" t="s">
        <v>75</v>
      </c>
      <c r="I2579" s="3" t="s">
        <v>76</v>
      </c>
      <c r="J2579" s="3" t="s">
        <v>77</v>
      </c>
      <c r="K2579" s="3" t="s">
        <v>78</v>
      </c>
      <c r="L2579" s="3" t="s">
        <v>158</v>
      </c>
      <c r="M2579" s="3" t="s">
        <v>159</v>
      </c>
      <c r="N2579" s="3" t="s">
        <v>774</v>
      </c>
      <c r="O2579" s="3" t="s">
        <v>82</v>
      </c>
      <c r="P2579" s="3" t="str">
        <f>"2170817692                    "</f>
        <v xml:space="preserve">2170817692                    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12.07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0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3">
        <v>0</v>
      </c>
      <c r="AY2579" s="3">
        <v>0</v>
      </c>
      <c r="AZ2579" s="3">
        <v>0</v>
      </c>
      <c r="BA2579" s="3">
        <v>0</v>
      </c>
      <c r="BB2579" s="3">
        <v>0</v>
      </c>
      <c r="BC2579" s="3">
        <v>0</v>
      </c>
      <c r="BD2579" s="3">
        <v>0</v>
      </c>
      <c r="BE2579" s="3">
        <v>0</v>
      </c>
      <c r="BF2579" s="3">
        <v>0</v>
      </c>
      <c r="BG2579" s="3">
        <v>0</v>
      </c>
      <c r="BH2579" s="3">
        <v>1</v>
      </c>
      <c r="BI2579" s="3">
        <v>1</v>
      </c>
      <c r="BJ2579" s="3">
        <v>1.1000000000000001</v>
      </c>
      <c r="BK2579" s="3">
        <v>1.5</v>
      </c>
      <c r="BL2579" s="3">
        <v>46.08</v>
      </c>
      <c r="BM2579" s="3">
        <v>6.91</v>
      </c>
      <c r="BN2579" s="3">
        <v>52.99</v>
      </c>
      <c r="BO2579" s="3">
        <v>52.99</v>
      </c>
      <c r="BQ2579" s="3" t="s">
        <v>89</v>
      </c>
      <c r="BR2579" s="3" t="s">
        <v>84</v>
      </c>
      <c r="BS2579" s="4">
        <v>44587</v>
      </c>
      <c r="BT2579" s="5">
        <v>0.33888888888888885</v>
      </c>
      <c r="BU2579" s="3" t="s">
        <v>775</v>
      </c>
      <c r="BV2579" s="3" t="s">
        <v>105</v>
      </c>
      <c r="BY2579" s="3">
        <v>5320</v>
      </c>
      <c r="BZ2579" s="3" t="s">
        <v>165</v>
      </c>
      <c r="CA2579" s="3" t="s">
        <v>678</v>
      </c>
      <c r="CC2579" s="3" t="s">
        <v>159</v>
      </c>
      <c r="CD2579" s="3">
        <v>1459</v>
      </c>
      <c r="CE2579" s="3" t="s">
        <v>86</v>
      </c>
      <c r="CF2579" s="4">
        <v>44588</v>
      </c>
      <c r="CI2579" s="3">
        <v>1</v>
      </c>
      <c r="CJ2579" s="3">
        <v>1</v>
      </c>
      <c r="CK2579" s="3">
        <v>22</v>
      </c>
      <c r="CL2579" s="3" t="s">
        <v>87</v>
      </c>
    </row>
    <row r="2580" spans="1:90" x14ac:dyDescent="0.2">
      <c r="A2580" s="3" t="s">
        <v>72</v>
      </c>
      <c r="B2580" s="3" t="s">
        <v>73</v>
      </c>
      <c r="C2580" s="3" t="s">
        <v>74</v>
      </c>
      <c r="E2580" s="3" t="str">
        <f>"FES1162846615"</f>
        <v>FES1162846615</v>
      </c>
      <c r="F2580" s="4">
        <v>44586</v>
      </c>
      <c r="G2580" s="3">
        <v>202207</v>
      </c>
      <c r="H2580" s="3" t="s">
        <v>75</v>
      </c>
      <c r="I2580" s="3" t="s">
        <v>76</v>
      </c>
      <c r="J2580" s="3" t="s">
        <v>77</v>
      </c>
      <c r="K2580" s="3" t="s">
        <v>78</v>
      </c>
      <c r="L2580" s="3" t="s">
        <v>75</v>
      </c>
      <c r="M2580" s="3" t="s">
        <v>76</v>
      </c>
      <c r="N2580" s="3" t="s">
        <v>2492</v>
      </c>
      <c r="O2580" s="3" t="s">
        <v>82</v>
      </c>
      <c r="P2580" s="3" t="str">
        <f>"2170818020                    "</f>
        <v xml:space="preserve">2170818020                    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12.07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0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3">
        <v>0</v>
      </c>
      <c r="AY2580" s="3">
        <v>0</v>
      </c>
      <c r="AZ2580" s="3">
        <v>0</v>
      </c>
      <c r="BA2580" s="3">
        <v>0</v>
      </c>
      <c r="BB2580" s="3">
        <v>0</v>
      </c>
      <c r="BC2580" s="3">
        <v>0</v>
      </c>
      <c r="BD2580" s="3">
        <v>0</v>
      </c>
      <c r="BE2580" s="3">
        <v>0</v>
      </c>
      <c r="BF2580" s="3">
        <v>0</v>
      </c>
      <c r="BG2580" s="3">
        <v>0</v>
      </c>
      <c r="BH2580" s="3">
        <v>1</v>
      </c>
      <c r="BI2580" s="3">
        <v>2</v>
      </c>
      <c r="BJ2580" s="3">
        <v>1.1000000000000001</v>
      </c>
      <c r="BK2580" s="3">
        <v>2</v>
      </c>
      <c r="BL2580" s="3">
        <v>46.08</v>
      </c>
      <c r="BM2580" s="3">
        <v>6.91</v>
      </c>
      <c r="BN2580" s="3">
        <v>52.99</v>
      </c>
      <c r="BO2580" s="3">
        <v>52.99</v>
      </c>
      <c r="BQ2580" s="3" t="s">
        <v>126</v>
      </c>
      <c r="BR2580" s="3" t="s">
        <v>84</v>
      </c>
      <c r="BS2580" s="4">
        <v>44587</v>
      </c>
      <c r="BT2580" s="5">
        <v>0.36458333333333331</v>
      </c>
      <c r="BU2580" s="3" t="s">
        <v>2493</v>
      </c>
      <c r="BV2580" s="3" t="s">
        <v>105</v>
      </c>
      <c r="BY2580" s="3">
        <v>5320</v>
      </c>
      <c r="BZ2580" s="3" t="s">
        <v>165</v>
      </c>
      <c r="CA2580" s="3" t="s">
        <v>607</v>
      </c>
      <c r="CC2580" s="3" t="s">
        <v>76</v>
      </c>
      <c r="CD2580" s="3">
        <v>1665</v>
      </c>
      <c r="CE2580" s="3" t="s">
        <v>86</v>
      </c>
      <c r="CF2580" s="4">
        <v>44588</v>
      </c>
      <c r="CI2580" s="3">
        <v>1</v>
      </c>
      <c r="CJ2580" s="3">
        <v>1</v>
      </c>
      <c r="CK2580" s="3">
        <v>22</v>
      </c>
      <c r="CL2580" s="3" t="s">
        <v>87</v>
      </c>
    </row>
    <row r="2581" spans="1:90" x14ac:dyDescent="0.2">
      <c r="A2581" s="3" t="s">
        <v>72</v>
      </c>
      <c r="B2581" s="3" t="s">
        <v>73</v>
      </c>
      <c r="C2581" s="3" t="s">
        <v>74</v>
      </c>
      <c r="E2581" s="3" t="str">
        <f>"FES1162846554"</f>
        <v>FES1162846554</v>
      </c>
      <c r="F2581" s="4">
        <v>44586</v>
      </c>
      <c r="G2581" s="3">
        <v>202207</v>
      </c>
      <c r="H2581" s="3" t="s">
        <v>75</v>
      </c>
      <c r="I2581" s="3" t="s">
        <v>76</v>
      </c>
      <c r="J2581" s="3" t="s">
        <v>77</v>
      </c>
      <c r="K2581" s="3" t="s">
        <v>78</v>
      </c>
      <c r="L2581" s="3" t="s">
        <v>171</v>
      </c>
      <c r="M2581" s="3" t="s">
        <v>172</v>
      </c>
      <c r="N2581" s="3" t="s">
        <v>200</v>
      </c>
      <c r="O2581" s="3" t="s">
        <v>82</v>
      </c>
      <c r="P2581" s="3" t="str">
        <f>"2170817955                    "</f>
        <v xml:space="preserve">2170817955                    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23.18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0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3">
        <v>0</v>
      </c>
      <c r="AY2581" s="3">
        <v>0</v>
      </c>
      <c r="AZ2581" s="3">
        <v>0</v>
      </c>
      <c r="BA2581" s="3">
        <v>0</v>
      </c>
      <c r="BB2581" s="3">
        <v>0</v>
      </c>
      <c r="BC2581" s="3">
        <v>0</v>
      </c>
      <c r="BD2581" s="3">
        <v>0</v>
      </c>
      <c r="BE2581" s="3">
        <v>0</v>
      </c>
      <c r="BF2581" s="3">
        <v>0</v>
      </c>
      <c r="BG2581" s="3">
        <v>0</v>
      </c>
      <c r="BH2581" s="3">
        <v>1</v>
      </c>
      <c r="BI2581" s="3">
        <v>3</v>
      </c>
      <c r="BJ2581" s="3">
        <v>2</v>
      </c>
      <c r="BK2581" s="3">
        <v>3</v>
      </c>
      <c r="BL2581" s="3">
        <v>88.48</v>
      </c>
      <c r="BM2581" s="3">
        <v>13.27</v>
      </c>
      <c r="BN2581" s="3">
        <v>101.75</v>
      </c>
      <c r="BO2581" s="3">
        <v>101.75</v>
      </c>
      <c r="BQ2581" s="3" t="s">
        <v>89</v>
      </c>
      <c r="BR2581" s="3" t="s">
        <v>84</v>
      </c>
      <c r="BS2581" s="4">
        <v>44587</v>
      </c>
      <c r="BT2581" s="5">
        <v>0.4201388888888889</v>
      </c>
      <c r="BU2581" s="3" t="s">
        <v>908</v>
      </c>
      <c r="BV2581" s="3" t="s">
        <v>105</v>
      </c>
      <c r="BY2581" s="3">
        <v>9918</v>
      </c>
      <c r="BZ2581" s="3" t="s">
        <v>165</v>
      </c>
      <c r="CA2581" s="3" t="s">
        <v>814</v>
      </c>
      <c r="CC2581" s="3" t="s">
        <v>172</v>
      </c>
      <c r="CD2581" s="3">
        <v>6001</v>
      </c>
      <c r="CE2581" s="3" t="s">
        <v>86</v>
      </c>
      <c r="CF2581" s="4">
        <v>44587</v>
      </c>
      <c r="CI2581" s="3">
        <v>1</v>
      </c>
      <c r="CJ2581" s="3">
        <v>1</v>
      </c>
      <c r="CK2581" s="3">
        <v>21</v>
      </c>
      <c r="CL2581" s="3" t="s">
        <v>87</v>
      </c>
    </row>
    <row r="2582" spans="1:90" x14ac:dyDescent="0.2">
      <c r="A2582" s="3" t="s">
        <v>72</v>
      </c>
      <c r="B2582" s="3" t="s">
        <v>73</v>
      </c>
      <c r="C2582" s="3" t="s">
        <v>74</v>
      </c>
      <c r="E2582" s="3" t="str">
        <f>"FES1162846640"</f>
        <v>FES1162846640</v>
      </c>
      <c r="F2582" s="4">
        <v>44586</v>
      </c>
      <c r="G2582" s="3">
        <v>202207</v>
      </c>
      <c r="H2582" s="3" t="s">
        <v>75</v>
      </c>
      <c r="I2582" s="3" t="s">
        <v>76</v>
      </c>
      <c r="J2582" s="3" t="s">
        <v>77</v>
      </c>
      <c r="K2582" s="3" t="s">
        <v>78</v>
      </c>
      <c r="L2582" s="3" t="s">
        <v>94</v>
      </c>
      <c r="M2582" s="3" t="s">
        <v>95</v>
      </c>
      <c r="N2582" s="3" t="s">
        <v>1828</v>
      </c>
      <c r="O2582" s="3" t="s">
        <v>82</v>
      </c>
      <c r="P2582" s="3" t="str">
        <f>"2170817972                    "</f>
        <v xml:space="preserve">2170817972                    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15.46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15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3">
        <v>0</v>
      </c>
      <c r="AY2582" s="3">
        <v>0</v>
      </c>
      <c r="AZ2582" s="3">
        <v>0</v>
      </c>
      <c r="BA2582" s="3">
        <v>0</v>
      </c>
      <c r="BB2582" s="3">
        <v>0</v>
      </c>
      <c r="BC2582" s="3">
        <v>0</v>
      </c>
      <c r="BD2582" s="3">
        <v>0</v>
      </c>
      <c r="BE2582" s="3">
        <v>0</v>
      </c>
      <c r="BF2582" s="3">
        <v>0</v>
      </c>
      <c r="BG2582" s="3">
        <v>0</v>
      </c>
      <c r="BH2582" s="3">
        <v>1</v>
      </c>
      <c r="BI2582" s="3">
        <v>1</v>
      </c>
      <c r="BJ2582" s="3">
        <v>0.2</v>
      </c>
      <c r="BK2582" s="3">
        <v>1</v>
      </c>
      <c r="BL2582" s="3">
        <v>74</v>
      </c>
      <c r="BM2582" s="3">
        <v>11.1</v>
      </c>
      <c r="BN2582" s="3">
        <v>85.1</v>
      </c>
      <c r="BO2582" s="3">
        <v>85.1</v>
      </c>
      <c r="BR2582" s="3" t="s">
        <v>84</v>
      </c>
      <c r="BS2582" s="4">
        <v>44587</v>
      </c>
      <c r="BT2582" s="5">
        <v>0.49305555555555558</v>
      </c>
      <c r="BU2582" s="3" t="s">
        <v>2494</v>
      </c>
      <c r="BV2582" s="3" t="s">
        <v>105</v>
      </c>
      <c r="BY2582" s="3">
        <v>1200</v>
      </c>
      <c r="BZ2582" s="3" t="s">
        <v>446</v>
      </c>
      <c r="CC2582" s="3" t="s">
        <v>95</v>
      </c>
      <c r="CD2582" s="3">
        <v>3699</v>
      </c>
      <c r="CE2582" s="3" t="s">
        <v>93</v>
      </c>
      <c r="CF2582" s="4">
        <v>44589</v>
      </c>
      <c r="CI2582" s="3">
        <v>1</v>
      </c>
      <c r="CJ2582" s="3">
        <v>1</v>
      </c>
      <c r="CK2582" s="3">
        <v>21</v>
      </c>
      <c r="CL2582" s="3" t="s">
        <v>87</v>
      </c>
    </row>
    <row r="2583" spans="1:90" x14ac:dyDescent="0.2">
      <c r="A2583" s="3" t="s">
        <v>72</v>
      </c>
      <c r="B2583" s="3" t="s">
        <v>73</v>
      </c>
      <c r="C2583" s="3" t="s">
        <v>74</v>
      </c>
      <c r="E2583" s="3" t="str">
        <f>"FES1162846634"</f>
        <v>FES1162846634</v>
      </c>
      <c r="F2583" s="4">
        <v>44586</v>
      </c>
      <c r="G2583" s="3">
        <v>202207</v>
      </c>
      <c r="H2583" s="3" t="s">
        <v>75</v>
      </c>
      <c r="I2583" s="3" t="s">
        <v>76</v>
      </c>
      <c r="J2583" s="3" t="s">
        <v>77</v>
      </c>
      <c r="K2583" s="3" t="s">
        <v>78</v>
      </c>
      <c r="L2583" s="3" t="s">
        <v>90</v>
      </c>
      <c r="M2583" s="3" t="s">
        <v>91</v>
      </c>
      <c r="N2583" s="3" t="s">
        <v>2495</v>
      </c>
      <c r="O2583" s="3" t="s">
        <v>82</v>
      </c>
      <c r="P2583" s="3" t="str">
        <f>"2170817432                    "</f>
        <v xml:space="preserve">2170817432                    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15.46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0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3">
        <v>0</v>
      </c>
      <c r="AY2583" s="3">
        <v>0</v>
      </c>
      <c r="AZ2583" s="3">
        <v>0</v>
      </c>
      <c r="BA2583" s="3">
        <v>0</v>
      </c>
      <c r="BB2583" s="3">
        <v>0</v>
      </c>
      <c r="BC2583" s="3">
        <v>0</v>
      </c>
      <c r="BD2583" s="3">
        <v>0</v>
      </c>
      <c r="BE2583" s="3">
        <v>0</v>
      </c>
      <c r="BF2583" s="3">
        <v>0</v>
      </c>
      <c r="BG2583" s="3">
        <v>0</v>
      </c>
      <c r="BH2583" s="3">
        <v>1</v>
      </c>
      <c r="BI2583" s="3">
        <v>1</v>
      </c>
      <c r="BJ2583" s="3">
        <v>0.2</v>
      </c>
      <c r="BK2583" s="3">
        <v>1</v>
      </c>
      <c r="BL2583" s="3">
        <v>59</v>
      </c>
      <c r="BM2583" s="3">
        <v>8.85</v>
      </c>
      <c r="BN2583" s="3">
        <v>67.849999999999994</v>
      </c>
      <c r="BO2583" s="3">
        <v>67.849999999999994</v>
      </c>
      <c r="BQ2583" s="3" t="s">
        <v>83</v>
      </c>
      <c r="BR2583" s="3" t="s">
        <v>84</v>
      </c>
      <c r="BS2583" s="4">
        <v>44588</v>
      </c>
      <c r="BT2583" s="5">
        <v>0.37777777777777777</v>
      </c>
      <c r="BU2583" s="3" t="s">
        <v>2496</v>
      </c>
      <c r="BV2583" s="3" t="s">
        <v>87</v>
      </c>
      <c r="BW2583" s="3" t="s">
        <v>457</v>
      </c>
      <c r="BX2583" s="3" t="s">
        <v>758</v>
      </c>
      <c r="BY2583" s="3">
        <v>1200</v>
      </c>
      <c r="BZ2583" s="3" t="s">
        <v>165</v>
      </c>
      <c r="CA2583" s="3" t="s">
        <v>289</v>
      </c>
      <c r="CC2583" s="3" t="s">
        <v>91</v>
      </c>
      <c r="CD2583" s="3">
        <v>7915</v>
      </c>
      <c r="CE2583" s="3" t="s">
        <v>93</v>
      </c>
      <c r="CF2583" s="4">
        <v>44589</v>
      </c>
      <c r="CI2583" s="3">
        <v>1</v>
      </c>
      <c r="CJ2583" s="3">
        <v>2</v>
      </c>
      <c r="CK2583" s="3">
        <v>21</v>
      </c>
      <c r="CL2583" s="3" t="s">
        <v>87</v>
      </c>
    </row>
    <row r="2584" spans="1:90" x14ac:dyDescent="0.2">
      <c r="A2584" s="3" t="s">
        <v>72</v>
      </c>
      <c r="B2584" s="3" t="s">
        <v>73</v>
      </c>
      <c r="C2584" s="3" t="s">
        <v>74</v>
      </c>
      <c r="E2584" s="3" t="str">
        <f>"FES1162846571"</f>
        <v>FES1162846571</v>
      </c>
      <c r="F2584" s="4">
        <v>44586</v>
      </c>
      <c r="G2584" s="3">
        <v>202207</v>
      </c>
      <c r="H2584" s="3" t="s">
        <v>75</v>
      </c>
      <c r="I2584" s="3" t="s">
        <v>76</v>
      </c>
      <c r="J2584" s="3" t="s">
        <v>77</v>
      </c>
      <c r="K2584" s="3" t="s">
        <v>78</v>
      </c>
      <c r="L2584" s="3" t="s">
        <v>180</v>
      </c>
      <c r="M2584" s="3" t="s">
        <v>181</v>
      </c>
      <c r="N2584" s="3" t="s">
        <v>2497</v>
      </c>
      <c r="O2584" s="3" t="s">
        <v>82</v>
      </c>
      <c r="P2584" s="3" t="str">
        <f>"2170817887                    "</f>
        <v xml:space="preserve">2170817887                    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85.26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0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3">
        <v>0</v>
      </c>
      <c r="AY2584" s="3">
        <v>0</v>
      </c>
      <c r="AZ2584" s="3">
        <v>0</v>
      </c>
      <c r="BA2584" s="3">
        <v>0</v>
      </c>
      <c r="BB2584" s="3">
        <v>0</v>
      </c>
      <c r="BC2584" s="3">
        <v>0</v>
      </c>
      <c r="BD2584" s="3">
        <v>0</v>
      </c>
      <c r="BE2584" s="3">
        <v>0</v>
      </c>
      <c r="BF2584" s="3">
        <v>0</v>
      </c>
      <c r="BG2584" s="3">
        <v>0</v>
      </c>
      <c r="BH2584" s="3">
        <v>1</v>
      </c>
      <c r="BI2584" s="3">
        <v>8</v>
      </c>
      <c r="BJ2584" s="3">
        <v>1.5</v>
      </c>
      <c r="BK2584" s="3">
        <v>8</v>
      </c>
      <c r="BL2584" s="3">
        <v>325.42</v>
      </c>
      <c r="BM2584" s="3">
        <v>48.81</v>
      </c>
      <c r="BN2584" s="3">
        <v>374.23</v>
      </c>
      <c r="BO2584" s="3">
        <v>374.23</v>
      </c>
      <c r="BQ2584" s="3" t="s">
        <v>89</v>
      </c>
      <c r="BR2584" s="3" t="s">
        <v>84</v>
      </c>
      <c r="BS2584" s="4">
        <v>44587</v>
      </c>
      <c r="BT2584" s="5">
        <v>0.41666666666666669</v>
      </c>
      <c r="BU2584" s="3" t="s">
        <v>2498</v>
      </c>
      <c r="BV2584" s="3" t="s">
        <v>105</v>
      </c>
      <c r="BY2584" s="3">
        <v>7540</v>
      </c>
      <c r="BZ2584" s="3" t="s">
        <v>165</v>
      </c>
      <c r="CA2584" s="3" t="s">
        <v>373</v>
      </c>
      <c r="CC2584" s="3" t="s">
        <v>181</v>
      </c>
      <c r="CD2584" s="3">
        <v>1871</v>
      </c>
      <c r="CE2584" s="3" t="s">
        <v>86</v>
      </c>
      <c r="CF2584" s="4">
        <v>44588</v>
      </c>
      <c r="CI2584" s="3">
        <v>1</v>
      </c>
      <c r="CJ2584" s="3">
        <v>1</v>
      </c>
      <c r="CK2584" s="3">
        <v>24</v>
      </c>
      <c r="CL2584" s="3" t="s">
        <v>87</v>
      </c>
    </row>
    <row r="2585" spans="1:90" x14ac:dyDescent="0.2">
      <c r="A2585" s="3" t="s">
        <v>72</v>
      </c>
      <c r="B2585" s="3" t="s">
        <v>73</v>
      </c>
      <c r="C2585" s="3" t="s">
        <v>74</v>
      </c>
      <c r="E2585" s="3" t="str">
        <f>"FES1162846703"</f>
        <v>FES1162846703</v>
      </c>
      <c r="F2585" s="4">
        <v>44586</v>
      </c>
      <c r="G2585" s="3">
        <v>202207</v>
      </c>
      <c r="H2585" s="3" t="s">
        <v>75</v>
      </c>
      <c r="I2585" s="3" t="s">
        <v>76</v>
      </c>
      <c r="J2585" s="3" t="s">
        <v>77</v>
      </c>
      <c r="K2585" s="3" t="s">
        <v>78</v>
      </c>
      <c r="L2585" s="3" t="s">
        <v>75</v>
      </c>
      <c r="M2585" s="3" t="s">
        <v>76</v>
      </c>
      <c r="N2585" s="3" t="s">
        <v>147</v>
      </c>
      <c r="O2585" s="3" t="s">
        <v>82</v>
      </c>
      <c r="P2585" s="3" t="str">
        <f>"2170818080                    "</f>
        <v xml:space="preserve">2170818080                    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12.07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0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3">
        <v>0</v>
      </c>
      <c r="AY2585" s="3">
        <v>0</v>
      </c>
      <c r="AZ2585" s="3">
        <v>0</v>
      </c>
      <c r="BA2585" s="3">
        <v>0</v>
      </c>
      <c r="BB2585" s="3">
        <v>0</v>
      </c>
      <c r="BC2585" s="3">
        <v>0</v>
      </c>
      <c r="BD2585" s="3">
        <v>0</v>
      </c>
      <c r="BE2585" s="3">
        <v>0</v>
      </c>
      <c r="BF2585" s="3">
        <v>0</v>
      </c>
      <c r="BG2585" s="3">
        <v>0</v>
      </c>
      <c r="BH2585" s="3">
        <v>1</v>
      </c>
      <c r="BI2585" s="3">
        <v>1</v>
      </c>
      <c r="BJ2585" s="3">
        <v>0.2</v>
      </c>
      <c r="BK2585" s="3">
        <v>1</v>
      </c>
      <c r="BL2585" s="3">
        <v>46.08</v>
      </c>
      <c r="BM2585" s="3">
        <v>6.91</v>
      </c>
      <c r="BN2585" s="3">
        <v>52.99</v>
      </c>
      <c r="BO2585" s="3">
        <v>52.99</v>
      </c>
      <c r="BQ2585" s="3" t="s">
        <v>89</v>
      </c>
      <c r="BR2585" s="3" t="s">
        <v>84</v>
      </c>
      <c r="BS2585" s="4">
        <v>44587</v>
      </c>
      <c r="BT2585" s="5">
        <v>0.4152777777777778</v>
      </c>
      <c r="BU2585" s="3" t="s">
        <v>476</v>
      </c>
      <c r="BV2585" s="3" t="s">
        <v>105</v>
      </c>
      <c r="BY2585" s="3">
        <v>1200</v>
      </c>
      <c r="BZ2585" s="3" t="s">
        <v>165</v>
      </c>
      <c r="CA2585" s="3" t="s">
        <v>477</v>
      </c>
      <c r="CC2585" s="3" t="s">
        <v>76</v>
      </c>
      <c r="CD2585" s="3">
        <v>1645</v>
      </c>
      <c r="CE2585" s="3" t="s">
        <v>93</v>
      </c>
      <c r="CF2585" s="4">
        <v>44588</v>
      </c>
      <c r="CI2585" s="3">
        <v>1</v>
      </c>
      <c r="CJ2585" s="3">
        <v>1</v>
      </c>
      <c r="CK2585" s="3">
        <v>22</v>
      </c>
      <c r="CL2585" s="3" t="s">
        <v>87</v>
      </c>
    </row>
    <row r="2586" spans="1:90" x14ac:dyDescent="0.2">
      <c r="A2586" s="3" t="s">
        <v>72</v>
      </c>
      <c r="B2586" s="3" t="s">
        <v>73</v>
      </c>
      <c r="C2586" s="3" t="s">
        <v>74</v>
      </c>
      <c r="E2586" s="3" t="str">
        <f>"FES1162846770"</f>
        <v>FES1162846770</v>
      </c>
      <c r="F2586" s="4">
        <v>44586</v>
      </c>
      <c r="G2586" s="3">
        <v>202207</v>
      </c>
      <c r="H2586" s="3" t="s">
        <v>75</v>
      </c>
      <c r="I2586" s="3" t="s">
        <v>76</v>
      </c>
      <c r="J2586" s="3" t="s">
        <v>77</v>
      </c>
      <c r="K2586" s="3" t="s">
        <v>78</v>
      </c>
      <c r="L2586" s="3" t="s">
        <v>97</v>
      </c>
      <c r="M2586" s="3" t="s">
        <v>98</v>
      </c>
      <c r="N2586" s="3" t="s">
        <v>482</v>
      </c>
      <c r="O2586" s="3" t="s">
        <v>82</v>
      </c>
      <c r="P2586" s="3" t="str">
        <f>"2170816240                    "</f>
        <v xml:space="preserve">2170816240                    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12.07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0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3">
        <v>0</v>
      </c>
      <c r="AY2586" s="3">
        <v>0</v>
      </c>
      <c r="AZ2586" s="3">
        <v>0</v>
      </c>
      <c r="BA2586" s="3">
        <v>0</v>
      </c>
      <c r="BB2586" s="3">
        <v>0</v>
      </c>
      <c r="BC2586" s="3">
        <v>0</v>
      </c>
      <c r="BD2586" s="3">
        <v>0</v>
      </c>
      <c r="BE2586" s="3">
        <v>0</v>
      </c>
      <c r="BF2586" s="3">
        <v>0</v>
      </c>
      <c r="BG2586" s="3">
        <v>0</v>
      </c>
      <c r="BH2586" s="3">
        <v>1</v>
      </c>
      <c r="BI2586" s="3">
        <v>1</v>
      </c>
      <c r="BJ2586" s="3">
        <v>0.2</v>
      </c>
      <c r="BK2586" s="3">
        <v>1</v>
      </c>
      <c r="BL2586" s="3">
        <v>46.08</v>
      </c>
      <c r="BM2586" s="3">
        <v>6.91</v>
      </c>
      <c r="BN2586" s="3">
        <v>52.99</v>
      </c>
      <c r="BO2586" s="3">
        <v>52.99</v>
      </c>
      <c r="BQ2586" s="3" t="s">
        <v>89</v>
      </c>
      <c r="BR2586" s="3" t="s">
        <v>84</v>
      </c>
      <c r="BS2586" s="4">
        <v>44587</v>
      </c>
      <c r="BT2586" s="5">
        <v>0.40208333333333335</v>
      </c>
      <c r="BU2586" s="3" t="s">
        <v>1380</v>
      </c>
      <c r="BV2586" s="3" t="s">
        <v>105</v>
      </c>
      <c r="BY2586" s="3">
        <v>1200</v>
      </c>
      <c r="BZ2586" s="3" t="s">
        <v>165</v>
      </c>
      <c r="CA2586" s="3" t="s">
        <v>2185</v>
      </c>
      <c r="CC2586" s="3" t="s">
        <v>98</v>
      </c>
      <c r="CD2586" s="3">
        <v>2197</v>
      </c>
      <c r="CE2586" s="3" t="s">
        <v>93</v>
      </c>
      <c r="CF2586" s="4">
        <v>44587</v>
      </c>
      <c r="CI2586" s="3">
        <v>1</v>
      </c>
      <c r="CJ2586" s="3">
        <v>1</v>
      </c>
      <c r="CK2586" s="3">
        <v>22</v>
      </c>
      <c r="CL2586" s="3" t="s">
        <v>87</v>
      </c>
    </row>
    <row r="2587" spans="1:90" x14ac:dyDescent="0.2">
      <c r="A2587" s="3" t="s">
        <v>72</v>
      </c>
      <c r="B2587" s="3" t="s">
        <v>73</v>
      </c>
      <c r="C2587" s="3" t="s">
        <v>74</v>
      </c>
      <c r="E2587" s="3" t="str">
        <f>"FES1162846583"</f>
        <v>FES1162846583</v>
      </c>
      <c r="F2587" s="4">
        <v>44586</v>
      </c>
      <c r="G2587" s="3">
        <v>202207</v>
      </c>
      <c r="H2587" s="3" t="s">
        <v>75</v>
      </c>
      <c r="I2587" s="3" t="s">
        <v>76</v>
      </c>
      <c r="J2587" s="3" t="s">
        <v>77</v>
      </c>
      <c r="K2587" s="3" t="s">
        <v>78</v>
      </c>
      <c r="L2587" s="3" t="s">
        <v>138</v>
      </c>
      <c r="M2587" s="3" t="s">
        <v>139</v>
      </c>
      <c r="N2587" s="3" t="s">
        <v>140</v>
      </c>
      <c r="O2587" s="3" t="s">
        <v>82</v>
      </c>
      <c r="P2587" s="3" t="str">
        <f>"2170817983                    "</f>
        <v xml:space="preserve">2170817983                    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46.36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0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0</v>
      </c>
      <c r="AX2587" s="3">
        <v>0</v>
      </c>
      <c r="AY2587" s="3">
        <v>0</v>
      </c>
      <c r="AZ2587" s="3">
        <v>0</v>
      </c>
      <c r="BA2587" s="3">
        <v>0</v>
      </c>
      <c r="BB2587" s="3">
        <v>0</v>
      </c>
      <c r="BC2587" s="3">
        <v>0</v>
      </c>
      <c r="BD2587" s="3">
        <v>0</v>
      </c>
      <c r="BE2587" s="3">
        <v>0</v>
      </c>
      <c r="BF2587" s="3">
        <v>0</v>
      </c>
      <c r="BG2587" s="3">
        <v>0</v>
      </c>
      <c r="BH2587" s="3">
        <v>1</v>
      </c>
      <c r="BI2587" s="3">
        <v>6</v>
      </c>
      <c r="BJ2587" s="3">
        <v>2</v>
      </c>
      <c r="BK2587" s="3">
        <v>6</v>
      </c>
      <c r="BL2587" s="3">
        <v>176.94</v>
      </c>
      <c r="BM2587" s="3">
        <v>26.54</v>
      </c>
      <c r="BN2587" s="3">
        <v>203.48</v>
      </c>
      <c r="BO2587" s="3">
        <v>203.48</v>
      </c>
      <c r="BQ2587" s="3" t="s">
        <v>126</v>
      </c>
      <c r="BR2587" s="3" t="s">
        <v>84</v>
      </c>
      <c r="BS2587" s="4">
        <v>44587</v>
      </c>
      <c r="BT2587" s="5">
        <v>0.33819444444444446</v>
      </c>
      <c r="BU2587" s="3" t="s">
        <v>819</v>
      </c>
      <c r="BV2587" s="3" t="s">
        <v>105</v>
      </c>
      <c r="BY2587" s="3">
        <v>9918</v>
      </c>
      <c r="BZ2587" s="3" t="s">
        <v>165</v>
      </c>
      <c r="CA2587" s="3" t="s">
        <v>334</v>
      </c>
      <c r="CC2587" s="3" t="s">
        <v>139</v>
      </c>
      <c r="CD2587" s="3">
        <v>3610</v>
      </c>
      <c r="CE2587" s="3" t="s">
        <v>86</v>
      </c>
      <c r="CF2587" s="4">
        <v>44588</v>
      </c>
      <c r="CI2587" s="3">
        <v>1</v>
      </c>
      <c r="CJ2587" s="3">
        <v>1</v>
      </c>
      <c r="CK2587" s="3">
        <v>21</v>
      </c>
      <c r="CL2587" s="3" t="s">
        <v>87</v>
      </c>
    </row>
    <row r="2588" spans="1:90" x14ac:dyDescent="0.2">
      <c r="A2588" s="3" t="s">
        <v>72</v>
      </c>
      <c r="B2588" s="3" t="s">
        <v>73</v>
      </c>
      <c r="C2588" s="3" t="s">
        <v>74</v>
      </c>
      <c r="E2588" s="3" t="str">
        <f>"FES1162846772"</f>
        <v>FES1162846772</v>
      </c>
      <c r="F2588" s="4">
        <v>44586</v>
      </c>
      <c r="G2588" s="3">
        <v>202207</v>
      </c>
      <c r="H2588" s="3" t="s">
        <v>75</v>
      </c>
      <c r="I2588" s="3" t="s">
        <v>76</v>
      </c>
      <c r="J2588" s="3" t="s">
        <v>77</v>
      </c>
      <c r="K2588" s="3" t="s">
        <v>78</v>
      </c>
      <c r="L2588" s="3" t="s">
        <v>75</v>
      </c>
      <c r="M2588" s="3" t="s">
        <v>76</v>
      </c>
      <c r="N2588" s="3" t="s">
        <v>147</v>
      </c>
      <c r="O2588" s="3" t="s">
        <v>82</v>
      </c>
      <c r="P2588" s="3" t="str">
        <f>"2170816263                    "</f>
        <v xml:space="preserve">2170816263                    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12.07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0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3">
        <v>0</v>
      </c>
      <c r="AY2588" s="3">
        <v>0</v>
      </c>
      <c r="AZ2588" s="3">
        <v>0</v>
      </c>
      <c r="BA2588" s="3">
        <v>0</v>
      </c>
      <c r="BB2588" s="3">
        <v>0</v>
      </c>
      <c r="BC2588" s="3">
        <v>0</v>
      </c>
      <c r="BD2588" s="3">
        <v>0</v>
      </c>
      <c r="BE2588" s="3">
        <v>0</v>
      </c>
      <c r="BF2588" s="3">
        <v>0</v>
      </c>
      <c r="BG2588" s="3">
        <v>0</v>
      </c>
      <c r="BH2588" s="3">
        <v>1</v>
      </c>
      <c r="BI2588" s="3">
        <v>1</v>
      </c>
      <c r="BJ2588" s="3">
        <v>0.2</v>
      </c>
      <c r="BK2588" s="3">
        <v>1</v>
      </c>
      <c r="BL2588" s="3">
        <v>46.08</v>
      </c>
      <c r="BM2588" s="3">
        <v>6.91</v>
      </c>
      <c r="BN2588" s="3">
        <v>52.99</v>
      </c>
      <c r="BO2588" s="3">
        <v>52.99</v>
      </c>
      <c r="BQ2588" s="3" t="s">
        <v>89</v>
      </c>
      <c r="BR2588" s="3" t="s">
        <v>84</v>
      </c>
      <c r="BS2588" s="4">
        <v>44587</v>
      </c>
      <c r="BT2588" s="5">
        <v>0.4152777777777778</v>
      </c>
      <c r="BU2588" s="3" t="s">
        <v>476</v>
      </c>
      <c r="BV2588" s="3" t="s">
        <v>105</v>
      </c>
      <c r="BY2588" s="3">
        <v>1200</v>
      </c>
      <c r="BZ2588" s="3" t="s">
        <v>165</v>
      </c>
      <c r="CA2588" s="3" t="s">
        <v>477</v>
      </c>
      <c r="CC2588" s="3" t="s">
        <v>76</v>
      </c>
      <c r="CD2588" s="3">
        <v>1645</v>
      </c>
      <c r="CE2588" s="3" t="s">
        <v>93</v>
      </c>
      <c r="CF2588" s="4">
        <v>44588</v>
      </c>
      <c r="CI2588" s="3">
        <v>1</v>
      </c>
      <c r="CJ2588" s="3">
        <v>1</v>
      </c>
      <c r="CK2588" s="3">
        <v>22</v>
      </c>
      <c r="CL2588" s="3" t="s">
        <v>87</v>
      </c>
    </row>
    <row r="2589" spans="1:90" x14ac:dyDescent="0.2">
      <c r="A2589" s="3" t="s">
        <v>72</v>
      </c>
      <c r="B2589" s="3" t="s">
        <v>73</v>
      </c>
      <c r="C2589" s="3" t="s">
        <v>74</v>
      </c>
      <c r="E2589" s="3" t="str">
        <f>"FES1162846480"</f>
        <v>FES1162846480</v>
      </c>
      <c r="F2589" s="4">
        <v>44586</v>
      </c>
      <c r="G2589" s="3">
        <v>202207</v>
      </c>
      <c r="H2589" s="3" t="s">
        <v>75</v>
      </c>
      <c r="I2589" s="3" t="s">
        <v>76</v>
      </c>
      <c r="J2589" s="3" t="s">
        <v>77</v>
      </c>
      <c r="K2589" s="3" t="s">
        <v>78</v>
      </c>
      <c r="L2589" s="3" t="s">
        <v>101</v>
      </c>
      <c r="M2589" s="3" t="s">
        <v>102</v>
      </c>
      <c r="N2589" s="3" t="s">
        <v>103</v>
      </c>
      <c r="O2589" s="3" t="s">
        <v>82</v>
      </c>
      <c r="P2589" s="3" t="str">
        <f>"2170815734                    "</f>
        <v xml:space="preserve">2170815734                    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38.630000000000003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Q2589" s="3">
        <v>0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3">
        <v>0</v>
      </c>
      <c r="AY2589" s="3">
        <v>0</v>
      </c>
      <c r="AZ2589" s="3">
        <v>0</v>
      </c>
      <c r="BA2589" s="3">
        <v>0</v>
      </c>
      <c r="BB2589" s="3">
        <v>0</v>
      </c>
      <c r="BC2589" s="3">
        <v>0</v>
      </c>
      <c r="BD2589" s="3">
        <v>0</v>
      </c>
      <c r="BE2589" s="3">
        <v>0</v>
      </c>
      <c r="BF2589" s="3">
        <v>0</v>
      </c>
      <c r="BG2589" s="3">
        <v>0</v>
      </c>
      <c r="BH2589" s="3">
        <v>1</v>
      </c>
      <c r="BI2589" s="3">
        <v>5</v>
      </c>
      <c r="BJ2589" s="3">
        <v>4.0999999999999996</v>
      </c>
      <c r="BK2589" s="3">
        <v>5</v>
      </c>
      <c r="BL2589" s="3">
        <v>147.44999999999999</v>
      </c>
      <c r="BM2589" s="3">
        <v>22.12</v>
      </c>
      <c r="BN2589" s="3">
        <v>169.57</v>
      </c>
      <c r="BO2589" s="3">
        <v>169.57</v>
      </c>
      <c r="BQ2589" s="3" t="s">
        <v>83</v>
      </c>
      <c r="BR2589" s="3" t="s">
        <v>84</v>
      </c>
      <c r="BS2589" s="4">
        <v>44587</v>
      </c>
      <c r="BT2589" s="5">
        <v>0.32013888888888892</v>
      </c>
      <c r="BU2589" s="3" t="s">
        <v>463</v>
      </c>
      <c r="BV2589" s="3" t="s">
        <v>105</v>
      </c>
      <c r="BY2589" s="3">
        <v>20358</v>
      </c>
      <c r="BZ2589" s="3" t="s">
        <v>165</v>
      </c>
      <c r="CA2589" s="3" t="s">
        <v>334</v>
      </c>
      <c r="CC2589" s="3" t="s">
        <v>102</v>
      </c>
      <c r="CD2589" s="3">
        <v>4001</v>
      </c>
      <c r="CE2589" s="3" t="s">
        <v>86</v>
      </c>
      <c r="CF2589" s="4">
        <v>44588</v>
      </c>
      <c r="CI2589" s="3">
        <v>1</v>
      </c>
      <c r="CJ2589" s="3">
        <v>1</v>
      </c>
      <c r="CK2589" s="3">
        <v>21</v>
      </c>
      <c r="CL2589" s="3" t="s">
        <v>87</v>
      </c>
    </row>
    <row r="2590" spans="1:90" x14ac:dyDescent="0.2">
      <c r="A2590" s="3" t="s">
        <v>72</v>
      </c>
      <c r="B2590" s="3" t="s">
        <v>73</v>
      </c>
      <c r="C2590" s="3" t="s">
        <v>74</v>
      </c>
      <c r="E2590" s="3" t="str">
        <f>"FES1162846651"</f>
        <v>FES1162846651</v>
      </c>
      <c r="F2590" s="4">
        <v>44586</v>
      </c>
      <c r="G2590" s="3">
        <v>202207</v>
      </c>
      <c r="H2590" s="3" t="s">
        <v>75</v>
      </c>
      <c r="I2590" s="3" t="s">
        <v>76</v>
      </c>
      <c r="J2590" s="3" t="s">
        <v>77</v>
      </c>
      <c r="K2590" s="3" t="s">
        <v>78</v>
      </c>
      <c r="L2590" s="3" t="s">
        <v>138</v>
      </c>
      <c r="M2590" s="3" t="s">
        <v>139</v>
      </c>
      <c r="N2590" s="3" t="s">
        <v>729</v>
      </c>
      <c r="O2590" s="3" t="s">
        <v>82</v>
      </c>
      <c r="P2590" s="3" t="str">
        <f>"2170818040                    "</f>
        <v xml:space="preserve">2170818040                    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15.46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0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3">
        <v>0</v>
      </c>
      <c r="AY2590" s="3">
        <v>0</v>
      </c>
      <c r="AZ2590" s="3">
        <v>0</v>
      </c>
      <c r="BA2590" s="3">
        <v>0</v>
      </c>
      <c r="BB2590" s="3">
        <v>0</v>
      </c>
      <c r="BC2590" s="3">
        <v>0</v>
      </c>
      <c r="BD2590" s="3">
        <v>0</v>
      </c>
      <c r="BE2590" s="3">
        <v>0</v>
      </c>
      <c r="BF2590" s="3">
        <v>0</v>
      </c>
      <c r="BG2590" s="3">
        <v>0</v>
      </c>
      <c r="BH2590" s="3">
        <v>1</v>
      </c>
      <c r="BI2590" s="3">
        <v>1</v>
      </c>
      <c r="BJ2590" s="3">
        <v>0.2</v>
      </c>
      <c r="BK2590" s="3">
        <v>1</v>
      </c>
      <c r="BL2590" s="3">
        <v>59</v>
      </c>
      <c r="BM2590" s="3">
        <v>8.85</v>
      </c>
      <c r="BN2590" s="3">
        <v>67.849999999999994</v>
      </c>
      <c r="BO2590" s="3">
        <v>67.849999999999994</v>
      </c>
      <c r="BQ2590" s="3" t="s">
        <v>89</v>
      </c>
      <c r="BR2590" s="3" t="s">
        <v>84</v>
      </c>
      <c r="BS2590" s="4">
        <v>44587</v>
      </c>
      <c r="BT2590" s="5">
        <v>0.36527777777777781</v>
      </c>
      <c r="BU2590" s="3" t="s">
        <v>2209</v>
      </c>
      <c r="BV2590" s="3" t="s">
        <v>105</v>
      </c>
      <c r="BY2590" s="3">
        <v>1200</v>
      </c>
      <c r="BZ2590" s="3" t="s">
        <v>165</v>
      </c>
      <c r="CA2590" s="3" t="s">
        <v>334</v>
      </c>
      <c r="CC2590" s="3" t="s">
        <v>139</v>
      </c>
      <c r="CD2590" s="3">
        <v>3610</v>
      </c>
      <c r="CE2590" s="3" t="s">
        <v>93</v>
      </c>
      <c r="CF2590" s="4">
        <v>44588</v>
      </c>
      <c r="CI2590" s="3">
        <v>1</v>
      </c>
      <c r="CJ2590" s="3">
        <v>1</v>
      </c>
      <c r="CK2590" s="3">
        <v>21</v>
      </c>
      <c r="CL2590" s="3" t="s">
        <v>87</v>
      </c>
    </row>
    <row r="2591" spans="1:90" x14ac:dyDescent="0.2">
      <c r="A2591" s="3" t="s">
        <v>72</v>
      </c>
      <c r="B2591" s="3" t="s">
        <v>73</v>
      </c>
      <c r="C2591" s="3" t="s">
        <v>74</v>
      </c>
      <c r="E2591" s="3" t="str">
        <f>"FES1162846550"</f>
        <v>FES1162846550</v>
      </c>
      <c r="F2591" s="4">
        <v>44586</v>
      </c>
      <c r="G2591" s="3">
        <v>202207</v>
      </c>
      <c r="H2591" s="3" t="s">
        <v>75</v>
      </c>
      <c r="I2591" s="3" t="s">
        <v>76</v>
      </c>
      <c r="J2591" s="3" t="s">
        <v>77</v>
      </c>
      <c r="K2591" s="3" t="s">
        <v>78</v>
      </c>
      <c r="L2591" s="3" t="s">
        <v>97</v>
      </c>
      <c r="M2591" s="3" t="s">
        <v>98</v>
      </c>
      <c r="N2591" s="3" t="s">
        <v>2499</v>
      </c>
      <c r="O2591" s="3" t="s">
        <v>82</v>
      </c>
      <c r="P2591" s="3" t="str">
        <f>"2170817950                    "</f>
        <v xml:space="preserve">2170817950                    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0</v>
      </c>
      <c r="AJ2591" s="3">
        <v>0</v>
      </c>
      <c r="AK2591" s="3">
        <v>12.07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Q2591" s="3">
        <v>15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3">
        <v>0</v>
      </c>
      <c r="AY2591" s="3">
        <v>0</v>
      </c>
      <c r="AZ2591" s="3">
        <v>0</v>
      </c>
      <c r="BA2591" s="3">
        <v>0</v>
      </c>
      <c r="BB2591" s="3">
        <v>0</v>
      </c>
      <c r="BC2591" s="3">
        <v>0</v>
      </c>
      <c r="BD2591" s="3">
        <v>0</v>
      </c>
      <c r="BE2591" s="3">
        <v>0</v>
      </c>
      <c r="BF2591" s="3">
        <v>0</v>
      </c>
      <c r="BG2591" s="3">
        <v>0</v>
      </c>
      <c r="BH2591" s="3">
        <v>1</v>
      </c>
      <c r="BI2591" s="3">
        <v>1</v>
      </c>
      <c r="BJ2591" s="3">
        <v>0.2</v>
      </c>
      <c r="BK2591" s="3">
        <v>1</v>
      </c>
      <c r="BL2591" s="3">
        <v>61.08</v>
      </c>
      <c r="BM2591" s="3">
        <v>9.16</v>
      </c>
      <c r="BN2591" s="3">
        <v>70.239999999999995</v>
      </c>
      <c r="BO2591" s="3">
        <v>70.239999999999995</v>
      </c>
      <c r="BQ2591" s="3" t="s">
        <v>2500</v>
      </c>
      <c r="BR2591" s="3" t="s">
        <v>84</v>
      </c>
      <c r="BS2591" s="4">
        <v>44587</v>
      </c>
      <c r="BT2591" s="5">
        <v>0.43055555555555558</v>
      </c>
      <c r="BU2591" s="3" t="s">
        <v>2501</v>
      </c>
      <c r="BV2591" s="3" t="s">
        <v>105</v>
      </c>
      <c r="BY2591" s="3">
        <v>1200</v>
      </c>
      <c r="BZ2591" s="3" t="s">
        <v>446</v>
      </c>
      <c r="CA2591" s="3" t="s">
        <v>2502</v>
      </c>
      <c r="CC2591" s="3" t="s">
        <v>98</v>
      </c>
      <c r="CD2591" s="3">
        <v>2001</v>
      </c>
      <c r="CE2591" s="3" t="s">
        <v>93</v>
      </c>
      <c r="CF2591" s="4">
        <v>44588</v>
      </c>
      <c r="CI2591" s="3">
        <v>1</v>
      </c>
      <c r="CJ2591" s="3">
        <v>1</v>
      </c>
      <c r="CK2591" s="3">
        <v>22</v>
      </c>
      <c r="CL2591" s="3" t="s">
        <v>87</v>
      </c>
    </row>
    <row r="2592" spans="1:90" x14ac:dyDescent="0.2">
      <c r="A2592" s="3" t="s">
        <v>72</v>
      </c>
      <c r="B2592" s="3" t="s">
        <v>73</v>
      </c>
      <c r="C2592" s="3" t="s">
        <v>74</v>
      </c>
      <c r="E2592" s="3" t="str">
        <f>"FES1162846444"</f>
        <v>FES1162846444</v>
      </c>
      <c r="F2592" s="4">
        <v>44586</v>
      </c>
      <c r="G2592" s="3">
        <v>202207</v>
      </c>
      <c r="H2592" s="3" t="s">
        <v>75</v>
      </c>
      <c r="I2592" s="3" t="s">
        <v>76</v>
      </c>
      <c r="J2592" s="3" t="s">
        <v>77</v>
      </c>
      <c r="K2592" s="3" t="s">
        <v>78</v>
      </c>
      <c r="L2592" s="3" t="s">
        <v>90</v>
      </c>
      <c r="M2592" s="3" t="s">
        <v>91</v>
      </c>
      <c r="N2592" s="3" t="s">
        <v>132</v>
      </c>
      <c r="O2592" s="3" t="s">
        <v>82</v>
      </c>
      <c r="P2592" s="3" t="str">
        <f>"2170815364                    "</f>
        <v xml:space="preserve">2170815364                    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0</v>
      </c>
      <c r="AJ2592" s="3">
        <v>0</v>
      </c>
      <c r="AK2592" s="3">
        <v>61.81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Q2592" s="3">
        <v>0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3">
        <v>0</v>
      </c>
      <c r="AY2592" s="3">
        <v>0</v>
      </c>
      <c r="AZ2592" s="3">
        <v>0</v>
      </c>
      <c r="BA2592" s="3">
        <v>0</v>
      </c>
      <c r="BB2592" s="3">
        <v>0</v>
      </c>
      <c r="BC2592" s="3">
        <v>0</v>
      </c>
      <c r="BD2592" s="3">
        <v>0</v>
      </c>
      <c r="BE2592" s="3">
        <v>0</v>
      </c>
      <c r="BF2592" s="3">
        <v>0</v>
      </c>
      <c r="BG2592" s="3">
        <v>0</v>
      </c>
      <c r="BH2592" s="3">
        <v>1</v>
      </c>
      <c r="BI2592" s="3">
        <v>8</v>
      </c>
      <c r="BJ2592" s="3">
        <v>4.0999999999999996</v>
      </c>
      <c r="BK2592" s="3">
        <v>8</v>
      </c>
      <c r="BL2592" s="3">
        <v>235.91</v>
      </c>
      <c r="BM2592" s="3">
        <v>35.39</v>
      </c>
      <c r="BN2592" s="3">
        <v>271.3</v>
      </c>
      <c r="BO2592" s="3">
        <v>271.3</v>
      </c>
      <c r="BQ2592" s="3" t="s">
        <v>83</v>
      </c>
      <c r="BR2592" s="3" t="s">
        <v>84</v>
      </c>
      <c r="BS2592" s="4">
        <v>44587</v>
      </c>
      <c r="BT2592" s="5">
        <v>0.48888888888888887</v>
      </c>
      <c r="BU2592" s="3" t="s">
        <v>595</v>
      </c>
      <c r="BV2592" s="3" t="s">
        <v>87</v>
      </c>
      <c r="BW2592" s="3" t="s">
        <v>457</v>
      </c>
      <c r="BX2592" s="3" t="s">
        <v>354</v>
      </c>
      <c r="BY2592" s="3">
        <v>20358</v>
      </c>
      <c r="BZ2592" s="3" t="s">
        <v>165</v>
      </c>
      <c r="CA2592" s="3" t="s">
        <v>1633</v>
      </c>
      <c r="CC2592" s="3" t="s">
        <v>91</v>
      </c>
      <c r="CD2592" s="3">
        <v>7530</v>
      </c>
      <c r="CE2592" s="3" t="s">
        <v>86</v>
      </c>
      <c r="CF2592" s="4">
        <v>44588</v>
      </c>
      <c r="CI2592" s="3">
        <v>1</v>
      </c>
      <c r="CJ2592" s="3">
        <v>1</v>
      </c>
      <c r="CK2592" s="3">
        <v>21</v>
      </c>
      <c r="CL2592" s="3" t="s">
        <v>87</v>
      </c>
    </row>
    <row r="2593" spans="1:90" x14ac:dyDescent="0.2">
      <c r="A2593" s="3" t="s">
        <v>72</v>
      </c>
      <c r="B2593" s="3" t="s">
        <v>73</v>
      </c>
      <c r="C2593" s="3" t="s">
        <v>74</v>
      </c>
      <c r="E2593" s="3" t="str">
        <f>"FES1162846799"</f>
        <v>FES1162846799</v>
      </c>
      <c r="F2593" s="4">
        <v>44586</v>
      </c>
      <c r="G2593" s="3">
        <v>202207</v>
      </c>
      <c r="H2593" s="3" t="s">
        <v>75</v>
      </c>
      <c r="I2593" s="3" t="s">
        <v>76</v>
      </c>
      <c r="J2593" s="3" t="s">
        <v>77</v>
      </c>
      <c r="K2593" s="3" t="s">
        <v>78</v>
      </c>
      <c r="L2593" s="3" t="s">
        <v>90</v>
      </c>
      <c r="M2593" s="3" t="s">
        <v>91</v>
      </c>
      <c r="N2593" s="3" t="s">
        <v>112</v>
      </c>
      <c r="O2593" s="3" t="s">
        <v>82</v>
      </c>
      <c r="P2593" s="3" t="str">
        <f>"2170818088                    "</f>
        <v xml:space="preserve">2170818088                    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0</v>
      </c>
      <c r="AJ2593" s="3">
        <v>0</v>
      </c>
      <c r="AK2593" s="3">
        <v>15.46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0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3">
        <v>0</v>
      </c>
      <c r="AY2593" s="3">
        <v>0</v>
      </c>
      <c r="AZ2593" s="3">
        <v>0</v>
      </c>
      <c r="BA2593" s="3">
        <v>0</v>
      </c>
      <c r="BB2593" s="3">
        <v>0</v>
      </c>
      <c r="BC2593" s="3">
        <v>0</v>
      </c>
      <c r="BD2593" s="3">
        <v>0</v>
      </c>
      <c r="BE2593" s="3">
        <v>0</v>
      </c>
      <c r="BF2593" s="3">
        <v>0</v>
      </c>
      <c r="BG2593" s="3">
        <v>0</v>
      </c>
      <c r="BH2593" s="3">
        <v>1</v>
      </c>
      <c r="BI2593" s="3">
        <v>1</v>
      </c>
      <c r="BJ2593" s="3">
        <v>0.2</v>
      </c>
      <c r="BK2593" s="3">
        <v>1</v>
      </c>
      <c r="BL2593" s="3">
        <v>59</v>
      </c>
      <c r="BM2593" s="3">
        <v>8.85</v>
      </c>
      <c r="BN2593" s="3">
        <v>67.849999999999994</v>
      </c>
      <c r="BO2593" s="3">
        <v>67.849999999999994</v>
      </c>
      <c r="BQ2593" s="3" t="s">
        <v>113</v>
      </c>
      <c r="BR2593" s="3" t="s">
        <v>84</v>
      </c>
      <c r="BS2593" s="4">
        <v>44587</v>
      </c>
      <c r="BT2593" s="5">
        <v>0.34791666666666665</v>
      </c>
      <c r="BU2593" s="3" t="s">
        <v>2134</v>
      </c>
      <c r="BV2593" s="3" t="s">
        <v>105</v>
      </c>
      <c r="BY2593" s="3">
        <v>1200</v>
      </c>
      <c r="BZ2593" s="3" t="s">
        <v>165</v>
      </c>
      <c r="CA2593" s="3" t="s">
        <v>1112</v>
      </c>
      <c r="CC2593" s="3" t="s">
        <v>91</v>
      </c>
      <c r="CD2593" s="3">
        <v>7405</v>
      </c>
      <c r="CE2593" s="3" t="s">
        <v>93</v>
      </c>
      <c r="CF2593" s="4">
        <v>44588</v>
      </c>
      <c r="CI2593" s="3">
        <v>1</v>
      </c>
      <c r="CJ2593" s="3">
        <v>1</v>
      </c>
      <c r="CK2593" s="3">
        <v>21</v>
      </c>
      <c r="CL2593" s="3" t="s">
        <v>87</v>
      </c>
    </row>
    <row r="2594" spans="1:90" x14ac:dyDescent="0.2">
      <c r="A2594" s="3" t="s">
        <v>72</v>
      </c>
      <c r="B2594" s="3" t="s">
        <v>73</v>
      </c>
      <c r="C2594" s="3" t="s">
        <v>74</v>
      </c>
      <c r="E2594" s="3" t="str">
        <f>"FES1162847284"</f>
        <v>FES1162847284</v>
      </c>
      <c r="F2594" s="4">
        <v>44588</v>
      </c>
      <c r="G2594" s="3">
        <v>202207</v>
      </c>
      <c r="H2594" s="3" t="s">
        <v>75</v>
      </c>
      <c r="I2594" s="3" t="s">
        <v>76</v>
      </c>
      <c r="J2594" s="3" t="s">
        <v>77</v>
      </c>
      <c r="K2594" s="3" t="s">
        <v>78</v>
      </c>
      <c r="L2594" s="3" t="s">
        <v>97</v>
      </c>
      <c r="M2594" s="3" t="s">
        <v>98</v>
      </c>
      <c r="N2594" s="3" t="s">
        <v>1408</v>
      </c>
      <c r="O2594" s="3" t="s">
        <v>82</v>
      </c>
      <c r="P2594" s="3" t="str">
        <f>"2170816981                    "</f>
        <v xml:space="preserve">2170816981                    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0</v>
      </c>
      <c r="AJ2594" s="3">
        <v>0</v>
      </c>
      <c r="AK2594" s="3">
        <v>12.07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0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3">
        <v>0</v>
      </c>
      <c r="AY2594" s="3">
        <v>0</v>
      </c>
      <c r="AZ2594" s="3">
        <v>0</v>
      </c>
      <c r="BA2594" s="3">
        <v>0</v>
      </c>
      <c r="BB2594" s="3">
        <v>0</v>
      </c>
      <c r="BC2594" s="3">
        <v>0</v>
      </c>
      <c r="BD2594" s="3">
        <v>0</v>
      </c>
      <c r="BE2594" s="3">
        <v>0</v>
      </c>
      <c r="BF2594" s="3">
        <v>0</v>
      </c>
      <c r="BG2594" s="3">
        <v>0</v>
      </c>
      <c r="BH2594" s="3">
        <v>1</v>
      </c>
      <c r="BI2594" s="3">
        <v>1</v>
      </c>
      <c r="BJ2594" s="3">
        <v>0.2</v>
      </c>
      <c r="BK2594" s="3">
        <v>1</v>
      </c>
      <c r="BL2594" s="3">
        <v>46.08</v>
      </c>
      <c r="BM2594" s="3">
        <v>6.91</v>
      </c>
      <c r="BN2594" s="3">
        <v>52.99</v>
      </c>
      <c r="BO2594" s="3">
        <v>52.99</v>
      </c>
      <c r="BR2594" s="3" t="s">
        <v>84</v>
      </c>
      <c r="BS2594" s="4">
        <v>44589</v>
      </c>
      <c r="BT2594" s="5">
        <v>0.38541666666666669</v>
      </c>
      <c r="BU2594" s="3" t="s">
        <v>2503</v>
      </c>
      <c r="BV2594" s="3" t="s">
        <v>105</v>
      </c>
      <c r="BY2594" s="3">
        <v>1200</v>
      </c>
      <c r="BZ2594" s="3" t="s">
        <v>165</v>
      </c>
      <c r="CA2594" s="3" t="s">
        <v>2504</v>
      </c>
      <c r="CC2594" s="3" t="s">
        <v>98</v>
      </c>
      <c r="CD2594" s="3">
        <v>2049</v>
      </c>
      <c r="CE2594" s="3" t="s">
        <v>86</v>
      </c>
      <c r="CF2594" s="4">
        <v>44590</v>
      </c>
      <c r="CI2594" s="3">
        <v>1</v>
      </c>
      <c r="CJ2594" s="3">
        <v>1</v>
      </c>
      <c r="CK2594" s="3">
        <v>22</v>
      </c>
      <c r="CL2594" s="3" t="s">
        <v>87</v>
      </c>
    </row>
    <row r="2595" spans="1:90" x14ac:dyDescent="0.2">
      <c r="A2595" s="3" t="s">
        <v>72</v>
      </c>
      <c r="B2595" s="3" t="s">
        <v>73</v>
      </c>
      <c r="C2595" s="3" t="s">
        <v>74</v>
      </c>
      <c r="E2595" s="3" t="str">
        <f>"FES1162847299"</f>
        <v>FES1162847299</v>
      </c>
      <c r="F2595" s="4">
        <v>44588</v>
      </c>
      <c r="G2595" s="3">
        <v>202207</v>
      </c>
      <c r="H2595" s="3" t="s">
        <v>75</v>
      </c>
      <c r="I2595" s="3" t="s">
        <v>76</v>
      </c>
      <c r="J2595" s="3" t="s">
        <v>77</v>
      </c>
      <c r="K2595" s="3" t="s">
        <v>78</v>
      </c>
      <c r="L2595" s="3" t="s">
        <v>171</v>
      </c>
      <c r="M2595" s="3" t="s">
        <v>172</v>
      </c>
      <c r="N2595" s="3" t="s">
        <v>454</v>
      </c>
      <c r="O2595" s="3" t="s">
        <v>82</v>
      </c>
      <c r="P2595" s="3" t="str">
        <f>"2170818543                    "</f>
        <v xml:space="preserve">2170818543                    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0</v>
      </c>
      <c r="AJ2595" s="3">
        <v>0</v>
      </c>
      <c r="AK2595" s="3">
        <v>42.49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0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3">
        <v>0</v>
      </c>
      <c r="AY2595" s="3">
        <v>0</v>
      </c>
      <c r="AZ2595" s="3">
        <v>0</v>
      </c>
      <c r="BA2595" s="3">
        <v>0</v>
      </c>
      <c r="BB2595" s="3">
        <v>0</v>
      </c>
      <c r="BC2595" s="3">
        <v>0</v>
      </c>
      <c r="BD2595" s="3">
        <v>0</v>
      </c>
      <c r="BE2595" s="3">
        <v>0</v>
      </c>
      <c r="BF2595" s="3">
        <v>0</v>
      </c>
      <c r="BG2595" s="3">
        <v>0</v>
      </c>
      <c r="BH2595" s="3">
        <v>1</v>
      </c>
      <c r="BI2595" s="3">
        <v>4</v>
      </c>
      <c r="BJ2595" s="3">
        <v>5.2</v>
      </c>
      <c r="BK2595" s="3">
        <v>5.5</v>
      </c>
      <c r="BL2595" s="3">
        <v>162.19</v>
      </c>
      <c r="BM2595" s="3">
        <v>24.33</v>
      </c>
      <c r="BN2595" s="3">
        <v>186.52</v>
      </c>
      <c r="BO2595" s="3">
        <v>186.52</v>
      </c>
      <c r="BQ2595" s="3" t="s">
        <v>89</v>
      </c>
      <c r="BR2595" s="3" t="s">
        <v>84</v>
      </c>
      <c r="BS2595" s="4">
        <v>44589</v>
      </c>
      <c r="BT2595" s="5">
        <v>0.38263888888888892</v>
      </c>
      <c r="BU2595" s="3" t="s">
        <v>2201</v>
      </c>
      <c r="BV2595" s="3" t="s">
        <v>105</v>
      </c>
      <c r="BY2595" s="3">
        <v>26136</v>
      </c>
      <c r="BZ2595" s="3" t="s">
        <v>165</v>
      </c>
      <c r="CA2595" s="3" t="s">
        <v>509</v>
      </c>
      <c r="CC2595" s="3" t="s">
        <v>172</v>
      </c>
      <c r="CD2595" s="3">
        <v>6001</v>
      </c>
      <c r="CE2595" s="3" t="s">
        <v>86</v>
      </c>
      <c r="CF2595" s="4">
        <v>44589</v>
      </c>
      <c r="CI2595" s="3">
        <v>1</v>
      </c>
      <c r="CJ2595" s="3">
        <v>1</v>
      </c>
      <c r="CK2595" s="3">
        <v>21</v>
      </c>
      <c r="CL2595" s="3" t="s">
        <v>87</v>
      </c>
    </row>
    <row r="2596" spans="1:90" x14ac:dyDescent="0.2">
      <c r="A2596" s="3" t="s">
        <v>72</v>
      </c>
      <c r="B2596" s="3" t="s">
        <v>73</v>
      </c>
      <c r="C2596" s="3" t="s">
        <v>74</v>
      </c>
      <c r="E2596" s="3" t="str">
        <f>"FES1162847176"</f>
        <v>FES1162847176</v>
      </c>
      <c r="F2596" s="4">
        <v>44588</v>
      </c>
      <c r="G2596" s="3">
        <v>202207</v>
      </c>
      <c r="H2596" s="3" t="s">
        <v>75</v>
      </c>
      <c r="I2596" s="3" t="s">
        <v>76</v>
      </c>
      <c r="J2596" s="3" t="s">
        <v>77</v>
      </c>
      <c r="K2596" s="3" t="s">
        <v>78</v>
      </c>
      <c r="L2596" s="3" t="s">
        <v>202</v>
      </c>
      <c r="M2596" s="3" t="s">
        <v>202</v>
      </c>
      <c r="N2596" s="3" t="s">
        <v>189</v>
      </c>
      <c r="O2596" s="3" t="s">
        <v>82</v>
      </c>
      <c r="P2596" s="3" t="str">
        <f>"2170814705                    "</f>
        <v xml:space="preserve">2170814705                    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0</v>
      </c>
      <c r="AJ2596" s="3">
        <v>0</v>
      </c>
      <c r="AK2596" s="3">
        <v>29.95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0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3">
        <v>0</v>
      </c>
      <c r="AY2596" s="3">
        <v>0</v>
      </c>
      <c r="AZ2596" s="3">
        <v>0</v>
      </c>
      <c r="BA2596" s="3">
        <v>0</v>
      </c>
      <c r="BB2596" s="3">
        <v>0</v>
      </c>
      <c r="BC2596" s="3">
        <v>0</v>
      </c>
      <c r="BD2596" s="3">
        <v>0</v>
      </c>
      <c r="BE2596" s="3">
        <v>0</v>
      </c>
      <c r="BF2596" s="3">
        <v>0</v>
      </c>
      <c r="BG2596" s="3">
        <v>0</v>
      </c>
      <c r="BH2596" s="3">
        <v>1</v>
      </c>
      <c r="BI2596" s="3">
        <v>1</v>
      </c>
      <c r="BJ2596" s="3">
        <v>0.2</v>
      </c>
      <c r="BK2596" s="3">
        <v>1</v>
      </c>
      <c r="BL2596" s="3">
        <v>114.31</v>
      </c>
      <c r="BM2596" s="3">
        <v>17.149999999999999</v>
      </c>
      <c r="BN2596" s="3">
        <v>131.46</v>
      </c>
      <c r="BO2596" s="3">
        <v>131.46</v>
      </c>
      <c r="BQ2596" s="3" t="s">
        <v>89</v>
      </c>
      <c r="BR2596" s="3" t="s">
        <v>84</v>
      </c>
      <c r="BS2596" s="4">
        <v>44589</v>
      </c>
      <c r="BT2596" s="5">
        <v>0.58680555555555558</v>
      </c>
      <c r="BU2596" s="3" t="s">
        <v>2505</v>
      </c>
      <c r="BV2596" s="3" t="s">
        <v>105</v>
      </c>
      <c r="BY2596" s="3">
        <v>1200</v>
      </c>
      <c r="BZ2596" s="3" t="s">
        <v>165</v>
      </c>
      <c r="CA2596" s="3" t="s">
        <v>2506</v>
      </c>
      <c r="CC2596" s="3" t="s">
        <v>202</v>
      </c>
      <c r="CD2596" s="3">
        <v>6835</v>
      </c>
      <c r="CE2596" s="3" t="s">
        <v>93</v>
      </c>
      <c r="CI2596" s="3">
        <v>2</v>
      </c>
      <c r="CJ2596" s="3">
        <v>1</v>
      </c>
      <c r="CK2596" s="3">
        <v>23</v>
      </c>
      <c r="CL2596" s="3" t="s">
        <v>87</v>
      </c>
    </row>
    <row r="2597" spans="1:90" x14ac:dyDescent="0.2">
      <c r="A2597" s="3" t="s">
        <v>72</v>
      </c>
      <c r="B2597" s="3" t="s">
        <v>73</v>
      </c>
      <c r="C2597" s="3" t="s">
        <v>74</v>
      </c>
      <c r="E2597" s="3" t="str">
        <f>"FES1162847198"</f>
        <v>FES1162847198</v>
      </c>
      <c r="F2597" s="4">
        <v>44588</v>
      </c>
      <c r="G2597" s="3">
        <v>202207</v>
      </c>
      <c r="H2597" s="3" t="s">
        <v>75</v>
      </c>
      <c r="I2597" s="3" t="s">
        <v>76</v>
      </c>
      <c r="J2597" s="3" t="s">
        <v>77</v>
      </c>
      <c r="K2597" s="3" t="s">
        <v>78</v>
      </c>
      <c r="L2597" s="3" t="s">
        <v>101</v>
      </c>
      <c r="M2597" s="3" t="s">
        <v>102</v>
      </c>
      <c r="N2597" s="3" t="s">
        <v>935</v>
      </c>
      <c r="O2597" s="3" t="s">
        <v>82</v>
      </c>
      <c r="P2597" s="3" t="str">
        <f>"2170818506                    "</f>
        <v xml:space="preserve">2170818506                    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0</v>
      </c>
      <c r="AJ2597" s="3">
        <v>0</v>
      </c>
      <c r="AK2597" s="3">
        <v>15.46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0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3">
        <v>0</v>
      </c>
      <c r="AY2597" s="3">
        <v>0</v>
      </c>
      <c r="AZ2597" s="3">
        <v>0</v>
      </c>
      <c r="BA2597" s="3">
        <v>0</v>
      </c>
      <c r="BB2597" s="3">
        <v>0</v>
      </c>
      <c r="BC2597" s="3">
        <v>0</v>
      </c>
      <c r="BD2597" s="3">
        <v>0</v>
      </c>
      <c r="BE2597" s="3">
        <v>0</v>
      </c>
      <c r="BF2597" s="3">
        <v>0</v>
      </c>
      <c r="BG2597" s="3">
        <v>0</v>
      </c>
      <c r="BH2597" s="3">
        <v>1</v>
      </c>
      <c r="BI2597" s="3">
        <v>1</v>
      </c>
      <c r="BJ2597" s="3">
        <v>0.2</v>
      </c>
      <c r="BK2597" s="3">
        <v>1</v>
      </c>
      <c r="BL2597" s="3">
        <v>59</v>
      </c>
      <c r="BM2597" s="3">
        <v>8.85</v>
      </c>
      <c r="BN2597" s="3">
        <v>67.849999999999994</v>
      </c>
      <c r="BO2597" s="3">
        <v>67.849999999999994</v>
      </c>
      <c r="BQ2597" s="3" t="s">
        <v>89</v>
      </c>
      <c r="BR2597" s="3" t="s">
        <v>84</v>
      </c>
      <c r="BS2597" s="4">
        <v>44589</v>
      </c>
      <c r="BT2597" s="5">
        <v>0.3576388888888889</v>
      </c>
      <c r="BU2597" s="3" t="s">
        <v>2458</v>
      </c>
      <c r="BV2597" s="3" t="s">
        <v>105</v>
      </c>
      <c r="BY2597" s="3">
        <v>1200</v>
      </c>
      <c r="BZ2597" s="3" t="s">
        <v>165</v>
      </c>
      <c r="CA2597" s="3" t="s">
        <v>1040</v>
      </c>
      <c r="CC2597" s="3" t="s">
        <v>102</v>
      </c>
      <c r="CD2597" s="3">
        <v>4001</v>
      </c>
      <c r="CE2597" s="3" t="s">
        <v>93</v>
      </c>
      <c r="CI2597" s="3">
        <v>1</v>
      </c>
      <c r="CJ2597" s="3">
        <v>1</v>
      </c>
      <c r="CK2597" s="3">
        <v>21</v>
      </c>
      <c r="CL2597" s="3" t="s">
        <v>87</v>
      </c>
    </row>
    <row r="2598" spans="1:90" x14ac:dyDescent="0.2">
      <c r="A2598" s="3" t="s">
        <v>72</v>
      </c>
      <c r="B2598" s="3" t="s">
        <v>73</v>
      </c>
      <c r="C2598" s="3" t="s">
        <v>74</v>
      </c>
      <c r="E2598" s="3" t="str">
        <f>"FES1162847197"</f>
        <v>FES1162847197</v>
      </c>
      <c r="F2598" s="4">
        <v>44588</v>
      </c>
      <c r="G2598" s="3">
        <v>202207</v>
      </c>
      <c r="H2598" s="3" t="s">
        <v>75</v>
      </c>
      <c r="I2598" s="3" t="s">
        <v>76</v>
      </c>
      <c r="J2598" s="3" t="s">
        <v>77</v>
      </c>
      <c r="K2598" s="3" t="s">
        <v>78</v>
      </c>
      <c r="L2598" s="3" t="s">
        <v>101</v>
      </c>
      <c r="M2598" s="3" t="s">
        <v>102</v>
      </c>
      <c r="N2598" s="3" t="s">
        <v>935</v>
      </c>
      <c r="O2598" s="3" t="s">
        <v>82</v>
      </c>
      <c r="P2598" s="3" t="str">
        <f>"2170818505                    "</f>
        <v xml:space="preserve">2170818505                    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0</v>
      </c>
      <c r="AJ2598" s="3">
        <v>0</v>
      </c>
      <c r="AK2598" s="3">
        <v>15.46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0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3">
        <v>0</v>
      </c>
      <c r="AY2598" s="3">
        <v>0</v>
      </c>
      <c r="AZ2598" s="3">
        <v>0</v>
      </c>
      <c r="BA2598" s="3">
        <v>0</v>
      </c>
      <c r="BB2598" s="3">
        <v>0</v>
      </c>
      <c r="BC2598" s="3">
        <v>0</v>
      </c>
      <c r="BD2598" s="3">
        <v>0</v>
      </c>
      <c r="BE2598" s="3">
        <v>0</v>
      </c>
      <c r="BF2598" s="3">
        <v>0</v>
      </c>
      <c r="BG2598" s="3">
        <v>0</v>
      </c>
      <c r="BH2598" s="3">
        <v>1</v>
      </c>
      <c r="BI2598" s="3">
        <v>1</v>
      </c>
      <c r="BJ2598" s="3">
        <v>0.2</v>
      </c>
      <c r="BK2598" s="3">
        <v>1</v>
      </c>
      <c r="BL2598" s="3">
        <v>59</v>
      </c>
      <c r="BM2598" s="3">
        <v>8.85</v>
      </c>
      <c r="BN2598" s="3">
        <v>67.849999999999994</v>
      </c>
      <c r="BO2598" s="3">
        <v>67.849999999999994</v>
      </c>
      <c r="BQ2598" s="3" t="s">
        <v>89</v>
      </c>
      <c r="BR2598" s="3" t="s">
        <v>84</v>
      </c>
      <c r="BS2598" s="4">
        <v>44589</v>
      </c>
      <c r="BT2598" s="5">
        <v>0.35694444444444445</v>
      </c>
      <c r="BU2598" s="3" t="s">
        <v>2458</v>
      </c>
      <c r="BV2598" s="3" t="s">
        <v>105</v>
      </c>
      <c r="BY2598" s="3">
        <v>1200</v>
      </c>
      <c r="BZ2598" s="3" t="s">
        <v>165</v>
      </c>
      <c r="CA2598" s="3" t="s">
        <v>1040</v>
      </c>
      <c r="CC2598" s="3" t="s">
        <v>102</v>
      </c>
      <c r="CD2598" s="3">
        <v>4001</v>
      </c>
      <c r="CE2598" s="3" t="s">
        <v>93</v>
      </c>
      <c r="CI2598" s="3">
        <v>1</v>
      </c>
      <c r="CJ2598" s="3">
        <v>1</v>
      </c>
      <c r="CK2598" s="3">
        <v>21</v>
      </c>
      <c r="CL2598" s="3" t="s">
        <v>87</v>
      </c>
    </row>
    <row r="2599" spans="1:90" x14ac:dyDescent="0.2">
      <c r="A2599" s="3" t="s">
        <v>72</v>
      </c>
      <c r="B2599" s="3" t="s">
        <v>73</v>
      </c>
      <c r="C2599" s="3" t="s">
        <v>74</v>
      </c>
      <c r="E2599" s="3" t="str">
        <f>"FES1162847330"</f>
        <v>FES1162847330</v>
      </c>
      <c r="F2599" s="4">
        <v>44588</v>
      </c>
      <c r="G2599" s="3">
        <v>202207</v>
      </c>
      <c r="H2599" s="3" t="s">
        <v>75</v>
      </c>
      <c r="I2599" s="3" t="s">
        <v>76</v>
      </c>
      <c r="J2599" s="3" t="s">
        <v>77</v>
      </c>
      <c r="K2599" s="3" t="s">
        <v>78</v>
      </c>
      <c r="L2599" s="3" t="s">
        <v>244</v>
      </c>
      <c r="M2599" s="3" t="s">
        <v>245</v>
      </c>
      <c r="N2599" s="3" t="s">
        <v>400</v>
      </c>
      <c r="O2599" s="3" t="s">
        <v>82</v>
      </c>
      <c r="P2599" s="3" t="str">
        <f>"2170818577                    "</f>
        <v xml:space="preserve">2170818577                    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0</v>
      </c>
      <c r="AJ2599" s="3">
        <v>0</v>
      </c>
      <c r="AK2599" s="3">
        <v>57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0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3">
        <v>0</v>
      </c>
      <c r="AY2599" s="3">
        <v>0</v>
      </c>
      <c r="AZ2599" s="3">
        <v>0</v>
      </c>
      <c r="BA2599" s="3">
        <v>0</v>
      </c>
      <c r="BB2599" s="3">
        <v>0</v>
      </c>
      <c r="BC2599" s="3">
        <v>0</v>
      </c>
      <c r="BD2599" s="3">
        <v>0</v>
      </c>
      <c r="BE2599" s="3">
        <v>0</v>
      </c>
      <c r="BF2599" s="3">
        <v>0</v>
      </c>
      <c r="BG2599" s="3">
        <v>0</v>
      </c>
      <c r="BH2599" s="3">
        <v>1</v>
      </c>
      <c r="BI2599" s="3">
        <v>2</v>
      </c>
      <c r="BJ2599" s="3">
        <v>3.7</v>
      </c>
      <c r="BK2599" s="3">
        <v>4</v>
      </c>
      <c r="BL2599" s="3">
        <v>217.56</v>
      </c>
      <c r="BM2599" s="3">
        <v>32.630000000000003</v>
      </c>
      <c r="BN2599" s="3">
        <v>250.19</v>
      </c>
      <c r="BO2599" s="3">
        <v>250.19</v>
      </c>
      <c r="BQ2599" s="3" t="s">
        <v>83</v>
      </c>
      <c r="BR2599" s="3" t="s">
        <v>84</v>
      </c>
      <c r="BS2599" s="4">
        <v>44589</v>
      </c>
      <c r="BT2599" s="5">
        <v>0.43541666666666662</v>
      </c>
      <c r="BU2599" s="3" t="s">
        <v>2390</v>
      </c>
      <c r="BV2599" s="3" t="s">
        <v>105</v>
      </c>
      <c r="BY2599" s="3">
        <v>18502</v>
      </c>
      <c r="BZ2599" s="3" t="s">
        <v>165</v>
      </c>
      <c r="CA2599" s="3" t="s">
        <v>402</v>
      </c>
      <c r="CC2599" s="3" t="s">
        <v>245</v>
      </c>
      <c r="CD2599" s="3">
        <v>1947</v>
      </c>
      <c r="CE2599" s="3" t="s">
        <v>86</v>
      </c>
      <c r="CI2599" s="3">
        <v>1</v>
      </c>
      <c r="CJ2599" s="3">
        <v>1</v>
      </c>
      <c r="CK2599" s="3">
        <v>23</v>
      </c>
      <c r="CL2599" s="3" t="s">
        <v>87</v>
      </c>
    </row>
    <row r="2600" spans="1:90" x14ac:dyDescent="0.2">
      <c r="A2600" s="3" t="s">
        <v>72</v>
      </c>
      <c r="B2600" s="3" t="s">
        <v>73</v>
      </c>
      <c r="C2600" s="3" t="s">
        <v>74</v>
      </c>
      <c r="E2600" s="3" t="str">
        <f>"FES1162847206"</f>
        <v>FES1162847206</v>
      </c>
      <c r="F2600" s="4">
        <v>44588</v>
      </c>
      <c r="G2600" s="3">
        <v>202207</v>
      </c>
      <c r="H2600" s="3" t="s">
        <v>75</v>
      </c>
      <c r="I2600" s="3" t="s">
        <v>76</v>
      </c>
      <c r="J2600" s="3" t="s">
        <v>77</v>
      </c>
      <c r="K2600" s="3" t="s">
        <v>78</v>
      </c>
      <c r="L2600" s="3" t="s">
        <v>138</v>
      </c>
      <c r="M2600" s="3" t="s">
        <v>139</v>
      </c>
      <c r="N2600" s="3" t="s">
        <v>238</v>
      </c>
      <c r="O2600" s="3" t="s">
        <v>82</v>
      </c>
      <c r="P2600" s="3" t="str">
        <f>"2170818518                    "</f>
        <v xml:space="preserve">2170818518                    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0</v>
      </c>
      <c r="AJ2600" s="3">
        <v>0</v>
      </c>
      <c r="AK2600" s="3">
        <v>15.46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0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3">
        <v>0</v>
      </c>
      <c r="AY2600" s="3">
        <v>0</v>
      </c>
      <c r="AZ2600" s="3">
        <v>0</v>
      </c>
      <c r="BA2600" s="3">
        <v>0</v>
      </c>
      <c r="BB2600" s="3">
        <v>0</v>
      </c>
      <c r="BC2600" s="3">
        <v>0</v>
      </c>
      <c r="BD2600" s="3">
        <v>0</v>
      </c>
      <c r="BE2600" s="3">
        <v>0</v>
      </c>
      <c r="BF2600" s="3">
        <v>0</v>
      </c>
      <c r="BG2600" s="3">
        <v>0</v>
      </c>
      <c r="BH2600" s="3">
        <v>1</v>
      </c>
      <c r="BI2600" s="3">
        <v>1</v>
      </c>
      <c r="BJ2600" s="3">
        <v>0.2</v>
      </c>
      <c r="BK2600" s="3">
        <v>1</v>
      </c>
      <c r="BL2600" s="3">
        <v>59</v>
      </c>
      <c r="BM2600" s="3">
        <v>8.85</v>
      </c>
      <c r="BN2600" s="3">
        <v>67.849999999999994</v>
      </c>
      <c r="BO2600" s="3">
        <v>67.849999999999994</v>
      </c>
      <c r="BQ2600" s="3" t="s">
        <v>89</v>
      </c>
      <c r="BR2600" s="3" t="s">
        <v>84</v>
      </c>
      <c r="BS2600" s="4">
        <v>44589</v>
      </c>
      <c r="BT2600" s="5">
        <v>0.32361111111111113</v>
      </c>
      <c r="BU2600" s="3" t="s">
        <v>2443</v>
      </c>
      <c r="BV2600" s="3" t="s">
        <v>105</v>
      </c>
      <c r="BY2600" s="3">
        <v>1200</v>
      </c>
      <c r="BZ2600" s="3" t="s">
        <v>165</v>
      </c>
      <c r="CA2600" s="3" t="s">
        <v>240</v>
      </c>
      <c r="CC2600" s="3" t="s">
        <v>139</v>
      </c>
      <c r="CD2600" s="3">
        <v>3610</v>
      </c>
      <c r="CE2600" s="3" t="s">
        <v>93</v>
      </c>
      <c r="CI2600" s="3">
        <v>1</v>
      </c>
      <c r="CJ2600" s="3">
        <v>1</v>
      </c>
      <c r="CK2600" s="3">
        <v>21</v>
      </c>
      <c r="CL2600" s="3" t="s">
        <v>87</v>
      </c>
    </row>
    <row r="2601" spans="1:90" x14ac:dyDescent="0.2">
      <c r="A2601" s="3" t="s">
        <v>72</v>
      </c>
      <c r="B2601" s="3" t="s">
        <v>73</v>
      </c>
      <c r="C2601" s="3" t="s">
        <v>74</v>
      </c>
      <c r="E2601" s="3" t="str">
        <f>"FES1162847214"</f>
        <v>FES1162847214</v>
      </c>
      <c r="F2601" s="4">
        <v>44588</v>
      </c>
      <c r="G2601" s="3">
        <v>202207</v>
      </c>
      <c r="H2601" s="3" t="s">
        <v>75</v>
      </c>
      <c r="I2601" s="3" t="s">
        <v>76</v>
      </c>
      <c r="J2601" s="3" t="s">
        <v>77</v>
      </c>
      <c r="K2601" s="3" t="s">
        <v>78</v>
      </c>
      <c r="L2601" s="3" t="s">
        <v>101</v>
      </c>
      <c r="M2601" s="3" t="s">
        <v>102</v>
      </c>
      <c r="N2601" s="3" t="s">
        <v>1071</v>
      </c>
      <c r="O2601" s="3" t="s">
        <v>82</v>
      </c>
      <c r="P2601" s="3" t="str">
        <f>"2170818136                    "</f>
        <v xml:space="preserve">2170818136                    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77.260000000000005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0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3">
        <v>0</v>
      </c>
      <c r="AY2601" s="3">
        <v>0</v>
      </c>
      <c r="AZ2601" s="3">
        <v>0</v>
      </c>
      <c r="BA2601" s="3">
        <v>0</v>
      </c>
      <c r="BB2601" s="3">
        <v>0</v>
      </c>
      <c r="BC2601" s="3">
        <v>0</v>
      </c>
      <c r="BD2601" s="3">
        <v>0</v>
      </c>
      <c r="BE2601" s="3">
        <v>0</v>
      </c>
      <c r="BF2601" s="3">
        <v>0</v>
      </c>
      <c r="BG2601" s="3">
        <v>0</v>
      </c>
      <c r="BH2601" s="3">
        <v>1</v>
      </c>
      <c r="BI2601" s="3">
        <v>10</v>
      </c>
      <c r="BJ2601" s="3">
        <v>2.2999999999999998</v>
      </c>
      <c r="BK2601" s="3">
        <v>10</v>
      </c>
      <c r="BL2601" s="3">
        <v>294.88</v>
      </c>
      <c r="BM2601" s="3">
        <v>44.23</v>
      </c>
      <c r="BN2601" s="3">
        <v>339.11</v>
      </c>
      <c r="BO2601" s="3">
        <v>339.11</v>
      </c>
      <c r="BQ2601" s="3" t="s">
        <v>83</v>
      </c>
      <c r="BR2601" s="3" t="s">
        <v>84</v>
      </c>
      <c r="BS2601" s="3" t="s">
        <v>85</v>
      </c>
      <c r="BY2601" s="3">
        <v>11250</v>
      </c>
      <c r="BZ2601" s="3" t="s">
        <v>165</v>
      </c>
      <c r="CC2601" s="3" t="s">
        <v>102</v>
      </c>
      <c r="CD2601" s="3">
        <v>4072</v>
      </c>
      <c r="CE2601" s="3" t="s">
        <v>86</v>
      </c>
      <c r="CI2601" s="3">
        <v>1</v>
      </c>
      <c r="CJ2601" s="3" t="s">
        <v>85</v>
      </c>
      <c r="CK2601" s="3">
        <v>21</v>
      </c>
      <c r="CL2601" s="3" t="s">
        <v>87</v>
      </c>
    </row>
    <row r="2602" spans="1:90" x14ac:dyDescent="0.2">
      <c r="A2602" s="3" t="s">
        <v>72</v>
      </c>
      <c r="B2602" s="3" t="s">
        <v>73</v>
      </c>
      <c r="C2602" s="3" t="s">
        <v>74</v>
      </c>
      <c r="E2602" s="3" t="str">
        <f>"FES1162847277"</f>
        <v>FES1162847277</v>
      </c>
      <c r="F2602" s="4">
        <v>44588</v>
      </c>
      <c r="G2602" s="3">
        <v>202207</v>
      </c>
      <c r="H2602" s="3" t="s">
        <v>75</v>
      </c>
      <c r="I2602" s="3" t="s">
        <v>76</v>
      </c>
      <c r="J2602" s="3" t="s">
        <v>77</v>
      </c>
      <c r="K2602" s="3" t="s">
        <v>78</v>
      </c>
      <c r="L2602" s="3" t="s">
        <v>258</v>
      </c>
      <c r="M2602" s="3" t="s">
        <v>259</v>
      </c>
      <c r="N2602" s="3" t="s">
        <v>412</v>
      </c>
      <c r="O2602" s="3" t="s">
        <v>82</v>
      </c>
      <c r="P2602" s="3" t="str">
        <f>"2170816886                    "</f>
        <v xml:space="preserve">2170816886                    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53.5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0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3">
        <v>0</v>
      </c>
      <c r="AY2602" s="3">
        <v>0</v>
      </c>
      <c r="AZ2602" s="3">
        <v>0</v>
      </c>
      <c r="BA2602" s="3">
        <v>0</v>
      </c>
      <c r="BB2602" s="3">
        <v>0</v>
      </c>
      <c r="BC2602" s="3">
        <v>0</v>
      </c>
      <c r="BD2602" s="3">
        <v>0</v>
      </c>
      <c r="BE2602" s="3">
        <v>0</v>
      </c>
      <c r="BF2602" s="3">
        <v>0</v>
      </c>
      <c r="BG2602" s="3">
        <v>0</v>
      </c>
      <c r="BH2602" s="3">
        <v>1</v>
      </c>
      <c r="BI2602" s="3">
        <v>5</v>
      </c>
      <c r="BJ2602" s="3">
        <v>4.0999999999999996</v>
      </c>
      <c r="BK2602" s="3">
        <v>5</v>
      </c>
      <c r="BL2602" s="3">
        <v>204.2</v>
      </c>
      <c r="BM2602" s="3">
        <v>30.63</v>
      </c>
      <c r="BN2602" s="3">
        <v>234.83</v>
      </c>
      <c r="BO2602" s="3">
        <v>234.83</v>
      </c>
      <c r="BQ2602" s="3" t="s">
        <v>83</v>
      </c>
      <c r="BR2602" s="3" t="s">
        <v>84</v>
      </c>
      <c r="BS2602" s="4">
        <v>44589</v>
      </c>
      <c r="BT2602" s="5">
        <v>0.41944444444444445</v>
      </c>
      <c r="BU2602" s="3" t="s">
        <v>2208</v>
      </c>
      <c r="BV2602" s="3" t="s">
        <v>105</v>
      </c>
      <c r="BY2602" s="3">
        <v>20358</v>
      </c>
      <c r="BZ2602" s="3" t="s">
        <v>165</v>
      </c>
      <c r="CA2602" s="3" t="s">
        <v>779</v>
      </c>
      <c r="CC2602" s="3" t="s">
        <v>259</v>
      </c>
      <c r="CD2602" s="3">
        <v>2302</v>
      </c>
      <c r="CE2602" s="3" t="s">
        <v>86</v>
      </c>
      <c r="CF2602" s="4">
        <v>44592</v>
      </c>
      <c r="CI2602" s="3">
        <v>1</v>
      </c>
      <c r="CJ2602" s="3">
        <v>1</v>
      </c>
      <c r="CK2602" s="3">
        <v>24</v>
      </c>
      <c r="CL2602" s="3" t="s">
        <v>87</v>
      </c>
    </row>
    <row r="2603" spans="1:90" x14ac:dyDescent="0.2">
      <c r="A2603" s="3" t="s">
        <v>72</v>
      </c>
      <c r="B2603" s="3" t="s">
        <v>73</v>
      </c>
      <c r="C2603" s="3" t="s">
        <v>74</v>
      </c>
      <c r="E2603" s="3" t="str">
        <f>"FES1162846904"</f>
        <v>FES1162846904</v>
      </c>
      <c r="F2603" s="4">
        <v>44588</v>
      </c>
      <c r="G2603" s="3">
        <v>202207</v>
      </c>
      <c r="H2603" s="3" t="s">
        <v>75</v>
      </c>
      <c r="I2603" s="3" t="s">
        <v>76</v>
      </c>
      <c r="J2603" s="3" t="s">
        <v>77</v>
      </c>
      <c r="K2603" s="3" t="s">
        <v>78</v>
      </c>
      <c r="L2603" s="3" t="s">
        <v>167</v>
      </c>
      <c r="M2603" s="3" t="s">
        <v>168</v>
      </c>
      <c r="N2603" s="3" t="s">
        <v>169</v>
      </c>
      <c r="O2603" s="3" t="s">
        <v>82</v>
      </c>
      <c r="P2603" s="3" t="str">
        <f>"2170818192                    "</f>
        <v xml:space="preserve">2170818192                    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15.46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3">
        <v>0</v>
      </c>
      <c r="AY2603" s="3">
        <v>0</v>
      </c>
      <c r="AZ2603" s="3">
        <v>0</v>
      </c>
      <c r="BA2603" s="3">
        <v>0</v>
      </c>
      <c r="BB2603" s="3">
        <v>0</v>
      </c>
      <c r="BC2603" s="3">
        <v>0</v>
      </c>
      <c r="BD2603" s="3">
        <v>0</v>
      </c>
      <c r="BE2603" s="3">
        <v>0</v>
      </c>
      <c r="BF2603" s="3">
        <v>0</v>
      </c>
      <c r="BG2603" s="3">
        <v>0</v>
      </c>
      <c r="BH2603" s="3">
        <v>1</v>
      </c>
      <c r="BI2603" s="3">
        <v>1</v>
      </c>
      <c r="BJ2603" s="3">
        <v>0.2</v>
      </c>
      <c r="BK2603" s="3">
        <v>1</v>
      </c>
      <c r="BL2603" s="3">
        <v>59</v>
      </c>
      <c r="BM2603" s="3">
        <v>8.85</v>
      </c>
      <c r="BN2603" s="3">
        <v>67.849999999999994</v>
      </c>
      <c r="BO2603" s="3">
        <v>67.849999999999994</v>
      </c>
      <c r="BQ2603" s="3" t="s">
        <v>83</v>
      </c>
      <c r="BR2603" s="3" t="s">
        <v>84</v>
      </c>
      <c r="BS2603" s="4">
        <v>44589</v>
      </c>
      <c r="BT2603" s="5">
        <v>0.40277777777777773</v>
      </c>
      <c r="BU2603" s="3" t="s">
        <v>2507</v>
      </c>
      <c r="BV2603" s="3" t="s">
        <v>105</v>
      </c>
      <c r="BY2603" s="3">
        <v>1200</v>
      </c>
      <c r="BZ2603" s="3" t="s">
        <v>165</v>
      </c>
      <c r="CA2603" s="3" t="s">
        <v>1580</v>
      </c>
      <c r="CC2603" s="3" t="s">
        <v>168</v>
      </c>
      <c r="CD2603" s="3">
        <v>6220</v>
      </c>
      <c r="CE2603" s="3" t="s">
        <v>93</v>
      </c>
      <c r="CF2603" s="4">
        <v>44589</v>
      </c>
      <c r="CI2603" s="3">
        <v>1</v>
      </c>
      <c r="CJ2603" s="3">
        <v>1</v>
      </c>
      <c r="CK2603" s="3">
        <v>21</v>
      </c>
      <c r="CL2603" s="3" t="s">
        <v>87</v>
      </c>
    </row>
    <row r="2604" spans="1:90" x14ac:dyDescent="0.2">
      <c r="A2604" s="3" t="s">
        <v>72</v>
      </c>
      <c r="B2604" s="3" t="s">
        <v>73</v>
      </c>
      <c r="C2604" s="3" t="s">
        <v>74</v>
      </c>
      <c r="E2604" s="3" t="str">
        <f>"FES1162847281"</f>
        <v>FES1162847281</v>
      </c>
      <c r="F2604" s="4">
        <v>44588</v>
      </c>
      <c r="G2604" s="3">
        <v>202207</v>
      </c>
      <c r="H2604" s="3" t="s">
        <v>75</v>
      </c>
      <c r="I2604" s="3" t="s">
        <v>76</v>
      </c>
      <c r="J2604" s="3" t="s">
        <v>77</v>
      </c>
      <c r="K2604" s="3" t="s">
        <v>78</v>
      </c>
      <c r="L2604" s="3" t="s">
        <v>241</v>
      </c>
      <c r="M2604" s="3" t="s">
        <v>242</v>
      </c>
      <c r="N2604" s="3" t="s">
        <v>243</v>
      </c>
      <c r="O2604" s="3" t="s">
        <v>82</v>
      </c>
      <c r="P2604" s="3" t="str">
        <f>"2170816973                    "</f>
        <v xml:space="preserve">2170816973                    </v>
      </c>
      <c r="Q2604" s="3">
        <v>0</v>
      </c>
      <c r="R2604" s="3">
        <v>0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0</v>
      </c>
      <c r="AJ2604" s="3">
        <v>0</v>
      </c>
      <c r="AK2604" s="3">
        <v>15.46</v>
      </c>
      <c r="AL2604" s="3">
        <v>0</v>
      </c>
      <c r="AM2604" s="3">
        <v>0</v>
      </c>
      <c r="AN2604" s="3">
        <v>0</v>
      </c>
      <c r="AO2604" s="3">
        <v>0</v>
      </c>
      <c r="AP2604" s="3">
        <v>0</v>
      </c>
      <c r="AQ2604" s="3">
        <v>0</v>
      </c>
      <c r="AR2604" s="3">
        <v>0</v>
      </c>
      <c r="AS2604" s="3">
        <v>0</v>
      </c>
      <c r="AT2604" s="3">
        <v>0</v>
      </c>
      <c r="AU2604" s="3">
        <v>0</v>
      </c>
      <c r="AV2604" s="3">
        <v>0</v>
      </c>
      <c r="AW2604" s="3">
        <v>0</v>
      </c>
      <c r="AX2604" s="3">
        <v>0</v>
      </c>
      <c r="AY2604" s="3">
        <v>0</v>
      </c>
      <c r="AZ2604" s="3">
        <v>0</v>
      </c>
      <c r="BA2604" s="3">
        <v>0</v>
      </c>
      <c r="BB2604" s="3">
        <v>0</v>
      </c>
      <c r="BC2604" s="3">
        <v>0</v>
      </c>
      <c r="BD2604" s="3">
        <v>0</v>
      </c>
      <c r="BE2604" s="3">
        <v>0</v>
      </c>
      <c r="BF2604" s="3">
        <v>0</v>
      </c>
      <c r="BG2604" s="3">
        <v>0</v>
      </c>
      <c r="BH2604" s="3">
        <v>1</v>
      </c>
      <c r="BI2604" s="3">
        <v>1</v>
      </c>
      <c r="BJ2604" s="3">
        <v>0.2</v>
      </c>
      <c r="BK2604" s="3">
        <v>1</v>
      </c>
      <c r="BL2604" s="3">
        <v>59</v>
      </c>
      <c r="BM2604" s="3">
        <v>8.85</v>
      </c>
      <c r="BN2604" s="3">
        <v>67.849999999999994</v>
      </c>
      <c r="BO2604" s="3">
        <v>67.849999999999994</v>
      </c>
      <c r="BQ2604" s="3" t="s">
        <v>83</v>
      </c>
      <c r="BR2604" s="3" t="s">
        <v>84</v>
      </c>
      <c r="BS2604" s="4">
        <v>44589</v>
      </c>
      <c r="BT2604" s="5">
        <v>0.40069444444444446</v>
      </c>
      <c r="BU2604" s="3" t="s">
        <v>2508</v>
      </c>
      <c r="BV2604" s="3" t="s">
        <v>105</v>
      </c>
      <c r="BY2604" s="3">
        <v>1200</v>
      </c>
      <c r="BZ2604" s="3" t="s">
        <v>165</v>
      </c>
      <c r="CA2604" s="3" t="s">
        <v>675</v>
      </c>
      <c r="CC2604" s="3" t="s">
        <v>242</v>
      </c>
      <c r="CD2604" s="3">
        <v>7600</v>
      </c>
      <c r="CE2604" s="3" t="s">
        <v>93</v>
      </c>
      <c r="CI2604" s="3">
        <v>1</v>
      </c>
      <c r="CJ2604" s="3">
        <v>1</v>
      </c>
      <c r="CK2604" s="3">
        <v>21</v>
      </c>
      <c r="CL2604" s="3" t="s">
        <v>87</v>
      </c>
    </row>
    <row r="2605" spans="1:90" x14ac:dyDescent="0.2">
      <c r="A2605" s="3" t="s">
        <v>72</v>
      </c>
      <c r="B2605" s="3" t="s">
        <v>73</v>
      </c>
      <c r="C2605" s="3" t="s">
        <v>74</v>
      </c>
      <c r="E2605" s="3" t="str">
        <f>"FES1162847323"</f>
        <v>FES1162847323</v>
      </c>
      <c r="F2605" s="4">
        <v>44588</v>
      </c>
      <c r="G2605" s="3">
        <v>202207</v>
      </c>
      <c r="H2605" s="3" t="s">
        <v>75</v>
      </c>
      <c r="I2605" s="3" t="s">
        <v>76</v>
      </c>
      <c r="J2605" s="3" t="s">
        <v>77</v>
      </c>
      <c r="K2605" s="3" t="s">
        <v>78</v>
      </c>
      <c r="L2605" s="3" t="s">
        <v>107</v>
      </c>
      <c r="M2605" s="3" t="s">
        <v>108</v>
      </c>
      <c r="N2605" s="3" t="s">
        <v>392</v>
      </c>
      <c r="O2605" s="3" t="s">
        <v>82</v>
      </c>
      <c r="P2605" s="3" t="str">
        <f>"2170817142                    "</f>
        <v xml:space="preserve">2170817142                    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0</v>
      </c>
      <c r="AJ2605" s="3">
        <v>0</v>
      </c>
      <c r="AK2605" s="3">
        <v>29.95</v>
      </c>
      <c r="AL2605" s="3">
        <v>0</v>
      </c>
      <c r="AM2605" s="3">
        <v>0</v>
      </c>
      <c r="AN2605" s="3">
        <v>0</v>
      </c>
      <c r="AO2605" s="3">
        <v>0</v>
      </c>
      <c r="AP2605" s="3">
        <v>0</v>
      </c>
      <c r="AQ2605" s="3">
        <v>0</v>
      </c>
      <c r="AR2605" s="3">
        <v>0</v>
      </c>
      <c r="AS2605" s="3">
        <v>0</v>
      </c>
      <c r="AT2605" s="3">
        <v>0</v>
      </c>
      <c r="AU2605" s="3">
        <v>0</v>
      </c>
      <c r="AV2605" s="3">
        <v>0</v>
      </c>
      <c r="AW2605" s="3">
        <v>0</v>
      </c>
      <c r="AX2605" s="3">
        <v>0</v>
      </c>
      <c r="AY2605" s="3">
        <v>0</v>
      </c>
      <c r="AZ2605" s="3">
        <v>0</v>
      </c>
      <c r="BA2605" s="3">
        <v>0</v>
      </c>
      <c r="BB2605" s="3">
        <v>0</v>
      </c>
      <c r="BC2605" s="3">
        <v>0</v>
      </c>
      <c r="BD2605" s="3">
        <v>0</v>
      </c>
      <c r="BE2605" s="3">
        <v>0</v>
      </c>
      <c r="BF2605" s="3">
        <v>0</v>
      </c>
      <c r="BG2605" s="3">
        <v>0</v>
      </c>
      <c r="BH2605" s="3">
        <v>1</v>
      </c>
      <c r="BI2605" s="3">
        <v>1</v>
      </c>
      <c r="BJ2605" s="3">
        <v>0.2</v>
      </c>
      <c r="BK2605" s="3">
        <v>1</v>
      </c>
      <c r="BL2605" s="3">
        <v>114.31</v>
      </c>
      <c r="BM2605" s="3">
        <v>17.149999999999999</v>
      </c>
      <c r="BN2605" s="3">
        <v>131.46</v>
      </c>
      <c r="BO2605" s="3">
        <v>131.46</v>
      </c>
      <c r="BQ2605" s="3" t="s">
        <v>83</v>
      </c>
      <c r="BR2605" s="3" t="s">
        <v>84</v>
      </c>
      <c r="BS2605" s="4">
        <v>44589</v>
      </c>
      <c r="BT2605" s="5">
        <v>0.4694444444444445</v>
      </c>
      <c r="BU2605" s="3" t="s">
        <v>1769</v>
      </c>
      <c r="BV2605" s="3" t="s">
        <v>105</v>
      </c>
      <c r="BY2605" s="3">
        <v>1200</v>
      </c>
      <c r="BZ2605" s="3" t="s">
        <v>165</v>
      </c>
      <c r="CA2605" s="3" t="s">
        <v>394</v>
      </c>
      <c r="CC2605" s="3" t="s">
        <v>108</v>
      </c>
      <c r="CD2605" s="3">
        <v>6849</v>
      </c>
      <c r="CE2605" s="3" t="s">
        <v>93</v>
      </c>
      <c r="CI2605" s="3">
        <v>2</v>
      </c>
      <c r="CJ2605" s="3">
        <v>1</v>
      </c>
      <c r="CK2605" s="3">
        <v>23</v>
      </c>
      <c r="CL2605" s="3" t="s">
        <v>87</v>
      </c>
    </row>
    <row r="2606" spans="1:90" x14ac:dyDescent="0.2">
      <c r="A2606" s="3" t="s">
        <v>72</v>
      </c>
      <c r="B2606" s="3" t="s">
        <v>73</v>
      </c>
      <c r="C2606" s="3" t="s">
        <v>74</v>
      </c>
      <c r="E2606" s="3" t="str">
        <f>"FES1162847318"</f>
        <v>FES1162847318</v>
      </c>
      <c r="F2606" s="4">
        <v>44588</v>
      </c>
      <c r="G2606" s="3">
        <v>202207</v>
      </c>
      <c r="H2606" s="3" t="s">
        <v>75</v>
      </c>
      <c r="I2606" s="3" t="s">
        <v>76</v>
      </c>
      <c r="J2606" s="3" t="s">
        <v>77</v>
      </c>
      <c r="K2606" s="3" t="s">
        <v>78</v>
      </c>
      <c r="L2606" s="3" t="s">
        <v>241</v>
      </c>
      <c r="M2606" s="3" t="s">
        <v>242</v>
      </c>
      <c r="N2606" s="3" t="s">
        <v>243</v>
      </c>
      <c r="O2606" s="3" t="s">
        <v>82</v>
      </c>
      <c r="P2606" s="3" t="str">
        <f>"2170818547                    "</f>
        <v xml:space="preserve">2170818547                    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0</v>
      </c>
      <c r="AJ2606" s="3">
        <v>0</v>
      </c>
      <c r="AK2606" s="3">
        <v>15.46</v>
      </c>
      <c r="AL2606" s="3">
        <v>0</v>
      </c>
      <c r="AM2606" s="3">
        <v>0</v>
      </c>
      <c r="AN2606" s="3">
        <v>0</v>
      </c>
      <c r="AO2606" s="3">
        <v>0</v>
      </c>
      <c r="AP2606" s="3">
        <v>0</v>
      </c>
      <c r="AQ2606" s="3">
        <v>0</v>
      </c>
      <c r="AR2606" s="3">
        <v>0</v>
      </c>
      <c r="AS2606" s="3">
        <v>0</v>
      </c>
      <c r="AT2606" s="3">
        <v>0</v>
      </c>
      <c r="AU2606" s="3">
        <v>0</v>
      </c>
      <c r="AV2606" s="3">
        <v>0</v>
      </c>
      <c r="AW2606" s="3">
        <v>0</v>
      </c>
      <c r="AX2606" s="3">
        <v>0</v>
      </c>
      <c r="AY2606" s="3">
        <v>0</v>
      </c>
      <c r="AZ2606" s="3">
        <v>0</v>
      </c>
      <c r="BA2606" s="3">
        <v>0</v>
      </c>
      <c r="BB2606" s="3">
        <v>0</v>
      </c>
      <c r="BC2606" s="3">
        <v>0</v>
      </c>
      <c r="BD2606" s="3">
        <v>0</v>
      </c>
      <c r="BE2606" s="3">
        <v>0</v>
      </c>
      <c r="BF2606" s="3">
        <v>0</v>
      </c>
      <c r="BG2606" s="3">
        <v>0</v>
      </c>
      <c r="BH2606" s="3">
        <v>1</v>
      </c>
      <c r="BI2606" s="3">
        <v>1</v>
      </c>
      <c r="BJ2606" s="3">
        <v>2</v>
      </c>
      <c r="BK2606" s="3">
        <v>2</v>
      </c>
      <c r="BL2606" s="3">
        <v>59</v>
      </c>
      <c r="BM2606" s="3">
        <v>8.85</v>
      </c>
      <c r="BN2606" s="3">
        <v>67.849999999999994</v>
      </c>
      <c r="BO2606" s="3">
        <v>67.849999999999994</v>
      </c>
      <c r="BQ2606" s="3" t="s">
        <v>83</v>
      </c>
      <c r="BR2606" s="3" t="s">
        <v>84</v>
      </c>
      <c r="BS2606" s="4">
        <v>44589</v>
      </c>
      <c r="BT2606" s="5">
        <v>0.40069444444444446</v>
      </c>
      <c r="BU2606" s="3" t="s">
        <v>2508</v>
      </c>
      <c r="BV2606" s="3" t="s">
        <v>105</v>
      </c>
      <c r="BY2606" s="3">
        <v>9918</v>
      </c>
      <c r="BZ2606" s="3" t="s">
        <v>165</v>
      </c>
      <c r="CA2606" s="3" t="s">
        <v>675</v>
      </c>
      <c r="CC2606" s="3" t="s">
        <v>242</v>
      </c>
      <c r="CD2606" s="3">
        <v>7600</v>
      </c>
      <c r="CE2606" s="3" t="s">
        <v>86</v>
      </c>
      <c r="CI2606" s="3">
        <v>1</v>
      </c>
      <c r="CJ2606" s="3">
        <v>1</v>
      </c>
      <c r="CK2606" s="3">
        <v>21</v>
      </c>
      <c r="CL2606" s="3" t="s">
        <v>87</v>
      </c>
    </row>
    <row r="2607" spans="1:90" x14ac:dyDescent="0.2">
      <c r="A2607" s="3" t="s">
        <v>72</v>
      </c>
      <c r="B2607" s="3" t="s">
        <v>73</v>
      </c>
      <c r="C2607" s="3" t="s">
        <v>74</v>
      </c>
      <c r="E2607" s="3" t="str">
        <f>"FES1162847256"</f>
        <v>FES1162847256</v>
      </c>
      <c r="F2607" s="4">
        <v>44588</v>
      </c>
      <c r="G2607" s="3">
        <v>202207</v>
      </c>
      <c r="H2607" s="3" t="s">
        <v>75</v>
      </c>
      <c r="I2607" s="3" t="s">
        <v>76</v>
      </c>
      <c r="J2607" s="3" t="s">
        <v>77</v>
      </c>
      <c r="K2607" s="3" t="s">
        <v>78</v>
      </c>
      <c r="L2607" s="3" t="s">
        <v>142</v>
      </c>
      <c r="M2607" s="3" t="s">
        <v>143</v>
      </c>
      <c r="N2607" s="3" t="s">
        <v>1640</v>
      </c>
      <c r="O2607" s="3" t="s">
        <v>82</v>
      </c>
      <c r="P2607" s="3" t="str">
        <f>"2170797385                    "</f>
        <v xml:space="preserve">2170797385                    </v>
      </c>
      <c r="Q2607" s="3">
        <v>0</v>
      </c>
      <c r="R2607" s="3">
        <v>0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0</v>
      </c>
      <c r="AJ2607" s="3">
        <v>0</v>
      </c>
      <c r="AK2607" s="3">
        <v>23.66</v>
      </c>
      <c r="AL2607" s="3">
        <v>0</v>
      </c>
      <c r="AM2607" s="3">
        <v>0</v>
      </c>
      <c r="AN2607" s="3">
        <v>0</v>
      </c>
      <c r="AO2607" s="3">
        <v>0</v>
      </c>
      <c r="AP2607" s="3">
        <v>0</v>
      </c>
      <c r="AQ2607" s="3">
        <v>0</v>
      </c>
      <c r="AR2607" s="3">
        <v>0</v>
      </c>
      <c r="AS2607" s="3">
        <v>0</v>
      </c>
      <c r="AT2607" s="3">
        <v>0</v>
      </c>
      <c r="AU2607" s="3">
        <v>0</v>
      </c>
      <c r="AV2607" s="3">
        <v>0</v>
      </c>
      <c r="AW2607" s="3">
        <v>0</v>
      </c>
      <c r="AX2607" s="3">
        <v>0</v>
      </c>
      <c r="AY2607" s="3">
        <v>0</v>
      </c>
      <c r="AZ2607" s="3">
        <v>0</v>
      </c>
      <c r="BA2607" s="3">
        <v>0</v>
      </c>
      <c r="BB2607" s="3">
        <v>0</v>
      </c>
      <c r="BC2607" s="3">
        <v>0</v>
      </c>
      <c r="BD2607" s="3">
        <v>0</v>
      </c>
      <c r="BE2607" s="3">
        <v>0</v>
      </c>
      <c r="BF2607" s="3">
        <v>0</v>
      </c>
      <c r="BG2607" s="3">
        <v>0</v>
      </c>
      <c r="BH2607" s="3">
        <v>1</v>
      </c>
      <c r="BI2607" s="3">
        <v>12</v>
      </c>
      <c r="BJ2607" s="3">
        <v>2.9</v>
      </c>
      <c r="BK2607" s="3">
        <v>12</v>
      </c>
      <c r="BL2607" s="3">
        <v>90.31</v>
      </c>
      <c r="BM2607" s="3">
        <v>13.55</v>
      </c>
      <c r="BN2607" s="3">
        <v>103.86</v>
      </c>
      <c r="BO2607" s="3">
        <v>103.86</v>
      </c>
      <c r="BQ2607" s="3" t="s">
        <v>83</v>
      </c>
      <c r="BR2607" s="3" t="s">
        <v>84</v>
      </c>
      <c r="BS2607" s="4">
        <v>44589</v>
      </c>
      <c r="BT2607" s="5">
        <v>0.34236111111111112</v>
      </c>
      <c r="BU2607" s="3" t="s">
        <v>2509</v>
      </c>
      <c r="BV2607" s="3" t="s">
        <v>105</v>
      </c>
      <c r="BY2607" s="3">
        <v>14440</v>
      </c>
      <c r="BZ2607" s="3" t="s">
        <v>165</v>
      </c>
      <c r="CA2607" s="3" t="s">
        <v>471</v>
      </c>
      <c r="CC2607" s="3" t="s">
        <v>143</v>
      </c>
      <c r="CD2607" s="3">
        <v>1451</v>
      </c>
      <c r="CE2607" s="3" t="s">
        <v>86</v>
      </c>
      <c r="CF2607" s="4">
        <v>44589</v>
      </c>
      <c r="CI2607" s="3">
        <v>1</v>
      </c>
      <c r="CJ2607" s="3">
        <v>1</v>
      </c>
      <c r="CK2607" s="3">
        <v>22</v>
      </c>
      <c r="CL2607" s="3" t="s">
        <v>87</v>
      </c>
    </row>
    <row r="2608" spans="1:90" x14ac:dyDescent="0.2">
      <c r="A2608" s="3" t="s">
        <v>72</v>
      </c>
      <c r="B2608" s="3" t="s">
        <v>73</v>
      </c>
      <c r="C2608" s="3" t="s">
        <v>74</v>
      </c>
      <c r="E2608" s="3" t="str">
        <f>"009941606939"</f>
        <v>009941606939</v>
      </c>
      <c r="F2608" s="4">
        <v>44588</v>
      </c>
      <c r="G2608" s="3">
        <v>202207</v>
      </c>
      <c r="H2608" s="3" t="s">
        <v>206</v>
      </c>
      <c r="I2608" s="3" t="s">
        <v>207</v>
      </c>
      <c r="J2608" s="3" t="s">
        <v>2510</v>
      </c>
      <c r="K2608" s="3" t="s">
        <v>78</v>
      </c>
      <c r="L2608" s="3" t="s">
        <v>75</v>
      </c>
      <c r="M2608" s="3" t="s">
        <v>76</v>
      </c>
      <c r="N2608" s="3" t="s">
        <v>966</v>
      </c>
      <c r="O2608" s="3" t="s">
        <v>148</v>
      </c>
      <c r="P2608" s="3" t="str">
        <f>"FES112843430                  "</f>
        <v xml:space="preserve">FES112843430                  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0</v>
      </c>
      <c r="AJ2608" s="3">
        <v>0</v>
      </c>
      <c r="AK2608" s="3">
        <v>33.01</v>
      </c>
      <c r="AL2608" s="3">
        <v>0</v>
      </c>
      <c r="AM2608" s="3">
        <v>0</v>
      </c>
      <c r="AN2608" s="3">
        <v>0</v>
      </c>
      <c r="AO2608" s="3">
        <v>0</v>
      </c>
      <c r="AP2608" s="3">
        <v>0</v>
      </c>
      <c r="AQ2608" s="3">
        <v>0</v>
      </c>
      <c r="AR2608" s="3">
        <v>0</v>
      </c>
      <c r="AS2608" s="3">
        <v>0</v>
      </c>
      <c r="AT2608" s="3">
        <v>0</v>
      </c>
      <c r="AU2608" s="3">
        <v>0</v>
      </c>
      <c r="AV2608" s="3">
        <v>0</v>
      </c>
      <c r="AW2608" s="3">
        <v>0</v>
      </c>
      <c r="AX2608" s="3">
        <v>0</v>
      </c>
      <c r="AY2608" s="3">
        <v>0</v>
      </c>
      <c r="AZ2608" s="3">
        <v>0</v>
      </c>
      <c r="BA2608" s="3">
        <v>0</v>
      </c>
      <c r="BB2608" s="3">
        <v>0</v>
      </c>
      <c r="BC2608" s="3">
        <v>0</v>
      </c>
      <c r="BD2608" s="3">
        <v>0</v>
      </c>
      <c r="BE2608" s="3">
        <v>0</v>
      </c>
      <c r="BF2608" s="3">
        <v>0</v>
      </c>
      <c r="BG2608" s="3">
        <v>0</v>
      </c>
      <c r="BH2608" s="3">
        <v>1</v>
      </c>
      <c r="BI2608" s="3">
        <v>1</v>
      </c>
      <c r="BJ2608" s="3">
        <v>0.2</v>
      </c>
      <c r="BK2608" s="3">
        <v>1</v>
      </c>
      <c r="BL2608" s="3">
        <v>131.25</v>
      </c>
      <c r="BM2608" s="3">
        <v>19.690000000000001</v>
      </c>
      <c r="BN2608" s="3">
        <v>150.94</v>
      </c>
      <c r="BO2608" s="3">
        <v>150.94</v>
      </c>
      <c r="BQ2608" s="3" t="s">
        <v>2511</v>
      </c>
      <c r="BR2608" s="3" t="s">
        <v>2511</v>
      </c>
      <c r="BS2608" s="4">
        <v>44589</v>
      </c>
      <c r="BT2608" s="5">
        <v>0.35694444444444445</v>
      </c>
      <c r="BU2608" s="3" t="s">
        <v>2512</v>
      </c>
      <c r="BV2608" s="3" t="s">
        <v>105</v>
      </c>
      <c r="BY2608" s="3">
        <v>1200</v>
      </c>
      <c r="BZ2608" s="3" t="s">
        <v>327</v>
      </c>
      <c r="CA2608" s="3" t="s">
        <v>311</v>
      </c>
      <c r="CC2608" s="3" t="s">
        <v>76</v>
      </c>
      <c r="CD2608" s="3">
        <v>1600</v>
      </c>
      <c r="CE2608" s="3" t="s">
        <v>86</v>
      </c>
      <c r="CF2608" s="4">
        <v>44589</v>
      </c>
      <c r="CI2608" s="3">
        <v>1</v>
      </c>
      <c r="CJ2608" s="3">
        <v>1</v>
      </c>
      <c r="CK2608" s="3">
        <v>44</v>
      </c>
      <c r="CL2608" s="3" t="s">
        <v>87</v>
      </c>
    </row>
    <row r="2609" spans="1:90" x14ac:dyDescent="0.2">
      <c r="A2609" s="3" t="s">
        <v>72</v>
      </c>
      <c r="B2609" s="3" t="s">
        <v>73</v>
      </c>
      <c r="C2609" s="3" t="s">
        <v>74</v>
      </c>
      <c r="E2609" s="3" t="str">
        <f>"FES1162843452"</f>
        <v>FES1162843452</v>
      </c>
      <c r="F2609" s="4">
        <v>44565</v>
      </c>
      <c r="G2609" s="3">
        <v>202207</v>
      </c>
      <c r="H2609" s="3" t="s">
        <v>75</v>
      </c>
      <c r="I2609" s="3" t="s">
        <v>76</v>
      </c>
      <c r="J2609" s="3" t="s">
        <v>77</v>
      </c>
      <c r="K2609" s="3" t="s">
        <v>78</v>
      </c>
      <c r="L2609" s="3" t="s">
        <v>731</v>
      </c>
      <c r="M2609" s="3" t="s">
        <v>732</v>
      </c>
      <c r="N2609" s="3" t="s">
        <v>733</v>
      </c>
      <c r="O2609" s="3" t="s">
        <v>82</v>
      </c>
      <c r="P2609" s="3" t="str">
        <f>"2170813817                    "</f>
        <v xml:space="preserve">2170813817                    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0</v>
      </c>
      <c r="AJ2609" s="3">
        <v>0</v>
      </c>
      <c r="AK2609" s="3">
        <v>47.76</v>
      </c>
      <c r="AL2609" s="3">
        <v>0</v>
      </c>
      <c r="AM2609" s="3">
        <v>0</v>
      </c>
      <c r="AN2609" s="3">
        <v>0</v>
      </c>
      <c r="AO2609" s="3">
        <v>0</v>
      </c>
      <c r="AP2609" s="3">
        <v>0</v>
      </c>
      <c r="AQ2609" s="3">
        <v>0</v>
      </c>
      <c r="AR2609" s="3">
        <v>0</v>
      </c>
      <c r="AS2609" s="3">
        <v>0</v>
      </c>
      <c r="AT2609" s="3">
        <v>0</v>
      </c>
      <c r="AU2609" s="3">
        <v>0</v>
      </c>
      <c r="AV2609" s="3">
        <v>0</v>
      </c>
      <c r="AW2609" s="3">
        <v>0</v>
      </c>
      <c r="AX2609" s="3">
        <v>0</v>
      </c>
      <c r="AY2609" s="3">
        <v>0</v>
      </c>
      <c r="AZ2609" s="3">
        <v>0</v>
      </c>
      <c r="BA2609" s="3">
        <v>0</v>
      </c>
      <c r="BB2609" s="3">
        <v>0</v>
      </c>
      <c r="BC2609" s="3">
        <v>0</v>
      </c>
      <c r="BD2609" s="3">
        <v>0</v>
      </c>
      <c r="BE2609" s="3">
        <v>0</v>
      </c>
      <c r="BF2609" s="3">
        <v>0</v>
      </c>
      <c r="BG2609" s="3">
        <v>0</v>
      </c>
      <c r="BH2609" s="3">
        <v>1</v>
      </c>
      <c r="BI2609" s="3">
        <v>3</v>
      </c>
      <c r="BJ2609" s="3">
        <v>2</v>
      </c>
      <c r="BK2609" s="3">
        <v>3</v>
      </c>
      <c r="BL2609" s="3">
        <v>170.22</v>
      </c>
      <c r="BM2609" s="3">
        <v>25.53</v>
      </c>
      <c r="BN2609" s="3">
        <v>195.75</v>
      </c>
      <c r="BO2609" s="3">
        <v>195.75</v>
      </c>
      <c r="BQ2609" s="3" t="s">
        <v>89</v>
      </c>
      <c r="BR2609" s="3" t="s">
        <v>308</v>
      </c>
      <c r="BS2609" s="4">
        <v>44566</v>
      </c>
      <c r="BT2609" s="5">
        <v>0.45833333333333331</v>
      </c>
      <c r="BU2609" s="3" t="s">
        <v>2513</v>
      </c>
      <c r="BV2609" s="3" t="s">
        <v>105</v>
      </c>
      <c r="BY2609" s="3">
        <v>9900</v>
      </c>
      <c r="BZ2609" s="3" t="s">
        <v>165</v>
      </c>
      <c r="CA2609" s="3" t="s">
        <v>328</v>
      </c>
      <c r="CC2609" s="3" t="s">
        <v>732</v>
      </c>
      <c r="CD2609" s="3">
        <v>3290</v>
      </c>
      <c r="CE2609" s="3" t="s">
        <v>86</v>
      </c>
      <c r="CF2609" s="4">
        <v>44568</v>
      </c>
      <c r="CI2609" s="3">
        <v>1</v>
      </c>
      <c r="CJ2609" s="3">
        <v>1</v>
      </c>
      <c r="CK2609" s="3">
        <v>23</v>
      </c>
      <c r="CL2609" s="3" t="s">
        <v>87</v>
      </c>
    </row>
    <row r="2610" spans="1:90" x14ac:dyDescent="0.2">
      <c r="A2610" s="3" t="s">
        <v>72</v>
      </c>
      <c r="B2610" s="3" t="s">
        <v>73</v>
      </c>
      <c r="C2610" s="3" t="s">
        <v>74</v>
      </c>
      <c r="E2610" s="3" t="str">
        <f>"FES1162843756"</f>
        <v>FES1162843756</v>
      </c>
      <c r="F2610" s="4">
        <v>44566</v>
      </c>
      <c r="G2610" s="3">
        <v>202207</v>
      </c>
      <c r="H2610" s="3" t="s">
        <v>75</v>
      </c>
      <c r="I2610" s="3" t="s">
        <v>76</v>
      </c>
      <c r="J2610" s="3" t="s">
        <v>77</v>
      </c>
      <c r="K2610" s="3" t="s">
        <v>78</v>
      </c>
      <c r="L2610" s="3" t="s">
        <v>244</v>
      </c>
      <c r="M2610" s="3" t="s">
        <v>245</v>
      </c>
      <c r="N2610" s="3" t="s">
        <v>246</v>
      </c>
      <c r="O2610" s="3" t="s">
        <v>82</v>
      </c>
      <c r="P2610" s="3" t="str">
        <f>"2170814348                    "</f>
        <v xml:space="preserve">2170814348                    </v>
      </c>
      <c r="Q2610" s="3">
        <v>0</v>
      </c>
      <c r="R2610" s="3">
        <v>0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0</v>
      </c>
      <c r="AJ2610" s="3">
        <v>0</v>
      </c>
      <c r="AK2610" s="3">
        <v>29.95</v>
      </c>
      <c r="AL2610" s="3">
        <v>0</v>
      </c>
      <c r="AM2610" s="3">
        <v>0</v>
      </c>
      <c r="AN2610" s="3">
        <v>0</v>
      </c>
      <c r="AO2610" s="3">
        <v>0</v>
      </c>
      <c r="AP2610" s="3">
        <v>0</v>
      </c>
      <c r="AQ2610" s="3">
        <v>0</v>
      </c>
      <c r="AR2610" s="3">
        <v>0</v>
      </c>
      <c r="AS2610" s="3">
        <v>0</v>
      </c>
      <c r="AT2610" s="3">
        <v>0</v>
      </c>
      <c r="AU2610" s="3">
        <v>0</v>
      </c>
      <c r="AV2610" s="3">
        <v>0</v>
      </c>
      <c r="AW2610" s="3">
        <v>0</v>
      </c>
      <c r="AX2610" s="3">
        <v>0</v>
      </c>
      <c r="AY2610" s="3">
        <v>0</v>
      </c>
      <c r="AZ2610" s="3">
        <v>0</v>
      </c>
      <c r="BA2610" s="3">
        <v>0</v>
      </c>
      <c r="BB2610" s="3">
        <v>0</v>
      </c>
      <c r="BC2610" s="3">
        <v>0</v>
      </c>
      <c r="BD2610" s="3">
        <v>0</v>
      </c>
      <c r="BE2610" s="3">
        <v>0</v>
      </c>
      <c r="BF2610" s="3">
        <v>0</v>
      </c>
      <c r="BG2610" s="3">
        <v>0</v>
      </c>
      <c r="BH2610" s="3">
        <v>1</v>
      </c>
      <c r="BI2610" s="3">
        <v>2</v>
      </c>
      <c r="BJ2610" s="3">
        <v>0.4</v>
      </c>
      <c r="BK2610" s="3">
        <v>2</v>
      </c>
      <c r="BL2610" s="3">
        <v>114.31</v>
      </c>
      <c r="BM2610" s="3">
        <v>17.149999999999999</v>
      </c>
      <c r="BN2610" s="3">
        <v>131.46</v>
      </c>
      <c r="BO2610" s="3">
        <v>131.46</v>
      </c>
      <c r="BQ2610" s="3" t="s">
        <v>89</v>
      </c>
      <c r="BR2610" s="3" t="s">
        <v>308</v>
      </c>
      <c r="BS2610" s="4">
        <v>44567</v>
      </c>
      <c r="BT2610" s="5">
        <v>0.42777777777777781</v>
      </c>
      <c r="BU2610" s="3" t="s">
        <v>2514</v>
      </c>
      <c r="BV2610" s="3" t="s">
        <v>105</v>
      </c>
      <c r="BY2610" s="3">
        <v>1764</v>
      </c>
      <c r="BZ2610" s="3" t="s">
        <v>165</v>
      </c>
      <c r="CA2610" s="3" t="s">
        <v>402</v>
      </c>
      <c r="CC2610" s="3" t="s">
        <v>245</v>
      </c>
      <c r="CD2610" s="3">
        <v>1947</v>
      </c>
      <c r="CE2610" s="3" t="s">
        <v>86</v>
      </c>
      <c r="CF2610" s="4">
        <v>44568</v>
      </c>
      <c r="CI2610" s="3">
        <v>1</v>
      </c>
      <c r="CJ2610" s="3">
        <v>1</v>
      </c>
      <c r="CK2610" s="3">
        <v>23</v>
      </c>
      <c r="CL2610" s="3" t="s">
        <v>87</v>
      </c>
    </row>
    <row r="2611" spans="1:90" x14ac:dyDescent="0.2">
      <c r="A2611" s="3" t="s">
        <v>72</v>
      </c>
      <c r="B2611" s="3" t="s">
        <v>73</v>
      </c>
      <c r="C2611" s="3" t="s">
        <v>74</v>
      </c>
      <c r="E2611" s="3" t="str">
        <f>"FES1162843415"</f>
        <v>FES1162843415</v>
      </c>
      <c r="F2611" s="4">
        <v>44565</v>
      </c>
      <c r="G2611" s="3">
        <v>202207</v>
      </c>
      <c r="H2611" s="3" t="s">
        <v>75</v>
      </c>
      <c r="I2611" s="3" t="s">
        <v>76</v>
      </c>
      <c r="J2611" s="3" t="s">
        <v>77</v>
      </c>
      <c r="K2611" s="3" t="s">
        <v>78</v>
      </c>
      <c r="L2611" s="3" t="s">
        <v>167</v>
      </c>
      <c r="M2611" s="3" t="s">
        <v>168</v>
      </c>
      <c r="N2611" s="3" t="s">
        <v>247</v>
      </c>
      <c r="O2611" s="3" t="s">
        <v>82</v>
      </c>
      <c r="P2611" s="3" t="str">
        <f>"2170809755                    "</f>
        <v xml:space="preserve">2170809755                    </v>
      </c>
      <c r="Q2611" s="3">
        <v>0</v>
      </c>
      <c r="R2611" s="3">
        <v>0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0</v>
      </c>
      <c r="AJ2611" s="3">
        <v>0</v>
      </c>
      <c r="AK2611" s="3">
        <v>16.98</v>
      </c>
      <c r="AL2611" s="3">
        <v>0</v>
      </c>
      <c r="AM2611" s="3">
        <v>0</v>
      </c>
      <c r="AN2611" s="3">
        <v>0</v>
      </c>
      <c r="AO2611" s="3">
        <v>0</v>
      </c>
      <c r="AP2611" s="3">
        <v>0</v>
      </c>
      <c r="AQ2611" s="3">
        <v>0</v>
      </c>
      <c r="AR2611" s="3">
        <v>0</v>
      </c>
      <c r="AS2611" s="3">
        <v>0</v>
      </c>
      <c r="AT2611" s="3">
        <v>0</v>
      </c>
      <c r="AU2611" s="3">
        <v>0</v>
      </c>
      <c r="AV2611" s="3">
        <v>0</v>
      </c>
      <c r="AW2611" s="3">
        <v>0</v>
      </c>
      <c r="AX2611" s="3">
        <v>0</v>
      </c>
      <c r="AY2611" s="3">
        <v>0</v>
      </c>
      <c r="AZ2611" s="3">
        <v>0</v>
      </c>
      <c r="BA2611" s="3">
        <v>0</v>
      </c>
      <c r="BB2611" s="3">
        <v>0</v>
      </c>
      <c r="BC2611" s="3">
        <v>0</v>
      </c>
      <c r="BD2611" s="3">
        <v>0</v>
      </c>
      <c r="BE2611" s="3">
        <v>0</v>
      </c>
      <c r="BF2611" s="3">
        <v>0</v>
      </c>
      <c r="BG2611" s="3">
        <v>0</v>
      </c>
      <c r="BH2611" s="3">
        <v>1</v>
      </c>
      <c r="BI2611" s="3">
        <v>1</v>
      </c>
      <c r="BJ2611" s="3">
        <v>0.2</v>
      </c>
      <c r="BK2611" s="3">
        <v>1</v>
      </c>
      <c r="BL2611" s="3">
        <v>60.52</v>
      </c>
      <c r="BM2611" s="3">
        <v>9.08</v>
      </c>
      <c r="BN2611" s="3">
        <v>69.599999999999994</v>
      </c>
      <c r="BO2611" s="3">
        <v>69.599999999999994</v>
      </c>
      <c r="BQ2611" s="3" t="s">
        <v>89</v>
      </c>
      <c r="BR2611" s="3" t="s">
        <v>308</v>
      </c>
      <c r="BS2611" s="4">
        <v>44566</v>
      </c>
      <c r="BT2611" s="5">
        <v>0.47361111111111115</v>
      </c>
      <c r="BU2611" s="3" t="s">
        <v>2515</v>
      </c>
      <c r="BV2611" s="3" t="s">
        <v>87</v>
      </c>
      <c r="BW2611" s="3" t="s">
        <v>457</v>
      </c>
      <c r="BX2611" s="3" t="s">
        <v>279</v>
      </c>
      <c r="BY2611" s="3">
        <v>1200</v>
      </c>
      <c r="BZ2611" s="3" t="s">
        <v>165</v>
      </c>
      <c r="CA2611" s="3" t="s">
        <v>553</v>
      </c>
      <c r="CC2611" s="3" t="s">
        <v>168</v>
      </c>
      <c r="CD2611" s="3">
        <v>6229</v>
      </c>
      <c r="CE2611" s="3" t="s">
        <v>93</v>
      </c>
      <c r="CF2611" s="4">
        <v>44566</v>
      </c>
      <c r="CI2611" s="3">
        <v>1</v>
      </c>
      <c r="CJ2611" s="3">
        <v>1</v>
      </c>
      <c r="CK2611" s="3">
        <v>21</v>
      </c>
      <c r="CL2611" s="3" t="s">
        <v>87</v>
      </c>
    </row>
    <row r="2612" spans="1:90" x14ac:dyDescent="0.2">
      <c r="A2612" s="3" t="s">
        <v>72</v>
      </c>
      <c r="B2612" s="3" t="s">
        <v>73</v>
      </c>
      <c r="C2612" s="3" t="s">
        <v>74</v>
      </c>
      <c r="E2612" s="3" t="str">
        <f>"FES1162843332"</f>
        <v>FES1162843332</v>
      </c>
      <c r="F2612" s="4">
        <v>44565</v>
      </c>
      <c r="G2612" s="3">
        <v>202207</v>
      </c>
      <c r="H2612" s="3" t="s">
        <v>75</v>
      </c>
      <c r="I2612" s="3" t="s">
        <v>76</v>
      </c>
      <c r="J2612" s="3" t="s">
        <v>77</v>
      </c>
      <c r="K2612" s="3" t="s">
        <v>78</v>
      </c>
      <c r="L2612" s="3" t="s">
        <v>427</v>
      </c>
      <c r="M2612" s="3" t="s">
        <v>428</v>
      </c>
      <c r="N2612" s="3" t="s">
        <v>217</v>
      </c>
      <c r="O2612" s="3" t="s">
        <v>82</v>
      </c>
      <c r="P2612" s="3" t="str">
        <f>"2170814607                    "</f>
        <v xml:space="preserve">2170814607                    </v>
      </c>
      <c r="Q2612" s="3">
        <v>0</v>
      </c>
      <c r="R2612" s="3">
        <v>0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0</v>
      </c>
      <c r="AJ2612" s="3">
        <v>0</v>
      </c>
      <c r="AK2612" s="3">
        <v>32.9</v>
      </c>
      <c r="AL2612" s="3">
        <v>0</v>
      </c>
      <c r="AM2612" s="3">
        <v>0</v>
      </c>
      <c r="AN2612" s="3">
        <v>0</v>
      </c>
      <c r="AO2612" s="3">
        <v>0</v>
      </c>
      <c r="AP2612" s="3">
        <v>0</v>
      </c>
      <c r="AQ2612" s="3">
        <v>0</v>
      </c>
      <c r="AR2612" s="3">
        <v>0</v>
      </c>
      <c r="AS2612" s="3">
        <v>0</v>
      </c>
      <c r="AT2612" s="3">
        <v>0</v>
      </c>
      <c r="AU2612" s="3">
        <v>0</v>
      </c>
      <c r="AV2612" s="3">
        <v>0</v>
      </c>
      <c r="AW2612" s="3">
        <v>0</v>
      </c>
      <c r="AX2612" s="3">
        <v>0</v>
      </c>
      <c r="AY2612" s="3">
        <v>0</v>
      </c>
      <c r="AZ2612" s="3">
        <v>0</v>
      </c>
      <c r="BA2612" s="3">
        <v>0</v>
      </c>
      <c r="BB2612" s="3">
        <v>0</v>
      </c>
      <c r="BC2612" s="3">
        <v>0</v>
      </c>
      <c r="BD2612" s="3">
        <v>0</v>
      </c>
      <c r="BE2612" s="3">
        <v>0</v>
      </c>
      <c r="BF2612" s="3">
        <v>0</v>
      </c>
      <c r="BG2612" s="3">
        <v>0</v>
      </c>
      <c r="BH2612" s="3">
        <v>1</v>
      </c>
      <c r="BI2612" s="3">
        <v>1</v>
      </c>
      <c r="BJ2612" s="3">
        <v>0.2</v>
      </c>
      <c r="BK2612" s="3">
        <v>1</v>
      </c>
      <c r="BL2612" s="3">
        <v>117.26</v>
      </c>
      <c r="BM2612" s="3">
        <v>17.59</v>
      </c>
      <c r="BN2612" s="3">
        <v>134.85</v>
      </c>
      <c r="BO2612" s="3">
        <v>134.85</v>
      </c>
      <c r="BR2612" s="3" t="s">
        <v>308</v>
      </c>
      <c r="BS2612" s="4">
        <v>44566</v>
      </c>
      <c r="BT2612" s="5">
        <v>0.43402777777777773</v>
      </c>
      <c r="BU2612" s="3" t="s">
        <v>658</v>
      </c>
      <c r="BV2612" s="3" t="s">
        <v>105</v>
      </c>
      <c r="BY2612" s="3">
        <v>1200</v>
      </c>
      <c r="BZ2612" s="3" t="s">
        <v>165</v>
      </c>
      <c r="CA2612" s="3" t="s">
        <v>2516</v>
      </c>
      <c r="CC2612" s="3" t="s">
        <v>428</v>
      </c>
      <c r="CD2612" s="3">
        <v>7130</v>
      </c>
      <c r="CE2612" s="3" t="s">
        <v>93</v>
      </c>
      <c r="CF2612" s="4">
        <v>44567</v>
      </c>
      <c r="CI2612" s="3">
        <v>1</v>
      </c>
      <c r="CJ2612" s="3">
        <v>1</v>
      </c>
      <c r="CK2612" s="3">
        <v>23</v>
      </c>
      <c r="CL2612" s="3" t="s">
        <v>87</v>
      </c>
    </row>
    <row r="2613" spans="1:90" x14ac:dyDescent="0.2">
      <c r="A2613" s="3" t="s">
        <v>72</v>
      </c>
      <c r="B2613" s="3" t="s">
        <v>73</v>
      </c>
      <c r="C2613" s="3" t="s">
        <v>74</v>
      </c>
      <c r="E2613" s="3" t="str">
        <f>"FES1162843319"</f>
        <v>FES1162843319</v>
      </c>
      <c r="F2613" s="4">
        <v>44565</v>
      </c>
      <c r="G2613" s="3">
        <v>202207</v>
      </c>
      <c r="H2613" s="3" t="s">
        <v>75</v>
      </c>
      <c r="I2613" s="3" t="s">
        <v>76</v>
      </c>
      <c r="J2613" s="3" t="s">
        <v>77</v>
      </c>
      <c r="K2613" s="3" t="s">
        <v>78</v>
      </c>
      <c r="L2613" s="3" t="s">
        <v>195</v>
      </c>
      <c r="M2613" s="3" t="s">
        <v>196</v>
      </c>
      <c r="N2613" s="3" t="s">
        <v>197</v>
      </c>
      <c r="O2613" s="3" t="s">
        <v>82</v>
      </c>
      <c r="P2613" s="3" t="str">
        <f>"2170804428                    "</f>
        <v xml:space="preserve">2170804428                    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0</v>
      </c>
      <c r="AJ2613" s="3">
        <v>0</v>
      </c>
      <c r="AK2613" s="3">
        <v>38.200000000000003</v>
      </c>
      <c r="AL2613" s="3">
        <v>0</v>
      </c>
      <c r="AM2613" s="3">
        <v>0</v>
      </c>
      <c r="AN2613" s="3">
        <v>0</v>
      </c>
      <c r="AO2613" s="3">
        <v>0</v>
      </c>
      <c r="AP2613" s="3">
        <v>0</v>
      </c>
      <c r="AQ2613" s="3">
        <v>0</v>
      </c>
      <c r="AR2613" s="3">
        <v>0</v>
      </c>
      <c r="AS2613" s="3">
        <v>0</v>
      </c>
      <c r="AT2613" s="3">
        <v>0</v>
      </c>
      <c r="AU2613" s="3">
        <v>0</v>
      </c>
      <c r="AV2613" s="3">
        <v>0</v>
      </c>
      <c r="AW2613" s="3">
        <v>0</v>
      </c>
      <c r="AX2613" s="3">
        <v>0</v>
      </c>
      <c r="AY2613" s="3">
        <v>0</v>
      </c>
      <c r="AZ2613" s="3">
        <v>0</v>
      </c>
      <c r="BA2613" s="3">
        <v>0</v>
      </c>
      <c r="BB2613" s="3">
        <v>0</v>
      </c>
      <c r="BC2613" s="3">
        <v>0</v>
      </c>
      <c r="BD2613" s="3">
        <v>0</v>
      </c>
      <c r="BE2613" s="3">
        <v>0</v>
      </c>
      <c r="BF2613" s="3">
        <v>0</v>
      </c>
      <c r="BG2613" s="3">
        <v>0</v>
      </c>
      <c r="BH2613" s="3">
        <v>1</v>
      </c>
      <c r="BI2613" s="3">
        <v>2</v>
      </c>
      <c r="BJ2613" s="3">
        <v>4.0999999999999996</v>
      </c>
      <c r="BK2613" s="3">
        <v>4.5</v>
      </c>
      <c r="BL2613" s="3">
        <v>136.13999999999999</v>
      </c>
      <c r="BM2613" s="3">
        <v>20.420000000000002</v>
      </c>
      <c r="BN2613" s="3">
        <v>156.56</v>
      </c>
      <c r="BO2613" s="3">
        <v>156.56</v>
      </c>
      <c r="BQ2613" s="3" t="s">
        <v>89</v>
      </c>
      <c r="BR2613" s="3" t="s">
        <v>308</v>
      </c>
      <c r="BS2613" s="4">
        <v>44566</v>
      </c>
      <c r="BT2613" s="5">
        <v>0.3611111111111111</v>
      </c>
      <c r="BU2613" s="3" t="s">
        <v>570</v>
      </c>
      <c r="BV2613" s="3" t="s">
        <v>105</v>
      </c>
      <c r="BY2613" s="3">
        <v>20358</v>
      </c>
      <c r="BZ2613" s="3" t="s">
        <v>165</v>
      </c>
      <c r="CA2613" s="3" t="s">
        <v>571</v>
      </c>
      <c r="CC2613" s="3" t="s">
        <v>196</v>
      </c>
      <c r="CD2613" s="3">
        <v>4302</v>
      </c>
      <c r="CE2613" s="3" t="s">
        <v>86</v>
      </c>
      <c r="CF2613" s="4">
        <v>44566</v>
      </c>
      <c r="CI2613" s="3">
        <v>1</v>
      </c>
      <c r="CJ2613" s="3">
        <v>1</v>
      </c>
      <c r="CK2613" s="3">
        <v>21</v>
      </c>
      <c r="CL2613" s="3" t="s">
        <v>87</v>
      </c>
    </row>
    <row r="2614" spans="1:90" x14ac:dyDescent="0.2">
      <c r="A2614" s="3" t="s">
        <v>72</v>
      </c>
      <c r="B2614" s="3" t="s">
        <v>73</v>
      </c>
      <c r="C2614" s="3" t="s">
        <v>74</v>
      </c>
      <c r="E2614" s="3" t="str">
        <f>"FES116283560"</f>
        <v>FES116283560</v>
      </c>
      <c r="F2614" s="4">
        <v>44566</v>
      </c>
      <c r="G2614" s="3">
        <v>202207</v>
      </c>
      <c r="H2614" s="3" t="s">
        <v>75</v>
      </c>
      <c r="I2614" s="3" t="s">
        <v>76</v>
      </c>
      <c r="J2614" s="3" t="s">
        <v>77</v>
      </c>
      <c r="K2614" s="3" t="s">
        <v>78</v>
      </c>
      <c r="L2614" s="3" t="s">
        <v>101</v>
      </c>
      <c r="M2614" s="3" t="s">
        <v>102</v>
      </c>
      <c r="N2614" s="3" t="s">
        <v>2517</v>
      </c>
      <c r="O2614" s="3" t="s">
        <v>82</v>
      </c>
      <c r="P2614" s="3" t="str">
        <f>"2170815656                    "</f>
        <v xml:space="preserve">2170815656                    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0</v>
      </c>
      <c r="AJ2614" s="3">
        <v>0</v>
      </c>
      <c r="AK2614" s="3">
        <v>15.46</v>
      </c>
      <c r="AL2614" s="3">
        <v>0</v>
      </c>
      <c r="AM2614" s="3">
        <v>0</v>
      </c>
      <c r="AN2614" s="3">
        <v>0</v>
      </c>
      <c r="AO2614" s="3">
        <v>0</v>
      </c>
      <c r="AP2614" s="3">
        <v>0</v>
      </c>
      <c r="AQ2614" s="3">
        <v>0</v>
      </c>
      <c r="AR2614" s="3">
        <v>0</v>
      </c>
      <c r="AS2614" s="3">
        <v>0</v>
      </c>
      <c r="AT2614" s="3">
        <v>0</v>
      </c>
      <c r="AU2614" s="3">
        <v>0</v>
      </c>
      <c r="AV2614" s="3">
        <v>0</v>
      </c>
      <c r="AW2614" s="3">
        <v>0</v>
      </c>
      <c r="AX2614" s="3">
        <v>0</v>
      </c>
      <c r="AY2614" s="3">
        <v>0</v>
      </c>
      <c r="AZ2614" s="3">
        <v>0</v>
      </c>
      <c r="BA2614" s="3">
        <v>0</v>
      </c>
      <c r="BB2614" s="3">
        <v>0</v>
      </c>
      <c r="BC2614" s="3">
        <v>0</v>
      </c>
      <c r="BD2614" s="3">
        <v>0</v>
      </c>
      <c r="BE2614" s="3">
        <v>0</v>
      </c>
      <c r="BF2614" s="3">
        <v>0</v>
      </c>
      <c r="BG2614" s="3">
        <v>0</v>
      </c>
      <c r="BH2614" s="3">
        <v>1</v>
      </c>
      <c r="BI2614" s="3">
        <v>1</v>
      </c>
      <c r="BJ2614" s="3">
        <v>0.2</v>
      </c>
      <c r="BK2614" s="3">
        <v>1</v>
      </c>
      <c r="BL2614" s="3">
        <v>59</v>
      </c>
      <c r="BM2614" s="3">
        <v>8.85</v>
      </c>
      <c r="BN2614" s="3">
        <v>67.849999999999994</v>
      </c>
      <c r="BO2614" s="3">
        <v>67.849999999999994</v>
      </c>
      <c r="BR2614" s="3" t="s">
        <v>364</v>
      </c>
      <c r="BS2614" s="4">
        <v>44571</v>
      </c>
      <c r="BT2614" s="5">
        <v>0.58333333333333337</v>
      </c>
      <c r="BU2614" s="3" t="s">
        <v>2518</v>
      </c>
      <c r="BV2614" s="3" t="s">
        <v>87</v>
      </c>
      <c r="BW2614" s="3" t="s">
        <v>453</v>
      </c>
      <c r="BX2614" s="3" t="s">
        <v>2519</v>
      </c>
      <c r="BY2614" s="3">
        <v>1200</v>
      </c>
      <c r="BZ2614" s="3" t="s">
        <v>165</v>
      </c>
      <c r="CC2614" s="3" t="s">
        <v>102</v>
      </c>
      <c r="CD2614" s="3">
        <v>4000</v>
      </c>
      <c r="CE2614" s="3" t="s">
        <v>93</v>
      </c>
      <c r="CF2614" s="4">
        <v>44573</v>
      </c>
      <c r="CI2614" s="3">
        <v>1</v>
      </c>
      <c r="CJ2614" s="3">
        <v>3</v>
      </c>
      <c r="CK2614" s="3">
        <v>21</v>
      </c>
      <c r="CL2614" s="3" t="s">
        <v>87</v>
      </c>
    </row>
    <row r="2615" spans="1:90" x14ac:dyDescent="0.2">
      <c r="A2615" s="3" t="s">
        <v>72</v>
      </c>
      <c r="B2615" s="3" t="s">
        <v>73</v>
      </c>
      <c r="C2615" s="3" t="s">
        <v>74</v>
      </c>
      <c r="E2615" s="3" t="str">
        <f>"FES1162843080"</f>
        <v>FES1162843080</v>
      </c>
      <c r="F2615" s="4">
        <v>44564</v>
      </c>
      <c r="G2615" s="3">
        <v>202207</v>
      </c>
      <c r="H2615" s="3" t="s">
        <v>75</v>
      </c>
      <c r="I2615" s="3" t="s">
        <v>76</v>
      </c>
      <c r="J2615" s="3" t="s">
        <v>77</v>
      </c>
      <c r="K2615" s="3" t="s">
        <v>78</v>
      </c>
      <c r="L2615" s="3" t="s">
        <v>94</v>
      </c>
      <c r="M2615" s="3" t="s">
        <v>95</v>
      </c>
      <c r="N2615" s="3" t="s">
        <v>179</v>
      </c>
      <c r="O2615" s="3" t="s">
        <v>82</v>
      </c>
      <c r="P2615" s="3" t="str">
        <f>"2170815437                    "</f>
        <v xml:space="preserve">2170815437                    </v>
      </c>
      <c r="Q2615" s="3">
        <v>0</v>
      </c>
      <c r="R2615" s="3">
        <v>0</v>
      </c>
      <c r="S2615" s="3">
        <v>0</v>
      </c>
      <c r="T2615" s="3">
        <v>0</v>
      </c>
      <c r="U2615" s="3">
        <v>0</v>
      </c>
      <c r="V2615" s="3">
        <v>0</v>
      </c>
      <c r="W2615" s="3">
        <v>0</v>
      </c>
      <c r="X2615" s="3">
        <v>0</v>
      </c>
      <c r="Y2615" s="3">
        <v>0</v>
      </c>
      <c r="Z2615" s="3">
        <v>0</v>
      </c>
      <c r="AA2615" s="3">
        <v>0</v>
      </c>
      <c r="AB2615" s="3">
        <v>0</v>
      </c>
      <c r="AC2615" s="3">
        <v>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0</v>
      </c>
      <c r="AJ2615" s="3">
        <v>0</v>
      </c>
      <c r="AK2615" s="3">
        <v>16.98</v>
      </c>
      <c r="AL2615" s="3">
        <v>0</v>
      </c>
      <c r="AM2615" s="3">
        <v>0</v>
      </c>
      <c r="AN2615" s="3">
        <v>0</v>
      </c>
      <c r="AO2615" s="3">
        <v>0</v>
      </c>
      <c r="AP2615" s="3">
        <v>0</v>
      </c>
      <c r="AQ2615" s="3">
        <v>0</v>
      </c>
      <c r="AR2615" s="3">
        <v>0</v>
      </c>
      <c r="AS2615" s="3">
        <v>0</v>
      </c>
      <c r="AT2615" s="3">
        <v>0</v>
      </c>
      <c r="AU2615" s="3">
        <v>0</v>
      </c>
      <c r="AV2615" s="3">
        <v>0</v>
      </c>
      <c r="AW2615" s="3">
        <v>0</v>
      </c>
      <c r="AX2615" s="3">
        <v>0</v>
      </c>
      <c r="AY2615" s="3">
        <v>0</v>
      </c>
      <c r="AZ2615" s="3">
        <v>0</v>
      </c>
      <c r="BA2615" s="3">
        <v>0</v>
      </c>
      <c r="BB2615" s="3">
        <v>0</v>
      </c>
      <c r="BC2615" s="3">
        <v>0</v>
      </c>
      <c r="BD2615" s="3">
        <v>0</v>
      </c>
      <c r="BE2615" s="3">
        <v>0</v>
      </c>
      <c r="BF2615" s="3">
        <v>0</v>
      </c>
      <c r="BG2615" s="3">
        <v>0</v>
      </c>
      <c r="BH2615" s="3">
        <v>1</v>
      </c>
      <c r="BI2615" s="3">
        <v>1</v>
      </c>
      <c r="BJ2615" s="3">
        <v>0.2</v>
      </c>
      <c r="BK2615" s="3">
        <v>1</v>
      </c>
      <c r="BL2615" s="3">
        <v>60.52</v>
      </c>
      <c r="BM2615" s="3">
        <v>9.08</v>
      </c>
      <c r="BN2615" s="3">
        <v>69.599999999999994</v>
      </c>
      <c r="BO2615" s="3">
        <v>69.599999999999994</v>
      </c>
      <c r="BQ2615" s="3" t="s">
        <v>83</v>
      </c>
      <c r="BR2615" s="3" t="s">
        <v>308</v>
      </c>
      <c r="BS2615" s="4">
        <v>44565</v>
      </c>
      <c r="BT2615" s="5">
        <v>0.39583333333333331</v>
      </c>
      <c r="BU2615" s="3" t="s">
        <v>2520</v>
      </c>
      <c r="BV2615" s="3" t="s">
        <v>105</v>
      </c>
      <c r="BY2615" s="3">
        <v>1200</v>
      </c>
      <c r="BZ2615" s="3" t="s">
        <v>165</v>
      </c>
      <c r="CA2615" s="3" t="s">
        <v>328</v>
      </c>
      <c r="CC2615" s="3" t="s">
        <v>95</v>
      </c>
      <c r="CD2615" s="3">
        <v>3201</v>
      </c>
      <c r="CE2615" s="3" t="s">
        <v>93</v>
      </c>
      <c r="CF2615" s="4">
        <v>44567</v>
      </c>
      <c r="CI2615" s="3">
        <v>1</v>
      </c>
      <c r="CJ2615" s="3">
        <v>1</v>
      </c>
      <c r="CK2615" s="3">
        <v>21</v>
      </c>
      <c r="CL2615" s="3" t="s">
        <v>87</v>
      </c>
    </row>
    <row r="2616" spans="1:90" x14ac:dyDescent="0.2">
      <c r="A2616" s="3" t="s">
        <v>72</v>
      </c>
      <c r="B2616" s="3" t="s">
        <v>73</v>
      </c>
      <c r="C2616" s="3" t="s">
        <v>74</v>
      </c>
      <c r="E2616" s="3" t="str">
        <f>"FES1162843367"</f>
        <v>FES1162843367</v>
      </c>
      <c r="F2616" s="4">
        <v>44565</v>
      </c>
      <c r="G2616" s="3">
        <v>202207</v>
      </c>
      <c r="H2616" s="3" t="s">
        <v>75</v>
      </c>
      <c r="I2616" s="3" t="s">
        <v>76</v>
      </c>
      <c r="J2616" s="3" t="s">
        <v>77</v>
      </c>
      <c r="K2616" s="3" t="s">
        <v>78</v>
      </c>
      <c r="L2616" s="3" t="s">
        <v>97</v>
      </c>
      <c r="M2616" s="3" t="s">
        <v>98</v>
      </c>
      <c r="N2616" s="3" t="s">
        <v>2521</v>
      </c>
      <c r="O2616" s="3" t="s">
        <v>82</v>
      </c>
      <c r="P2616" s="3" t="str">
        <f>"2170811296                    "</f>
        <v xml:space="preserve">2170811296                    </v>
      </c>
      <c r="Q2616" s="3">
        <v>0</v>
      </c>
      <c r="R2616" s="3">
        <v>0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0</v>
      </c>
      <c r="AJ2616" s="3">
        <v>0</v>
      </c>
      <c r="AK2616" s="3">
        <v>13.26</v>
      </c>
      <c r="AL2616" s="3">
        <v>0</v>
      </c>
      <c r="AM2616" s="3">
        <v>0</v>
      </c>
      <c r="AN2616" s="3">
        <v>0</v>
      </c>
      <c r="AO2616" s="3">
        <v>0</v>
      </c>
      <c r="AP2616" s="3">
        <v>0</v>
      </c>
      <c r="AQ2616" s="3">
        <v>0</v>
      </c>
      <c r="AR2616" s="3">
        <v>0</v>
      </c>
      <c r="AS2616" s="3">
        <v>0</v>
      </c>
      <c r="AT2616" s="3">
        <v>0</v>
      </c>
      <c r="AU2616" s="3">
        <v>0</v>
      </c>
      <c r="AV2616" s="3">
        <v>0</v>
      </c>
      <c r="AW2616" s="3">
        <v>0</v>
      </c>
      <c r="AX2616" s="3">
        <v>0</v>
      </c>
      <c r="AY2616" s="3">
        <v>0</v>
      </c>
      <c r="AZ2616" s="3">
        <v>0</v>
      </c>
      <c r="BA2616" s="3">
        <v>0</v>
      </c>
      <c r="BB2616" s="3">
        <v>0</v>
      </c>
      <c r="BC2616" s="3">
        <v>0</v>
      </c>
      <c r="BD2616" s="3">
        <v>0</v>
      </c>
      <c r="BE2616" s="3">
        <v>0</v>
      </c>
      <c r="BF2616" s="3">
        <v>0</v>
      </c>
      <c r="BG2616" s="3">
        <v>0</v>
      </c>
      <c r="BH2616" s="3">
        <v>1</v>
      </c>
      <c r="BI2616" s="3">
        <v>2</v>
      </c>
      <c r="BJ2616" s="3">
        <v>2</v>
      </c>
      <c r="BK2616" s="3">
        <v>2</v>
      </c>
      <c r="BL2616" s="3">
        <v>47.27</v>
      </c>
      <c r="BM2616" s="3">
        <v>7.09</v>
      </c>
      <c r="BN2616" s="3">
        <v>54.36</v>
      </c>
      <c r="BO2616" s="3">
        <v>54.36</v>
      </c>
      <c r="BR2616" s="3" t="s">
        <v>308</v>
      </c>
      <c r="BS2616" s="4">
        <v>44566</v>
      </c>
      <c r="BT2616" s="5">
        <v>0.46319444444444446</v>
      </c>
      <c r="BU2616" s="3" t="s">
        <v>2522</v>
      </c>
      <c r="BV2616" s="3" t="s">
        <v>87</v>
      </c>
      <c r="BW2616" s="3" t="s">
        <v>353</v>
      </c>
      <c r="BX2616" s="3" t="s">
        <v>377</v>
      </c>
      <c r="BY2616" s="3">
        <v>9900</v>
      </c>
      <c r="BZ2616" s="3" t="s">
        <v>165</v>
      </c>
      <c r="CA2616" s="3" t="s">
        <v>2523</v>
      </c>
      <c r="CC2616" s="3" t="s">
        <v>98</v>
      </c>
      <c r="CD2616" s="3">
        <v>2040</v>
      </c>
      <c r="CE2616" s="3" t="s">
        <v>86</v>
      </c>
      <c r="CF2616" s="4">
        <v>44566</v>
      </c>
      <c r="CI2616" s="3">
        <v>1</v>
      </c>
      <c r="CJ2616" s="3">
        <v>1</v>
      </c>
      <c r="CK2616" s="3">
        <v>22</v>
      </c>
      <c r="CL2616" s="3" t="s">
        <v>87</v>
      </c>
    </row>
    <row r="2617" spans="1:90" x14ac:dyDescent="0.2">
      <c r="A2617" s="3" t="s">
        <v>72</v>
      </c>
      <c r="B2617" s="3" t="s">
        <v>73</v>
      </c>
      <c r="C2617" s="3" t="s">
        <v>74</v>
      </c>
      <c r="E2617" s="3" t="str">
        <f>"FES1162843579"</f>
        <v>FES1162843579</v>
      </c>
      <c r="F2617" s="4">
        <v>44566</v>
      </c>
      <c r="G2617" s="3">
        <v>202207</v>
      </c>
      <c r="H2617" s="3" t="s">
        <v>75</v>
      </c>
      <c r="I2617" s="3" t="s">
        <v>76</v>
      </c>
      <c r="J2617" s="3" t="s">
        <v>77</v>
      </c>
      <c r="K2617" s="3" t="s">
        <v>78</v>
      </c>
      <c r="L2617" s="3" t="s">
        <v>79</v>
      </c>
      <c r="M2617" s="3" t="s">
        <v>80</v>
      </c>
      <c r="N2617" s="3" t="s">
        <v>2170</v>
      </c>
      <c r="O2617" s="3" t="s">
        <v>82</v>
      </c>
      <c r="P2617" s="3" t="str">
        <f>"2170811454                    "</f>
        <v xml:space="preserve">2170811454                    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0</v>
      </c>
      <c r="AJ2617" s="3">
        <v>0</v>
      </c>
      <c r="AK2617" s="3">
        <v>15.46</v>
      </c>
      <c r="AL2617" s="3">
        <v>0</v>
      </c>
      <c r="AM2617" s="3">
        <v>0</v>
      </c>
      <c r="AN2617" s="3">
        <v>0</v>
      </c>
      <c r="AO2617" s="3">
        <v>0</v>
      </c>
      <c r="AP2617" s="3">
        <v>0</v>
      </c>
      <c r="AQ2617" s="3">
        <v>0</v>
      </c>
      <c r="AR2617" s="3">
        <v>0</v>
      </c>
      <c r="AS2617" s="3">
        <v>0</v>
      </c>
      <c r="AT2617" s="3">
        <v>0</v>
      </c>
      <c r="AU2617" s="3">
        <v>0</v>
      </c>
      <c r="AV2617" s="3">
        <v>0</v>
      </c>
      <c r="AW2617" s="3">
        <v>0</v>
      </c>
      <c r="AX2617" s="3">
        <v>0</v>
      </c>
      <c r="AY2617" s="3">
        <v>0</v>
      </c>
      <c r="AZ2617" s="3">
        <v>0</v>
      </c>
      <c r="BA2617" s="3">
        <v>0</v>
      </c>
      <c r="BB2617" s="3">
        <v>0</v>
      </c>
      <c r="BC2617" s="3">
        <v>0</v>
      </c>
      <c r="BD2617" s="3">
        <v>0</v>
      </c>
      <c r="BE2617" s="3">
        <v>0</v>
      </c>
      <c r="BF2617" s="3">
        <v>0</v>
      </c>
      <c r="BG2617" s="3">
        <v>0</v>
      </c>
      <c r="BH2617" s="3">
        <v>1</v>
      </c>
      <c r="BI2617" s="3">
        <v>1</v>
      </c>
      <c r="BJ2617" s="3">
        <v>0.2</v>
      </c>
      <c r="BK2617" s="3">
        <v>1</v>
      </c>
      <c r="BL2617" s="3">
        <v>59</v>
      </c>
      <c r="BM2617" s="3">
        <v>8.85</v>
      </c>
      <c r="BN2617" s="3">
        <v>67.849999999999994</v>
      </c>
      <c r="BO2617" s="3">
        <v>67.849999999999994</v>
      </c>
      <c r="BQ2617" s="3" t="s">
        <v>89</v>
      </c>
      <c r="BR2617" s="3" t="s">
        <v>364</v>
      </c>
      <c r="BS2617" s="4">
        <v>44567</v>
      </c>
      <c r="BT2617" s="5">
        <v>0.40277777777777773</v>
      </c>
      <c r="BU2617" s="3" t="s">
        <v>1007</v>
      </c>
      <c r="BV2617" s="3" t="s">
        <v>105</v>
      </c>
      <c r="BY2617" s="3">
        <v>1200</v>
      </c>
      <c r="BZ2617" s="3" t="s">
        <v>165</v>
      </c>
      <c r="CA2617" s="3" t="s">
        <v>366</v>
      </c>
      <c r="CC2617" s="3" t="s">
        <v>80</v>
      </c>
      <c r="CD2617" s="3">
        <v>200</v>
      </c>
      <c r="CE2617" s="3" t="s">
        <v>93</v>
      </c>
      <c r="CF2617" s="4">
        <v>44567</v>
      </c>
      <c r="CI2617" s="3">
        <v>1</v>
      </c>
      <c r="CJ2617" s="3">
        <v>1</v>
      </c>
      <c r="CK2617" s="3">
        <v>21</v>
      </c>
      <c r="CL2617" s="3" t="s">
        <v>87</v>
      </c>
    </row>
    <row r="2618" spans="1:90" x14ac:dyDescent="0.2">
      <c r="A2618" s="3" t="s">
        <v>72</v>
      </c>
      <c r="B2618" s="3" t="s">
        <v>73</v>
      </c>
      <c r="C2618" s="3" t="s">
        <v>74</v>
      </c>
      <c r="E2618" s="3" t="str">
        <f>"FES1162843417"</f>
        <v>FES1162843417</v>
      </c>
      <c r="F2618" s="4">
        <v>44565</v>
      </c>
      <c r="G2618" s="3">
        <v>202207</v>
      </c>
      <c r="H2618" s="3" t="s">
        <v>75</v>
      </c>
      <c r="I2618" s="3" t="s">
        <v>76</v>
      </c>
      <c r="J2618" s="3" t="s">
        <v>77</v>
      </c>
      <c r="K2618" s="3" t="s">
        <v>78</v>
      </c>
      <c r="L2618" s="3" t="s">
        <v>79</v>
      </c>
      <c r="M2618" s="3" t="s">
        <v>80</v>
      </c>
      <c r="N2618" s="3" t="s">
        <v>2170</v>
      </c>
      <c r="O2618" s="3" t="s">
        <v>82</v>
      </c>
      <c r="P2618" s="3" t="str">
        <f>"2170810465                    "</f>
        <v xml:space="preserve">2170810465                    </v>
      </c>
      <c r="Q2618" s="3">
        <v>0</v>
      </c>
      <c r="R2618" s="3">
        <v>0</v>
      </c>
      <c r="S2618" s="3">
        <v>0</v>
      </c>
      <c r="T2618" s="3">
        <v>0</v>
      </c>
      <c r="U2618" s="3">
        <v>0</v>
      </c>
      <c r="V2618" s="3">
        <v>0</v>
      </c>
      <c r="W2618" s="3">
        <v>0</v>
      </c>
      <c r="X2618" s="3">
        <v>0</v>
      </c>
      <c r="Y2618" s="3">
        <v>0</v>
      </c>
      <c r="Z2618" s="3">
        <v>0</v>
      </c>
      <c r="AA2618" s="3">
        <v>0</v>
      </c>
      <c r="AB2618" s="3">
        <v>0</v>
      </c>
      <c r="AC2618" s="3">
        <v>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0</v>
      </c>
      <c r="AJ2618" s="3">
        <v>0</v>
      </c>
      <c r="AK2618" s="3">
        <v>16.98</v>
      </c>
      <c r="AL2618" s="3">
        <v>0</v>
      </c>
      <c r="AM2618" s="3">
        <v>0</v>
      </c>
      <c r="AN2618" s="3">
        <v>0</v>
      </c>
      <c r="AO2618" s="3">
        <v>0</v>
      </c>
      <c r="AP2618" s="3">
        <v>0</v>
      </c>
      <c r="AQ2618" s="3">
        <v>0</v>
      </c>
      <c r="AR2618" s="3">
        <v>0</v>
      </c>
      <c r="AS2618" s="3">
        <v>0</v>
      </c>
      <c r="AT2618" s="3">
        <v>0</v>
      </c>
      <c r="AU2618" s="3">
        <v>0</v>
      </c>
      <c r="AV2618" s="3">
        <v>0</v>
      </c>
      <c r="AW2618" s="3">
        <v>0</v>
      </c>
      <c r="AX2618" s="3">
        <v>0</v>
      </c>
      <c r="AY2618" s="3">
        <v>0</v>
      </c>
      <c r="AZ2618" s="3">
        <v>0</v>
      </c>
      <c r="BA2618" s="3">
        <v>0</v>
      </c>
      <c r="BB2618" s="3">
        <v>0</v>
      </c>
      <c r="BC2618" s="3">
        <v>0</v>
      </c>
      <c r="BD2618" s="3">
        <v>0</v>
      </c>
      <c r="BE2618" s="3">
        <v>0</v>
      </c>
      <c r="BF2618" s="3">
        <v>0</v>
      </c>
      <c r="BG2618" s="3">
        <v>0</v>
      </c>
      <c r="BH2618" s="3">
        <v>1</v>
      </c>
      <c r="BI2618" s="3">
        <v>1</v>
      </c>
      <c r="BJ2618" s="3">
        <v>0.2</v>
      </c>
      <c r="BK2618" s="3">
        <v>1</v>
      </c>
      <c r="BL2618" s="3">
        <v>60.52</v>
      </c>
      <c r="BM2618" s="3">
        <v>9.08</v>
      </c>
      <c r="BN2618" s="3">
        <v>69.599999999999994</v>
      </c>
      <c r="BO2618" s="3">
        <v>69.599999999999994</v>
      </c>
      <c r="BQ2618" s="3" t="s">
        <v>89</v>
      </c>
      <c r="BR2618" s="3" t="s">
        <v>308</v>
      </c>
      <c r="BS2618" s="4">
        <v>44566</v>
      </c>
      <c r="BT2618" s="5">
        <v>0.42708333333333331</v>
      </c>
      <c r="BU2618" s="3" t="s">
        <v>1007</v>
      </c>
      <c r="BV2618" s="3" t="s">
        <v>105</v>
      </c>
      <c r="BY2618" s="3">
        <v>1200</v>
      </c>
      <c r="BZ2618" s="3" t="s">
        <v>165</v>
      </c>
      <c r="CA2618" s="3" t="s">
        <v>366</v>
      </c>
      <c r="CC2618" s="3" t="s">
        <v>80</v>
      </c>
      <c r="CD2618" s="3">
        <v>200</v>
      </c>
      <c r="CE2618" s="3" t="s">
        <v>93</v>
      </c>
      <c r="CF2618" s="4">
        <v>44566</v>
      </c>
      <c r="CI2618" s="3">
        <v>1</v>
      </c>
      <c r="CJ2618" s="3">
        <v>1</v>
      </c>
      <c r="CK2618" s="3">
        <v>21</v>
      </c>
      <c r="CL2618" s="3" t="s">
        <v>87</v>
      </c>
    </row>
    <row r="2619" spans="1:90" x14ac:dyDescent="0.2">
      <c r="A2619" s="3" t="s">
        <v>72</v>
      </c>
      <c r="B2619" s="3" t="s">
        <v>73</v>
      </c>
      <c r="C2619" s="3" t="s">
        <v>74</v>
      </c>
      <c r="E2619" s="3" t="str">
        <f>"FES1162843349"</f>
        <v>FES1162843349</v>
      </c>
      <c r="F2619" s="4">
        <v>44565</v>
      </c>
      <c r="G2619" s="3">
        <v>202207</v>
      </c>
      <c r="H2619" s="3" t="s">
        <v>75</v>
      </c>
      <c r="I2619" s="3" t="s">
        <v>76</v>
      </c>
      <c r="J2619" s="3" t="s">
        <v>77</v>
      </c>
      <c r="K2619" s="3" t="s">
        <v>78</v>
      </c>
      <c r="L2619" s="3" t="s">
        <v>90</v>
      </c>
      <c r="M2619" s="3" t="s">
        <v>91</v>
      </c>
      <c r="N2619" s="3" t="s">
        <v>735</v>
      </c>
      <c r="O2619" s="3" t="s">
        <v>82</v>
      </c>
      <c r="P2619" s="3" t="str">
        <f>"2170815448                    "</f>
        <v xml:space="preserve">2170815448                    </v>
      </c>
      <c r="Q2619" s="3">
        <v>0</v>
      </c>
      <c r="R2619" s="3">
        <v>0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0</v>
      </c>
      <c r="AJ2619" s="3">
        <v>0</v>
      </c>
      <c r="AK2619" s="3">
        <v>16.98</v>
      </c>
      <c r="AL2619" s="3">
        <v>0</v>
      </c>
      <c r="AM2619" s="3">
        <v>0</v>
      </c>
      <c r="AN2619" s="3">
        <v>0</v>
      </c>
      <c r="AO2619" s="3">
        <v>0</v>
      </c>
      <c r="AP2619" s="3">
        <v>0</v>
      </c>
      <c r="AQ2619" s="3">
        <v>0</v>
      </c>
      <c r="AR2619" s="3">
        <v>0</v>
      </c>
      <c r="AS2619" s="3">
        <v>0</v>
      </c>
      <c r="AT2619" s="3">
        <v>0</v>
      </c>
      <c r="AU2619" s="3">
        <v>0</v>
      </c>
      <c r="AV2619" s="3">
        <v>0</v>
      </c>
      <c r="AW2619" s="3">
        <v>0</v>
      </c>
      <c r="AX2619" s="3">
        <v>0</v>
      </c>
      <c r="AY2619" s="3">
        <v>0</v>
      </c>
      <c r="AZ2619" s="3">
        <v>0</v>
      </c>
      <c r="BA2619" s="3">
        <v>0</v>
      </c>
      <c r="BB2619" s="3">
        <v>0</v>
      </c>
      <c r="BC2619" s="3">
        <v>0</v>
      </c>
      <c r="BD2619" s="3">
        <v>0</v>
      </c>
      <c r="BE2619" s="3">
        <v>0</v>
      </c>
      <c r="BF2619" s="3">
        <v>0</v>
      </c>
      <c r="BG2619" s="3">
        <v>0</v>
      </c>
      <c r="BH2619" s="3">
        <v>1</v>
      </c>
      <c r="BI2619" s="3">
        <v>1</v>
      </c>
      <c r="BJ2619" s="3">
        <v>0.2</v>
      </c>
      <c r="BK2619" s="3">
        <v>1</v>
      </c>
      <c r="BL2619" s="3">
        <v>60.52</v>
      </c>
      <c r="BM2619" s="3">
        <v>9.08</v>
      </c>
      <c r="BN2619" s="3">
        <v>69.599999999999994</v>
      </c>
      <c r="BO2619" s="3">
        <v>69.599999999999994</v>
      </c>
      <c r="BQ2619" s="3" t="s">
        <v>273</v>
      </c>
      <c r="BR2619" s="3" t="s">
        <v>308</v>
      </c>
      <c r="BS2619" s="4">
        <v>44566</v>
      </c>
      <c r="BT2619" s="5">
        <v>0.3125</v>
      </c>
      <c r="BU2619" s="3" t="s">
        <v>2524</v>
      </c>
      <c r="BV2619" s="3" t="s">
        <v>105</v>
      </c>
      <c r="BY2619" s="3">
        <v>1200</v>
      </c>
      <c r="BZ2619" s="3" t="s">
        <v>165</v>
      </c>
      <c r="CA2619" s="3" t="s">
        <v>566</v>
      </c>
      <c r="CC2619" s="3" t="s">
        <v>91</v>
      </c>
      <c r="CD2619" s="3">
        <v>7460</v>
      </c>
      <c r="CE2619" s="3" t="s">
        <v>93</v>
      </c>
      <c r="CF2619" s="4">
        <v>44567</v>
      </c>
      <c r="CI2619" s="3">
        <v>1</v>
      </c>
      <c r="CJ2619" s="3">
        <v>1</v>
      </c>
      <c r="CK2619" s="3">
        <v>21</v>
      </c>
      <c r="CL2619" s="3" t="s">
        <v>87</v>
      </c>
    </row>
    <row r="2620" spans="1:90" x14ac:dyDescent="0.2">
      <c r="A2620" s="3" t="s">
        <v>72</v>
      </c>
      <c r="B2620" s="3" t="s">
        <v>73</v>
      </c>
      <c r="C2620" s="3" t="s">
        <v>74</v>
      </c>
      <c r="E2620" s="3" t="str">
        <f>"FES1162843531"</f>
        <v>FES1162843531</v>
      </c>
      <c r="F2620" s="4">
        <v>44566</v>
      </c>
      <c r="G2620" s="3">
        <v>202207</v>
      </c>
      <c r="H2620" s="3" t="s">
        <v>75</v>
      </c>
      <c r="I2620" s="3" t="s">
        <v>76</v>
      </c>
      <c r="J2620" s="3" t="s">
        <v>77</v>
      </c>
      <c r="K2620" s="3" t="s">
        <v>78</v>
      </c>
      <c r="L2620" s="3" t="s">
        <v>158</v>
      </c>
      <c r="M2620" s="3" t="s">
        <v>159</v>
      </c>
      <c r="N2620" s="3" t="s">
        <v>2525</v>
      </c>
      <c r="O2620" s="3" t="s">
        <v>82</v>
      </c>
      <c r="P2620" s="3" t="str">
        <f>"2170813854                    "</f>
        <v xml:space="preserve">2170813854                    </v>
      </c>
      <c r="Q2620" s="3">
        <v>0</v>
      </c>
      <c r="R2620" s="3">
        <v>0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0</v>
      </c>
      <c r="AJ2620" s="3">
        <v>0</v>
      </c>
      <c r="AK2620" s="3">
        <v>12.07</v>
      </c>
      <c r="AL2620" s="3">
        <v>0</v>
      </c>
      <c r="AM2620" s="3">
        <v>0</v>
      </c>
      <c r="AN2620" s="3">
        <v>0</v>
      </c>
      <c r="AO2620" s="3">
        <v>0</v>
      </c>
      <c r="AP2620" s="3">
        <v>0</v>
      </c>
      <c r="AQ2620" s="3">
        <v>0</v>
      </c>
      <c r="AR2620" s="3">
        <v>0</v>
      </c>
      <c r="AS2620" s="3">
        <v>0</v>
      </c>
      <c r="AT2620" s="3">
        <v>0</v>
      </c>
      <c r="AU2620" s="3">
        <v>0</v>
      </c>
      <c r="AV2620" s="3">
        <v>0</v>
      </c>
      <c r="AW2620" s="3">
        <v>0</v>
      </c>
      <c r="AX2620" s="3">
        <v>0</v>
      </c>
      <c r="AY2620" s="3">
        <v>0</v>
      </c>
      <c r="AZ2620" s="3">
        <v>0</v>
      </c>
      <c r="BA2620" s="3">
        <v>0</v>
      </c>
      <c r="BB2620" s="3">
        <v>0</v>
      </c>
      <c r="BC2620" s="3">
        <v>0</v>
      </c>
      <c r="BD2620" s="3">
        <v>0</v>
      </c>
      <c r="BE2620" s="3">
        <v>0</v>
      </c>
      <c r="BF2620" s="3">
        <v>0</v>
      </c>
      <c r="BG2620" s="3">
        <v>0</v>
      </c>
      <c r="BH2620" s="3">
        <v>1</v>
      </c>
      <c r="BI2620" s="3">
        <v>5</v>
      </c>
      <c r="BJ2620" s="3">
        <v>2</v>
      </c>
      <c r="BK2620" s="3">
        <v>5</v>
      </c>
      <c r="BL2620" s="3">
        <v>46.08</v>
      </c>
      <c r="BM2620" s="3">
        <v>6.91</v>
      </c>
      <c r="BN2620" s="3">
        <v>52.99</v>
      </c>
      <c r="BO2620" s="3">
        <v>52.99</v>
      </c>
      <c r="BQ2620" s="3" t="s">
        <v>273</v>
      </c>
      <c r="BR2620" s="3" t="s">
        <v>364</v>
      </c>
      <c r="BS2620" s="4">
        <v>44567</v>
      </c>
      <c r="BT2620" s="5">
        <v>0.29652777777777778</v>
      </c>
      <c r="BU2620" s="3" t="s">
        <v>2526</v>
      </c>
      <c r="BV2620" s="3" t="s">
        <v>105</v>
      </c>
      <c r="BY2620" s="3">
        <v>9900</v>
      </c>
      <c r="BZ2620" s="3" t="s">
        <v>165</v>
      </c>
      <c r="CA2620" s="3" t="s">
        <v>763</v>
      </c>
      <c r="CC2620" s="3" t="s">
        <v>159</v>
      </c>
      <c r="CD2620" s="3">
        <v>1459</v>
      </c>
      <c r="CE2620" s="3" t="s">
        <v>86</v>
      </c>
      <c r="CF2620" s="4">
        <v>44567</v>
      </c>
      <c r="CI2620" s="3">
        <v>1</v>
      </c>
      <c r="CJ2620" s="3">
        <v>1</v>
      </c>
      <c r="CK2620" s="3">
        <v>22</v>
      </c>
      <c r="CL2620" s="3" t="s">
        <v>87</v>
      </c>
    </row>
    <row r="2621" spans="1:90" x14ac:dyDescent="0.2">
      <c r="A2621" s="3" t="s">
        <v>72</v>
      </c>
      <c r="B2621" s="3" t="s">
        <v>73</v>
      </c>
      <c r="C2621" s="3" t="s">
        <v>74</v>
      </c>
      <c r="E2621" s="3" t="str">
        <f>"FES1162843135"</f>
        <v>FES1162843135</v>
      </c>
      <c r="F2621" s="4">
        <v>44564</v>
      </c>
      <c r="G2621" s="3">
        <v>202207</v>
      </c>
      <c r="H2621" s="3" t="s">
        <v>75</v>
      </c>
      <c r="I2621" s="3" t="s">
        <v>76</v>
      </c>
      <c r="J2621" s="3" t="s">
        <v>77</v>
      </c>
      <c r="K2621" s="3" t="s">
        <v>78</v>
      </c>
      <c r="L2621" s="3" t="s">
        <v>90</v>
      </c>
      <c r="M2621" s="3" t="s">
        <v>91</v>
      </c>
      <c r="N2621" s="3" t="s">
        <v>132</v>
      </c>
      <c r="O2621" s="3" t="s">
        <v>82</v>
      </c>
      <c r="P2621" s="3" t="str">
        <f>"2170803867                    "</f>
        <v xml:space="preserve">2170803867                    </v>
      </c>
      <c r="Q2621" s="3">
        <v>0</v>
      </c>
      <c r="R2621" s="3">
        <v>0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0</v>
      </c>
      <c r="AJ2621" s="3">
        <v>0</v>
      </c>
      <c r="AK2621" s="3">
        <v>16.98</v>
      </c>
      <c r="AL2621" s="3">
        <v>0</v>
      </c>
      <c r="AM2621" s="3">
        <v>0</v>
      </c>
      <c r="AN2621" s="3">
        <v>0</v>
      </c>
      <c r="AO2621" s="3">
        <v>0</v>
      </c>
      <c r="AP2621" s="3">
        <v>0</v>
      </c>
      <c r="AQ2621" s="3">
        <v>0</v>
      </c>
      <c r="AR2621" s="3">
        <v>0</v>
      </c>
      <c r="AS2621" s="3">
        <v>0</v>
      </c>
      <c r="AT2621" s="3">
        <v>0</v>
      </c>
      <c r="AU2621" s="3">
        <v>0</v>
      </c>
      <c r="AV2621" s="3">
        <v>0</v>
      </c>
      <c r="AW2621" s="3">
        <v>0</v>
      </c>
      <c r="AX2621" s="3">
        <v>0</v>
      </c>
      <c r="AY2621" s="3">
        <v>0</v>
      </c>
      <c r="AZ2621" s="3">
        <v>0</v>
      </c>
      <c r="BA2621" s="3">
        <v>0</v>
      </c>
      <c r="BB2621" s="3">
        <v>0</v>
      </c>
      <c r="BC2621" s="3">
        <v>0</v>
      </c>
      <c r="BD2621" s="3">
        <v>0</v>
      </c>
      <c r="BE2621" s="3">
        <v>0</v>
      </c>
      <c r="BF2621" s="3">
        <v>0</v>
      </c>
      <c r="BG2621" s="3">
        <v>0</v>
      </c>
      <c r="BH2621" s="3">
        <v>1</v>
      </c>
      <c r="BI2621" s="3">
        <v>1</v>
      </c>
      <c r="BJ2621" s="3">
        <v>0.2</v>
      </c>
      <c r="BK2621" s="3">
        <v>1</v>
      </c>
      <c r="BL2621" s="3">
        <v>60.52</v>
      </c>
      <c r="BM2621" s="3">
        <v>9.08</v>
      </c>
      <c r="BN2621" s="3">
        <v>69.599999999999994</v>
      </c>
      <c r="BO2621" s="3">
        <v>69.599999999999994</v>
      </c>
      <c r="BQ2621" s="3" t="s">
        <v>83</v>
      </c>
      <c r="BR2621" s="3" t="s">
        <v>308</v>
      </c>
      <c r="BS2621" s="4">
        <v>44565</v>
      </c>
      <c r="BT2621" s="5">
        <v>0.39861111111111108</v>
      </c>
      <c r="BU2621" s="3" t="s">
        <v>2527</v>
      </c>
      <c r="BV2621" s="3" t="s">
        <v>105</v>
      </c>
      <c r="BY2621" s="3">
        <v>1200</v>
      </c>
      <c r="BZ2621" s="3" t="s">
        <v>165</v>
      </c>
      <c r="CA2621" s="3" t="s">
        <v>641</v>
      </c>
      <c r="CC2621" s="3" t="s">
        <v>91</v>
      </c>
      <c r="CD2621" s="3">
        <v>7530</v>
      </c>
      <c r="CE2621" s="3" t="s">
        <v>93</v>
      </c>
      <c r="CF2621" s="4">
        <v>44566</v>
      </c>
      <c r="CI2621" s="3">
        <v>1</v>
      </c>
      <c r="CJ2621" s="3">
        <v>1</v>
      </c>
      <c r="CK2621" s="3">
        <v>21</v>
      </c>
      <c r="CL2621" s="3" t="s">
        <v>87</v>
      </c>
    </row>
    <row r="2622" spans="1:90" x14ac:dyDescent="0.2">
      <c r="A2622" s="3" t="s">
        <v>72</v>
      </c>
      <c r="B2622" s="3" t="s">
        <v>73</v>
      </c>
      <c r="C2622" s="3" t="s">
        <v>74</v>
      </c>
      <c r="E2622" s="3" t="str">
        <f>"FES1162843829"</f>
        <v>FES1162843829</v>
      </c>
      <c r="F2622" s="4">
        <v>44566</v>
      </c>
      <c r="G2622" s="3">
        <v>202207</v>
      </c>
      <c r="H2622" s="3" t="s">
        <v>75</v>
      </c>
      <c r="I2622" s="3" t="s">
        <v>76</v>
      </c>
      <c r="J2622" s="3" t="s">
        <v>77</v>
      </c>
      <c r="K2622" s="3" t="s">
        <v>78</v>
      </c>
      <c r="L2622" s="3" t="s">
        <v>101</v>
      </c>
      <c r="M2622" s="3" t="s">
        <v>102</v>
      </c>
      <c r="N2622" s="3" t="s">
        <v>170</v>
      </c>
      <c r="O2622" s="3" t="s">
        <v>82</v>
      </c>
      <c r="P2622" s="3" t="str">
        <f>"2170815757                    "</f>
        <v xml:space="preserve">2170815757                    </v>
      </c>
      <c r="Q2622" s="3">
        <v>0</v>
      </c>
      <c r="R2622" s="3">
        <v>0</v>
      </c>
      <c r="S2622" s="3">
        <v>0</v>
      </c>
      <c r="T2622" s="3">
        <v>0</v>
      </c>
      <c r="U2622" s="3">
        <v>0</v>
      </c>
      <c r="V2622" s="3">
        <v>0</v>
      </c>
      <c r="W2622" s="3">
        <v>0</v>
      </c>
      <c r="X2622" s="3">
        <v>0</v>
      </c>
      <c r="Y2622" s="3">
        <v>0</v>
      </c>
      <c r="Z2622" s="3">
        <v>0</v>
      </c>
      <c r="AA2622" s="3">
        <v>0</v>
      </c>
      <c r="AB2622" s="3">
        <v>0</v>
      </c>
      <c r="AC2622" s="3">
        <v>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0</v>
      </c>
      <c r="AJ2622" s="3">
        <v>0</v>
      </c>
      <c r="AK2622" s="3">
        <v>73.39</v>
      </c>
      <c r="AL2622" s="3">
        <v>0</v>
      </c>
      <c r="AM2622" s="3">
        <v>0</v>
      </c>
      <c r="AN2622" s="3">
        <v>0</v>
      </c>
      <c r="AO2622" s="3">
        <v>0</v>
      </c>
      <c r="AP2622" s="3">
        <v>0</v>
      </c>
      <c r="AQ2622" s="3">
        <v>0</v>
      </c>
      <c r="AR2622" s="3">
        <v>0</v>
      </c>
      <c r="AS2622" s="3">
        <v>0</v>
      </c>
      <c r="AT2622" s="3">
        <v>0</v>
      </c>
      <c r="AU2622" s="3">
        <v>0</v>
      </c>
      <c r="AV2622" s="3">
        <v>0</v>
      </c>
      <c r="AW2622" s="3">
        <v>0</v>
      </c>
      <c r="AX2622" s="3">
        <v>0</v>
      </c>
      <c r="AY2622" s="3">
        <v>0</v>
      </c>
      <c r="AZ2622" s="3">
        <v>0</v>
      </c>
      <c r="BA2622" s="3">
        <v>0</v>
      </c>
      <c r="BB2622" s="3">
        <v>0</v>
      </c>
      <c r="BC2622" s="3">
        <v>0</v>
      </c>
      <c r="BD2622" s="3">
        <v>0</v>
      </c>
      <c r="BE2622" s="3">
        <v>0</v>
      </c>
      <c r="BF2622" s="3">
        <v>0</v>
      </c>
      <c r="BG2622" s="3">
        <v>0</v>
      </c>
      <c r="BH2622" s="3">
        <v>1</v>
      </c>
      <c r="BI2622" s="3">
        <v>8</v>
      </c>
      <c r="BJ2622" s="3">
        <v>9.1</v>
      </c>
      <c r="BK2622" s="3">
        <v>9.5</v>
      </c>
      <c r="BL2622" s="3">
        <v>280.13</v>
      </c>
      <c r="BM2622" s="3">
        <v>42.02</v>
      </c>
      <c r="BN2622" s="3">
        <v>322.14999999999998</v>
      </c>
      <c r="BO2622" s="3">
        <v>322.14999999999998</v>
      </c>
      <c r="BQ2622" s="3" t="s">
        <v>89</v>
      </c>
      <c r="BR2622" s="3" t="s">
        <v>364</v>
      </c>
      <c r="BS2622" s="4">
        <v>44567</v>
      </c>
      <c r="BT2622" s="5">
        <v>0.42222222222222222</v>
      </c>
      <c r="BU2622" s="3" t="s">
        <v>369</v>
      </c>
      <c r="BV2622" s="3" t="s">
        <v>105</v>
      </c>
      <c r="BY2622" s="3">
        <v>45632</v>
      </c>
      <c r="BZ2622" s="3" t="s">
        <v>165</v>
      </c>
      <c r="CA2622" s="3" t="s">
        <v>280</v>
      </c>
      <c r="CC2622" s="3" t="s">
        <v>102</v>
      </c>
      <c r="CD2622" s="3">
        <v>4001</v>
      </c>
      <c r="CE2622" s="3" t="s">
        <v>86</v>
      </c>
      <c r="CF2622" s="4">
        <v>44567</v>
      </c>
      <c r="CI2622" s="3">
        <v>1</v>
      </c>
      <c r="CJ2622" s="3">
        <v>1</v>
      </c>
      <c r="CK2622" s="3">
        <v>21</v>
      </c>
      <c r="CL2622" s="3" t="s">
        <v>87</v>
      </c>
    </row>
    <row r="2623" spans="1:90" x14ac:dyDescent="0.2">
      <c r="A2623" s="3" t="s">
        <v>72</v>
      </c>
      <c r="B2623" s="3" t="s">
        <v>73</v>
      </c>
      <c r="C2623" s="3" t="s">
        <v>74</v>
      </c>
      <c r="E2623" s="3" t="str">
        <f>"FES1162843427"</f>
        <v>FES1162843427</v>
      </c>
      <c r="F2623" s="4">
        <v>44565</v>
      </c>
      <c r="G2623" s="3">
        <v>202207</v>
      </c>
      <c r="H2623" s="3" t="s">
        <v>75</v>
      </c>
      <c r="I2623" s="3" t="s">
        <v>76</v>
      </c>
      <c r="J2623" s="3" t="s">
        <v>77</v>
      </c>
      <c r="K2623" s="3" t="s">
        <v>78</v>
      </c>
      <c r="L2623" s="3" t="s">
        <v>101</v>
      </c>
      <c r="M2623" s="3" t="s">
        <v>102</v>
      </c>
      <c r="N2623" s="3" t="s">
        <v>935</v>
      </c>
      <c r="O2623" s="3" t="s">
        <v>82</v>
      </c>
      <c r="P2623" s="3" t="str">
        <f>"2170812988                    "</f>
        <v xml:space="preserve">2170812988                    </v>
      </c>
      <c r="Q2623" s="3">
        <v>0</v>
      </c>
      <c r="R2623" s="3">
        <v>0</v>
      </c>
      <c r="S2623" s="3">
        <v>0</v>
      </c>
      <c r="T2623" s="3">
        <v>0</v>
      </c>
      <c r="U2623" s="3">
        <v>0</v>
      </c>
      <c r="V2623" s="3">
        <v>0</v>
      </c>
      <c r="W2623" s="3">
        <v>0</v>
      </c>
      <c r="X2623" s="3">
        <v>0</v>
      </c>
      <c r="Y2623" s="3">
        <v>0</v>
      </c>
      <c r="Z2623" s="3">
        <v>0</v>
      </c>
      <c r="AA2623" s="3">
        <v>0</v>
      </c>
      <c r="AB2623" s="3">
        <v>0</v>
      </c>
      <c r="AC2623" s="3">
        <v>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0</v>
      </c>
      <c r="AJ2623" s="3">
        <v>0</v>
      </c>
      <c r="AK2623" s="3">
        <v>16.98</v>
      </c>
      <c r="AL2623" s="3">
        <v>0</v>
      </c>
      <c r="AM2623" s="3">
        <v>0</v>
      </c>
      <c r="AN2623" s="3">
        <v>0</v>
      </c>
      <c r="AO2623" s="3">
        <v>0</v>
      </c>
      <c r="AP2623" s="3">
        <v>0</v>
      </c>
      <c r="AQ2623" s="3">
        <v>0</v>
      </c>
      <c r="AR2623" s="3">
        <v>0</v>
      </c>
      <c r="AS2623" s="3">
        <v>0</v>
      </c>
      <c r="AT2623" s="3">
        <v>0</v>
      </c>
      <c r="AU2623" s="3">
        <v>0</v>
      </c>
      <c r="AV2623" s="3">
        <v>0</v>
      </c>
      <c r="AW2623" s="3">
        <v>0</v>
      </c>
      <c r="AX2623" s="3">
        <v>0</v>
      </c>
      <c r="AY2623" s="3">
        <v>0</v>
      </c>
      <c r="AZ2623" s="3">
        <v>0</v>
      </c>
      <c r="BA2623" s="3">
        <v>0</v>
      </c>
      <c r="BB2623" s="3">
        <v>0</v>
      </c>
      <c r="BC2623" s="3">
        <v>0</v>
      </c>
      <c r="BD2623" s="3">
        <v>0</v>
      </c>
      <c r="BE2623" s="3">
        <v>0</v>
      </c>
      <c r="BF2623" s="3">
        <v>0</v>
      </c>
      <c r="BG2623" s="3">
        <v>0</v>
      </c>
      <c r="BH2623" s="3">
        <v>1</v>
      </c>
      <c r="BI2623" s="3">
        <v>1</v>
      </c>
      <c r="BJ2623" s="3">
        <v>0.2</v>
      </c>
      <c r="BK2623" s="3">
        <v>1</v>
      </c>
      <c r="BL2623" s="3">
        <v>60.52</v>
      </c>
      <c r="BM2623" s="3">
        <v>9.08</v>
      </c>
      <c r="BN2623" s="3">
        <v>69.599999999999994</v>
      </c>
      <c r="BO2623" s="3">
        <v>69.599999999999994</v>
      </c>
      <c r="BQ2623" s="3" t="s">
        <v>89</v>
      </c>
      <c r="BR2623" s="3" t="s">
        <v>308</v>
      </c>
      <c r="BS2623" s="4">
        <v>44567</v>
      </c>
      <c r="BT2623" s="5">
        <v>0.35902777777777778</v>
      </c>
      <c r="BU2623" s="3" t="s">
        <v>2528</v>
      </c>
      <c r="BV2623" s="3" t="s">
        <v>87</v>
      </c>
      <c r="BW2623" s="3" t="s">
        <v>457</v>
      </c>
      <c r="BX2623" s="3" t="s">
        <v>1878</v>
      </c>
      <c r="BY2623" s="3">
        <v>1200</v>
      </c>
      <c r="BZ2623" s="3" t="s">
        <v>165</v>
      </c>
      <c r="CA2623" s="3" t="s">
        <v>615</v>
      </c>
      <c r="CC2623" s="3" t="s">
        <v>102</v>
      </c>
      <c r="CD2623" s="3">
        <v>4001</v>
      </c>
      <c r="CE2623" s="3" t="s">
        <v>93</v>
      </c>
      <c r="CF2623" s="4">
        <v>44567</v>
      </c>
      <c r="CI2623" s="3">
        <v>1</v>
      </c>
      <c r="CJ2623" s="3">
        <v>2</v>
      </c>
      <c r="CK2623" s="3">
        <v>21</v>
      </c>
      <c r="CL2623" s="3" t="s">
        <v>87</v>
      </c>
    </row>
    <row r="2624" spans="1:90" x14ac:dyDescent="0.2">
      <c r="A2624" s="3" t="s">
        <v>72</v>
      </c>
      <c r="B2624" s="3" t="s">
        <v>73</v>
      </c>
      <c r="C2624" s="3" t="s">
        <v>74</v>
      </c>
      <c r="E2624" s="3" t="str">
        <f>"FES1162843704"</f>
        <v>FES1162843704</v>
      </c>
      <c r="F2624" s="4">
        <v>44566</v>
      </c>
      <c r="G2624" s="3">
        <v>202207</v>
      </c>
      <c r="H2624" s="3" t="s">
        <v>75</v>
      </c>
      <c r="I2624" s="3" t="s">
        <v>76</v>
      </c>
      <c r="J2624" s="3" t="s">
        <v>77</v>
      </c>
      <c r="K2624" s="3" t="s">
        <v>78</v>
      </c>
      <c r="L2624" s="3" t="s">
        <v>244</v>
      </c>
      <c r="M2624" s="3" t="s">
        <v>245</v>
      </c>
      <c r="N2624" s="3" t="s">
        <v>1255</v>
      </c>
      <c r="O2624" s="3" t="s">
        <v>82</v>
      </c>
      <c r="P2624" s="3" t="str">
        <f>"2170814539                    "</f>
        <v xml:space="preserve">2170814539                    </v>
      </c>
      <c r="Q2624" s="3">
        <v>0</v>
      </c>
      <c r="R2624" s="3">
        <v>0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0</v>
      </c>
      <c r="AJ2624" s="3">
        <v>0</v>
      </c>
      <c r="AK2624" s="3">
        <v>29.95</v>
      </c>
      <c r="AL2624" s="3">
        <v>0</v>
      </c>
      <c r="AM2624" s="3">
        <v>0</v>
      </c>
      <c r="AN2624" s="3">
        <v>0</v>
      </c>
      <c r="AO2624" s="3">
        <v>0</v>
      </c>
      <c r="AP2624" s="3">
        <v>0</v>
      </c>
      <c r="AQ2624" s="3">
        <v>0</v>
      </c>
      <c r="AR2624" s="3">
        <v>0</v>
      </c>
      <c r="AS2624" s="3">
        <v>0</v>
      </c>
      <c r="AT2624" s="3">
        <v>0</v>
      </c>
      <c r="AU2624" s="3">
        <v>0</v>
      </c>
      <c r="AV2624" s="3">
        <v>0</v>
      </c>
      <c r="AW2624" s="3">
        <v>0</v>
      </c>
      <c r="AX2624" s="3">
        <v>0</v>
      </c>
      <c r="AY2624" s="3">
        <v>0</v>
      </c>
      <c r="AZ2624" s="3">
        <v>0</v>
      </c>
      <c r="BA2624" s="3">
        <v>0</v>
      </c>
      <c r="BB2624" s="3">
        <v>0</v>
      </c>
      <c r="BC2624" s="3">
        <v>0</v>
      </c>
      <c r="BD2624" s="3">
        <v>0</v>
      </c>
      <c r="BE2624" s="3">
        <v>0</v>
      </c>
      <c r="BF2624" s="3">
        <v>0</v>
      </c>
      <c r="BG2624" s="3">
        <v>0</v>
      </c>
      <c r="BH2624" s="3">
        <v>1</v>
      </c>
      <c r="BI2624" s="3">
        <v>1</v>
      </c>
      <c r="BJ2624" s="3">
        <v>0.2</v>
      </c>
      <c r="BK2624" s="3">
        <v>1</v>
      </c>
      <c r="BL2624" s="3">
        <v>114.31</v>
      </c>
      <c r="BM2624" s="3">
        <v>17.149999999999999</v>
      </c>
      <c r="BN2624" s="3">
        <v>131.46</v>
      </c>
      <c r="BO2624" s="3">
        <v>131.46</v>
      </c>
      <c r="BQ2624" s="3" t="s">
        <v>83</v>
      </c>
      <c r="BR2624" s="3" t="s">
        <v>364</v>
      </c>
      <c r="BS2624" s="4">
        <v>44567</v>
      </c>
      <c r="BT2624" s="5">
        <v>0.67013888888888884</v>
      </c>
      <c r="BU2624" s="3" t="s">
        <v>2529</v>
      </c>
      <c r="BV2624" s="3" t="s">
        <v>87</v>
      </c>
      <c r="BW2624" s="3" t="s">
        <v>353</v>
      </c>
      <c r="BX2624" s="3" t="s">
        <v>723</v>
      </c>
      <c r="BY2624" s="3">
        <v>1200</v>
      </c>
      <c r="BZ2624" s="3" t="s">
        <v>165</v>
      </c>
      <c r="CA2624" s="3" t="s">
        <v>402</v>
      </c>
      <c r="CC2624" s="3" t="s">
        <v>245</v>
      </c>
      <c r="CD2624" s="3">
        <v>1947</v>
      </c>
      <c r="CE2624" s="3" t="s">
        <v>93</v>
      </c>
      <c r="CF2624" s="4">
        <v>44568</v>
      </c>
      <c r="CI2624" s="3">
        <v>1</v>
      </c>
      <c r="CJ2624" s="3">
        <v>1</v>
      </c>
      <c r="CK2624" s="3">
        <v>23</v>
      </c>
      <c r="CL2624" s="3" t="s">
        <v>87</v>
      </c>
    </row>
    <row r="2625" spans="1:90" x14ac:dyDescent="0.2">
      <c r="A2625" s="3" t="s">
        <v>72</v>
      </c>
      <c r="B2625" s="3" t="s">
        <v>73</v>
      </c>
      <c r="C2625" s="3" t="s">
        <v>74</v>
      </c>
      <c r="E2625" s="3" t="str">
        <f>"FES1162843497"</f>
        <v>FES1162843497</v>
      </c>
      <c r="F2625" s="4">
        <v>44565</v>
      </c>
      <c r="G2625" s="3">
        <v>202207</v>
      </c>
      <c r="H2625" s="3" t="s">
        <v>75</v>
      </c>
      <c r="I2625" s="3" t="s">
        <v>76</v>
      </c>
      <c r="J2625" s="3" t="s">
        <v>77</v>
      </c>
      <c r="K2625" s="3" t="s">
        <v>78</v>
      </c>
      <c r="L2625" s="3" t="s">
        <v>115</v>
      </c>
      <c r="M2625" s="3" t="s">
        <v>116</v>
      </c>
      <c r="N2625" s="3" t="s">
        <v>902</v>
      </c>
      <c r="O2625" s="3" t="s">
        <v>82</v>
      </c>
      <c r="P2625" s="3" t="str">
        <f>"2170815598                    "</f>
        <v xml:space="preserve">2170815598                    </v>
      </c>
      <c r="Q2625" s="3">
        <v>0</v>
      </c>
      <c r="R2625" s="3">
        <v>0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  <c r="AE2625" s="3">
        <v>0</v>
      </c>
      <c r="AF2625" s="3">
        <v>0</v>
      </c>
      <c r="AG2625" s="3">
        <v>0</v>
      </c>
      <c r="AH2625" s="3">
        <v>0</v>
      </c>
      <c r="AI2625" s="3">
        <v>0</v>
      </c>
      <c r="AJ2625" s="3">
        <v>0</v>
      </c>
      <c r="AK2625" s="3">
        <v>13.26</v>
      </c>
      <c r="AL2625" s="3">
        <v>0</v>
      </c>
      <c r="AM2625" s="3">
        <v>0</v>
      </c>
      <c r="AN2625" s="3">
        <v>0</v>
      </c>
      <c r="AO2625" s="3">
        <v>0</v>
      </c>
      <c r="AP2625" s="3">
        <v>0</v>
      </c>
      <c r="AQ2625" s="3">
        <v>0</v>
      </c>
      <c r="AR2625" s="3">
        <v>0</v>
      </c>
      <c r="AS2625" s="3">
        <v>0</v>
      </c>
      <c r="AT2625" s="3">
        <v>0</v>
      </c>
      <c r="AU2625" s="3">
        <v>0</v>
      </c>
      <c r="AV2625" s="3">
        <v>0</v>
      </c>
      <c r="AW2625" s="3">
        <v>0</v>
      </c>
      <c r="AX2625" s="3">
        <v>0</v>
      </c>
      <c r="AY2625" s="3">
        <v>0</v>
      </c>
      <c r="AZ2625" s="3">
        <v>0</v>
      </c>
      <c r="BA2625" s="3">
        <v>0</v>
      </c>
      <c r="BB2625" s="3">
        <v>0</v>
      </c>
      <c r="BC2625" s="3">
        <v>0</v>
      </c>
      <c r="BD2625" s="3">
        <v>0</v>
      </c>
      <c r="BE2625" s="3">
        <v>0</v>
      </c>
      <c r="BF2625" s="3">
        <v>0</v>
      </c>
      <c r="BG2625" s="3">
        <v>0</v>
      </c>
      <c r="BH2625" s="3">
        <v>1</v>
      </c>
      <c r="BI2625" s="3">
        <v>3</v>
      </c>
      <c r="BJ2625" s="3">
        <v>4.0999999999999996</v>
      </c>
      <c r="BK2625" s="3">
        <v>4.5</v>
      </c>
      <c r="BL2625" s="3">
        <v>47.27</v>
      </c>
      <c r="BM2625" s="3">
        <v>7.09</v>
      </c>
      <c r="BN2625" s="3">
        <v>54.36</v>
      </c>
      <c r="BO2625" s="3">
        <v>54.36</v>
      </c>
      <c r="BQ2625" s="3" t="s">
        <v>83</v>
      </c>
      <c r="BR2625" s="3" t="s">
        <v>308</v>
      </c>
      <c r="BS2625" s="4">
        <v>44566</v>
      </c>
      <c r="BT2625" s="5">
        <v>0.32083333333333336</v>
      </c>
      <c r="BU2625" s="3" t="s">
        <v>2530</v>
      </c>
      <c r="BV2625" s="3" t="s">
        <v>105</v>
      </c>
      <c r="BY2625" s="3">
        <v>20358</v>
      </c>
      <c r="BZ2625" s="3" t="s">
        <v>165</v>
      </c>
      <c r="CA2625" s="3" t="s">
        <v>1350</v>
      </c>
      <c r="CC2625" s="3" t="s">
        <v>116</v>
      </c>
      <c r="CD2625" s="3">
        <v>1559</v>
      </c>
      <c r="CE2625" s="3" t="s">
        <v>86</v>
      </c>
      <c r="CF2625" s="4">
        <v>44566</v>
      </c>
      <c r="CI2625" s="3">
        <v>1</v>
      </c>
      <c r="CJ2625" s="3">
        <v>1</v>
      </c>
      <c r="CK2625" s="3">
        <v>22</v>
      </c>
      <c r="CL2625" s="3" t="s">
        <v>87</v>
      </c>
    </row>
    <row r="2626" spans="1:90" x14ac:dyDescent="0.2">
      <c r="A2626" s="3" t="s">
        <v>72</v>
      </c>
      <c r="B2626" s="3" t="s">
        <v>73</v>
      </c>
      <c r="C2626" s="3" t="s">
        <v>74</v>
      </c>
      <c r="E2626" s="3" t="str">
        <f>"FES1162843494"</f>
        <v>FES1162843494</v>
      </c>
      <c r="F2626" s="4">
        <v>44565</v>
      </c>
      <c r="G2626" s="3">
        <v>202207</v>
      </c>
      <c r="H2626" s="3" t="s">
        <v>75</v>
      </c>
      <c r="I2626" s="3" t="s">
        <v>76</v>
      </c>
      <c r="J2626" s="3" t="s">
        <v>77</v>
      </c>
      <c r="K2626" s="3" t="s">
        <v>78</v>
      </c>
      <c r="L2626" s="3" t="s">
        <v>79</v>
      </c>
      <c r="M2626" s="3" t="s">
        <v>80</v>
      </c>
      <c r="N2626" s="3" t="s">
        <v>2531</v>
      </c>
      <c r="O2626" s="3" t="s">
        <v>82</v>
      </c>
      <c r="P2626" s="3" t="str">
        <f>"2170815490                    "</f>
        <v xml:space="preserve">2170815490                    </v>
      </c>
      <c r="Q2626" s="3">
        <v>0</v>
      </c>
      <c r="R2626" s="3">
        <v>0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  <c r="AE2626" s="3">
        <v>0</v>
      </c>
      <c r="AF2626" s="3">
        <v>0</v>
      </c>
      <c r="AG2626" s="3">
        <v>0</v>
      </c>
      <c r="AH2626" s="3">
        <v>0</v>
      </c>
      <c r="AI2626" s="3">
        <v>0</v>
      </c>
      <c r="AJ2626" s="3">
        <v>0</v>
      </c>
      <c r="AK2626" s="3">
        <v>16.98</v>
      </c>
      <c r="AL2626" s="3">
        <v>0</v>
      </c>
      <c r="AM2626" s="3">
        <v>0</v>
      </c>
      <c r="AN2626" s="3">
        <v>0</v>
      </c>
      <c r="AO2626" s="3">
        <v>0</v>
      </c>
      <c r="AP2626" s="3">
        <v>0</v>
      </c>
      <c r="AQ2626" s="3">
        <v>0</v>
      </c>
      <c r="AR2626" s="3">
        <v>0</v>
      </c>
      <c r="AS2626" s="3">
        <v>0</v>
      </c>
      <c r="AT2626" s="3">
        <v>0</v>
      </c>
      <c r="AU2626" s="3">
        <v>0</v>
      </c>
      <c r="AV2626" s="3">
        <v>0</v>
      </c>
      <c r="AW2626" s="3">
        <v>0</v>
      </c>
      <c r="AX2626" s="3">
        <v>0</v>
      </c>
      <c r="AY2626" s="3">
        <v>0</v>
      </c>
      <c r="AZ2626" s="3">
        <v>0</v>
      </c>
      <c r="BA2626" s="3">
        <v>0</v>
      </c>
      <c r="BB2626" s="3">
        <v>0</v>
      </c>
      <c r="BC2626" s="3">
        <v>0</v>
      </c>
      <c r="BD2626" s="3">
        <v>0</v>
      </c>
      <c r="BE2626" s="3">
        <v>0</v>
      </c>
      <c r="BF2626" s="3">
        <v>0</v>
      </c>
      <c r="BG2626" s="3">
        <v>0</v>
      </c>
      <c r="BH2626" s="3">
        <v>1</v>
      </c>
      <c r="BI2626" s="3">
        <v>1</v>
      </c>
      <c r="BJ2626" s="3">
        <v>0.2</v>
      </c>
      <c r="BK2626" s="3">
        <v>1</v>
      </c>
      <c r="BL2626" s="3">
        <v>60.52</v>
      </c>
      <c r="BM2626" s="3">
        <v>9.08</v>
      </c>
      <c r="BN2626" s="3">
        <v>69.599999999999994</v>
      </c>
      <c r="BO2626" s="3">
        <v>69.599999999999994</v>
      </c>
      <c r="BQ2626" s="3" t="s">
        <v>2532</v>
      </c>
      <c r="BR2626" s="3" t="s">
        <v>308</v>
      </c>
      <c r="BS2626" s="4">
        <v>44566</v>
      </c>
      <c r="BT2626" s="5">
        <v>0.42708333333333331</v>
      </c>
      <c r="BU2626" s="3" t="s">
        <v>1072</v>
      </c>
      <c r="BV2626" s="3" t="s">
        <v>105</v>
      </c>
      <c r="BY2626" s="3">
        <v>1200</v>
      </c>
      <c r="BZ2626" s="3" t="s">
        <v>165</v>
      </c>
      <c r="CC2626" s="3" t="s">
        <v>80</v>
      </c>
      <c r="CD2626" s="3">
        <v>200</v>
      </c>
      <c r="CE2626" s="3" t="s">
        <v>93</v>
      </c>
      <c r="CF2626" s="4">
        <v>44566</v>
      </c>
      <c r="CI2626" s="3">
        <v>1</v>
      </c>
      <c r="CJ2626" s="3">
        <v>1</v>
      </c>
      <c r="CK2626" s="3">
        <v>21</v>
      </c>
      <c r="CL2626" s="3" t="s">
        <v>87</v>
      </c>
    </row>
    <row r="2627" spans="1:90" x14ac:dyDescent="0.2">
      <c r="A2627" s="3" t="s">
        <v>72</v>
      </c>
      <c r="B2627" s="3" t="s">
        <v>73</v>
      </c>
      <c r="C2627" s="3" t="s">
        <v>74</v>
      </c>
      <c r="E2627" s="3" t="str">
        <f>"FES1162843059"</f>
        <v>FES1162843059</v>
      </c>
      <c r="F2627" s="4">
        <v>44564</v>
      </c>
      <c r="G2627" s="3">
        <v>202207</v>
      </c>
      <c r="H2627" s="3" t="s">
        <v>75</v>
      </c>
      <c r="I2627" s="3" t="s">
        <v>76</v>
      </c>
      <c r="J2627" s="3" t="s">
        <v>77</v>
      </c>
      <c r="K2627" s="3" t="s">
        <v>78</v>
      </c>
      <c r="L2627" s="3" t="s">
        <v>472</v>
      </c>
      <c r="M2627" s="3" t="s">
        <v>473</v>
      </c>
      <c r="N2627" s="3" t="s">
        <v>474</v>
      </c>
      <c r="O2627" s="3" t="s">
        <v>82</v>
      </c>
      <c r="P2627" s="3" t="str">
        <f>"2170814670                    "</f>
        <v xml:space="preserve">2170814670                    </v>
      </c>
      <c r="Q2627" s="3">
        <v>0</v>
      </c>
      <c r="R2627" s="3">
        <v>0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  <c r="AE2627" s="3">
        <v>0</v>
      </c>
      <c r="AF2627" s="3">
        <v>0</v>
      </c>
      <c r="AG2627" s="3">
        <v>0</v>
      </c>
      <c r="AH2627" s="3">
        <v>0</v>
      </c>
      <c r="AI2627" s="3">
        <v>0</v>
      </c>
      <c r="AJ2627" s="3">
        <v>0</v>
      </c>
      <c r="AK2627" s="3">
        <v>32.9</v>
      </c>
      <c r="AL2627" s="3">
        <v>0</v>
      </c>
      <c r="AM2627" s="3">
        <v>0</v>
      </c>
      <c r="AN2627" s="3">
        <v>0</v>
      </c>
      <c r="AO2627" s="3">
        <v>0</v>
      </c>
      <c r="AP2627" s="3">
        <v>0</v>
      </c>
      <c r="AQ2627" s="3">
        <v>0</v>
      </c>
      <c r="AR2627" s="3">
        <v>0</v>
      </c>
      <c r="AS2627" s="3">
        <v>0</v>
      </c>
      <c r="AT2627" s="3">
        <v>0</v>
      </c>
      <c r="AU2627" s="3">
        <v>0</v>
      </c>
      <c r="AV2627" s="3">
        <v>0</v>
      </c>
      <c r="AW2627" s="3">
        <v>0</v>
      </c>
      <c r="AX2627" s="3">
        <v>0</v>
      </c>
      <c r="AY2627" s="3">
        <v>0</v>
      </c>
      <c r="AZ2627" s="3">
        <v>0</v>
      </c>
      <c r="BA2627" s="3">
        <v>0</v>
      </c>
      <c r="BB2627" s="3">
        <v>0</v>
      </c>
      <c r="BC2627" s="3">
        <v>0</v>
      </c>
      <c r="BD2627" s="3">
        <v>0</v>
      </c>
      <c r="BE2627" s="3">
        <v>0</v>
      </c>
      <c r="BF2627" s="3">
        <v>0</v>
      </c>
      <c r="BG2627" s="3">
        <v>0</v>
      </c>
      <c r="BH2627" s="3">
        <v>1</v>
      </c>
      <c r="BI2627" s="3">
        <v>1</v>
      </c>
      <c r="BJ2627" s="3">
        <v>0.2</v>
      </c>
      <c r="BK2627" s="3">
        <v>1</v>
      </c>
      <c r="BL2627" s="3">
        <v>117.26</v>
      </c>
      <c r="BM2627" s="3">
        <v>17.59</v>
      </c>
      <c r="BN2627" s="3">
        <v>134.85</v>
      </c>
      <c r="BO2627" s="3">
        <v>134.85</v>
      </c>
      <c r="BQ2627" s="3" t="s">
        <v>83</v>
      </c>
      <c r="BR2627" s="3" t="s">
        <v>308</v>
      </c>
      <c r="BS2627" s="4">
        <v>44565</v>
      </c>
      <c r="BT2627" s="5">
        <v>0.55208333333333337</v>
      </c>
      <c r="BU2627" s="3" t="s">
        <v>2533</v>
      </c>
      <c r="BV2627" s="3" t="s">
        <v>105</v>
      </c>
      <c r="BY2627" s="3">
        <v>1200</v>
      </c>
      <c r="BZ2627" s="3" t="s">
        <v>165</v>
      </c>
      <c r="CA2627" s="3" t="s">
        <v>2534</v>
      </c>
      <c r="CC2627" s="3" t="s">
        <v>473</v>
      </c>
      <c r="CD2627" s="3">
        <v>5257</v>
      </c>
      <c r="CE2627" s="3" t="s">
        <v>93</v>
      </c>
      <c r="CF2627" s="4">
        <v>44565</v>
      </c>
      <c r="CI2627" s="3">
        <v>1</v>
      </c>
      <c r="CJ2627" s="3">
        <v>1</v>
      </c>
      <c r="CK2627" s="3">
        <v>23</v>
      </c>
      <c r="CL2627" s="3" t="s">
        <v>87</v>
      </c>
    </row>
    <row r="2628" spans="1:90" x14ac:dyDescent="0.2">
      <c r="A2628" s="3" t="s">
        <v>72</v>
      </c>
      <c r="B2628" s="3" t="s">
        <v>73</v>
      </c>
      <c r="C2628" s="3" t="s">
        <v>74</v>
      </c>
      <c r="E2628" s="3" t="str">
        <f>"FES1162843671"</f>
        <v>FES1162843671</v>
      </c>
      <c r="F2628" s="4">
        <v>44566</v>
      </c>
      <c r="G2628" s="3">
        <v>202207</v>
      </c>
      <c r="H2628" s="3" t="s">
        <v>75</v>
      </c>
      <c r="I2628" s="3" t="s">
        <v>76</v>
      </c>
      <c r="J2628" s="3" t="s">
        <v>77</v>
      </c>
      <c r="K2628" s="3" t="s">
        <v>78</v>
      </c>
      <c r="L2628" s="3" t="s">
        <v>195</v>
      </c>
      <c r="M2628" s="3" t="s">
        <v>196</v>
      </c>
      <c r="N2628" s="3" t="s">
        <v>2535</v>
      </c>
      <c r="O2628" s="3" t="s">
        <v>82</v>
      </c>
      <c r="P2628" s="3" t="str">
        <f>"2170814215                    "</f>
        <v xml:space="preserve">2170814215                    </v>
      </c>
      <c r="Q2628" s="3">
        <v>0</v>
      </c>
      <c r="R2628" s="3">
        <v>0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  <c r="AE2628" s="3">
        <v>0</v>
      </c>
      <c r="AF2628" s="3">
        <v>0</v>
      </c>
      <c r="AG2628" s="3">
        <v>0</v>
      </c>
      <c r="AH2628" s="3">
        <v>0</v>
      </c>
      <c r="AI2628" s="3">
        <v>0</v>
      </c>
      <c r="AJ2628" s="3">
        <v>0</v>
      </c>
      <c r="AK2628" s="3">
        <v>54.08</v>
      </c>
      <c r="AL2628" s="3">
        <v>0</v>
      </c>
      <c r="AM2628" s="3">
        <v>0</v>
      </c>
      <c r="AN2628" s="3">
        <v>0</v>
      </c>
      <c r="AO2628" s="3">
        <v>0</v>
      </c>
      <c r="AP2628" s="3">
        <v>0</v>
      </c>
      <c r="AQ2628" s="3">
        <v>0</v>
      </c>
      <c r="AR2628" s="3">
        <v>0</v>
      </c>
      <c r="AS2628" s="3">
        <v>0</v>
      </c>
      <c r="AT2628" s="3">
        <v>0</v>
      </c>
      <c r="AU2628" s="3">
        <v>0</v>
      </c>
      <c r="AV2628" s="3">
        <v>0</v>
      </c>
      <c r="AW2628" s="3">
        <v>0</v>
      </c>
      <c r="AX2628" s="3">
        <v>0</v>
      </c>
      <c r="AY2628" s="3">
        <v>0</v>
      </c>
      <c r="AZ2628" s="3">
        <v>0</v>
      </c>
      <c r="BA2628" s="3">
        <v>0</v>
      </c>
      <c r="BB2628" s="3">
        <v>0</v>
      </c>
      <c r="BC2628" s="3">
        <v>0</v>
      </c>
      <c r="BD2628" s="3">
        <v>0</v>
      </c>
      <c r="BE2628" s="3">
        <v>0</v>
      </c>
      <c r="BF2628" s="3">
        <v>0</v>
      </c>
      <c r="BG2628" s="3">
        <v>0</v>
      </c>
      <c r="BH2628" s="3">
        <v>1</v>
      </c>
      <c r="BI2628" s="3">
        <v>7</v>
      </c>
      <c r="BJ2628" s="3">
        <v>2</v>
      </c>
      <c r="BK2628" s="3">
        <v>7</v>
      </c>
      <c r="BL2628" s="3">
        <v>206.42</v>
      </c>
      <c r="BM2628" s="3">
        <v>30.96</v>
      </c>
      <c r="BN2628" s="3">
        <v>237.38</v>
      </c>
      <c r="BO2628" s="3">
        <v>237.38</v>
      </c>
      <c r="BQ2628" s="3" t="s">
        <v>126</v>
      </c>
      <c r="BR2628" s="3" t="s">
        <v>364</v>
      </c>
      <c r="BS2628" s="4">
        <v>44567</v>
      </c>
      <c r="BT2628" s="5">
        <v>0.40972222222222227</v>
      </c>
      <c r="BU2628" s="3" t="s">
        <v>2536</v>
      </c>
      <c r="BV2628" s="3" t="s">
        <v>105</v>
      </c>
      <c r="BY2628" s="3">
        <v>9996</v>
      </c>
      <c r="BZ2628" s="3" t="s">
        <v>165</v>
      </c>
      <c r="CA2628" s="3" t="s">
        <v>571</v>
      </c>
      <c r="CC2628" s="3" t="s">
        <v>196</v>
      </c>
      <c r="CD2628" s="3">
        <v>4302</v>
      </c>
      <c r="CE2628" s="3" t="s">
        <v>86</v>
      </c>
      <c r="CF2628" s="4">
        <v>44567</v>
      </c>
      <c r="CI2628" s="3">
        <v>1</v>
      </c>
      <c r="CJ2628" s="3">
        <v>1</v>
      </c>
      <c r="CK2628" s="3">
        <v>21</v>
      </c>
      <c r="CL2628" s="3" t="s">
        <v>87</v>
      </c>
    </row>
    <row r="2629" spans="1:90" x14ac:dyDescent="0.2">
      <c r="A2629" s="3" t="s">
        <v>72</v>
      </c>
      <c r="B2629" s="3" t="s">
        <v>73</v>
      </c>
      <c r="C2629" s="3" t="s">
        <v>74</v>
      </c>
      <c r="E2629" s="3" t="str">
        <f>"FES1162843536"</f>
        <v>FES1162843536</v>
      </c>
      <c r="F2629" s="4">
        <v>44565</v>
      </c>
      <c r="G2629" s="3">
        <v>202207</v>
      </c>
      <c r="H2629" s="3" t="s">
        <v>75</v>
      </c>
      <c r="I2629" s="3" t="s">
        <v>76</v>
      </c>
      <c r="J2629" s="3" t="s">
        <v>77</v>
      </c>
      <c r="K2629" s="3" t="s">
        <v>78</v>
      </c>
      <c r="L2629" s="3" t="s">
        <v>187</v>
      </c>
      <c r="M2629" s="3" t="s">
        <v>188</v>
      </c>
      <c r="N2629" s="3" t="s">
        <v>189</v>
      </c>
      <c r="O2629" s="3" t="s">
        <v>82</v>
      </c>
      <c r="P2629" s="3" t="str">
        <f>"2170814809                    "</f>
        <v xml:space="preserve">2170814809                    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  <c r="AE2629" s="3">
        <v>0</v>
      </c>
      <c r="AF2629" s="3">
        <v>0</v>
      </c>
      <c r="AG2629" s="3">
        <v>0</v>
      </c>
      <c r="AH2629" s="3">
        <v>0</v>
      </c>
      <c r="AI2629" s="3">
        <v>0</v>
      </c>
      <c r="AJ2629" s="3">
        <v>0</v>
      </c>
      <c r="AK2629" s="3">
        <v>32.9</v>
      </c>
      <c r="AL2629" s="3">
        <v>0</v>
      </c>
      <c r="AM2629" s="3">
        <v>0</v>
      </c>
      <c r="AN2629" s="3">
        <v>0</v>
      </c>
      <c r="AO2629" s="3">
        <v>0</v>
      </c>
      <c r="AP2629" s="3">
        <v>0</v>
      </c>
      <c r="AQ2629" s="3">
        <v>0</v>
      </c>
      <c r="AR2629" s="3">
        <v>0</v>
      </c>
      <c r="AS2629" s="3">
        <v>0</v>
      </c>
      <c r="AT2629" s="3">
        <v>0</v>
      </c>
      <c r="AU2629" s="3">
        <v>0</v>
      </c>
      <c r="AV2629" s="3">
        <v>0</v>
      </c>
      <c r="AW2629" s="3">
        <v>0</v>
      </c>
      <c r="AX2629" s="3">
        <v>0</v>
      </c>
      <c r="AY2629" s="3">
        <v>0</v>
      </c>
      <c r="AZ2629" s="3">
        <v>0</v>
      </c>
      <c r="BA2629" s="3">
        <v>0</v>
      </c>
      <c r="BB2629" s="3">
        <v>0</v>
      </c>
      <c r="BC2629" s="3">
        <v>0</v>
      </c>
      <c r="BD2629" s="3">
        <v>0</v>
      </c>
      <c r="BE2629" s="3">
        <v>0</v>
      </c>
      <c r="BF2629" s="3">
        <v>0</v>
      </c>
      <c r="BG2629" s="3">
        <v>0</v>
      </c>
      <c r="BH2629" s="3">
        <v>1</v>
      </c>
      <c r="BI2629" s="3">
        <v>1</v>
      </c>
      <c r="BJ2629" s="3">
        <v>2</v>
      </c>
      <c r="BK2629" s="3">
        <v>2</v>
      </c>
      <c r="BL2629" s="3">
        <v>117.26</v>
      </c>
      <c r="BM2629" s="3">
        <v>17.59</v>
      </c>
      <c r="BN2629" s="3">
        <v>134.85</v>
      </c>
      <c r="BO2629" s="3">
        <v>134.85</v>
      </c>
      <c r="BQ2629" s="3" t="s">
        <v>83</v>
      </c>
      <c r="BR2629" s="3" t="s">
        <v>308</v>
      </c>
      <c r="BS2629" s="4">
        <v>44566</v>
      </c>
      <c r="BT2629" s="5">
        <v>0.4604166666666667</v>
      </c>
      <c r="BU2629" s="3" t="s">
        <v>854</v>
      </c>
      <c r="BV2629" s="3" t="s">
        <v>105</v>
      </c>
      <c r="BY2629" s="3">
        <v>9918</v>
      </c>
      <c r="BZ2629" s="3" t="s">
        <v>165</v>
      </c>
      <c r="CA2629" s="3" t="s">
        <v>268</v>
      </c>
      <c r="CC2629" s="3" t="s">
        <v>188</v>
      </c>
      <c r="CD2629" s="3">
        <v>7300</v>
      </c>
      <c r="CE2629" s="3" t="s">
        <v>86</v>
      </c>
      <c r="CF2629" s="4">
        <v>44567</v>
      </c>
      <c r="CI2629" s="3">
        <v>1</v>
      </c>
      <c r="CJ2629" s="3">
        <v>1</v>
      </c>
      <c r="CK2629" s="3">
        <v>23</v>
      </c>
      <c r="CL2629" s="3" t="s">
        <v>87</v>
      </c>
    </row>
    <row r="2630" spans="1:90" x14ac:dyDescent="0.2">
      <c r="A2630" s="3" t="s">
        <v>72</v>
      </c>
      <c r="B2630" s="3" t="s">
        <v>73</v>
      </c>
      <c r="C2630" s="3" t="s">
        <v>74</v>
      </c>
      <c r="E2630" s="3" t="str">
        <f>"FES1162843699"</f>
        <v>FES1162843699</v>
      </c>
      <c r="F2630" s="4">
        <v>44566</v>
      </c>
      <c r="G2630" s="3">
        <v>202207</v>
      </c>
      <c r="H2630" s="3" t="s">
        <v>75</v>
      </c>
      <c r="I2630" s="3" t="s">
        <v>76</v>
      </c>
      <c r="J2630" s="3" t="s">
        <v>77</v>
      </c>
      <c r="K2630" s="3" t="s">
        <v>78</v>
      </c>
      <c r="L2630" s="3" t="s">
        <v>75</v>
      </c>
      <c r="M2630" s="3" t="s">
        <v>76</v>
      </c>
      <c r="N2630" s="3" t="s">
        <v>2537</v>
      </c>
      <c r="O2630" s="3" t="s">
        <v>82</v>
      </c>
      <c r="P2630" s="3" t="str">
        <f>"2170814515                    "</f>
        <v xml:space="preserve">2170814515                    </v>
      </c>
      <c r="Q2630" s="3">
        <v>0</v>
      </c>
      <c r="R2630" s="3">
        <v>0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  <c r="AE2630" s="3">
        <v>0</v>
      </c>
      <c r="AF2630" s="3">
        <v>0</v>
      </c>
      <c r="AG2630" s="3">
        <v>0</v>
      </c>
      <c r="AH2630" s="3">
        <v>0</v>
      </c>
      <c r="AI2630" s="3">
        <v>0</v>
      </c>
      <c r="AJ2630" s="3">
        <v>0</v>
      </c>
      <c r="AK2630" s="3">
        <v>12.07</v>
      </c>
      <c r="AL2630" s="3">
        <v>0</v>
      </c>
      <c r="AM2630" s="3">
        <v>0</v>
      </c>
      <c r="AN2630" s="3">
        <v>0</v>
      </c>
      <c r="AO2630" s="3">
        <v>0</v>
      </c>
      <c r="AP2630" s="3">
        <v>0</v>
      </c>
      <c r="AQ2630" s="3">
        <v>0</v>
      </c>
      <c r="AR2630" s="3">
        <v>0</v>
      </c>
      <c r="AS2630" s="3">
        <v>0</v>
      </c>
      <c r="AT2630" s="3">
        <v>0</v>
      </c>
      <c r="AU2630" s="3">
        <v>0</v>
      </c>
      <c r="AV2630" s="3">
        <v>0</v>
      </c>
      <c r="AW2630" s="3">
        <v>0</v>
      </c>
      <c r="AX2630" s="3">
        <v>0</v>
      </c>
      <c r="AY2630" s="3">
        <v>0</v>
      </c>
      <c r="AZ2630" s="3">
        <v>0</v>
      </c>
      <c r="BA2630" s="3">
        <v>0</v>
      </c>
      <c r="BB2630" s="3">
        <v>0</v>
      </c>
      <c r="BC2630" s="3">
        <v>0</v>
      </c>
      <c r="BD2630" s="3">
        <v>0</v>
      </c>
      <c r="BE2630" s="3">
        <v>0</v>
      </c>
      <c r="BF2630" s="3">
        <v>0</v>
      </c>
      <c r="BG2630" s="3">
        <v>0</v>
      </c>
      <c r="BH2630" s="3">
        <v>1</v>
      </c>
      <c r="BI2630" s="3">
        <v>1</v>
      </c>
      <c r="BJ2630" s="3">
        <v>0.2</v>
      </c>
      <c r="BK2630" s="3">
        <v>1</v>
      </c>
      <c r="BL2630" s="3">
        <v>46.08</v>
      </c>
      <c r="BM2630" s="3">
        <v>6.91</v>
      </c>
      <c r="BN2630" s="3">
        <v>52.99</v>
      </c>
      <c r="BO2630" s="3">
        <v>52.99</v>
      </c>
      <c r="BQ2630" s="3" t="s">
        <v>83</v>
      </c>
      <c r="BR2630" s="3" t="s">
        <v>364</v>
      </c>
      <c r="BS2630" s="4">
        <v>44567</v>
      </c>
      <c r="BT2630" s="5">
        <v>0.3520833333333333</v>
      </c>
      <c r="BU2630" s="3" t="s">
        <v>849</v>
      </c>
      <c r="BV2630" s="3" t="s">
        <v>105</v>
      </c>
      <c r="BY2630" s="3">
        <v>1200</v>
      </c>
      <c r="BZ2630" s="3" t="s">
        <v>165</v>
      </c>
      <c r="CA2630" s="3" t="s">
        <v>477</v>
      </c>
      <c r="CC2630" s="3" t="s">
        <v>76</v>
      </c>
      <c r="CD2630" s="3">
        <v>1645</v>
      </c>
      <c r="CE2630" s="3" t="s">
        <v>93</v>
      </c>
      <c r="CF2630" s="4">
        <v>44568</v>
      </c>
      <c r="CI2630" s="3">
        <v>1</v>
      </c>
      <c r="CJ2630" s="3">
        <v>1</v>
      </c>
      <c r="CK2630" s="3">
        <v>22</v>
      </c>
      <c r="CL2630" s="3" t="s">
        <v>87</v>
      </c>
    </row>
    <row r="2631" spans="1:90" x14ac:dyDescent="0.2">
      <c r="A2631" s="3" t="s">
        <v>72</v>
      </c>
      <c r="B2631" s="3" t="s">
        <v>73</v>
      </c>
      <c r="C2631" s="3" t="s">
        <v>74</v>
      </c>
      <c r="E2631" s="3" t="str">
        <f>"FES1162843321"</f>
        <v>FES1162843321</v>
      </c>
      <c r="F2631" s="4">
        <v>44565</v>
      </c>
      <c r="G2631" s="3">
        <v>202207</v>
      </c>
      <c r="H2631" s="3" t="s">
        <v>75</v>
      </c>
      <c r="I2631" s="3" t="s">
        <v>76</v>
      </c>
      <c r="J2631" s="3" t="s">
        <v>77</v>
      </c>
      <c r="K2631" s="3" t="s">
        <v>78</v>
      </c>
      <c r="L2631" s="3" t="s">
        <v>2538</v>
      </c>
      <c r="M2631" s="3" t="s">
        <v>2539</v>
      </c>
      <c r="N2631" s="3" t="s">
        <v>2540</v>
      </c>
      <c r="O2631" s="3" t="s">
        <v>82</v>
      </c>
      <c r="P2631" s="3" t="str">
        <f>"2170810173                    "</f>
        <v xml:space="preserve">2170810173                    </v>
      </c>
      <c r="Q2631" s="3">
        <v>0</v>
      </c>
      <c r="R2631" s="3">
        <v>0</v>
      </c>
      <c r="S2631" s="3">
        <v>0</v>
      </c>
      <c r="T2631" s="3">
        <v>0</v>
      </c>
      <c r="U2631" s="3">
        <v>0</v>
      </c>
      <c r="V2631" s="3">
        <v>0</v>
      </c>
      <c r="W2631" s="3">
        <v>0</v>
      </c>
      <c r="X2631" s="3">
        <v>0</v>
      </c>
      <c r="Y2631" s="3">
        <v>0</v>
      </c>
      <c r="Z2631" s="3">
        <v>0</v>
      </c>
      <c r="AA2631" s="3">
        <v>0</v>
      </c>
      <c r="AB2631" s="3">
        <v>0</v>
      </c>
      <c r="AC2631" s="3">
        <v>0</v>
      </c>
      <c r="AD2631" s="3">
        <v>0</v>
      </c>
      <c r="AE2631" s="3">
        <v>0</v>
      </c>
      <c r="AF2631" s="3">
        <v>0</v>
      </c>
      <c r="AG2631" s="3">
        <v>0</v>
      </c>
      <c r="AH2631" s="3">
        <v>0</v>
      </c>
      <c r="AI2631" s="3">
        <v>0</v>
      </c>
      <c r="AJ2631" s="3">
        <v>0</v>
      </c>
      <c r="AK2631" s="3">
        <v>32.9</v>
      </c>
      <c r="AL2631" s="3">
        <v>0</v>
      </c>
      <c r="AM2631" s="3">
        <v>0</v>
      </c>
      <c r="AN2631" s="3">
        <v>0</v>
      </c>
      <c r="AO2631" s="3">
        <v>0</v>
      </c>
      <c r="AP2631" s="3">
        <v>0</v>
      </c>
      <c r="AQ2631" s="3">
        <v>0</v>
      </c>
      <c r="AR2631" s="3">
        <v>0</v>
      </c>
      <c r="AS2631" s="3">
        <v>0</v>
      </c>
      <c r="AT2631" s="3">
        <v>0</v>
      </c>
      <c r="AU2631" s="3">
        <v>0</v>
      </c>
      <c r="AV2631" s="3">
        <v>0</v>
      </c>
      <c r="AW2631" s="3">
        <v>0</v>
      </c>
      <c r="AX2631" s="3">
        <v>0</v>
      </c>
      <c r="AY2631" s="3">
        <v>0</v>
      </c>
      <c r="AZ2631" s="3">
        <v>0</v>
      </c>
      <c r="BA2631" s="3">
        <v>0</v>
      </c>
      <c r="BB2631" s="3">
        <v>0</v>
      </c>
      <c r="BC2631" s="3">
        <v>0</v>
      </c>
      <c r="BD2631" s="3">
        <v>0</v>
      </c>
      <c r="BE2631" s="3">
        <v>0</v>
      </c>
      <c r="BF2631" s="3">
        <v>0</v>
      </c>
      <c r="BG2631" s="3">
        <v>0</v>
      </c>
      <c r="BH2631" s="3">
        <v>1</v>
      </c>
      <c r="BI2631" s="3">
        <v>1</v>
      </c>
      <c r="BJ2631" s="3">
        <v>0.2</v>
      </c>
      <c r="BK2631" s="3">
        <v>1</v>
      </c>
      <c r="BL2631" s="3">
        <v>117.26</v>
      </c>
      <c r="BM2631" s="3">
        <v>17.59</v>
      </c>
      <c r="BN2631" s="3">
        <v>134.85</v>
      </c>
      <c r="BO2631" s="3">
        <v>134.85</v>
      </c>
      <c r="BR2631" s="3" t="s">
        <v>308</v>
      </c>
      <c r="BS2631" s="4">
        <v>44571</v>
      </c>
      <c r="BT2631" s="5">
        <v>0.50416666666666665</v>
      </c>
      <c r="BU2631" s="3" t="s">
        <v>1450</v>
      </c>
      <c r="BV2631" s="3" t="s">
        <v>87</v>
      </c>
      <c r="BW2631" s="3" t="s">
        <v>493</v>
      </c>
      <c r="BX2631" s="3" t="s">
        <v>1269</v>
      </c>
      <c r="BY2631" s="3">
        <v>1200</v>
      </c>
      <c r="BZ2631" s="3" t="s">
        <v>165</v>
      </c>
      <c r="CA2631" s="3" t="s">
        <v>1246</v>
      </c>
      <c r="CC2631" s="3" t="s">
        <v>2539</v>
      </c>
      <c r="CD2631" s="3">
        <v>350</v>
      </c>
      <c r="CE2631" s="3" t="s">
        <v>93</v>
      </c>
      <c r="CF2631" s="4">
        <v>44572</v>
      </c>
      <c r="CI2631" s="3">
        <v>1</v>
      </c>
      <c r="CJ2631" s="3">
        <v>4</v>
      </c>
      <c r="CK2631" s="3">
        <v>23</v>
      </c>
      <c r="CL2631" s="3" t="s">
        <v>87</v>
      </c>
    </row>
    <row r="2632" spans="1:90" x14ac:dyDescent="0.2">
      <c r="A2632" s="3" t="s">
        <v>72</v>
      </c>
      <c r="B2632" s="3" t="s">
        <v>73</v>
      </c>
      <c r="C2632" s="3" t="s">
        <v>74</v>
      </c>
      <c r="E2632" s="3" t="str">
        <f>"FES1162843450"</f>
        <v>FES1162843450</v>
      </c>
      <c r="F2632" s="4">
        <v>44565</v>
      </c>
      <c r="G2632" s="3">
        <v>202207</v>
      </c>
      <c r="H2632" s="3" t="s">
        <v>75</v>
      </c>
      <c r="I2632" s="3" t="s">
        <v>76</v>
      </c>
      <c r="J2632" s="3" t="s">
        <v>77</v>
      </c>
      <c r="K2632" s="3" t="s">
        <v>78</v>
      </c>
      <c r="L2632" s="3" t="s">
        <v>115</v>
      </c>
      <c r="M2632" s="3" t="s">
        <v>116</v>
      </c>
      <c r="N2632" s="3" t="s">
        <v>419</v>
      </c>
      <c r="O2632" s="3" t="s">
        <v>82</v>
      </c>
      <c r="P2632" s="3" t="str">
        <f>"2170813771                    "</f>
        <v xml:space="preserve">2170813771                    </v>
      </c>
      <c r="Q2632" s="3">
        <v>0</v>
      </c>
      <c r="R2632" s="3">
        <v>0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  <c r="AE2632" s="3">
        <v>0</v>
      </c>
      <c r="AF2632" s="3">
        <v>0</v>
      </c>
      <c r="AG2632" s="3">
        <v>0</v>
      </c>
      <c r="AH2632" s="3">
        <v>0</v>
      </c>
      <c r="AI2632" s="3">
        <v>0</v>
      </c>
      <c r="AJ2632" s="3">
        <v>0</v>
      </c>
      <c r="AK2632" s="3">
        <v>13.26</v>
      </c>
      <c r="AL2632" s="3">
        <v>0</v>
      </c>
      <c r="AM2632" s="3">
        <v>0</v>
      </c>
      <c r="AN2632" s="3">
        <v>0</v>
      </c>
      <c r="AO2632" s="3">
        <v>0</v>
      </c>
      <c r="AP2632" s="3">
        <v>0</v>
      </c>
      <c r="AQ2632" s="3">
        <v>0</v>
      </c>
      <c r="AR2632" s="3">
        <v>0</v>
      </c>
      <c r="AS2632" s="3">
        <v>0</v>
      </c>
      <c r="AT2632" s="3">
        <v>0</v>
      </c>
      <c r="AU2632" s="3">
        <v>0</v>
      </c>
      <c r="AV2632" s="3">
        <v>0</v>
      </c>
      <c r="AW2632" s="3">
        <v>0</v>
      </c>
      <c r="AX2632" s="3">
        <v>0</v>
      </c>
      <c r="AY2632" s="3">
        <v>0</v>
      </c>
      <c r="AZ2632" s="3">
        <v>0</v>
      </c>
      <c r="BA2632" s="3">
        <v>0</v>
      </c>
      <c r="BB2632" s="3">
        <v>0</v>
      </c>
      <c r="BC2632" s="3">
        <v>0</v>
      </c>
      <c r="BD2632" s="3">
        <v>0</v>
      </c>
      <c r="BE2632" s="3">
        <v>0</v>
      </c>
      <c r="BF2632" s="3">
        <v>0</v>
      </c>
      <c r="BG2632" s="3">
        <v>0</v>
      </c>
      <c r="BH2632" s="3">
        <v>1</v>
      </c>
      <c r="BI2632" s="3">
        <v>1</v>
      </c>
      <c r="BJ2632" s="3">
        <v>0.2</v>
      </c>
      <c r="BK2632" s="3">
        <v>1</v>
      </c>
      <c r="BL2632" s="3">
        <v>47.27</v>
      </c>
      <c r="BM2632" s="3">
        <v>7.09</v>
      </c>
      <c r="BN2632" s="3">
        <v>54.36</v>
      </c>
      <c r="BO2632" s="3">
        <v>54.36</v>
      </c>
      <c r="BQ2632" s="3" t="s">
        <v>89</v>
      </c>
      <c r="BR2632" s="3" t="s">
        <v>308</v>
      </c>
      <c r="BS2632" s="4">
        <v>44566</v>
      </c>
      <c r="BT2632" s="5">
        <v>0.41944444444444445</v>
      </c>
      <c r="BU2632" s="3" t="s">
        <v>2541</v>
      </c>
      <c r="BV2632" s="3" t="s">
        <v>105</v>
      </c>
      <c r="BY2632" s="3">
        <v>1200</v>
      </c>
      <c r="BZ2632" s="3" t="s">
        <v>165</v>
      </c>
      <c r="CA2632" s="3" t="s">
        <v>1350</v>
      </c>
      <c r="CC2632" s="3" t="s">
        <v>116</v>
      </c>
      <c r="CD2632" s="3">
        <v>1559</v>
      </c>
      <c r="CE2632" s="3" t="s">
        <v>93</v>
      </c>
      <c r="CF2632" s="4">
        <v>44566</v>
      </c>
      <c r="CI2632" s="3">
        <v>1</v>
      </c>
      <c r="CJ2632" s="3">
        <v>1</v>
      </c>
      <c r="CK2632" s="3">
        <v>22</v>
      </c>
      <c r="CL2632" s="3" t="s">
        <v>87</v>
      </c>
    </row>
    <row r="2633" spans="1:90" x14ac:dyDescent="0.2">
      <c r="A2633" s="3" t="s">
        <v>72</v>
      </c>
      <c r="B2633" s="3" t="s">
        <v>73</v>
      </c>
      <c r="C2633" s="3" t="s">
        <v>74</v>
      </c>
      <c r="E2633" s="3" t="str">
        <f>"FES1162843538"</f>
        <v>FES1162843538</v>
      </c>
      <c r="F2633" s="4">
        <v>44566</v>
      </c>
      <c r="G2633" s="3">
        <v>202207</v>
      </c>
      <c r="H2633" s="3" t="s">
        <v>75</v>
      </c>
      <c r="I2633" s="3" t="s">
        <v>76</v>
      </c>
      <c r="J2633" s="3" t="s">
        <v>77</v>
      </c>
      <c r="K2633" s="3" t="s">
        <v>78</v>
      </c>
      <c r="L2633" s="3" t="s">
        <v>171</v>
      </c>
      <c r="M2633" s="3" t="s">
        <v>172</v>
      </c>
      <c r="N2633" s="3" t="s">
        <v>235</v>
      </c>
      <c r="O2633" s="3" t="s">
        <v>82</v>
      </c>
      <c r="P2633" s="3" t="str">
        <f>"2170815620                    "</f>
        <v xml:space="preserve">2170815620                    </v>
      </c>
      <c r="Q2633" s="3">
        <v>0</v>
      </c>
      <c r="R2633" s="3">
        <v>0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  <c r="AE2633" s="3">
        <v>0</v>
      </c>
      <c r="AF2633" s="3">
        <v>0</v>
      </c>
      <c r="AG2633" s="3">
        <v>0</v>
      </c>
      <c r="AH2633" s="3">
        <v>0</v>
      </c>
      <c r="AI2633" s="3">
        <v>0</v>
      </c>
      <c r="AJ2633" s="3">
        <v>0</v>
      </c>
      <c r="AK2633" s="3">
        <v>15.46</v>
      </c>
      <c r="AL2633" s="3">
        <v>0</v>
      </c>
      <c r="AM2633" s="3">
        <v>0</v>
      </c>
      <c r="AN2633" s="3">
        <v>0</v>
      </c>
      <c r="AO2633" s="3">
        <v>0</v>
      </c>
      <c r="AP2633" s="3">
        <v>0</v>
      </c>
      <c r="AQ2633" s="3">
        <v>0</v>
      </c>
      <c r="AR2633" s="3">
        <v>0</v>
      </c>
      <c r="AS2633" s="3">
        <v>0</v>
      </c>
      <c r="AT2633" s="3">
        <v>0</v>
      </c>
      <c r="AU2633" s="3">
        <v>0</v>
      </c>
      <c r="AV2633" s="3">
        <v>0</v>
      </c>
      <c r="AW2633" s="3">
        <v>0</v>
      </c>
      <c r="AX2633" s="3">
        <v>0</v>
      </c>
      <c r="AY2633" s="3">
        <v>0</v>
      </c>
      <c r="AZ2633" s="3">
        <v>0</v>
      </c>
      <c r="BA2633" s="3">
        <v>0</v>
      </c>
      <c r="BB2633" s="3">
        <v>0</v>
      </c>
      <c r="BC2633" s="3">
        <v>0</v>
      </c>
      <c r="BD2633" s="3">
        <v>0</v>
      </c>
      <c r="BE2633" s="3">
        <v>0</v>
      </c>
      <c r="BF2633" s="3">
        <v>0</v>
      </c>
      <c r="BG2633" s="3">
        <v>0</v>
      </c>
      <c r="BH2633" s="3">
        <v>1</v>
      </c>
      <c r="BI2633" s="3">
        <v>1</v>
      </c>
      <c r="BJ2633" s="3">
        <v>0.2</v>
      </c>
      <c r="BK2633" s="3">
        <v>1</v>
      </c>
      <c r="BL2633" s="3">
        <v>59</v>
      </c>
      <c r="BM2633" s="3">
        <v>8.85</v>
      </c>
      <c r="BN2633" s="3">
        <v>67.849999999999994</v>
      </c>
      <c r="BO2633" s="3">
        <v>67.849999999999994</v>
      </c>
      <c r="BQ2633" s="3" t="s">
        <v>83</v>
      </c>
      <c r="BR2633" s="3" t="s">
        <v>364</v>
      </c>
      <c r="BS2633" s="4">
        <v>44567</v>
      </c>
      <c r="BT2633" s="5">
        <v>0.51527777777777783</v>
      </c>
      <c r="BU2633" s="3" t="s">
        <v>1488</v>
      </c>
      <c r="BV2633" s="3" t="s">
        <v>87</v>
      </c>
      <c r="BW2633" s="3" t="s">
        <v>457</v>
      </c>
      <c r="BX2633" s="3" t="s">
        <v>2542</v>
      </c>
      <c r="BY2633" s="3">
        <v>1200</v>
      </c>
      <c r="BZ2633" s="3" t="s">
        <v>165</v>
      </c>
      <c r="CA2633" s="3" t="s">
        <v>263</v>
      </c>
      <c r="CC2633" s="3" t="s">
        <v>172</v>
      </c>
      <c r="CD2633" s="3">
        <v>6001</v>
      </c>
      <c r="CE2633" s="3" t="s">
        <v>93</v>
      </c>
      <c r="CF2633" s="4">
        <v>44567</v>
      </c>
      <c r="CI2633" s="3">
        <v>1</v>
      </c>
      <c r="CJ2633" s="3">
        <v>1</v>
      </c>
      <c r="CK2633" s="3">
        <v>21</v>
      </c>
      <c r="CL2633" s="3" t="s">
        <v>87</v>
      </c>
    </row>
    <row r="2634" spans="1:90" x14ac:dyDescent="0.2">
      <c r="A2634" s="3" t="s">
        <v>72</v>
      </c>
      <c r="B2634" s="3" t="s">
        <v>73</v>
      </c>
      <c r="C2634" s="3" t="s">
        <v>74</v>
      </c>
      <c r="E2634" s="3" t="str">
        <f>"FES1162843044"</f>
        <v>FES1162843044</v>
      </c>
      <c r="F2634" s="4">
        <v>44564</v>
      </c>
      <c r="G2634" s="3">
        <v>202207</v>
      </c>
      <c r="H2634" s="3" t="s">
        <v>75</v>
      </c>
      <c r="I2634" s="3" t="s">
        <v>76</v>
      </c>
      <c r="J2634" s="3" t="s">
        <v>77</v>
      </c>
      <c r="K2634" s="3" t="s">
        <v>78</v>
      </c>
      <c r="L2634" s="3" t="s">
        <v>171</v>
      </c>
      <c r="M2634" s="3" t="s">
        <v>172</v>
      </c>
      <c r="N2634" s="3" t="s">
        <v>1638</v>
      </c>
      <c r="O2634" s="3" t="s">
        <v>82</v>
      </c>
      <c r="P2634" s="3" t="str">
        <f>"2170812435                    "</f>
        <v xml:space="preserve">2170812435                    </v>
      </c>
      <c r="Q2634" s="3">
        <v>0</v>
      </c>
      <c r="R2634" s="3">
        <v>0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  <c r="AE2634" s="3">
        <v>0</v>
      </c>
      <c r="AF2634" s="3">
        <v>0</v>
      </c>
      <c r="AG2634" s="3">
        <v>0</v>
      </c>
      <c r="AH2634" s="3">
        <v>0</v>
      </c>
      <c r="AI2634" s="3">
        <v>0</v>
      </c>
      <c r="AJ2634" s="3">
        <v>0</v>
      </c>
      <c r="AK2634" s="3">
        <v>16.98</v>
      </c>
      <c r="AL2634" s="3">
        <v>0</v>
      </c>
      <c r="AM2634" s="3">
        <v>0</v>
      </c>
      <c r="AN2634" s="3">
        <v>0</v>
      </c>
      <c r="AO2634" s="3">
        <v>0</v>
      </c>
      <c r="AP2634" s="3">
        <v>0</v>
      </c>
      <c r="AQ2634" s="3">
        <v>0</v>
      </c>
      <c r="AR2634" s="3">
        <v>0</v>
      </c>
      <c r="AS2634" s="3">
        <v>0</v>
      </c>
      <c r="AT2634" s="3">
        <v>0</v>
      </c>
      <c r="AU2634" s="3">
        <v>0</v>
      </c>
      <c r="AV2634" s="3">
        <v>0</v>
      </c>
      <c r="AW2634" s="3">
        <v>0</v>
      </c>
      <c r="AX2634" s="3">
        <v>0</v>
      </c>
      <c r="AY2634" s="3">
        <v>0</v>
      </c>
      <c r="AZ2634" s="3">
        <v>0</v>
      </c>
      <c r="BA2634" s="3">
        <v>0</v>
      </c>
      <c r="BB2634" s="3">
        <v>0</v>
      </c>
      <c r="BC2634" s="3">
        <v>0</v>
      </c>
      <c r="BD2634" s="3">
        <v>0</v>
      </c>
      <c r="BE2634" s="3">
        <v>0</v>
      </c>
      <c r="BF2634" s="3">
        <v>0</v>
      </c>
      <c r="BG2634" s="3">
        <v>0</v>
      </c>
      <c r="BH2634" s="3">
        <v>1</v>
      </c>
      <c r="BI2634" s="3">
        <v>1</v>
      </c>
      <c r="BJ2634" s="3">
        <v>0.2</v>
      </c>
      <c r="BK2634" s="3">
        <v>1</v>
      </c>
      <c r="BL2634" s="3">
        <v>60.52</v>
      </c>
      <c r="BM2634" s="3">
        <v>9.08</v>
      </c>
      <c r="BN2634" s="3">
        <v>69.599999999999994</v>
      </c>
      <c r="BO2634" s="3">
        <v>69.599999999999994</v>
      </c>
      <c r="BQ2634" s="3" t="s">
        <v>89</v>
      </c>
      <c r="BR2634" s="3" t="s">
        <v>308</v>
      </c>
      <c r="BS2634" s="4">
        <v>44565</v>
      </c>
      <c r="BT2634" s="5">
        <v>0.34027777777777773</v>
      </c>
      <c r="BU2634" s="3" t="s">
        <v>2543</v>
      </c>
      <c r="BV2634" s="3" t="s">
        <v>105</v>
      </c>
      <c r="BY2634" s="3">
        <v>1200</v>
      </c>
      <c r="BZ2634" s="3" t="s">
        <v>165</v>
      </c>
      <c r="CA2634" s="3" t="s">
        <v>509</v>
      </c>
      <c r="CC2634" s="3" t="s">
        <v>172</v>
      </c>
      <c r="CD2634" s="3">
        <v>6001</v>
      </c>
      <c r="CE2634" s="3" t="s">
        <v>93</v>
      </c>
      <c r="CF2634" s="4">
        <v>44565</v>
      </c>
      <c r="CI2634" s="3">
        <v>1</v>
      </c>
      <c r="CJ2634" s="3">
        <v>1</v>
      </c>
      <c r="CK2634" s="3">
        <v>21</v>
      </c>
      <c r="CL2634" s="3" t="s">
        <v>87</v>
      </c>
    </row>
    <row r="2635" spans="1:90" x14ac:dyDescent="0.2">
      <c r="A2635" s="3" t="s">
        <v>72</v>
      </c>
      <c r="B2635" s="3" t="s">
        <v>73</v>
      </c>
      <c r="C2635" s="3" t="s">
        <v>74</v>
      </c>
      <c r="E2635" s="3" t="str">
        <f>"FES1162843696"</f>
        <v>FES1162843696</v>
      </c>
      <c r="F2635" s="4">
        <v>44566</v>
      </c>
      <c r="G2635" s="3">
        <v>202207</v>
      </c>
      <c r="H2635" s="3" t="s">
        <v>75</v>
      </c>
      <c r="I2635" s="3" t="s">
        <v>76</v>
      </c>
      <c r="J2635" s="3" t="s">
        <v>77</v>
      </c>
      <c r="K2635" s="3" t="s">
        <v>78</v>
      </c>
      <c r="L2635" s="3" t="s">
        <v>2544</v>
      </c>
      <c r="M2635" s="3" t="s">
        <v>2545</v>
      </c>
      <c r="N2635" s="3" t="s">
        <v>2546</v>
      </c>
      <c r="O2635" s="3" t="s">
        <v>82</v>
      </c>
      <c r="P2635" s="3" t="str">
        <f>"2170814463                    "</f>
        <v xml:space="preserve">2170814463                    </v>
      </c>
      <c r="Q2635" s="3">
        <v>0</v>
      </c>
      <c r="R2635" s="3">
        <v>0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  <c r="AE2635" s="3">
        <v>0</v>
      </c>
      <c r="AF2635" s="3">
        <v>0</v>
      </c>
      <c r="AG2635" s="3">
        <v>0</v>
      </c>
      <c r="AH2635" s="3">
        <v>0</v>
      </c>
      <c r="AI2635" s="3">
        <v>0</v>
      </c>
      <c r="AJ2635" s="3">
        <v>0</v>
      </c>
      <c r="AK2635" s="3">
        <v>29.95</v>
      </c>
      <c r="AL2635" s="3">
        <v>0</v>
      </c>
      <c r="AM2635" s="3">
        <v>0</v>
      </c>
      <c r="AN2635" s="3">
        <v>0</v>
      </c>
      <c r="AO2635" s="3">
        <v>0</v>
      </c>
      <c r="AP2635" s="3">
        <v>0</v>
      </c>
      <c r="AQ2635" s="3">
        <v>0</v>
      </c>
      <c r="AR2635" s="3">
        <v>0</v>
      </c>
      <c r="AS2635" s="3">
        <v>0</v>
      </c>
      <c r="AT2635" s="3">
        <v>0</v>
      </c>
      <c r="AU2635" s="3">
        <v>0</v>
      </c>
      <c r="AV2635" s="3">
        <v>0</v>
      </c>
      <c r="AW2635" s="3">
        <v>0</v>
      </c>
      <c r="AX2635" s="3">
        <v>0</v>
      </c>
      <c r="AY2635" s="3">
        <v>0</v>
      </c>
      <c r="AZ2635" s="3">
        <v>0</v>
      </c>
      <c r="BA2635" s="3">
        <v>0</v>
      </c>
      <c r="BB2635" s="3">
        <v>0</v>
      </c>
      <c r="BC2635" s="3">
        <v>0</v>
      </c>
      <c r="BD2635" s="3">
        <v>0</v>
      </c>
      <c r="BE2635" s="3">
        <v>0</v>
      </c>
      <c r="BF2635" s="3">
        <v>0</v>
      </c>
      <c r="BG2635" s="3">
        <v>0</v>
      </c>
      <c r="BH2635" s="3">
        <v>1</v>
      </c>
      <c r="BI2635" s="3">
        <v>1</v>
      </c>
      <c r="BJ2635" s="3">
        <v>0.2</v>
      </c>
      <c r="BK2635" s="3">
        <v>1</v>
      </c>
      <c r="BL2635" s="3">
        <v>114.31</v>
      </c>
      <c r="BM2635" s="3">
        <v>17.149999999999999</v>
      </c>
      <c r="BN2635" s="3">
        <v>131.46</v>
      </c>
      <c r="BO2635" s="3">
        <v>131.46</v>
      </c>
      <c r="BR2635" s="3" t="s">
        <v>364</v>
      </c>
      <c r="BS2635" s="4">
        <v>44571</v>
      </c>
      <c r="BT2635" s="5">
        <v>0.3611111111111111</v>
      </c>
      <c r="BU2635" s="3" t="s">
        <v>2547</v>
      </c>
      <c r="BV2635" s="3" t="s">
        <v>87</v>
      </c>
      <c r="BW2635" s="3" t="s">
        <v>617</v>
      </c>
      <c r="BX2635" s="3" t="s">
        <v>1118</v>
      </c>
      <c r="BY2635" s="3">
        <v>1200</v>
      </c>
      <c r="BZ2635" s="3" t="s">
        <v>165</v>
      </c>
      <c r="CA2635" s="3" t="s">
        <v>345</v>
      </c>
      <c r="CC2635" s="3" t="s">
        <v>2545</v>
      </c>
      <c r="CD2635" s="3">
        <v>2620</v>
      </c>
      <c r="CE2635" s="3" t="s">
        <v>93</v>
      </c>
      <c r="CF2635" s="4">
        <v>44571</v>
      </c>
      <c r="CI2635" s="3">
        <v>1</v>
      </c>
      <c r="CJ2635" s="3">
        <v>3</v>
      </c>
      <c r="CK2635" s="3">
        <v>23</v>
      </c>
      <c r="CL2635" s="3" t="s">
        <v>87</v>
      </c>
    </row>
    <row r="2636" spans="1:90" x14ac:dyDescent="0.2">
      <c r="A2636" s="3" t="s">
        <v>72</v>
      </c>
      <c r="B2636" s="3" t="s">
        <v>73</v>
      </c>
      <c r="C2636" s="3" t="s">
        <v>74</v>
      </c>
      <c r="E2636" s="3" t="str">
        <f>"FES1162843392"</f>
        <v>FES1162843392</v>
      </c>
      <c r="F2636" s="4">
        <v>44565</v>
      </c>
      <c r="G2636" s="3">
        <v>202207</v>
      </c>
      <c r="H2636" s="3" t="s">
        <v>75</v>
      </c>
      <c r="I2636" s="3" t="s">
        <v>76</v>
      </c>
      <c r="J2636" s="3" t="s">
        <v>77</v>
      </c>
      <c r="K2636" s="3" t="s">
        <v>78</v>
      </c>
      <c r="L2636" s="3" t="s">
        <v>94</v>
      </c>
      <c r="M2636" s="3" t="s">
        <v>95</v>
      </c>
      <c r="N2636" s="3" t="s">
        <v>179</v>
      </c>
      <c r="O2636" s="3" t="s">
        <v>148</v>
      </c>
      <c r="P2636" s="3" t="str">
        <f>"2170813530                    "</f>
        <v xml:space="preserve">2170813530                    </v>
      </c>
      <c r="Q2636" s="3">
        <v>0</v>
      </c>
      <c r="R2636" s="3">
        <v>0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  <c r="AE2636" s="3">
        <v>0</v>
      </c>
      <c r="AF2636" s="3">
        <v>0</v>
      </c>
      <c r="AG2636" s="3">
        <v>0</v>
      </c>
      <c r="AH2636" s="3">
        <v>0</v>
      </c>
      <c r="AI2636" s="3">
        <v>0</v>
      </c>
      <c r="AJ2636" s="3">
        <v>0</v>
      </c>
      <c r="AK2636" s="3">
        <v>35.54</v>
      </c>
      <c r="AL2636" s="3">
        <v>0</v>
      </c>
      <c r="AM2636" s="3">
        <v>0</v>
      </c>
      <c r="AN2636" s="3">
        <v>0</v>
      </c>
      <c r="AO2636" s="3">
        <v>0</v>
      </c>
      <c r="AP2636" s="3">
        <v>0</v>
      </c>
      <c r="AQ2636" s="3">
        <v>0</v>
      </c>
      <c r="AR2636" s="3">
        <v>0</v>
      </c>
      <c r="AS2636" s="3">
        <v>0</v>
      </c>
      <c r="AT2636" s="3">
        <v>0</v>
      </c>
      <c r="AU2636" s="3">
        <v>0</v>
      </c>
      <c r="AV2636" s="3">
        <v>0</v>
      </c>
      <c r="AW2636" s="3">
        <v>0</v>
      </c>
      <c r="AX2636" s="3">
        <v>0</v>
      </c>
      <c r="AY2636" s="3">
        <v>0</v>
      </c>
      <c r="AZ2636" s="3">
        <v>0</v>
      </c>
      <c r="BA2636" s="3">
        <v>0</v>
      </c>
      <c r="BB2636" s="3">
        <v>0</v>
      </c>
      <c r="BC2636" s="3">
        <v>0</v>
      </c>
      <c r="BD2636" s="3">
        <v>0</v>
      </c>
      <c r="BE2636" s="3">
        <v>0</v>
      </c>
      <c r="BF2636" s="3">
        <v>0</v>
      </c>
      <c r="BG2636" s="3">
        <v>0</v>
      </c>
      <c r="BH2636" s="3">
        <v>1</v>
      </c>
      <c r="BI2636" s="3">
        <v>17</v>
      </c>
      <c r="BJ2636" s="3">
        <v>16.3</v>
      </c>
      <c r="BK2636" s="3">
        <v>17</v>
      </c>
      <c r="BL2636" s="3">
        <v>131.93</v>
      </c>
      <c r="BM2636" s="3">
        <v>19.79</v>
      </c>
      <c r="BN2636" s="3">
        <v>151.72</v>
      </c>
      <c r="BO2636" s="3">
        <v>151.72</v>
      </c>
      <c r="BQ2636" s="3" t="s">
        <v>83</v>
      </c>
      <c r="BR2636" s="3" t="s">
        <v>308</v>
      </c>
      <c r="BS2636" s="4">
        <v>44566</v>
      </c>
      <c r="BT2636" s="5">
        <v>0.40972222222222227</v>
      </c>
      <c r="BU2636" s="3" t="s">
        <v>2548</v>
      </c>
      <c r="BV2636" s="3" t="s">
        <v>105</v>
      </c>
      <c r="BY2636" s="3">
        <v>81675</v>
      </c>
      <c r="BZ2636" s="3" t="s">
        <v>327</v>
      </c>
      <c r="CA2636" s="3" t="s">
        <v>328</v>
      </c>
      <c r="CC2636" s="3" t="s">
        <v>95</v>
      </c>
      <c r="CD2636" s="3">
        <v>3201</v>
      </c>
      <c r="CE2636" s="3" t="s">
        <v>86</v>
      </c>
      <c r="CF2636" s="4">
        <v>44568</v>
      </c>
      <c r="CI2636" s="3">
        <v>1</v>
      </c>
      <c r="CJ2636" s="3">
        <v>1</v>
      </c>
      <c r="CK2636" s="3">
        <v>41</v>
      </c>
      <c r="CL2636" s="3" t="s">
        <v>87</v>
      </c>
    </row>
    <row r="2637" spans="1:90" x14ac:dyDescent="0.2">
      <c r="A2637" s="3" t="s">
        <v>72</v>
      </c>
      <c r="B2637" s="3" t="s">
        <v>73</v>
      </c>
      <c r="C2637" s="3" t="s">
        <v>74</v>
      </c>
      <c r="E2637" s="3" t="str">
        <f>"FES1162843591"</f>
        <v>FES1162843591</v>
      </c>
      <c r="F2637" s="4">
        <v>44566</v>
      </c>
      <c r="G2637" s="3">
        <v>202207</v>
      </c>
      <c r="H2637" s="3" t="s">
        <v>75</v>
      </c>
      <c r="I2637" s="3" t="s">
        <v>76</v>
      </c>
      <c r="J2637" s="3" t="s">
        <v>77</v>
      </c>
      <c r="K2637" s="3" t="s">
        <v>78</v>
      </c>
      <c r="L2637" s="3" t="s">
        <v>218</v>
      </c>
      <c r="M2637" s="3" t="s">
        <v>219</v>
      </c>
      <c r="N2637" s="3" t="s">
        <v>1724</v>
      </c>
      <c r="O2637" s="3" t="s">
        <v>148</v>
      </c>
      <c r="P2637" s="3" t="str">
        <f>"2170814747                    "</f>
        <v xml:space="preserve">2170814747                    </v>
      </c>
      <c r="Q2637" s="3">
        <v>0</v>
      </c>
      <c r="R2637" s="3">
        <v>0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  <c r="AE2637" s="3">
        <v>0</v>
      </c>
      <c r="AF2637" s="3">
        <v>0</v>
      </c>
      <c r="AG2637" s="3">
        <v>0</v>
      </c>
      <c r="AH2637" s="3">
        <v>0</v>
      </c>
      <c r="AI2637" s="3">
        <v>0</v>
      </c>
      <c r="AJ2637" s="3">
        <v>0</v>
      </c>
      <c r="AK2637" s="3">
        <v>38.51</v>
      </c>
      <c r="AL2637" s="3">
        <v>0</v>
      </c>
      <c r="AM2637" s="3">
        <v>0</v>
      </c>
      <c r="AN2637" s="3">
        <v>0</v>
      </c>
      <c r="AO2637" s="3">
        <v>0</v>
      </c>
      <c r="AP2637" s="3">
        <v>0</v>
      </c>
      <c r="AQ2637" s="3">
        <v>0</v>
      </c>
      <c r="AR2637" s="3">
        <v>0</v>
      </c>
      <c r="AS2637" s="3">
        <v>0</v>
      </c>
      <c r="AT2637" s="3">
        <v>0</v>
      </c>
      <c r="AU2637" s="3">
        <v>0</v>
      </c>
      <c r="AV2637" s="3">
        <v>0</v>
      </c>
      <c r="AW2637" s="3">
        <v>0</v>
      </c>
      <c r="AX2637" s="3">
        <v>0</v>
      </c>
      <c r="AY2637" s="3">
        <v>0</v>
      </c>
      <c r="AZ2637" s="3">
        <v>0</v>
      </c>
      <c r="BA2637" s="3">
        <v>0</v>
      </c>
      <c r="BB2637" s="3">
        <v>0</v>
      </c>
      <c r="BC2637" s="3">
        <v>0</v>
      </c>
      <c r="BD2637" s="3">
        <v>0</v>
      </c>
      <c r="BE2637" s="3">
        <v>0</v>
      </c>
      <c r="BF2637" s="3">
        <v>0</v>
      </c>
      <c r="BG2637" s="3">
        <v>0</v>
      </c>
      <c r="BH2637" s="3">
        <v>2</v>
      </c>
      <c r="BI2637" s="3">
        <v>22</v>
      </c>
      <c r="BJ2637" s="3">
        <v>12.7</v>
      </c>
      <c r="BK2637" s="3">
        <v>22</v>
      </c>
      <c r="BL2637" s="3">
        <v>152.25</v>
      </c>
      <c r="BM2637" s="3">
        <v>22.84</v>
      </c>
      <c r="BN2637" s="3">
        <v>175.09</v>
      </c>
      <c r="BO2637" s="3">
        <v>175.09</v>
      </c>
      <c r="BR2637" s="3" t="s">
        <v>308</v>
      </c>
      <c r="BS2637" s="4">
        <v>44573</v>
      </c>
      <c r="BT2637" s="5">
        <v>0.35625000000000001</v>
      </c>
      <c r="BU2637" s="3" t="s">
        <v>1725</v>
      </c>
      <c r="BV2637" s="3" t="s">
        <v>87</v>
      </c>
      <c r="BW2637" s="3" t="s">
        <v>639</v>
      </c>
      <c r="BX2637" s="3" t="s">
        <v>1726</v>
      </c>
      <c r="BY2637" s="3">
        <v>63603</v>
      </c>
      <c r="BZ2637" s="3" t="s">
        <v>327</v>
      </c>
      <c r="CA2637" s="3" t="s">
        <v>1727</v>
      </c>
      <c r="CC2637" s="3" t="s">
        <v>219</v>
      </c>
      <c r="CD2637" s="3">
        <v>157</v>
      </c>
      <c r="CE2637" s="3" t="s">
        <v>221</v>
      </c>
      <c r="CF2637" s="4">
        <v>44573</v>
      </c>
      <c r="CI2637" s="3">
        <v>1</v>
      </c>
      <c r="CJ2637" s="3">
        <v>5</v>
      </c>
      <c r="CK2637" s="3">
        <v>41</v>
      </c>
      <c r="CL2637" s="3" t="s">
        <v>87</v>
      </c>
    </row>
    <row r="2638" spans="1:90" x14ac:dyDescent="0.2">
      <c r="A2638" s="3" t="s">
        <v>72</v>
      </c>
      <c r="B2638" s="3" t="s">
        <v>73</v>
      </c>
      <c r="C2638" s="3" t="s">
        <v>74</v>
      </c>
      <c r="E2638" s="3" t="str">
        <f>"FES1162843458"</f>
        <v>FES1162843458</v>
      </c>
      <c r="F2638" s="4">
        <v>44565</v>
      </c>
      <c r="G2638" s="3">
        <v>202207</v>
      </c>
      <c r="H2638" s="3" t="s">
        <v>75</v>
      </c>
      <c r="I2638" s="3" t="s">
        <v>76</v>
      </c>
      <c r="J2638" s="3" t="s">
        <v>77</v>
      </c>
      <c r="K2638" s="3" t="s">
        <v>78</v>
      </c>
      <c r="L2638" s="3" t="s">
        <v>250</v>
      </c>
      <c r="M2638" s="3" t="s">
        <v>251</v>
      </c>
      <c r="N2638" s="3" t="s">
        <v>252</v>
      </c>
      <c r="O2638" s="3" t="s">
        <v>82</v>
      </c>
      <c r="P2638" s="3" t="str">
        <f>"2170813918                    "</f>
        <v xml:space="preserve">2170813918                    </v>
      </c>
      <c r="Q2638" s="3">
        <v>0</v>
      </c>
      <c r="R2638" s="3">
        <v>0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  <c r="AE2638" s="3">
        <v>0</v>
      </c>
      <c r="AF2638" s="3">
        <v>0</v>
      </c>
      <c r="AG2638" s="3">
        <v>0</v>
      </c>
      <c r="AH2638" s="3">
        <v>0</v>
      </c>
      <c r="AI2638" s="3">
        <v>0</v>
      </c>
      <c r="AJ2638" s="3">
        <v>0</v>
      </c>
      <c r="AK2638" s="3">
        <v>70.05</v>
      </c>
      <c r="AL2638" s="3">
        <v>0</v>
      </c>
      <c r="AM2638" s="3">
        <v>0</v>
      </c>
      <c r="AN2638" s="3">
        <v>0</v>
      </c>
      <c r="AO2638" s="3">
        <v>0</v>
      </c>
      <c r="AP2638" s="3">
        <v>0</v>
      </c>
      <c r="AQ2638" s="3">
        <v>0</v>
      </c>
      <c r="AR2638" s="3">
        <v>0</v>
      </c>
      <c r="AS2638" s="3">
        <v>0</v>
      </c>
      <c r="AT2638" s="3">
        <v>0</v>
      </c>
      <c r="AU2638" s="3">
        <v>0</v>
      </c>
      <c r="AV2638" s="3">
        <v>0</v>
      </c>
      <c r="AW2638" s="3">
        <v>0</v>
      </c>
      <c r="AX2638" s="3">
        <v>0</v>
      </c>
      <c r="AY2638" s="3">
        <v>0</v>
      </c>
      <c r="AZ2638" s="3">
        <v>0</v>
      </c>
      <c r="BA2638" s="3">
        <v>0</v>
      </c>
      <c r="BB2638" s="3">
        <v>0</v>
      </c>
      <c r="BC2638" s="3">
        <v>0</v>
      </c>
      <c r="BD2638" s="3">
        <v>0</v>
      </c>
      <c r="BE2638" s="3">
        <v>0</v>
      </c>
      <c r="BF2638" s="3">
        <v>0</v>
      </c>
      <c r="BG2638" s="3">
        <v>0</v>
      </c>
      <c r="BH2638" s="3">
        <v>1</v>
      </c>
      <c r="BI2638" s="3">
        <v>1</v>
      </c>
      <c r="BJ2638" s="3">
        <v>4.0999999999999996</v>
      </c>
      <c r="BK2638" s="3">
        <v>4.5</v>
      </c>
      <c r="BL2638" s="3">
        <v>249.66</v>
      </c>
      <c r="BM2638" s="3">
        <v>37.450000000000003</v>
      </c>
      <c r="BN2638" s="3">
        <v>287.11</v>
      </c>
      <c r="BO2638" s="3">
        <v>287.11</v>
      </c>
      <c r="BQ2638" s="3" t="s">
        <v>253</v>
      </c>
      <c r="BR2638" s="3" t="s">
        <v>308</v>
      </c>
      <c r="BS2638" s="4">
        <v>44566</v>
      </c>
      <c r="BT2638" s="5">
        <v>0.57638888888888895</v>
      </c>
      <c r="BU2638" s="3" t="s">
        <v>2041</v>
      </c>
      <c r="BV2638" s="3" t="s">
        <v>105</v>
      </c>
      <c r="BY2638" s="3">
        <v>20358</v>
      </c>
      <c r="BZ2638" s="3" t="s">
        <v>165</v>
      </c>
      <c r="CA2638" s="3" t="s">
        <v>368</v>
      </c>
      <c r="CC2638" s="3" t="s">
        <v>251</v>
      </c>
      <c r="CD2638" s="3">
        <v>6300</v>
      </c>
      <c r="CE2638" s="3" t="s">
        <v>86</v>
      </c>
      <c r="CF2638" s="4">
        <v>44566</v>
      </c>
      <c r="CI2638" s="3">
        <v>2</v>
      </c>
      <c r="CJ2638" s="3">
        <v>1</v>
      </c>
      <c r="CK2638" s="3">
        <v>23</v>
      </c>
      <c r="CL2638" s="3" t="s">
        <v>87</v>
      </c>
    </row>
    <row r="2639" spans="1:90" x14ac:dyDescent="0.2">
      <c r="A2639" s="3" t="s">
        <v>72</v>
      </c>
      <c r="B2639" s="3" t="s">
        <v>73</v>
      </c>
      <c r="C2639" s="3" t="s">
        <v>74</v>
      </c>
      <c r="E2639" s="3" t="str">
        <f>"FES1162843438"</f>
        <v>FES1162843438</v>
      </c>
      <c r="F2639" s="4">
        <v>44565</v>
      </c>
      <c r="G2639" s="3">
        <v>202207</v>
      </c>
      <c r="H2639" s="3" t="s">
        <v>75</v>
      </c>
      <c r="I2639" s="3" t="s">
        <v>76</v>
      </c>
      <c r="J2639" s="3" t="s">
        <v>77</v>
      </c>
      <c r="K2639" s="3" t="s">
        <v>78</v>
      </c>
      <c r="L2639" s="3" t="s">
        <v>158</v>
      </c>
      <c r="M2639" s="3" t="s">
        <v>159</v>
      </c>
      <c r="N2639" s="3" t="s">
        <v>1156</v>
      </c>
      <c r="O2639" s="3" t="s">
        <v>82</v>
      </c>
      <c r="P2639" s="3" t="str">
        <f>"2170813628                    "</f>
        <v xml:space="preserve">2170813628                    </v>
      </c>
      <c r="Q2639" s="3">
        <v>0</v>
      </c>
      <c r="R2639" s="3">
        <v>0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  <c r="AE2639" s="3">
        <v>0</v>
      </c>
      <c r="AF2639" s="3">
        <v>0</v>
      </c>
      <c r="AG2639" s="3">
        <v>0</v>
      </c>
      <c r="AH2639" s="3">
        <v>0</v>
      </c>
      <c r="AI2639" s="3">
        <v>0</v>
      </c>
      <c r="AJ2639" s="3">
        <v>0</v>
      </c>
      <c r="AK2639" s="3">
        <v>13.26</v>
      </c>
      <c r="AL2639" s="3">
        <v>0</v>
      </c>
      <c r="AM2639" s="3">
        <v>0</v>
      </c>
      <c r="AN2639" s="3">
        <v>0</v>
      </c>
      <c r="AO2639" s="3">
        <v>0</v>
      </c>
      <c r="AP2639" s="3">
        <v>0</v>
      </c>
      <c r="AQ2639" s="3">
        <v>0</v>
      </c>
      <c r="AR2639" s="3">
        <v>0</v>
      </c>
      <c r="AS2639" s="3">
        <v>0</v>
      </c>
      <c r="AT2639" s="3">
        <v>0</v>
      </c>
      <c r="AU2639" s="3">
        <v>0</v>
      </c>
      <c r="AV2639" s="3">
        <v>0</v>
      </c>
      <c r="AW2639" s="3">
        <v>0</v>
      </c>
      <c r="AX2639" s="3">
        <v>0</v>
      </c>
      <c r="AY2639" s="3">
        <v>0</v>
      </c>
      <c r="AZ2639" s="3">
        <v>0</v>
      </c>
      <c r="BA2639" s="3">
        <v>0</v>
      </c>
      <c r="BB2639" s="3">
        <v>0</v>
      </c>
      <c r="BC2639" s="3">
        <v>0</v>
      </c>
      <c r="BD2639" s="3">
        <v>0</v>
      </c>
      <c r="BE2639" s="3">
        <v>0</v>
      </c>
      <c r="BF2639" s="3">
        <v>0</v>
      </c>
      <c r="BG2639" s="3">
        <v>0</v>
      </c>
      <c r="BH2639" s="3">
        <v>1</v>
      </c>
      <c r="BI2639" s="3">
        <v>1</v>
      </c>
      <c r="BJ2639" s="3">
        <v>0.2</v>
      </c>
      <c r="BK2639" s="3">
        <v>1</v>
      </c>
      <c r="BL2639" s="3">
        <v>47.27</v>
      </c>
      <c r="BM2639" s="3">
        <v>7.09</v>
      </c>
      <c r="BN2639" s="3">
        <v>54.36</v>
      </c>
      <c r="BO2639" s="3">
        <v>54.36</v>
      </c>
      <c r="BQ2639" s="3" t="s">
        <v>83</v>
      </c>
      <c r="BR2639" s="3" t="s">
        <v>308</v>
      </c>
      <c r="BS2639" s="4">
        <v>44566</v>
      </c>
      <c r="BT2639" s="5">
        <v>0.30416666666666664</v>
      </c>
      <c r="BU2639" s="3" t="s">
        <v>2549</v>
      </c>
      <c r="BV2639" s="3" t="s">
        <v>105</v>
      </c>
      <c r="BY2639" s="3">
        <v>1200</v>
      </c>
      <c r="BZ2639" s="3" t="s">
        <v>165</v>
      </c>
      <c r="CA2639" s="3" t="s">
        <v>763</v>
      </c>
      <c r="CC2639" s="3" t="s">
        <v>159</v>
      </c>
      <c r="CD2639" s="3">
        <v>1459</v>
      </c>
      <c r="CE2639" s="3" t="s">
        <v>93</v>
      </c>
      <c r="CF2639" s="4">
        <v>44566</v>
      </c>
      <c r="CI2639" s="3">
        <v>1</v>
      </c>
      <c r="CJ2639" s="3">
        <v>1</v>
      </c>
      <c r="CK2639" s="3">
        <v>22</v>
      </c>
      <c r="CL2639" s="3" t="s">
        <v>87</v>
      </c>
    </row>
    <row r="2640" spans="1:90" x14ac:dyDescent="0.2">
      <c r="A2640" s="3" t="s">
        <v>72</v>
      </c>
      <c r="B2640" s="3" t="s">
        <v>73</v>
      </c>
      <c r="C2640" s="3" t="s">
        <v>74</v>
      </c>
      <c r="E2640" s="3" t="str">
        <f>"FES1162843330"</f>
        <v>FES1162843330</v>
      </c>
      <c r="F2640" s="4">
        <v>44565</v>
      </c>
      <c r="G2640" s="3">
        <v>202207</v>
      </c>
      <c r="H2640" s="3" t="s">
        <v>75</v>
      </c>
      <c r="I2640" s="3" t="s">
        <v>76</v>
      </c>
      <c r="J2640" s="3" t="s">
        <v>77</v>
      </c>
      <c r="K2640" s="3" t="s">
        <v>78</v>
      </c>
      <c r="L2640" s="3" t="s">
        <v>107</v>
      </c>
      <c r="M2640" s="3" t="s">
        <v>108</v>
      </c>
      <c r="N2640" s="3" t="s">
        <v>392</v>
      </c>
      <c r="O2640" s="3" t="s">
        <v>82</v>
      </c>
      <c r="P2640" s="3" t="str">
        <f>"2170813193                    "</f>
        <v xml:space="preserve">2170813193                    </v>
      </c>
      <c r="Q2640" s="3">
        <v>0</v>
      </c>
      <c r="R2640" s="3">
        <v>0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  <c r="AE2640" s="3">
        <v>0</v>
      </c>
      <c r="AF2640" s="3">
        <v>0</v>
      </c>
      <c r="AG2640" s="3">
        <v>0</v>
      </c>
      <c r="AH2640" s="3">
        <v>0</v>
      </c>
      <c r="AI2640" s="3">
        <v>0</v>
      </c>
      <c r="AJ2640" s="3">
        <v>0</v>
      </c>
      <c r="AK2640" s="3">
        <v>151.77000000000001</v>
      </c>
      <c r="AL2640" s="3">
        <v>0</v>
      </c>
      <c r="AM2640" s="3">
        <v>0</v>
      </c>
      <c r="AN2640" s="3">
        <v>0</v>
      </c>
      <c r="AO2640" s="3">
        <v>0</v>
      </c>
      <c r="AP2640" s="3">
        <v>0</v>
      </c>
      <c r="AQ2640" s="3">
        <v>0</v>
      </c>
      <c r="AR2640" s="3">
        <v>0</v>
      </c>
      <c r="AS2640" s="3">
        <v>0</v>
      </c>
      <c r="AT2640" s="3">
        <v>0</v>
      </c>
      <c r="AU2640" s="3">
        <v>0</v>
      </c>
      <c r="AV2640" s="3">
        <v>0</v>
      </c>
      <c r="AW2640" s="3">
        <v>0</v>
      </c>
      <c r="AX2640" s="3">
        <v>0</v>
      </c>
      <c r="AY2640" s="3">
        <v>0</v>
      </c>
      <c r="AZ2640" s="3">
        <v>0</v>
      </c>
      <c r="BA2640" s="3">
        <v>0</v>
      </c>
      <c r="BB2640" s="3">
        <v>0</v>
      </c>
      <c r="BC2640" s="3">
        <v>0</v>
      </c>
      <c r="BD2640" s="3">
        <v>0</v>
      </c>
      <c r="BE2640" s="3">
        <v>0</v>
      </c>
      <c r="BF2640" s="3">
        <v>0</v>
      </c>
      <c r="BG2640" s="3">
        <v>0</v>
      </c>
      <c r="BH2640" s="3">
        <v>1</v>
      </c>
      <c r="BI2640" s="3">
        <v>10</v>
      </c>
      <c r="BJ2640" s="3">
        <v>9.1</v>
      </c>
      <c r="BK2640" s="3">
        <v>10</v>
      </c>
      <c r="BL2640" s="3">
        <v>540.92999999999995</v>
      </c>
      <c r="BM2640" s="3">
        <v>81.14</v>
      </c>
      <c r="BN2640" s="3">
        <v>622.07000000000005</v>
      </c>
      <c r="BO2640" s="3">
        <v>622.07000000000005</v>
      </c>
      <c r="BQ2640" s="3" t="s">
        <v>83</v>
      </c>
      <c r="BR2640" s="3" t="s">
        <v>308</v>
      </c>
      <c r="BS2640" s="4">
        <v>44571</v>
      </c>
      <c r="BT2640" s="5">
        <v>0.41666666666666669</v>
      </c>
      <c r="BU2640" s="3" t="s">
        <v>2334</v>
      </c>
      <c r="BV2640" s="3" t="s">
        <v>87</v>
      </c>
      <c r="BW2640" s="3" t="s">
        <v>493</v>
      </c>
      <c r="BX2640" s="3" t="s">
        <v>354</v>
      </c>
      <c r="BY2640" s="3">
        <v>45632</v>
      </c>
      <c r="BZ2640" s="3" t="s">
        <v>165</v>
      </c>
      <c r="CC2640" s="3" t="s">
        <v>108</v>
      </c>
      <c r="CD2640" s="3">
        <v>6849</v>
      </c>
      <c r="CE2640" s="3" t="s">
        <v>86</v>
      </c>
      <c r="CF2640" s="4">
        <v>44572</v>
      </c>
      <c r="CI2640" s="3">
        <v>2</v>
      </c>
      <c r="CJ2640" s="3">
        <v>4</v>
      </c>
      <c r="CK2640" s="3">
        <v>23</v>
      </c>
      <c r="CL2640" s="3" t="s">
        <v>87</v>
      </c>
    </row>
    <row r="2641" spans="1:90" x14ac:dyDescent="0.2">
      <c r="A2641" s="3" t="s">
        <v>72</v>
      </c>
      <c r="B2641" s="3" t="s">
        <v>73</v>
      </c>
      <c r="C2641" s="3" t="s">
        <v>74</v>
      </c>
      <c r="E2641" s="3" t="str">
        <f>"FES1162843047"</f>
        <v>FES1162843047</v>
      </c>
      <c r="F2641" s="4">
        <v>44564</v>
      </c>
      <c r="G2641" s="3">
        <v>202207</v>
      </c>
      <c r="H2641" s="3" t="s">
        <v>75</v>
      </c>
      <c r="I2641" s="3" t="s">
        <v>76</v>
      </c>
      <c r="J2641" s="3" t="s">
        <v>77</v>
      </c>
      <c r="K2641" s="3" t="s">
        <v>78</v>
      </c>
      <c r="L2641" s="3" t="s">
        <v>195</v>
      </c>
      <c r="M2641" s="3" t="s">
        <v>196</v>
      </c>
      <c r="N2641" s="3" t="s">
        <v>917</v>
      </c>
      <c r="O2641" s="3" t="s">
        <v>82</v>
      </c>
      <c r="P2641" s="3" t="str">
        <f>"2170815403                    "</f>
        <v xml:space="preserve">2170815403                    </v>
      </c>
      <c r="Q2641" s="3">
        <v>0</v>
      </c>
      <c r="R2641" s="3">
        <v>0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  <c r="AE2641" s="3">
        <v>0</v>
      </c>
      <c r="AF2641" s="3">
        <v>0</v>
      </c>
      <c r="AG2641" s="3">
        <v>0</v>
      </c>
      <c r="AH2641" s="3">
        <v>0</v>
      </c>
      <c r="AI2641" s="3">
        <v>0</v>
      </c>
      <c r="AJ2641" s="3">
        <v>0</v>
      </c>
      <c r="AK2641" s="3">
        <v>16.98</v>
      </c>
      <c r="AL2641" s="3">
        <v>0</v>
      </c>
      <c r="AM2641" s="3">
        <v>0</v>
      </c>
      <c r="AN2641" s="3">
        <v>0</v>
      </c>
      <c r="AO2641" s="3">
        <v>0</v>
      </c>
      <c r="AP2641" s="3">
        <v>0</v>
      </c>
      <c r="AQ2641" s="3">
        <v>0</v>
      </c>
      <c r="AR2641" s="3">
        <v>0</v>
      </c>
      <c r="AS2641" s="3">
        <v>0</v>
      </c>
      <c r="AT2641" s="3">
        <v>0</v>
      </c>
      <c r="AU2641" s="3">
        <v>0</v>
      </c>
      <c r="AV2641" s="3">
        <v>0</v>
      </c>
      <c r="AW2641" s="3">
        <v>0</v>
      </c>
      <c r="AX2641" s="3">
        <v>0</v>
      </c>
      <c r="AY2641" s="3">
        <v>0</v>
      </c>
      <c r="AZ2641" s="3">
        <v>0</v>
      </c>
      <c r="BA2641" s="3">
        <v>0</v>
      </c>
      <c r="BB2641" s="3">
        <v>0</v>
      </c>
      <c r="BC2641" s="3">
        <v>0</v>
      </c>
      <c r="BD2641" s="3">
        <v>0</v>
      </c>
      <c r="BE2641" s="3">
        <v>0</v>
      </c>
      <c r="BF2641" s="3">
        <v>0</v>
      </c>
      <c r="BG2641" s="3">
        <v>0</v>
      </c>
      <c r="BH2641" s="3">
        <v>1</v>
      </c>
      <c r="BI2641" s="3">
        <v>1</v>
      </c>
      <c r="BJ2641" s="3">
        <v>0.2</v>
      </c>
      <c r="BK2641" s="3">
        <v>1</v>
      </c>
      <c r="BL2641" s="3">
        <v>60.52</v>
      </c>
      <c r="BM2641" s="3">
        <v>9.08</v>
      </c>
      <c r="BN2641" s="3">
        <v>69.599999999999994</v>
      </c>
      <c r="BO2641" s="3">
        <v>69.599999999999994</v>
      </c>
      <c r="BQ2641" s="3" t="s">
        <v>89</v>
      </c>
      <c r="BR2641" s="3" t="s">
        <v>308</v>
      </c>
      <c r="BS2641" s="4">
        <v>44566</v>
      </c>
      <c r="BT2641" s="5">
        <v>0.41388888888888892</v>
      </c>
      <c r="BU2641" s="3" t="s">
        <v>2550</v>
      </c>
      <c r="BV2641" s="3" t="s">
        <v>87</v>
      </c>
      <c r="BW2641" s="3" t="s">
        <v>757</v>
      </c>
      <c r="BX2641" s="3" t="s">
        <v>1878</v>
      </c>
      <c r="BY2641" s="3">
        <v>1200</v>
      </c>
      <c r="BZ2641" s="3" t="s">
        <v>165</v>
      </c>
      <c r="CA2641" s="3" t="s">
        <v>528</v>
      </c>
      <c r="CC2641" s="3" t="s">
        <v>196</v>
      </c>
      <c r="CD2641" s="3">
        <v>4300</v>
      </c>
      <c r="CE2641" s="3" t="s">
        <v>93</v>
      </c>
      <c r="CF2641" s="4">
        <v>44566</v>
      </c>
      <c r="CI2641" s="3">
        <v>1</v>
      </c>
      <c r="CJ2641" s="3">
        <v>2</v>
      </c>
      <c r="CK2641" s="3">
        <v>21</v>
      </c>
      <c r="CL2641" s="3" t="s">
        <v>87</v>
      </c>
    </row>
    <row r="2642" spans="1:90" x14ac:dyDescent="0.2">
      <c r="A2642" s="3" t="s">
        <v>72</v>
      </c>
      <c r="B2642" s="3" t="s">
        <v>73</v>
      </c>
      <c r="C2642" s="3" t="s">
        <v>74</v>
      </c>
      <c r="E2642" s="3" t="str">
        <f>"FES1162843616"</f>
        <v>FES1162843616</v>
      </c>
      <c r="F2642" s="4">
        <v>44566</v>
      </c>
      <c r="G2642" s="3">
        <v>202207</v>
      </c>
      <c r="H2642" s="3" t="s">
        <v>75</v>
      </c>
      <c r="I2642" s="3" t="s">
        <v>76</v>
      </c>
      <c r="J2642" s="3" t="s">
        <v>77</v>
      </c>
      <c r="K2642" s="3" t="s">
        <v>78</v>
      </c>
      <c r="L2642" s="3" t="s">
        <v>171</v>
      </c>
      <c r="M2642" s="3" t="s">
        <v>172</v>
      </c>
      <c r="N2642" s="3" t="s">
        <v>200</v>
      </c>
      <c r="O2642" s="3" t="s">
        <v>82</v>
      </c>
      <c r="P2642" s="3" t="str">
        <f>"                              "</f>
        <v xml:space="preserve">                              </v>
      </c>
      <c r="Q2642" s="3">
        <v>0</v>
      </c>
      <c r="R2642" s="3">
        <v>0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  <c r="AE2642" s="3">
        <v>0</v>
      </c>
      <c r="AF2642" s="3">
        <v>0</v>
      </c>
      <c r="AG2642" s="3">
        <v>0</v>
      </c>
      <c r="AH2642" s="3">
        <v>0</v>
      </c>
      <c r="AI2642" s="3">
        <v>0</v>
      </c>
      <c r="AJ2642" s="3">
        <v>0</v>
      </c>
      <c r="AK2642" s="3">
        <v>15.46</v>
      </c>
      <c r="AL2642" s="3">
        <v>0</v>
      </c>
      <c r="AM2642" s="3">
        <v>0</v>
      </c>
      <c r="AN2642" s="3">
        <v>0</v>
      </c>
      <c r="AO2642" s="3">
        <v>0</v>
      </c>
      <c r="AP2642" s="3">
        <v>0</v>
      </c>
      <c r="AQ2642" s="3">
        <v>0</v>
      </c>
      <c r="AR2642" s="3">
        <v>0</v>
      </c>
      <c r="AS2642" s="3">
        <v>0</v>
      </c>
      <c r="AT2642" s="3">
        <v>0</v>
      </c>
      <c r="AU2642" s="3">
        <v>0</v>
      </c>
      <c r="AV2642" s="3">
        <v>0</v>
      </c>
      <c r="AW2642" s="3">
        <v>0</v>
      </c>
      <c r="AX2642" s="3">
        <v>0</v>
      </c>
      <c r="AY2642" s="3">
        <v>0</v>
      </c>
      <c r="AZ2642" s="3">
        <v>0</v>
      </c>
      <c r="BA2642" s="3">
        <v>0</v>
      </c>
      <c r="BB2642" s="3">
        <v>0</v>
      </c>
      <c r="BC2642" s="3">
        <v>0</v>
      </c>
      <c r="BD2642" s="3">
        <v>0</v>
      </c>
      <c r="BE2642" s="3">
        <v>0</v>
      </c>
      <c r="BF2642" s="3">
        <v>0</v>
      </c>
      <c r="BG2642" s="3">
        <v>0</v>
      </c>
      <c r="BH2642" s="3">
        <v>1</v>
      </c>
      <c r="BI2642" s="3">
        <v>1</v>
      </c>
      <c r="BJ2642" s="3">
        <v>0.2</v>
      </c>
      <c r="BK2642" s="3">
        <v>1</v>
      </c>
      <c r="BL2642" s="3">
        <v>59</v>
      </c>
      <c r="BM2642" s="3">
        <v>8.85</v>
      </c>
      <c r="BN2642" s="3">
        <v>67.849999999999994</v>
      </c>
      <c r="BO2642" s="3">
        <v>67.849999999999994</v>
      </c>
      <c r="BQ2642" s="3" t="s">
        <v>89</v>
      </c>
      <c r="BR2642" s="3" t="s">
        <v>364</v>
      </c>
      <c r="BS2642" s="4">
        <v>44567</v>
      </c>
      <c r="BT2642" s="5">
        <v>0.41597222222222219</v>
      </c>
      <c r="BU2642" s="3" t="s">
        <v>908</v>
      </c>
      <c r="BV2642" s="3" t="s">
        <v>105</v>
      </c>
      <c r="BY2642" s="3">
        <v>1200</v>
      </c>
      <c r="BZ2642" s="3" t="s">
        <v>165</v>
      </c>
      <c r="CA2642" s="3" t="s">
        <v>814</v>
      </c>
      <c r="CC2642" s="3" t="s">
        <v>172</v>
      </c>
      <c r="CD2642" s="3">
        <v>6001</v>
      </c>
      <c r="CE2642" s="3" t="s">
        <v>93</v>
      </c>
      <c r="CF2642" s="4">
        <v>44567</v>
      </c>
      <c r="CI2642" s="3">
        <v>1</v>
      </c>
      <c r="CJ2642" s="3">
        <v>1</v>
      </c>
      <c r="CK2642" s="3">
        <v>21</v>
      </c>
      <c r="CL2642" s="3" t="s">
        <v>87</v>
      </c>
    </row>
    <row r="2643" spans="1:90" x14ac:dyDescent="0.2">
      <c r="A2643" s="3" t="s">
        <v>72</v>
      </c>
      <c r="B2643" s="3" t="s">
        <v>73</v>
      </c>
      <c r="C2643" s="3" t="s">
        <v>74</v>
      </c>
      <c r="E2643" s="3" t="str">
        <f>"FES1162843431"</f>
        <v>FES1162843431</v>
      </c>
      <c r="F2643" s="4">
        <v>44565</v>
      </c>
      <c r="G2643" s="3">
        <v>202207</v>
      </c>
      <c r="H2643" s="3" t="s">
        <v>75</v>
      </c>
      <c r="I2643" s="3" t="s">
        <v>76</v>
      </c>
      <c r="J2643" s="3" t="s">
        <v>77</v>
      </c>
      <c r="K2643" s="3" t="s">
        <v>78</v>
      </c>
      <c r="L2643" s="3" t="s">
        <v>75</v>
      </c>
      <c r="M2643" s="3" t="s">
        <v>76</v>
      </c>
      <c r="N2643" s="3" t="s">
        <v>2551</v>
      </c>
      <c r="O2643" s="3" t="s">
        <v>82</v>
      </c>
      <c r="P2643" s="3" t="str">
        <f>"2170813533                    "</f>
        <v xml:space="preserve">2170813533                    </v>
      </c>
      <c r="Q2643" s="3">
        <v>0</v>
      </c>
      <c r="R2643" s="3">
        <v>0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  <c r="AE2643" s="3">
        <v>0</v>
      </c>
      <c r="AF2643" s="3">
        <v>0</v>
      </c>
      <c r="AG2643" s="3">
        <v>0</v>
      </c>
      <c r="AH2643" s="3">
        <v>0</v>
      </c>
      <c r="AI2643" s="3">
        <v>0</v>
      </c>
      <c r="AJ2643" s="3">
        <v>0</v>
      </c>
      <c r="AK2643" s="3">
        <v>13.26</v>
      </c>
      <c r="AL2643" s="3">
        <v>0</v>
      </c>
      <c r="AM2643" s="3">
        <v>0</v>
      </c>
      <c r="AN2643" s="3">
        <v>0</v>
      </c>
      <c r="AO2643" s="3">
        <v>0</v>
      </c>
      <c r="AP2643" s="3">
        <v>0</v>
      </c>
      <c r="AQ2643" s="3">
        <v>0</v>
      </c>
      <c r="AR2643" s="3">
        <v>0</v>
      </c>
      <c r="AS2643" s="3">
        <v>0</v>
      </c>
      <c r="AT2643" s="3">
        <v>0</v>
      </c>
      <c r="AU2643" s="3">
        <v>0</v>
      </c>
      <c r="AV2643" s="3">
        <v>0</v>
      </c>
      <c r="AW2643" s="3">
        <v>0</v>
      </c>
      <c r="AX2643" s="3">
        <v>0</v>
      </c>
      <c r="AY2643" s="3">
        <v>0</v>
      </c>
      <c r="AZ2643" s="3">
        <v>0</v>
      </c>
      <c r="BA2643" s="3">
        <v>0</v>
      </c>
      <c r="BB2643" s="3">
        <v>0</v>
      </c>
      <c r="BC2643" s="3">
        <v>0</v>
      </c>
      <c r="BD2643" s="3">
        <v>0</v>
      </c>
      <c r="BE2643" s="3">
        <v>0</v>
      </c>
      <c r="BF2643" s="3">
        <v>0</v>
      </c>
      <c r="BG2643" s="3">
        <v>0</v>
      </c>
      <c r="BH2643" s="3">
        <v>1</v>
      </c>
      <c r="BI2643" s="3">
        <v>1</v>
      </c>
      <c r="BJ2643" s="3">
        <v>0.2</v>
      </c>
      <c r="BK2643" s="3">
        <v>1</v>
      </c>
      <c r="BL2643" s="3">
        <v>47.27</v>
      </c>
      <c r="BM2643" s="3">
        <v>7.09</v>
      </c>
      <c r="BN2643" s="3">
        <v>54.36</v>
      </c>
      <c r="BO2643" s="3">
        <v>54.36</v>
      </c>
      <c r="BR2643" s="3" t="s">
        <v>308</v>
      </c>
      <c r="BS2643" s="4">
        <v>44566</v>
      </c>
      <c r="BT2643" s="5">
        <v>0.4069444444444445</v>
      </c>
      <c r="BU2643" s="3" t="s">
        <v>2552</v>
      </c>
      <c r="BV2643" s="3" t="s">
        <v>105</v>
      </c>
      <c r="BY2643" s="3">
        <v>1200</v>
      </c>
      <c r="BZ2643" s="3" t="s">
        <v>165</v>
      </c>
      <c r="CA2643" s="3" t="s">
        <v>477</v>
      </c>
      <c r="CC2643" s="3" t="s">
        <v>76</v>
      </c>
      <c r="CD2643" s="3">
        <v>1645</v>
      </c>
      <c r="CE2643" s="3" t="s">
        <v>93</v>
      </c>
      <c r="CF2643" s="4">
        <v>44566</v>
      </c>
      <c r="CI2643" s="3">
        <v>1</v>
      </c>
      <c r="CJ2643" s="3">
        <v>1</v>
      </c>
      <c r="CK2643" s="3">
        <v>22</v>
      </c>
      <c r="CL2643" s="3" t="s">
        <v>87</v>
      </c>
    </row>
    <row r="2644" spans="1:90" x14ac:dyDescent="0.2">
      <c r="A2644" s="3" t="s">
        <v>72</v>
      </c>
      <c r="B2644" s="3" t="s">
        <v>73</v>
      </c>
      <c r="C2644" s="3" t="s">
        <v>74</v>
      </c>
      <c r="E2644" s="3" t="str">
        <f>"FES1162843554"</f>
        <v>FES1162843554</v>
      </c>
      <c r="F2644" s="4">
        <v>44566</v>
      </c>
      <c r="G2644" s="3">
        <v>202207</v>
      </c>
      <c r="H2644" s="3" t="s">
        <v>75</v>
      </c>
      <c r="I2644" s="3" t="s">
        <v>76</v>
      </c>
      <c r="J2644" s="3" t="s">
        <v>77</v>
      </c>
      <c r="K2644" s="3" t="s">
        <v>78</v>
      </c>
      <c r="L2644" s="3" t="s">
        <v>187</v>
      </c>
      <c r="M2644" s="3" t="s">
        <v>188</v>
      </c>
      <c r="N2644" s="3" t="s">
        <v>189</v>
      </c>
      <c r="O2644" s="3" t="s">
        <v>82</v>
      </c>
      <c r="P2644" s="3" t="str">
        <f>"2170815643                    "</f>
        <v xml:space="preserve">2170815643                    </v>
      </c>
      <c r="Q2644" s="3">
        <v>0</v>
      </c>
      <c r="R2644" s="3">
        <v>0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  <c r="AE2644" s="3">
        <v>0</v>
      </c>
      <c r="AF2644" s="3">
        <v>0</v>
      </c>
      <c r="AG2644" s="3">
        <v>0</v>
      </c>
      <c r="AH2644" s="3">
        <v>0</v>
      </c>
      <c r="AI2644" s="3">
        <v>0</v>
      </c>
      <c r="AJ2644" s="3">
        <v>0</v>
      </c>
      <c r="AK2644" s="3">
        <v>29.95</v>
      </c>
      <c r="AL2644" s="3">
        <v>0</v>
      </c>
      <c r="AM2644" s="3">
        <v>0</v>
      </c>
      <c r="AN2644" s="3">
        <v>0</v>
      </c>
      <c r="AO2644" s="3">
        <v>0</v>
      </c>
      <c r="AP2644" s="3">
        <v>0</v>
      </c>
      <c r="AQ2644" s="3">
        <v>0</v>
      </c>
      <c r="AR2644" s="3">
        <v>0</v>
      </c>
      <c r="AS2644" s="3">
        <v>0</v>
      </c>
      <c r="AT2644" s="3">
        <v>0</v>
      </c>
      <c r="AU2644" s="3">
        <v>0</v>
      </c>
      <c r="AV2644" s="3">
        <v>0</v>
      </c>
      <c r="AW2644" s="3">
        <v>0</v>
      </c>
      <c r="AX2644" s="3">
        <v>0</v>
      </c>
      <c r="AY2644" s="3">
        <v>0</v>
      </c>
      <c r="AZ2644" s="3">
        <v>0</v>
      </c>
      <c r="BA2644" s="3">
        <v>0</v>
      </c>
      <c r="BB2644" s="3">
        <v>0</v>
      </c>
      <c r="BC2644" s="3">
        <v>0</v>
      </c>
      <c r="BD2644" s="3">
        <v>0</v>
      </c>
      <c r="BE2644" s="3">
        <v>0</v>
      </c>
      <c r="BF2644" s="3">
        <v>0</v>
      </c>
      <c r="BG2644" s="3">
        <v>0</v>
      </c>
      <c r="BH2644" s="3">
        <v>1</v>
      </c>
      <c r="BI2644" s="3">
        <v>1</v>
      </c>
      <c r="BJ2644" s="3">
        <v>0.2</v>
      </c>
      <c r="BK2644" s="3">
        <v>1</v>
      </c>
      <c r="BL2644" s="3">
        <v>114.31</v>
      </c>
      <c r="BM2644" s="3">
        <v>17.149999999999999</v>
      </c>
      <c r="BN2644" s="3">
        <v>131.46</v>
      </c>
      <c r="BO2644" s="3">
        <v>131.46</v>
      </c>
      <c r="BQ2644" s="3" t="s">
        <v>83</v>
      </c>
      <c r="BR2644" s="3" t="s">
        <v>308</v>
      </c>
      <c r="BS2644" s="4">
        <v>44567</v>
      </c>
      <c r="BT2644" s="5">
        <v>0.43194444444444446</v>
      </c>
      <c r="BU2644" s="3" t="s">
        <v>2334</v>
      </c>
      <c r="BV2644" s="3" t="s">
        <v>105</v>
      </c>
      <c r="BY2644" s="3">
        <v>1200</v>
      </c>
      <c r="BZ2644" s="3" t="s">
        <v>165</v>
      </c>
      <c r="CA2644" s="3" t="s">
        <v>268</v>
      </c>
      <c r="CC2644" s="3" t="s">
        <v>188</v>
      </c>
      <c r="CD2644" s="3">
        <v>7300</v>
      </c>
      <c r="CE2644" s="3" t="s">
        <v>93</v>
      </c>
      <c r="CF2644" s="4">
        <v>44568</v>
      </c>
      <c r="CI2644" s="3">
        <v>1</v>
      </c>
      <c r="CJ2644" s="3">
        <v>1</v>
      </c>
      <c r="CK2644" s="3">
        <v>23</v>
      </c>
      <c r="CL2644" s="3" t="s">
        <v>87</v>
      </c>
    </row>
    <row r="2645" spans="1:90" x14ac:dyDescent="0.2">
      <c r="A2645" s="3" t="s">
        <v>72</v>
      </c>
      <c r="B2645" s="3" t="s">
        <v>73</v>
      </c>
      <c r="C2645" s="3" t="s">
        <v>74</v>
      </c>
      <c r="E2645" s="3" t="str">
        <f>"FES1162843413"</f>
        <v>FES1162843413</v>
      </c>
      <c r="F2645" s="4">
        <v>44565</v>
      </c>
      <c r="G2645" s="3">
        <v>202207</v>
      </c>
      <c r="H2645" s="3" t="s">
        <v>75</v>
      </c>
      <c r="I2645" s="3" t="s">
        <v>76</v>
      </c>
      <c r="J2645" s="3" t="s">
        <v>77</v>
      </c>
      <c r="K2645" s="3" t="s">
        <v>78</v>
      </c>
      <c r="L2645" s="3" t="s">
        <v>158</v>
      </c>
      <c r="M2645" s="3" t="s">
        <v>159</v>
      </c>
      <c r="N2645" s="3" t="s">
        <v>768</v>
      </c>
      <c r="O2645" s="3" t="s">
        <v>82</v>
      </c>
      <c r="P2645" s="3" t="str">
        <f>"2170808801                    "</f>
        <v xml:space="preserve">2170808801                    </v>
      </c>
      <c r="Q2645" s="3">
        <v>0</v>
      </c>
      <c r="R2645" s="3">
        <v>0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  <c r="AE2645" s="3">
        <v>0</v>
      </c>
      <c r="AF2645" s="3">
        <v>0</v>
      </c>
      <c r="AG2645" s="3">
        <v>0</v>
      </c>
      <c r="AH2645" s="3">
        <v>0</v>
      </c>
      <c r="AI2645" s="3">
        <v>0</v>
      </c>
      <c r="AJ2645" s="3">
        <v>0</v>
      </c>
      <c r="AK2645" s="3">
        <v>13.26</v>
      </c>
      <c r="AL2645" s="3">
        <v>0</v>
      </c>
      <c r="AM2645" s="3">
        <v>0</v>
      </c>
      <c r="AN2645" s="3">
        <v>0</v>
      </c>
      <c r="AO2645" s="3">
        <v>0</v>
      </c>
      <c r="AP2645" s="3">
        <v>0</v>
      </c>
      <c r="AQ2645" s="3">
        <v>0</v>
      </c>
      <c r="AR2645" s="3">
        <v>0</v>
      </c>
      <c r="AS2645" s="3">
        <v>0</v>
      </c>
      <c r="AT2645" s="3">
        <v>0</v>
      </c>
      <c r="AU2645" s="3">
        <v>0</v>
      </c>
      <c r="AV2645" s="3">
        <v>0</v>
      </c>
      <c r="AW2645" s="3">
        <v>0</v>
      </c>
      <c r="AX2645" s="3">
        <v>0</v>
      </c>
      <c r="AY2645" s="3">
        <v>0</v>
      </c>
      <c r="AZ2645" s="3">
        <v>0</v>
      </c>
      <c r="BA2645" s="3">
        <v>0</v>
      </c>
      <c r="BB2645" s="3">
        <v>0</v>
      </c>
      <c r="BC2645" s="3">
        <v>0</v>
      </c>
      <c r="BD2645" s="3">
        <v>0</v>
      </c>
      <c r="BE2645" s="3">
        <v>0</v>
      </c>
      <c r="BF2645" s="3">
        <v>0</v>
      </c>
      <c r="BG2645" s="3">
        <v>0</v>
      </c>
      <c r="BH2645" s="3">
        <v>1</v>
      </c>
      <c r="BI2645" s="3">
        <v>1</v>
      </c>
      <c r="BJ2645" s="3">
        <v>0.2</v>
      </c>
      <c r="BK2645" s="3">
        <v>1</v>
      </c>
      <c r="BL2645" s="3">
        <v>47.27</v>
      </c>
      <c r="BM2645" s="3">
        <v>7.09</v>
      </c>
      <c r="BN2645" s="3">
        <v>54.36</v>
      </c>
      <c r="BO2645" s="3">
        <v>54.36</v>
      </c>
      <c r="BQ2645" s="3" t="s">
        <v>83</v>
      </c>
      <c r="BR2645" s="3" t="s">
        <v>308</v>
      </c>
      <c r="BS2645" s="4">
        <v>44566</v>
      </c>
      <c r="BT2645" s="5">
        <v>0.32708333333333334</v>
      </c>
      <c r="BU2645" s="3" t="s">
        <v>769</v>
      </c>
      <c r="BV2645" s="3" t="s">
        <v>105</v>
      </c>
      <c r="BY2645" s="3">
        <v>1200</v>
      </c>
      <c r="BZ2645" s="3" t="s">
        <v>165</v>
      </c>
      <c r="CA2645" s="3" t="s">
        <v>653</v>
      </c>
      <c r="CC2645" s="3" t="s">
        <v>159</v>
      </c>
      <c r="CD2645" s="3">
        <v>1459</v>
      </c>
      <c r="CE2645" s="3" t="s">
        <v>93</v>
      </c>
      <c r="CF2645" s="4">
        <v>44566</v>
      </c>
      <c r="CI2645" s="3">
        <v>1</v>
      </c>
      <c r="CJ2645" s="3">
        <v>1</v>
      </c>
      <c r="CK2645" s="3">
        <v>22</v>
      </c>
      <c r="CL2645" s="3" t="s">
        <v>87</v>
      </c>
    </row>
    <row r="2646" spans="1:90" x14ac:dyDescent="0.2">
      <c r="A2646" s="3" t="s">
        <v>72</v>
      </c>
      <c r="B2646" s="3" t="s">
        <v>73</v>
      </c>
      <c r="C2646" s="3" t="s">
        <v>74</v>
      </c>
      <c r="E2646" s="3" t="str">
        <f>"FES1162843331"</f>
        <v>FES1162843331</v>
      </c>
      <c r="F2646" s="4">
        <v>44565</v>
      </c>
      <c r="G2646" s="3">
        <v>202207</v>
      </c>
      <c r="H2646" s="3" t="s">
        <v>75</v>
      </c>
      <c r="I2646" s="3" t="s">
        <v>76</v>
      </c>
      <c r="J2646" s="3" t="s">
        <v>77</v>
      </c>
      <c r="K2646" s="3" t="s">
        <v>78</v>
      </c>
      <c r="L2646" s="3" t="s">
        <v>90</v>
      </c>
      <c r="M2646" s="3" t="s">
        <v>91</v>
      </c>
      <c r="N2646" s="3" t="s">
        <v>735</v>
      </c>
      <c r="O2646" s="3" t="s">
        <v>82</v>
      </c>
      <c r="P2646" s="3" t="str">
        <f>"2170813236                    "</f>
        <v xml:space="preserve">2170813236                    </v>
      </c>
      <c r="Q2646" s="3">
        <v>0</v>
      </c>
      <c r="R2646" s="3">
        <v>0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  <c r="AE2646" s="3">
        <v>0</v>
      </c>
      <c r="AF2646" s="3">
        <v>0</v>
      </c>
      <c r="AG2646" s="3">
        <v>0</v>
      </c>
      <c r="AH2646" s="3">
        <v>0</v>
      </c>
      <c r="AI2646" s="3">
        <v>0</v>
      </c>
      <c r="AJ2646" s="3">
        <v>0</v>
      </c>
      <c r="AK2646" s="3">
        <v>16.98</v>
      </c>
      <c r="AL2646" s="3">
        <v>0</v>
      </c>
      <c r="AM2646" s="3">
        <v>0</v>
      </c>
      <c r="AN2646" s="3">
        <v>0</v>
      </c>
      <c r="AO2646" s="3">
        <v>0</v>
      </c>
      <c r="AP2646" s="3">
        <v>0</v>
      </c>
      <c r="AQ2646" s="3">
        <v>0</v>
      </c>
      <c r="AR2646" s="3">
        <v>0</v>
      </c>
      <c r="AS2646" s="3">
        <v>0</v>
      </c>
      <c r="AT2646" s="3">
        <v>0</v>
      </c>
      <c r="AU2646" s="3">
        <v>0</v>
      </c>
      <c r="AV2646" s="3">
        <v>0</v>
      </c>
      <c r="AW2646" s="3">
        <v>0</v>
      </c>
      <c r="AX2646" s="3">
        <v>0</v>
      </c>
      <c r="AY2646" s="3">
        <v>0</v>
      </c>
      <c r="AZ2646" s="3">
        <v>0</v>
      </c>
      <c r="BA2646" s="3">
        <v>0</v>
      </c>
      <c r="BB2646" s="3">
        <v>0</v>
      </c>
      <c r="BC2646" s="3">
        <v>0</v>
      </c>
      <c r="BD2646" s="3">
        <v>0</v>
      </c>
      <c r="BE2646" s="3">
        <v>0</v>
      </c>
      <c r="BF2646" s="3">
        <v>0</v>
      </c>
      <c r="BG2646" s="3">
        <v>0</v>
      </c>
      <c r="BH2646" s="3">
        <v>1</v>
      </c>
      <c r="BI2646" s="3">
        <v>1</v>
      </c>
      <c r="BJ2646" s="3">
        <v>0.2</v>
      </c>
      <c r="BK2646" s="3">
        <v>1</v>
      </c>
      <c r="BL2646" s="3">
        <v>60.52</v>
      </c>
      <c r="BM2646" s="3">
        <v>9.08</v>
      </c>
      <c r="BN2646" s="3">
        <v>69.599999999999994</v>
      </c>
      <c r="BO2646" s="3">
        <v>69.599999999999994</v>
      </c>
      <c r="BQ2646" s="3" t="s">
        <v>273</v>
      </c>
      <c r="BR2646" s="3" t="s">
        <v>308</v>
      </c>
      <c r="BS2646" s="4">
        <v>44566</v>
      </c>
      <c r="BT2646" s="5">
        <v>0.3125</v>
      </c>
      <c r="BU2646" s="3" t="s">
        <v>2524</v>
      </c>
      <c r="BV2646" s="3" t="s">
        <v>105</v>
      </c>
      <c r="BY2646" s="3">
        <v>1200</v>
      </c>
      <c r="BZ2646" s="3" t="s">
        <v>165</v>
      </c>
      <c r="CA2646" s="3" t="s">
        <v>566</v>
      </c>
      <c r="CC2646" s="3" t="s">
        <v>91</v>
      </c>
      <c r="CD2646" s="3">
        <v>7460</v>
      </c>
      <c r="CE2646" s="3" t="s">
        <v>93</v>
      </c>
      <c r="CF2646" s="4">
        <v>44567</v>
      </c>
      <c r="CI2646" s="3">
        <v>1</v>
      </c>
      <c r="CJ2646" s="3">
        <v>1</v>
      </c>
      <c r="CK2646" s="3">
        <v>21</v>
      </c>
      <c r="CL2646" s="3" t="s">
        <v>87</v>
      </c>
    </row>
    <row r="2647" spans="1:90" x14ac:dyDescent="0.2">
      <c r="A2647" s="3" t="s">
        <v>72</v>
      </c>
      <c r="B2647" s="3" t="s">
        <v>73</v>
      </c>
      <c r="C2647" s="3" t="s">
        <v>74</v>
      </c>
      <c r="E2647" s="3" t="str">
        <f>"FES1162843368"</f>
        <v>FES1162843368</v>
      </c>
      <c r="F2647" s="4">
        <v>44565</v>
      </c>
      <c r="G2647" s="3">
        <v>202207</v>
      </c>
      <c r="H2647" s="3" t="s">
        <v>75</v>
      </c>
      <c r="I2647" s="3" t="s">
        <v>76</v>
      </c>
      <c r="J2647" s="3" t="s">
        <v>77</v>
      </c>
      <c r="K2647" s="3" t="s">
        <v>78</v>
      </c>
      <c r="L2647" s="3" t="s">
        <v>158</v>
      </c>
      <c r="M2647" s="3" t="s">
        <v>159</v>
      </c>
      <c r="N2647" s="3" t="s">
        <v>2553</v>
      </c>
      <c r="O2647" s="3" t="s">
        <v>82</v>
      </c>
      <c r="P2647" s="3" t="str">
        <f>"2170811385                    "</f>
        <v xml:space="preserve">2170811385                    </v>
      </c>
      <c r="Q2647" s="3">
        <v>0</v>
      </c>
      <c r="R2647" s="3">
        <v>0</v>
      </c>
      <c r="S2647" s="3">
        <v>0</v>
      </c>
      <c r="T2647" s="3">
        <v>0</v>
      </c>
      <c r="U2647" s="3">
        <v>0</v>
      </c>
      <c r="V2647" s="3">
        <v>0</v>
      </c>
      <c r="W2647" s="3">
        <v>0</v>
      </c>
      <c r="X2647" s="3">
        <v>0</v>
      </c>
      <c r="Y2647" s="3">
        <v>0</v>
      </c>
      <c r="Z2647" s="3">
        <v>0</v>
      </c>
      <c r="AA2647" s="3">
        <v>0</v>
      </c>
      <c r="AB2647" s="3">
        <v>0</v>
      </c>
      <c r="AC2647" s="3">
        <v>0</v>
      </c>
      <c r="AD2647" s="3">
        <v>0</v>
      </c>
      <c r="AE2647" s="3">
        <v>0</v>
      </c>
      <c r="AF2647" s="3">
        <v>0</v>
      </c>
      <c r="AG2647" s="3">
        <v>0</v>
      </c>
      <c r="AH2647" s="3">
        <v>0</v>
      </c>
      <c r="AI2647" s="3">
        <v>0</v>
      </c>
      <c r="AJ2647" s="3">
        <v>0</v>
      </c>
      <c r="AK2647" s="3">
        <v>13.26</v>
      </c>
      <c r="AL2647" s="3">
        <v>0</v>
      </c>
      <c r="AM2647" s="3">
        <v>0</v>
      </c>
      <c r="AN2647" s="3">
        <v>0</v>
      </c>
      <c r="AO2647" s="3">
        <v>0</v>
      </c>
      <c r="AP2647" s="3">
        <v>0</v>
      </c>
      <c r="AQ2647" s="3">
        <v>0</v>
      </c>
      <c r="AR2647" s="3">
        <v>0</v>
      </c>
      <c r="AS2647" s="3">
        <v>0</v>
      </c>
      <c r="AT2647" s="3">
        <v>0</v>
      </c>
      <c r="AU2647" s="3">
        <v>0</v>
      </c>
      <c r="AV2647" s="3">
        <v>0</v>
      </c>
      <c r="AW2647" s="3">
        <v>0</v>
      </c>
      <c r="AX2647" s="3">
        <v>0</v>
      </c>
      <c r="AY2647" s="3">
        <v>0</v>
      </c>
      <c r="AZ2647" s="3">
        <v>0</v>
      </c>
      <c r="BA2647" s="3">
        <v>0</v>
      </c>
      <c r="BB2647" s="3">
        <v>0</v>
      </c>
      <c r="BC2647" s="3">
        <v>0</v>
      </c>
      <c r="BD2647" s="3">
        <v>0</v>
      </c>
      <c r="BE2647" s="3">
        <v>0</v>
      </c>
      <c r="BF2647" s="3">
        <v>0</v>
      </c>
      <c r="BG2647" s="3">
        <v>0</v>
      </c>
      <c r="BH2647" s="3">
        <v>1</v>
      </c>
      <c r="BI2647" s="3">
        <v>2</v>
      </c>
      <c r="BJ2647" s="3">
        <v>2</v>
      </c>
      <c r="BK2647" s="3">
        <v>2</v>
      </c>
      <c r="BL2647" s="3">
        <v>47.27</v>
      </c>
      <c r="BM2647" s="3">
        <v>7.09</v>
      </c>
      <c r="BN2647" s="3">
        <v>54.36</v>
      </c>
      <c r="BO2647" s="3">
        <v>54.36</v>
      </c>
      <c r="BQ2647" s="3" t="s">
        <v>2554</v>
      </c>
      <c r="BR2647" s="3" t="s">
        <v>308</v>
      </c>
      <c r="BS2647" s="4">
        <v>44566</v>
      </c>
      <c r="BT2647" s="5">
        <v>0.29722222222222222</v>
      </c>
      <c r="BU2647" s="3" t="s">
        <v>2526</v>
      </c>
      <c r="BV2647" s="3" t="s">
        <v>105</v>
      </c>
      <c r="BY2647" s="3">
        <v>9918</v>
      </c>
      <c r="BZ2647" s="3" t="s">
        <v>165</v>
      </c>
      <c r="CA2647" s="3" t="s">
        <v>763</v>
      </c>
      <c r="CC2647" s="3" t="s">
        <v>159</v>
      </c>
      <c r="CD2647" s="3">
        <v>1459</v>
      </c>
      <c r="CE2647" s="3" t="s">
        <v>86</v>
      </c>
      <c r="CF2647" s="4">
        <v>44566</v>
      </c>
      <c r="CI2647" s="3">
        <v>1</v>
      </c>
      <c r="CJ2647" s="3">
        <v>1</v>
      </c>
      <c r="CK2647" s="3">
        <v>22</v>
      </c>
      <c r="CL2647" s="3" t="s">
        <v>87</v>
      </c>
    </row>
    <row r="2648" spans="1:90" x14ac:dyDescent="0.2">
      <c r="A2648" s="3" t="s">
        <v>72</v>
      </c>
      <c r="B2648" s="3" t="s">
        <v>73</v>
      </c>
      <c r="C2648" s="3" t="s">
        <v>74</v>
      </c>
      <c r="E2648" s="3" t="str">
        <f>"FES1162843405"</f>
        <v>FES1162843405</v>
      </c>
      <c r="F2648" s="4">
        <v>44565</v>
      </c>
      <c r="G2648" s="3">
        <v>202207</v>
      </c>
      <c r="H2648" s="3" t="s">
        <v>75</v>
      </c>
      <c r="I2648" s="3" t="s">
        <v>76</v>
      </c>
      <c r="J2648" s="3" t="s">
        <v>77</v>
      </c>
      <c r="K2648" s="3" t="s">
        <v>78</v>
      </c>
      <c r="L2648" s="3" t="s">
        <v>162</v>
      </c>
      <c r="M2648" s="3" t="s">
        <v>163</v>
      </c>
      <c r="N2648" s="3" t="s">
        <v>2555</v>
      </c>
      <c r="O2648" s="3" t="s">
        <v>82</v>
      </c>
      <c r="P2648" s="3" t="str">
        <f>"2170804511                    "</f>
        <v xml:space="preserve">2170804511                    </v>
      </c>
      <c r="Q2648" s="3">
        <v>0</v>
      </c>
      <c r="R2648" s="3">
        <v>0</v>
      </c>
      <c r="S2648" s="3">
        <v>0</v>
      </c>
      <c r="T2648" s="3">
        <v>0</v>
      </c>
      <c r="U2648" s="3">
        <v>0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0</v>
      </c>
      <c r="AC2648" s="3">
        <v>0</v>
      </c>
      <c r="AD2648" s="3">
        <v>0</v>
      </c>
      <c r="AE2648" s="3">
        <v>0</v>
      </c>
      <c r="AF2648" s="3">
        <v>0</v>
      </c>
      <c r="AG2648" s="3">
        <v>0</v>
      </c>
      <c r="AH2648" s="3">
        <v>0</v>
      </c>
      <c r="AI2648" s="3">
        <v>0</v>
      </c>
      <c r="AJ2648" s="3">
        <v>0</v>
      </c>
      <c r="AK2648" s="3">
        <v>13.26</v>
      </c>
      <c r="AL2648" s="3">
        <v>0</v>
      </c>
      <c r="AM2648" s="3">
        <v>0</v>
      </c>
      <c r="AN2648" s="3">
        <v>0</v>
      </c>
      <c r="AO2648" s="3">
        <v>0</v>
      </c>
      <c r="AP2648" s="3">
        <v>0</v>
      </c>
      <c r="AQ2648" s="3">
        <v>0</v>
      </c>
      <c r="AR2648" s="3">
        <v>0</v>
      </c>
      <c r="AS2648" s="3">
        <v>0</v>
      </c>
      <c r="AT2648" s="3">
        <v>0</v>
      </c>
      <c r="AU2648" s="3">
        <v>0</v>
      </c>
      <c r="AV2648" s="3">
        <v>0</v>
      </c>
      <c r="AW2648" s="3">
        <v>0</v>
      </c>
      <c r="AX2648" s="3">
        <v>0</v>
      </c>
      <c r="AY2648" s="3">
        <v>0</v>
      </c>
      <c r="AZ2648" s="3">
        <v>0</v>
      </c>
      <c r="BA2648" s="3">
        <v>0</v>
      </c>
      <c r="BB2648" s="3">
        <v>0</v>
      </c>
      <c r="BC2648" s="3">
        <v>0</v>
      </c>
      <c r="BD2648" s="3">
        <v>0</v>
      </c>
      <c r="BE2648" s="3">
        <v>0</v>
      </c>
      <c r="BF2648" s="3">
        <v>0</v>
      </c>
      <c r="BG2648" s="3">
        <v>0</v>
      </c>
      <c r="BH2648" s="3">
        <v>1</v>
      </c>
      <c r="BI2648" s="3">
        <v>1</v>
      </c>
      <c r="BJ2648" s="3">
        <v>0.2</v>
      </c>
      <c r="BK2648" s="3">
        <v>1</v>
      </c>
      <c r="BL2648" s="3">
        <v>47.27</v>
      </c>
      <c r="BM2648" s="3">
        <v>7.09</v>
      </c>
      <c r="BN2648" s="3">
        <v>54.36</v>
      </c>
      <c r="BO2648" s="3">
        <v>54.36</v>
      </c>
      <c r="BR2648" s="3" t="s">
        <v>308</v>
      </c>
      <c r="BS2648" s="4">
        <v>44566</v>
      </c>
      <c r="BT2648" s="5">
        <v>0.36388888888888887</v>
      </c>
      <c r="BU2648" s="3" t="s">
        <v>2556</v>
      </c>
      <c r="BV2648" s="3" t="s">
        <v>105</v>
      </c>
      <c r="BY2648" s="3">
        <v>1200</v>
      </c>
      <c r="BZ2648" s="3" t="s">
        <v>165</v>
      </c>
      <c r="CA2648" s="3" t="s">
        <v>523</v>
      </c>
      <c r="CC2648" s="3" t="s">
        <v>163</v>
      </c>
      <c r="CD2648" s="3">
        <v>1401</v>
      </c>
      <c r="CE2648" s="3" t="s">
        <v>93</v>
      </c>
      <c r="CF2648" s="4">
        <v>44566</v>
      </c>
      <c r="CI2648" s="3">
        <v>1</v>
      </c>
      <c r="CJ2648" s="3">
        <v>1</v>
      </c>
      <c r="CK2648" s="3">
        <v>22</v>
      </c>
      <c r="CL2648" s="3" t="s">
        <v>87</v>
      </c>
    </row>
    <row r="2649" spans="1:90" x14ac:dyDescent="0.2">
      <c r="A2649" s="3" t="s">
        <v>72</v>
      </c>
      <c r="B2649" s="3" t="s">
        <v>73</v>
      </c>
      <c r="C2649" s="3" t="s">
        <v>74</v>
      </c>
      <c r="E2649" s="3" t="str">
        <f>"FES1162843137"</f>
        <v>FES1162843137</v>
      </c>
      <c r="F2649" s="4">
        <v>44564</v>
      </c>
      <c r="G2649" s="3">
        <v>202207</v>
      </c>
      <c r="H2649" s="3" t="s">
        <v>75</v>
      </c>
      <c r="I2649" s="3" t="s">
        <v>76</v>
      </c>
      <c r="J2649" s="3" t="s">
        <v>77</v>
      </c>
      <c r="K2649" s="3" t="s">
        <v>78</v>
      </c>
      <c r="L2649" s="3" t="s">
        <v>171</v>
      </c>
      <c r="M2649" s="3" t="s">
        <v>172</v>
      </c>
      <c r="N2649" s="3" t="s">
        <v>235</v>
      </c>
      <c r="O2649" s="3" t="s">
        <v>82</v>
      </c>
      <c r="P2649" s="3" t="str">
        <f>"2170808170                    "</f>
        <v xml:space="preserve">2170808170                    </v>
      </c>
      <c r="Q2649" s="3">
        <v>0</v>
      </c>
      <c r="R2649" s="3">
        <v>0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  <c r="AE2649" s="3">
        <v>0</v>
      </c>
      <c r="AF2649" s="3">
        <v>0</v>
      </c>
      <c r="AG2649" s="3">
        <v>0</v>
      </c>
      <c r="AH2649" s="3">
        <v>0</v>
      </c>
      <c r="AI2649" s="3">
        <v>0</v>
      </c>
      <c r="AJ2649" s="3">
        <v>0</v>
      </c>
      <c r="AK2649" s="3">
        <v>16.98</v>
      </c>
      <c r="AL2649" s="3">
        <v>0</v>
      </c>
      <c r="AM2649" s="3">
        <v>0</v>
      </c>
      <c r="AN2649" s="3">
        <v>0</v>
      </c>
      <c r="AO2649" s="3">
        <v>0</v>
      </c>
      <c r="AP2649" s="3">
        <v>0</v>
      </c>
      <c r="AQ2649" s="3">
        <v>0</v>
      </c>
      <c r="AR2649" s="3">
        <v>0</v>
      </c>
      <c r="AS2649" s="3">
        <v>0</v>
      </c>
      <c r="AT2649" s="3">
        <v>0</v>
      </c>
      <c r="AU2649" s="3">
        <v>0</v>
      </c>
      <c r="AV2649" s="3">
        <v>0</v>
      </c>
      <c r="AW2649" s="3">
        <v>0</v>
      </c>
      <c r="AX2649" s="3">
        <v>0</v>
      </c>
      <c r="AY2649" s="3">
        <v>0</v>
      </c>
      <c r="AZ2649" s="3">
        <v>0</v>
      </c>
      <c r="BA2649" s="3">
        <v>0</v>
      </c>
      <c r="BB2649" s="3">
        <v>0</v>
      </c>
      <c r="BC2649" s="3">
        <v>0</v>
      </c>
      <c r="BD2649" s="3">
        <v>0</v>
      </c>
      <c r="BE2649" s="3">
        <v>0</v>
      </c>
      <c r="BF2649" s="3">
        <v>0</v>
      </c>
      <c r="BG2649" s="3">
        <v>0</v>
      </c>
      <c r="BH2649" s="3">
        <v>1</v>
      </c>
      <c r="BI2649" s="3">
        <v>2</v>
      </c>
      <c r="BJ2649" s="3">
        <v>1.5</v>
      </c>
      <c r="BK2649" s="3">
        <v>2</v>
      </c>
      <c r="BL2649" s="3">
        <v>60.52</v>
      </c>
      <c r="BM2649" s="3">
        <v>9.08</v>
      </c>
      <c r="BN2649" s="3">
        <v>69.599999999999994</v>
      </c>
      <c r="BO2649" s="3">
        <v>69.599999999999994</v>
      </c>
      <c r="BQ2649" s="3" t="s">
        <v>89</v>
      </c>
      <c r="BR2649" s="3" t="s">
        <v>308</v>
      </c>
      <c r="BS2649" s="4">
        <v>44566</v>
      </c>
      <c r="BT2649" s="5">
        <v>0.51388888888888895</v>
      </c>
      <c r="BU2649" s="3" t="s">
        <v>2557</v>
      </c>
      <c r="BV2649" s="3" t="s">
        <v>87</v>
      </c>
      <c r="BW2649" s="3" t="s">
        <v>457</v>
      </c>
      <c r="BX2649" s="3" t="s">
        <v>2558</v>
      </c>
      <c r="BY2649" s="3">
        <v>7540</v>
      </c>
      <c r="BZ2649" s="3" t="s">
        <v>165</v>
      </c>
      <c r="CA2649" s="3" t="s">
        <v>263</v>
      </c>
      <c r="CC2649" s="3" t="s">
        <v>172</v>
      </c>
      <c r="CD2649" s="3">
        <v>6001</v>
      </c>
      <c r="CE2649" s="3" t="s">
        <v>86</v>
      </c>
      <c r="CF2649" s="4">
        <v>44566</v>
      </c>
      <c r="CI2649" s="3">
        <v>1</v>
      </c>
      <c r="CJ2649" s="3">
        <v>2</v>
      </c>
      <c r="CK2649" s="3">
        <v>21</v>
      </c>
      <c r="CL2649" s="3" t="s">
        <v>87</v>
      </c>
    </row>
    <row r="2650" spans="1:90" x14ac:dyDescent="0.2">
      <c r="A2650" s="3" t="s">
        <v>72</v>
      </c>
      <c r="B2650" s="3" t="s">
        <v>73</v>
      </c>
      <c r="C2650" s="3" t="s">
        <v>74</v>
      </c>
      <c r="E2650" s="3" t="str">
        <f>"FES1162843815"</f>
        <v>FES1162843815</v>
      </c>
      <c r="F2650" s="4">
        <v>44566</v>
      </c>
      <c r="G2650" s="3">
        <v>202207</v>
      </c>
      <c r="H2650" s="3" t="s">
        <v>75</v>
      </c>
      <c r="I2650" s="3" t="s">
        <v>76</v>
      </c>
      <c r="J2650" s="3" t="s">
        <v>77</v>
      </c>
      <c r="K2650" s="3" t="s">
        <v>78</v>
      </c>
      <c r="L2650" s="3" t="s">
        <v>171</v>
      </c>
      <c r="M2650" s="3" t="s">
        <v>172</v>
      </c>
      <c r="N2650" s="3" t="s">
        <v>249</v>
      </c>
      <c r="O2650" s="3" t="s">
        <v>82</v>
      </c>
      <c r="P2650" s="3" t="str">
        <f>"217081465740                  "</f>
        <v xml:space="preserve">217081465740                  </v>
      </c>
      <c r="Q2650" s="3">
        <v>0</v>
      </c>
      <c r="R2650" s="3">
        <v>0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  <c r="AE2650" s="3">
        <v>0</v>
      </c>
      <c r="AF2650" s="3">
        <v>0</v>
      </c>
      <c r="AG2650" s="3">
        <v>0</v>
      </c>
      <c r="AH2650" s="3">
        <v>0</v>
      </c>
      <c r="AI2650" s="3">
        <v>0</v>
      </c>
      <c r="AJ2650" s="3">
        <v>0</v>
      </c>
      <c r="AK2650" s="3">
        <v>15.46</v>
      </c>
      <c r="AL2650" s="3">
        <v>0</v>
      </c>
      <c r="AM2650" s="3">
        <v>0</v>
      </c>
      <c r="AN2650" s="3">
        <v>0</v>
      </c>
      <c r="AO2650" s="3">
        <v>0</v>
      </c>
      <c r="AP2650" s="3">
        <v>0</v>
      </c>
      <c r="AQ2650" s="3">
        <v>0</v>
      </c>
      <c r="AR2650" s="3">
        <v>0</v>
      </c>
      <c r="AS2650" s="3">
        <v>0</v>
      </c>
      <c r="AT2650" s="3">
        <v>0</v>
      </c>
      <c r="AU2650" s="3">
        <v>0</v>
      </c>
      <c r="AV2650" s="3">
        <v>0</v>
      </c>
      <c r="AW2650" s="3">
        <v>0</v>
      </c>
      <c r="AX2650" s="3">
        <v>0</v>
      </c>
      <c r="AY2650" s="3">
        <v>0</v>
      </c>
      <c r="AZ2650" s="3">
        <v>0</v>
      </c>
      <c r="BA2650" s="3">
        <v>0</v>
      </c>
      <c r="BB2650" s="3">
        <v>0</v>
      </c>
      <c r="BC2650" s="3">
        <v>0</v>
      </c>
      <c r="BD2650" s="3">
        <v>0</v>
      </c>
      <c r="BE2650" s="3">
        <v>0</v>
      </c>
      <c r="BF2650" s="3">
        <v>0</v>
      </c>
      <c r="BG2650" s="3">
        <v>0</v>
      </c>
      <c r="BH2650" s="3">
        <v>1</v>
      </c>
      <c r="BI2650" s="3">
        <v>1</v>
      </c>
      <c r="BJ2650" s="3">
        <v>0.2</v>
      </c>
      <c r="BK2650" s="3">
        <v>1</v>
      </c>
      <c r="BL2650" s="3">
        <v>59</v>
      </c>
      <c r="BM2650" s="3">
        <v>8.85</v>
      </c>
      <c r="BN2650" s="3">
        <v>67.849999999999994</v>
      </c>
      <c r="BO2650" s="3">
        <v>67.849999999999994</v>
      </c>
      <c r="BQ2650" s="3" t="s">
        <v>89</v>
      </c>
      <c r="BR2650" s="3" t="s">
        <v>364</v>
      </c>
      <c r="BS2650" s="4">
        <v>44567</v>
      </c>
      <c r="BT2650" s="5">
        <v>0.44305555555555554</v>
      </c>
      <c r="BU2650" s="3" t="s">
        <v>2559</v>
      </c>
      <c r="BV2650" s="3" t="s">
        <v>87</v>
      </c>
      <c r="BW2650" s="3" t="s">
        <v>457</v>
      </c>
      <c r="BX2650" s="3" t="s">
        <v>279</v>
      </c>
      <c r="BY2650" s="3">
        <v>1200</v>
      </c>
      <c r="BZ2650" s="3" t="s">
        <v>165</v>
      </c>
      <c r="CC2650" s="3" t="s">
        <v>172</v>
      </c>
      <c r="CD2650" s="3">
        <v>6001</v>
      </c>
      <c r="CE2650" s="3" t="s">
        <v>93</v>
      </c>
      <c r="CF2650" s="4">
        <v>44567</v>
      </c>
      <c r="CI2650" s="3">
        <v>1</v>
      </c>
      <c r="CJ2650" s="3">
        <v>1</v>
      </c>
      <c r="CK2650" s="3">
        <v>21</v>
      </c>
      <c r="CL2650" s="3" t="s">
        <v>87</v>
      </c>
    </row>
    <row r="2651" spans="1:90" x14ac:dyDescent="0.2">
      <c r="A2651" s="3" t="s">
        <v>72</v>
      </c>
      <c r="B2651" s="3" t="s">
        <v>73</v>
      </c>
      <c r="C2651" s="3" t="s">
        <v>74</v>
      </c>
      <c r="E2651" s="3" t="str">
        <f>"FES1162843514"</f>
        <v>FES1162843514</v>
      </c>
      <c r="F2651" s="4">
        <v>44566</v>
      </c>
      <c r="G2651" s="3">
        <v>202207</v>
      </c>
      <c r="H2651" s="3" t="s">
        <v>75</v>
      </c>
      <c r="I2651" s="3" t="s">
        <v>76</v>
      </c>
      <c r="J2651" s="3" t="s">
        <v>77</v>
      </c>
      <c r="K2651" s="3" t="s">
        <v>78</v>
      </c>
      <c r="L2651" s="3" t="s">
        <v>110</v>
      </c>
      <c r="M2651" s="3" t="s">
        <v>110</v>
      </c>
      <c r="N2651" s="3" t="s">
        <v>146</v>
      </c>
      <c r="O2651" s="3" t="s">
        <v>82</v>
      </c>
      <c r="P2651" s="3" t="str">
        <f>"2170810145                    "</f>
        <v xml:space="preserve">2170810145                    </v>
      </c>
      <c r="Q2651" s="3">
        <v>0</v>
      </c>
      <c r="R2651" s="3">
        <v>0</v>
      </c>
      <c r="S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  <c r="Y2651" s="3">
        <v>0</v>
      </c>
      <c r="Z2651" s="3">
        <v>0</v>
      </c>
      <c r="AA2651" s="3">
        <v>0</v>
      </c>
      <c r="AB2651" s="3">
        <v>0</v>
      </c>
      <c r="AC2651" s="3">
        <v>0</v>
      </c>
      <c r="AD2651" s="3">
        <v>0</v>
      </c>
      <c r="AE2651" s="3">
        <v>0</v>
      </c>
      <c r="AF2651" s="3">
        <v>0</v>
      </c>
      <c r="AG2651" s="3">
        <v>0</v>
      </c>
      <c r="AH2651" s="3">
        <v>0</v>
      </c>
      <c r="AI2651" s="3">
        <v>0</v>
      </c>
      <c r="AJ2651" s="3">
        <v>0</v>
      </c>
      <c r="AK2651" s="3">
        <v>70.52</v>
      </c>
      <c r="AL2651" s="3">
        <v>0</v>
      </c>
      <c r="AM2651" s="3">
        <v>0</v>
      </c>
      <c r="AN2651" s="3">
        <v>0</v>
      </c>
      <c r="AO2651" s="3">
        <v>0</v>
      </c>
      <c r="AP2651" s="3">
        <v>0</v>
      </c>
      <c r="AQ2651" s="3">
        <v>0</v>
      </c>
      <c r="AR2651" s="3">
        <v>0</v>
      </c>
      <c r="AS2651" s="3">
        <v>0</v>
      </c>
      <c r="AT2651" s="3">
        <v>0</v>
      </c>
      <c r="AU2651" s="3">
        <v>0</v>
      </c>
      <c r="AV2651" s="3">
        <v>0</v>
      </c>
      <c r="AW2651" s="3">
        <v>0</v>
      </c>
      <c r="AX2651" s="3">
        <v>0</v>
      </c>
      <c r="AY2651" s="3">
        <v>0</v>
      </c>
      <c r="AZ2651" s="3">
        <v>0</v>
      </c>
      <c r="BA2651" s="3">
        <v>0</v>
      </c>
      <c r="BB2651" s="3">
        <v>0</v>
      </c>
      <c r="BC2651" s="3">
        <v>0</v>
      </c>
      <c r="BD2651" s="3">
        <v>0</v>
      </c>
      <c r="BE2651" s="3">
        <v>0</v>
      </c>
      <c r="BF2651" s="3">
        <v>0</v>
      </c>
      <c r="BG2651" s="3">
        <v>0</v>
      </c>
      <c r="BH2651" s="3">
        <v>1</v>
      </c>
      <c r="BI2651" s="3">
        <v>5</v>
      </c>
      <c r="BJ2651" s="3">
        <v>3.7</v>
      </c>
      <c r="BK2651" s="3">
        <v>5</v>
      </c>
      <c r="BL2651" s="3">
        <v>269.18</v>
      </c>
      <c r="BM2651" s="3">
        <v>40.380000000000003</v>
      </c>
      <c r="BN2651" s="3">
        <v>309.56</v>
      </c>
      <c r="BO2651" s="3">
        <v>309.56</v>
      </c>
      <c r="BQ2651" s="3" t="s">
        <v>89</v>
      </c>
      <c r="BR2651" s="3" t="s">
        <v>308</v>
      </c>
      <c r="BS2651" s="4">
        <v>44567</v>
      </c>
      <c r="BT2651" s="5">
        <v>0.52986111111111112</v>
      </c>
      <c r="BU2651" s="3" t="s">
        <v>2560</v>
      </c>
      <c r="BV2651" s="3" t="s">
        <v>105</v>
      </c>
      <c r="BY2651" s="3">
        <v>18620</v>
      </c>
      <c r="BZ2651" s="3" t="s">
        <v>165</v>
      </c>
      <c r="CA2651" s="3" t="s">
        <v>360</v>
      </c>
      <c r="CC2651" s="3" t="s">
        <v>110</v>
      </c>
      <c r="CD2651" s="3">
        <v>7646</v>
      </c>
      <c r="CE2651" s="3" t="s">
        <v>86</v>
      </c>
      <c r="CF2651" s="4">
        <v>44568</v>
      </c>
      <c r="CI2651" s="3">
        <v>1</v>
      </c>
      <c r="CJ2651" s="3">
        <v>1</v>
      </c>
      <c r="CK2651" s="3">
        <v>23</v>
      </c>
      <c r="CL2651" s="3" t="s">
        <v>87</v>
      </c>
    </row>
    <row r="2652" spans="1:90" x14ac:dyDescent="0.2">
      <c r="A2652" s="3" t="s">
        <v>72</v>
      </c>
      <c r="B2652" s="3" t="s">
        <v>73</v>
      </c>
      <c r="C2652" s="3" t="s">
        <v>74</v>
      </c>
      <c r="E2652" s="3" t="str">
        <f>"FES1162843487"</f>
        <v>FES1162843487</v>
      </c>
      <c r="F2652" s="4">
        <v>44565</v>
      </c>
      <c r="G2652" s="3">
        <v>202207</v>
      </c>
      <c r="H2652" s="3" t="s">
        <v>75</v>
      </c>
      <c r="I2652" s="3" t="s">
        <v>76</v>
      </c>
      <c r="J2652" s="3" t="s">
        <v>77</v>
      </c>
      <c r="K2652" s="3" t="s">
        <v>78</v>
      </c>
      <c r="L2652" s="3" t="s">
        <v>97</v>
      </c>
      <c r="M2652" s="3" t="s">
        <v>98</v>
      </c>
      <c r="N2652" s="3" t="s">
        <v>2561</v>
      </c>
      <c r="O2652" s="3" t="s">
        <v>82</v>
      </c>
      <c r="P2652" s="3" t="str">
        <f>"2170814527                    "</f>
        <v xml:space="preserve">2170814527                    </v>
      </c>
      <c r="Q2652" s="3">
        <v>0</v>
      </c>
      <c r="R2652" s="3">
        <v>0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  <c r="AE2652" s="3">
        <v>0</v>
      </c>
      <c r="AF2652" s="3">
        <v>0</v>
      </c>
      <c r="AG2652" s="3">
        <v>0</v>
      </c>
      <c r="AH2652" s="3">
        <v>0</v>
      </c>
      <c r="AI2652" s="3">
        <v>0</v>
      </c>
      <c r="AJ2652" s="3">
        <v>0</v>
      </c>
      <c r="AK2652" s="3">
        <v>13.26</v>
      </c>
      <c r="AL2652" s="3">
        <v>0</v>
      </c>
      <c r="AM2652" s="3">
        <v>0</v>
      </c>
      <c r="AN2652" s="3">
        <v>0</v>
      </c>
      <c r="AO2652" s="3">
        <v>0</v>
      </c>
      <c r="AP2652" s="3">
        <v>0</v>
      </c>
      <c r="AQ2652" s="3">
        <v>0</v>
      </c>
      <c r="AR2652" s="3">
        <v>0</v>
      </c>
      <c r="AS2652" s="3">
        <v>0</v>
      </c>
      <c r="AT2652" s="3">
        <v>0</v>
      </c>
      <c r="AU2652" s="3">
        <v>0</v>
      </c>
      <c r="AV2652" s="3">
        <v>0</v>
      </c>
      <c r="AW2652" s="3">
        <v>0</v>
      </c>
      <c r="AX2652" s="3">
        <v>0</v>
      </c>
      <c r="AY2652" s="3">
        <v>0</v>
      </c>
      <c r="AZ2652" s="3">
        <v>0</v>
      </c>
      <c r="BA2652" s="3">
        <v>0</v>
      </c>
      <c r="BB2652" s="3">
        <v>0</v>
      </c>
      <c r="BC2652" s="3">
        <v>0</v>
      </c>
      <c r="BD2652" s="3">
        <v>0</v>
      </c>
      <c r="BE2652" s="3">
        <v>0</v>
      </c>
      <c r="BF2652" s="3">
        <v>0</v>
      </c>
      <c r="BG2652" s="3">
        <v>0</v>
      </c>
      <c r="BH2652" s="3">
        <v>1</v>
      </c>
      <c r="BI2652" s="3">
        <v>1</v>
      </c>
      <c r="BJ2652" s="3">
        <v>0.2</v>
      </c>
      <c r="BK2652" s="3">
        <v>1</v>
      </c>
      <c r="BL2652" s="3">
        <v>47.27</v>
      </c>
      <c r="BM2652" s="3">
        <v>7.09</v>
      </c>
      <c r="BN2652" s="3">
        <v>54.36</v>
      </c>
      <c r="BO2652" s="3">
        <v>54.36</v>
      </c>
      <c r="BR2652" s="3" t="s">
        <v>308</v>
      </c>
      <c r="BS2652" s="4">
        <v>44568</v>
      </c>
      <c r="BT2652" s="5">
        <v>0.47430555555555554</v>
      </c>
      <c r="BU2652" s="3" t="s">
        <v>2562</v>
      </c>
      <c r="BV2652" s="3" t="s">
        <v>87</v>
      </c>
      <c r="BW2652" s="3" t="s">
        <v>353</v>
      </c>
      <c r="BX2652" s="3" t="s">
        <v>377</v>
      </c>
      <c r="BY2652" s="3">
        <v>1200</v>
      </c>
      <c r="BZ2652" s="3" t="s">
        <v>165</v>
      </c>
      <c r="CA2652" s="3" t="s">
        <v>952</v>
      </c>
      <c r="CC2652" s="3" t="s">
        <v>98</v>
      </c>
      <c r="CD2652" s="3">
        <v>2092</v>
      </c>
      <c r="CE2652" s="3" t="s">
        <v>93</v>
      </c>
      <c r="CF2652" s="4">
        <v>44568</v>
      </c>
      <c r="CI2652" s="3">
        <v>1</v>
      </c>
      <c r="CJ2652" s="3">
        <v>3</v>
      </c>
      <c r="CK2652" s="3">
        <v>22</v>
      </c>
      <c r="CL2652" s="3" t="s">
        <v>87</v>
      </c>
    </row>
    <row r="2653" spans="1:90" x14ac:dyDescent="0.2">
      <c r="A2653" s="3" t="s">
        <v>72</v>
      </c>
      <c r="B2653" s="3" t="s">
        <v>73</v>
      </c>
      <c r="C2653" s="3" t="s">
        <v>74</v>
      </c>
      <c r="E2653" s="3" t="str">
        <f>"FES1162843384"</f>
        <v>FES1162843384</v>
      </c>
      <c r="F2653" s="4">
        <v>44565</v>
      </c>
      <c r="G2653" s="3">
        <v>202207</v>
      </c>
      <c r="H2653" s="3" t="s">
        <v>75</v>
      </c>
      <c r="I2653" s="3" t="s">
        <v>76</v>
      </c>
      <c r="J2653" s="3" t="s">
        <v>77</v>
      </c>
      <c r="K2653" s="3" t="s">
        <v>78</v>
      </c>
      <c r="L2653" s="3" t="s">
        <v>731</v>
      </c>
      <c r="M2653" s="3" t="s">
        <v>732</v>
      </c>
      <c r="N2653" s="3" t="s">
        <v>883</v>
      </c>
      <c r="O2653" s="3" t="s">
        <v>82</v>
      </c>
      <c r="P2653" s="3" t="str">
        <f>"2170815583                    "</f>
        <v xml:space="preserve">2170815583                    </v>
      </c>
      <c r="Q2653" s="3">
        <v>0</v>
      </c>
      <c r="R2653" s="3">
        <v>0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  <c r="AE2653" s="3">
        <v>0</v>
      </c>
      <c r="AF2653" s="3">
        <v>0</v>
      </c>
      <c r="AG2653" s="3">
        <v>0</v>
      </c>
      <c r="AH2653" s="3">
        <v>0</v>
      </c>
      <c r="AI2653" s="3">
        <v>0</v>
      </c>
      <c r="AJ2653" s="3">
        <v>0</v>
      </c>
      <c r="AK2653" s="3">
        <v>32.9</v>
      </c>
      <c r="AL2653" s="3">
        <v>0</v>
      </c>
      <c r="AM2653" s="3">
        <v>0</v>
      </c>
      <c r="AN2653" s="3">
        <v>0</v>
      </c>
      <c r="AO2653" s="3">
        <v>0</v>
      </c>
      <c r="AP2653" s="3">
        <v>0</v>
      </c>
      <c r="AQ2653" s="3">
        <v>0</v>
      </c>
      <c r="AR2653" s="3">
        <v>0</v>
      </c>
      <c r="AS2653" s="3">
        <v>0</v>
      </c>
      <c r="AT2653" s="3">
        <v>0</v>
      </c>
      <c r="AU2653" s="3">
        <v>0</v>
      </c>
      <c r="AV2653" s="3">
        <v>0</v>
      </c>
      <c r="AW2653" s="3">
        <v>0</v>
      </c>
      <c r="AX2653" s="3">
        <v>0</v>
      </c>
      <c r="AY2653" s="3">
        <v>0</v>
      </c>
      <c r="AZ2653" s="3">
        <v>0</v>
      </c>
      <c r="BA2653" s="3">
        <v>0</v>
      </c>
      <c r="BB2653" s="3">
        <v>0</v>
      </c>
      <c r="BC2653" s="3">
        <v>0</v>
      </c>
      <c r="BD2653" s="3">
        <v>0</v>
      </c>
      <c r="BE2653" s="3">
        <v>0</v>
      </c>
      <c r="BF2653" s="3">
        <v>0</v>
      </c>
      <c r="BG2653" s="3">
        <v>0</v>
      </c>
      <c r="BH2653" s="3">
        <v>1</v>
      </c>
      <c r="BI2653" s="3">
        <v>2</v>
      </c>
      <c r="BJ2653" s="3">
        <v>1</v>
      </c>
      <c r="BK2653" s="3">
        <v>2</v>
      </c>
      <c r="BL2653" s="3">
        <v>117.26</v>
      </c>
      <c r="BM2653" s="3">
        <v>17.59</v>
      </c>
      <c r="BN2653" s="3">
        <v>134.85</v>
      </c>
      <c r="BO2653" s="3">
        <v>134.85</v>
      </c>
      <c r="BQ2653" s="3" t="s">
        <v>273</v>
      </c>
      <c r="BR2653" s="3" t="s">
        <v>308</v>
      </c>
      <c r="BS2653" s="4">
        <v>44566</v>
      </c>
      <c r="BT2653" s="5">
        <v>0.57291666666666663</v>
      </c>
      <c r="BU2653" s="3" t="s">
        <v>2563</v>
      </c>
      <c r="BV2653" s="3" t="s">
        <v>105</v>
      </c>
      <c r="BY2653" s="3">
        <v>5000</v>
      </c>
      <c r="BZ2653" s="3" t="s">
        <v>165</v>
      </c>
      <c r="CA2653" s="3" t="s">
        <v>328</v>
      </c>
      <c r="CC2653" s="3" t="s">
        <v>732</v>
      </c>
      <c r="CD2653" s="3">
        <v>3280</v>
      </c>
      <c r="CE2653" s="3" t="s">
        <v>86</v>
      </c>
      <c r="CF2653" s="4">
        <v>44568</v>
      </c>
      <c r="CI2653" s="3">
        <v>1</v>
      </c>
      <c r="CJ2653" s="3">
        <v>1</v>
      </c>
      <c r="CK2653" s="3">
        <v>23</v>
      </c>
      <c r="CL2653" s="3" t="s">
        <v>87</v>
      </c>
    </row>
    <row r="2654" spans="1:90" x14ac:dyDescent="0.2">
      <c r="A2654" s="3" t="s">
        <v>72</v>
      </c>
      <c r="B2654" s="3" t="s">
        <v>73</v>
      </c>
      <c r="C2654" s="3" t="s">
        <v>74</v>
      </c>
      <c r="E2654" s="3" t="str">
        <f>"FES1162843495"</f>
        <v>FES1162843495</v>
      </c>
      <c r="F2654" s="4">
        <v>44565</v>
      </c>
      <c r="G2654" s="3">
        <v>202207</v>
      </c>
      <c r="H2654" s="3" t="s">
        <v>75</v>
      </c>
      <c r="I2654" s="3" t="s">
        <v>76</v>
      </c>
      <c r="J2654" s="3" t="s">
        <v>77</v>
      </c>
      <c r="K2654" s="3" t="s">
        <v>78</v>
      </c>
      <c r="L2654" s="3" t="s">
        <v>101</v>
      </c>
      <c r="M2654" s="3" t="s">
        <v>102</v>
      </c>
      <c r="N2654" s="3" t="s">
        <v>272</v>
      </c>
      <c r="O2654" s="3" t="s">
        <v>82</v>
      </c>
      <c r="P2654" s="3" t="str">
        <f>"2170815595                    "</f>
        <v xml:space="preserve">2170815595                    </v>
      </c>
      <c r="Q2654" s="3">
        <v>0</v>
      </c>
      <c r="R2654" s="3">
        <v>0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  <c r="AE2654" s="3">
        <v>0</v>
      </c>
      <c r="AF2654" s="3">
        <v>0</v>
      </c>
      <c r="AG2654" s="3">
        <v>0</v>
      </c>
      <c r="AH2654" s="3">
        <v>0</v>
      </c>
      <c r="AI2654" s="3">
        <v>0</v>
      </c>
      <c r="AJ2654" s="3">
        <v>0</v>
      </c>
      <c r="AK2654" s="3">
        <v>16.98</v>
      </c>
      <c r="AL2654" s="3">
        <v>0</v>
      </c>
      <c r="AM2654" s="3">
        <v>0</v>
      </c>
      <c r="AN2654" s="3">
        <v>0</v>
      </c>
      <c r="AO2654" s="3">
        <v>0</v>
      </c>
      <c r="AP2654" s="3">
        <v>0</v>
      </c>
      <c r="AQ2654" s="3">
        <v>0</v>
      </c>
      <c r="AR2654" s="3">
        <v>0</v>
      </c>
      <c r="AS2654" s="3">
        <v>0</v>
      </c>
      <c r="AT2654" s="3">
        <v>0</v>
      </c>
      <c r="AU2654" s="3">
        <v>0</v>
      </c>
      <c r="AV2654" s="3">
        <v>0</v>
      </c>
      <c r="AW2654" s="3">
        <v>0</v>
      </c>
      <c r="AX2654" s="3">
        <v>0</v>
      </c>
      <c r="AY2654" s="3">
        <v>0</v>
      </c>
      <c r="AZ2654" s="3">
        <v>0</v>
      </c>
      <c r="BA2654" s="3">
        <v>0</v>
      </c>
      <c r="BB2654" s="3">
        <v>0</v>
      </c>
      <c r="BC2654" s="3">
        <v>0</v>
      </c>
      <c r="BD2654" s="3">
        <v>0</v>
      </c>
      <c r="BE2654" s="3">
        <v>0</v>
      </c>
      <c r="BF2654" s="3">
        <v>0</v>
      </c>
      <c r="BG2654" s="3">
        <v>0</v>
      </c>
      <c r="BH2654" s="3">
        <v>1</v>
      </c>
      <c r="BI2654" s="3">
        <v>1</v>
      </c>
      <c r="BJ2654" s="3">
        <v>0.2</v>
      </c>
      <c r="BK2654" s="3">
        <v>1</v>
      </c>
      <c r="BL2654" s="3">
        <v>60.52</v>
      </c>
      <c r="BM2654" s="3">
        <v>9.08</v>
      </c>
      <c r="BN2654" s="3">
        <v>69.599999999999994</v>
      </c>
      <c r="BO2654" s="3">
        <v>69.599999999999994</v>
      </c>
      <c r="BQ2654" s="3" t="s">
        <v>273</v>
      </c>
      <c r="BR2654" s="3" t="s">
        <v>308</v>
      </c>
      <c r="BS2654" s="4">
        <v>44566</v>
      </c>
      <c r="BT2654" s="5">
        <v>0.4055555555555555</v>
      </c>
      <c r="BU2654" s="3" t="s">
        <v>274</v>
      </c>
      <c r="BV2654" s="3" t="s">
        <v>105</v>
      </c>
      <c r="BY2654" s="3">
        <v>1200</v>
      </c>
      <c r="BZ2654" s="3" t="s">
        <v>165</v>
      </c>
      <c r="CA2654" s="3" t="s">
        <v>275</v>
      </c>
      <c r="CC2654" s="3" t="s">
        <v>102</v>
      </c>
      <c r="CD2654" s="3">
        <v>4000</v>
      </c>
      <c r="CE2654" s="3" t="s">
        <v>93</v>
      </c>
      <c r="CF2654" s="4">
        <v>44566</v>
      </c>
      <c r="CI2654" s="3">
        <v>1</v>
      </c>
      <c r="CJ2654" s="3">
        <v>1</v>
      </c>
      <c r="CK2654" s="3">
        <v>21</v>
      </c>
      <c r="CL2654" s="3" t="s">
        <v>87</v>
      </c>
    </row>
    <row r="2655" spans="1:90" x14ac:dyDescent="0.2">
      <c r="A2655" s="3" t="s">
        <v>72</v>
      </c>
      <c r="B2655" s="3" t="s">
        <v>73</v>
      </c>
      <c r="C2655" s="3" t="s">
        <v>74</v>
      </c>
      <c r="E2655" s="3" t="str">
        <f>"FES1162843058"</f>
        <v>FES1162843058</v>
      </c>
      <c r="F2655" s="4">
        <v>44564</v>
      </c>
      <c r="G2655" s="3">
        <v>202207</v>
      </c>
      <c r="H2655" s="3" t="s">
        <v>75</v>
      </c>
      <c r="I2655" s="3" t="s">
        <v>76</v>
      </c>
      <c r="J2655" s="3" t="s">
        <v>77</v>
      </c>
      <c r="K2655" s="3" t="s">
        <v>78</v>
      </c>
      <c r="L2655" s="3" t="s">
        <v>75</v>
      </c>
      <c r="M2655" s="3" t="s">
        <v>76</v>
      </c>
      <c r="N2655" s="3" t="s">
        <v>2315</v>
      </c>
      <c r="O2655" s="3" t="s">
        <v>82</v>
      </c>
      <c r="P2655" s="3" t="str">
        <f>"2170814561                    "</f>
        <v xml:space="preserve">2170814561                    </v>
      </c>
      <c r="Q2655" s="3">
        <v>0</v>
      </c>
      <c r="R2655" s="3">
        <v>0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  <c r="AE2655" s="3">
        <v>0</v>
      </c>
      <c r="AF2655" s="3">
        <v>0</v>
      </c>
      <c r="AG2655" s="3">
        <v>0</v>
      </c>
      <c r="AH2655" s="3">
        <v>0</v>
      </c>
      <c r="AI2655" s="3">
        <v>0</v>
      </c>
      <c r="AJ2655" s="3">
        <v>0</v>
      </c>
      <c r="AK2655" s="3">
        <v>13.26</v>
      </c>
      <c r="AL2655" s="3">
        <v>0</v>
      </c>
      <c r="AM2655" s="3">
        <v>0</v>
      </c>
      <c r="AN2655" s="3">
        <v>0</v>
      </c>
      <c r="AO2655" s="3">
        <v>0</v>
      </c>
      <c r="AP2655" s="3">
        <v>0</v>
      </c>
      <c r="AQ2655" s="3">
        <v>0</v>
      </c>
      <c r="AR2655" s="3">
        <v>0</v>
      </c>
      <c r="AS2655" s="3">
        <v>0</v>
      </c>
      <c r="AT2655" s="3">
        <v>0</v>
      </c>
      <c r="AU2655" s="3">
        <v>0</v>
      </c>
      <c r="AV2655" s="3">
        <v>0</v>
      </c>
      <c r="AW2655" s="3">
        <v>0</v>
      </c>
      <c r="AX2655" s="3">
        <v>0</v>
      </c>
      <c r="AY2655" s="3">
        <v>0</v>
      </c>
      <c r="AZ2655" s="3">
        <v>0</v>
      </c>
      <c r="BA2655" s="3">
        <v>0</v>
      </c>
      <c r="BB2655" s="3">
        <v>0</v>
      </c>
      <c r="BC2655" s="3">
        <v>0</v>
      </c>
      <c r="BD2655" s="3">
        <v>0</v>
      </c>
      <c r="BE2655" s="3">
        <v>0</v>
      </c>
      <c r="BF2655" s="3">
        <v>0</v>
      </c>
      <c r="BG2655" s="3">
        <v>0</v>
      </c>
      <c r="BH2655" s="3">
        <v>1</v>
      </c>
      <c r="BI2655" s="3">
        <v>1</v>
      </c>
      <c r="BJ2655" s="3">
        <v>0.2</v>
      </c>
      <c r="BK2655" s="3">
        <v>1</v>
      </c>
      <c r="BL2655" s="3">
        <v>47.27</v>
      </c>
      <c r="BM2655" s="3">
        <v>7.09</v>
      </c>
      <c r="BN2655" s="3">
        <v>54.36</v>
      </c>
      <c r="BO2655" s="3">
        <v>54.36</v>
      </c>
      <c r="BQ2655" s="3" t="s">
        <v>83</v>
      </c>
      <c r="BR2655" s="3" t="s">
        <v>308</v>
      </c>
      <c r="BS2655" s="4">
        <v>44565</v>
      </c>
      <c r="BT2655" s="5">
        <v>0.33611111111111108</v>
      </c>
      <c r="BU2655" s="3" t="s">
        <v>2316</v>
      </c>
      <c r="BV2655" s="3" t="s">
        <v>105</v>
      </c>
      <c r="BY2655" s="3">
        <v>1200</v>
      </c>
      <c r="BZ2655" s="3" t="s">
        <v>165</v>
      </c>
      <c r="CA2655" s="3" t="s">
        <v>607</v>
      </c>
      <c r="CC2655" s="3" t="s">
        <v>76</v>
      </c>
      <c r="CD2655" s="3">
        <v>1666</v>
      </c>
      <c r="CE2655" s="3" t="s">
        <v>93</v>
      </c>
      <c r="CF2655" s="4">
        <v>44565</v>
      </c>
      <c r="CI2655" s="3">
        <v>1</v>
      </c>
      <c r="CJ2655" s="3">
        <v>1</v>
      </c>
      <c r="CK2655" s="3">
        <v>22</v>
      </c>
      <c r="CL2655" s="3" t="s">
        <v>87</v>
      </c>
    </row>
    <row r="2656" spans="1:90" x14ac:dyDescent="0.2">
      <c r="A2656" s="3" t="s">
        <v>72</v>
      </c>
      <c r="B2656" s="3" t="s">
        <v>73</v>
      </c>
      <c r="C2656" s="3" t="s">
        <v>74</v>
      </c>
      <c r="E2656" s="3" t="str">
        <f>"FES1162843708"</f>
        <v>FES1162843708</v>
      </c>
      <c r="F2656" s="4">
        <v>44566</v>
      </c>
      <c r="G2656" s="3">
        <v>202207</v>
      </c>
      <c r="H2656" s="3" t="s">
        <v>75</v>
      </c>
      <c r="I2656" s="3" t="s">
        <v>76</v>
      </c>
      <c r="J2656" s="3" t="s">
        <v>77</v>
      </c>
      <c r="K2656" s="3" t="s">
        <v>78</v>
      </c>
      <c r="L2656" s="3" t="s">
        <v>79</v>
      </c>
      <c r="M2656" s="3" t="s">
        <v>80</v>
      </c>
      <c r="N2656" s="3" t="s">
        <v>248</v>
      </c>
      <c r="O2656" s="3" t="s">
        <v>82</v>
      </c>
      <c r="P2656" s="3" t="str">
        <f>"2170815398                    "</f>
        <v xml:space="preserve">2170815398                    </v>
      </c>
      <c r="Q2656" s="3">
        <v>0</v>
      </c>
      <c r="R2656" s="3">
        <v>0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  <c r="AE2656" s="3">
        <v>0</v>
      </c>
      <c r="AF2656" s="3">
        <v>0</v>
      </c>
      <c r="AG2656" s="3">
        <v>0</v>
      </c>
      <c r="AH2656" s="3">
        <v>0</v>
      </c>
      <c r="AI2656" s="3">
        <v>0</v>
      </c>
      <c r="AJ2656" s="3">
        <v>0</v>
      </c>
      <c r="AK2656" s="3">
        <v>15.46</v>
      </c>
      <c r="AL2656" s="3">
        <v>0</v>
      </c>
      <c r="AM2656" s="3">
        <v>0</v>
      </c>
      <c r="AN2656" s="3">
        <v>0</v>
      </c>
      <c r="AO2656" s="3">
        <v>0</v>
      </c>
      <c r="AP2656" s="3">
        <v>0</v>
      </c>
      <c r="AQ2656" s="3">
        <v>0</v>
      </c>
      <c r="AR2656" s="3">
        <v>0</v>
      </c>
      <c r="AS2656" s="3">
        <v>0</v>
      </c>
      <c r="AT2656" s="3">
        <v>0</v>
      </c>
      <c r="AU2656" s="3">
        <v>0</v>
      </c>
      <c r="AV2656" s="3">
        <v>0</v>
      </c>
      <c r="AW2656" s="3">
        <v>0</v>
      </c>
      <c r="AX2656" s="3">
        <v>0</v>
      </c>
      <c r="AY2656" s="3">
        <v>0</v>
      </c>
      <c r="AZ2656" s="3">
        <v>0</v>
      </c>
      <c r="BA2656" s="3">
        <v>0</v>
      </c>
      <c r="BB2656" s="3">
        <v>0</v>
      </c>
      <c r="BC2656" s="3">
        <v>0</v>
      </c>
      <c r="BD2656" s="3">
        <v>0</v>
      </c>
      <c r="BE2656" s="3">
        <v>0</v>
      </c>
      <c r="BF2656" s="3">
        <v>0</v>
      </c>
      <c r="BG2656" s="3">
        <v>0</v>
      </c>
      <c r="BH2656" s="3">
        <v>1</v>
      </c>
      <c r="BI2656" s="3">
        <v>1</v>
      </c>
      <c r="BJ2656" s="3">
        <v>0.2</v>
      </c>
      <c r="BK2656" s="3">
        <v>1</v>
      </c>
      <c r="BL2656" s="3">
        <v>59</v>
      </c>
      <c r="BM2656" s="3">
        <v>8.85</v>
      </c>
      <c r="BN2656" s="3">
        <v>67.849999999999994</v>
      </c>
      <c r="BO2656" s="3">
        <v>67.849999999999994</v>
      </c>
      <c r="BQ2656" s="3" t="s">
        <v>83</v>
      </c>
      <c r="BR2656" s="3" t="s">
        <v>364</v>
      </c>
      <c r="BS2656" s="4">
        <v>44567</v>
      </c>
      <c r="BT2656" s="5">
        <v>0.34375</v>
      </c>
      <c r="BU2656" s="3" t="s">
        <v>1008</v>
      </c>
      <c r="BV2656" s="3" t="s">
        <v>105</v>
      </c>
      <c r="BY2656" s="3">
        <v>1200</v>
      </c>
      <c r="BZ2656" s="3" t="s">
        <v>165</v>
      </c>
      <c r="CA2656" s="3" t="s">
        <v>362</v>
      </c>
      <c r="CC2656" s="3" t="s">
        <v>80</v>
      </c>
      <c r="CD2656" s="3">
        <v>1</v>
      </c>
      <c r="CE2656" s="3" t="s">
        <v>93</v>
      </c>
      <c r="CF2656" s="4">
        <v>44570</v>
      </c>
      <c r="CI2656" s="3">
        <v>1</v>
      </c>
      <c r="CJ2656" s="3">
        <v>1</v>
      </c>
      <c r="CK2656" s="3">
        <v>21</v>
      </c>
      <c r="CL2656" s="3" t="s">
        <v>87</v>
      </c>
    </row>
    <row r="2657" spans="1:90" x14ac:dyDescent="0.2">
      <c r="A2657" s="3" t="s">
        <v>72</v>
      </c>
      <c r="B2657" s="3" t="s">
        <v>73</v>
      </c>
      <c r="C2657" s="3" t="s">
        <v>74</v>
      </c>
      <c r="E2657" s="3" t="str">
        <f>"FES1162843419"</f>
        <v>FES1162843419</v>
      </c>
      <c r="F2657" s="4">
        <v>44565</v>
      </c>
      <c r="G2657" s="3">
        <v>202207</v>
      </c>
      <c r="H2657" s="3" t="s">
        <v>75</v>
      </c>
      <c r="I2657" s="3" t="s">
        <v>76</v>
      </c>
      <c r="J2657" s="3" t="s">
        <v>77</v>
      </c>
      <c r="K2657" s="3" t="s">
        <v>78</v>
      </c>
      <c r="L2657" s="3" t="s">
        <v>184</v>
      </c>
      <c r="M2657" s="3" t="s">
        <v>185</v>
      </c>
      <c r="N2657" s="3" t="s">
        <v>234</v>
      </c>
      <c r="O2657" s="3" t="s">
        <v>148</v>
      </c>
      <c r="P2657" s="3" t="str">
        <f>"2170810726                    "</f>
        <v xml:space="preserve">2170810726                    </v>
      </c>
      <c r="Q2657" s="3">
        <v>0</v>
      </c>
      <c r="R2657" s="3">
        <v>0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  <c r="AE2657" s="3">
        <v>0</v>
      </c>
      <c r="AF2657" s="3">
        <v>0</v>
      </c>
      <c r="AG2657" s="3">
        <v>0</v>
      </c>
      <c r="AH2657" s="3">
        <v>0</v>
      </c>
      <c r="AI2657" s="3">
        <v>0</v>
      </c>
      <c r="AJ2657" s="3">
        <v>0</v>
      </c>
      <c r="AK2657" s="3">
        <v>35.54</v>
      </c>
      <c r="AL2657" s="3">
        <v>0</v>
      </c>
      <c r="AM2657" s="3">
        <v>0</v>
      </c>
      <c r="AN2657" s="3">
        <v>0</v>
      </c>
      <c r="AO2657" s="3">
        <v>0</v>
      </c>
      <c r="AP2657" s="3">
        <v>0</v>
      </c>
      <c r="AQ2657" s="3">
        <v>0</v>
      </c>
      <c r="AR2657" s="3">
        <v>0</v>
      </c>
      <c r="AS2657" s="3">
        <v>0</v>
      </c>
      <c r="AT2657" s="3">
        <v>0</v>
      </c>
      <c r="AU2657" s="3">
        <v>0</v>
      </c>
      <c r="AV2657" s="3">
        <v>0</v>
      </c>
      <c r="AW2657" s="3">
        <v>0</v>
      </c>
      <c r="AX2657" s="3">
        <v>0</v>
      </c>
      <c r="AY2657" s="3">
        <v>0</v>
      </c>
      <c r="AZ2657" s="3">
        <v>0</v>
      </c>
      <c r="BA2657" s="3">
        <v>0</v>
      </c>
      <c r="BB2657" s="3">
        <v>0</v>
      </c>
      <c r="BC2657" s="3">
        <v>0</v>
      </c>
      <c r="BD2657" s="3">
        <v>0</v>
      </c>
      <c r="BE2657" s="3">
        <v>0</v>
      </c>
      <c r="BF2657" s="3">
        <v>0</v>
      </c>
      <c r="BG2657" s="3">
        <v>0</v>
      </c>
      <c r="BH2657" s="3">
        <v>1</v>
      </c>
      <c r="BI2657" s="3">
        <v>17</v>
      </c>
      <c r="BJ2657" s="3">
        <v>4.0999999999999996</v>
      </c>
      <c r="BK2657" s="3">
        <v>17</v>
      </c>
      <c r="BL2657" s="3">
        <v>131.93</v>
      </c>
      <c r="BM2657" s="3">
        <v>19.79</v>
      </c>
      <c r="BN2657" s="3">
        <v>151.72</v>
      </c>
      <c r="BO2657" s="3">
        <v>151.72</v>
      </c>
      <c r="BQ2657" s="3" t="s">
        <v>89</v>
      </c>
      <c r="BR2657" s="3" t="s">
        <v>308</v>
      </c>
      <c r="BS2657" s="4">
        <v>44567</v>
      </c>
      <c r="BT2657" s="5">
        <v>0.42291666666666666</v>
      </c>
      <c r="BU2657" s="3" t="s">
        <v>1888</v>
      </c>
      <c r="BV2657" s="3" t="s">
        <v>105</v>
      </c>
      <c r="BY2657" s="3">
        <v>20358</v>
      </c>
      <c r="BZ2657" s="3" t="s">
        <v>327</v>
      </c>
      <c r="CA2657" s="3" t="s">
        <v>612</v>
      </c>
      <c r="CC2657" s="3" t="s">
        <v>185</v>
      </c>
      <c r="CD2657" s="3">
        <v>5201</v>
      </c>
      <c r="CE2657" s="3" t="s">
        <v>86</v>
      </c>
      <c r="CF2657" s="4">
        <v>44567</v>
      </c>
      <c r="CI2657" s="3">
        <v>3</v>
      </c>
      <c r="CJ2657" s="3">
        <v>2</v>
      </c>
      <c r="CK2657" s="3">
        <v>41</v>
      </c>
      <c r="CL2657" s="3" t="s">
        <v>87</v>
      </c>
    </row>
    <row r="2658" spans="1:90" x14ac:dyDescent="0.2">
      <c r="A2658" s="3" t="s">
        <v>72</v>
      </c>
      <c r="B2658" s="3" t="s">
        <v>73</v>
      </c>
      <c r="C2658" s="3" t="s">
        <v>74</v>
      </c>
      <c r="E2658" s="3" t="str">
        <f>"FES1162843614"</f>
        <v>FES1162843614</v>
      </c>
      <c r="F2658" s="4">
        <v>44566</v>
      </c>
      <c r="G2658" s="3">
        <v>202207</v>
      </c>
      <c r="H2658" s="3" t="s">
        <v>75</v>
      </c>
      <c r="I2658" s="3" t="s">
        <v>76</v>
      </c>
      <c r="J2658" s="3" t="s">
        <v>77</v>
      </c>
      <c r="K2658" s="3" t="s">
        <v>78</v>
      </c>
      <c r="L2658" s="3" t="s">
        <v>90</v>
      </c>
      <c r="M2658" s="3" t="s">
        <v>91</v>
      </c>
      <c r="N2658" s="3" t="s">
        <v>157</v>
      </c>
      <c r="O2658" s="3" t="s">
        <v>82</v>
      </c>
      <c r="P2658" s="3" t="str">
        <f>"2170815688                    "</f>
        <v xml:space="preserve">2170815688                    </v>
      </c>
      <c r="Q2658" s="3">
        <v>0</v>
      </c>
      <c r="R2658" s="3">
        <v>0</v>
      </c>
      <c r="S2658" s="3">
        <v>0</v>
      </c>
      <c r="T2658" s="3">
        <v>0</v>
      </c>
      <c r="U2658" s="3">
        <v>0</v>
      </c>
      <c r="V2658" s="3">
        <v>0</v>
      </c>
      <c r="W2658" s="3">
        <v>0</v>
      </c>
      <c r="X2658" s="3">
        <v>0</v>
      </c>
      <c r="Y2658" s="3">
        <v>0</v>
      </c>
      <c r="Z2658" s="3">
        <v>0</v>
      </c>
      <c r="AA2658" s="3">
        <v>0</v>
      </c>
      <c r="AB2658" s="3">
        <v>0</v>
      </c>
      <c r="AC2658" s="3">
        <v>0</v>
      </c>
      <c r="AD2658" s="3">
        <v>0</v>
      </c>
      <c r="AE2658" s="3">
        <v>0</v>
      </c>
      <c r="AF2658" s="3">
        <v>0</v>
      </c>
      <c r="AG2658" s="3">
        <v>0</v>
      </c>
      <c r="AH2658" s="3">
        <v>0</v>
      </c>
      <c r="AI2658" s="3">
        <v>0</v>
      </c>
      <c r="AJ2658" s="3">
        <v>0</v>
      </c>
      <c r="AK2658" s="3">
        <v>15.46</v>
      </c>
      <c r="AL2658" s="3">
        <v>0</v>
      </c>
      <c r="AM2658" s="3">
        <v>0</v>
      </c>
      <c r="AN2658" s="3">
        <v>0</v>
      </c>
      <c r="AO2658" s="3">
        <v>0</v>
      </c>
      <c r="AP2658" s="3">
        <v>0</v>
      </c>
      <c r="AQ2658" s="3">
        <v>0</v>
      </c>
      <c r="AR2658" s="3">
        <v>0</v>
      </c>
      <c r="AS2658" s="3">
        <v>0</v>
      </c>
      <c r="AT2658" s="3">
        <v>0</v>
      </c>
      <c r="AU2658" s="3">
        <v>0</v>
      </c>
      <c r="AV2658" s="3">
        <v>0</v>
      </c>
      <c r="AW2658" s="3">
        <v>0</v>
      </c>
      <c r="AX2658" s="3">
        <v>0</v>
      </c>
      <c r="AY2658" s="3">
        <v>0</v>
      </c>
      <c r="AZ2658" s="3">
        <v>0</v>
      </c>
      <c r="BA2658" s="3">
        <v>0</v>
      </c>
      <c r="BB2658" s="3">
        <v>0</v>
      </c>
      <c r="BC2658" s="3">
        <v>0</v>
      </c>
      <c r="BD2658" s="3">
        <v>0</v>
      </c>
      <c r="BE2658" s="3">
        <v>0</v>
      </c>
      <c r="BF2658" s="3">
        <v>0</v>
      </c>
      <c r="BG2658" s="3">
        <v>0</v>
      </c>
      <c r="BH2658" s="3">
        <v>1</v>
      </c>
      <c r="BI2658" s="3">
        <v>2</v>
      </c>
      <c r="BJ2658" s="3">
        <v>2</v>
      </c>
      <c r="BK2658" s="3">
        <v>2</v>
      </c>
      <c r="BL2658" s="3">
        <v>59</v>
      </c>
      <c r="BM2658" s="3">
        <v>8.85</v>
      </c>
      <c r="BN2658" s="3">
        <v>67.849999999999994</v>
      </c>
      <c r="BO2658" s="3">
        <v>67.849999999999994</v>
      </c>
      <c r="BQ2658" s="3" t="s">
        <v>89</v>
      </c>
      <c r="BR2658" s="3" t="s">
        <v>308</v>
      </c>
      <c r="BS2658" s="4">
        <v>44567</v>
      </c>
      <c r="BT2658" s="5">
        <v>0.37361111111111112</v>
      </c>
      <c r="BU2658" s="3" t="s">
        <v>2564</v>
      </c>
      <c r="BV2658" s="3" t="s">
        <v>105</v>
      </c>
      <c r="BY2658" s="3">
        <v>9918</v>
      </c>
      <c r="BZ2658" s="3" t="s">
        <v>165</v>
      </c>
      <c r="CA2658" s="3" t="s">
        <v>289</v>
      </c>
      <c r="CC2658" s="3" t="s">
        <v>91</v>
      </c>
      <c r="CD2658" s="3">
        <v>7441</v>
      </c>
      <c r="CE2658" s="3" t="s">
        <v>86</v>
      </c>
      <c r="CF2658" s="4">
        <v>44568</v>
      </c>
      <c r="CI2658" s="3">
        <v>1</v>
      </c>
      <c r="CJ2658" s="3">
        <v>1</v>
      </c>
      <c r="CK2658" s="3">
        <v>21</v>
      </c>
      <c r="CL2658" s="3" t="s">
        <v>87</v>
      </c>
    </row>
    <row r="2659" spans="1:90" x14ac:dyDescent="0.2">
      <c r="A2659" s="3" t="s">
        <v>72</v>
      </c>
      <c r="B2659" s="3" t="s">
        <v>73</v>
      </c>
      <c r="C2659" s="3" t="s">
        <v>74</v>
      </c>
      <c r="E2659" s="3" t="str">
        <f>"FES1162843376"</f>
        <v>FES1162843376</v>
      </c>
      <c r="F2659" s="4">
        <v>44565</v>
      </c>
      <c r="G2659" s="3">
        <v>202207</v>
      </c>
      <c r="H2659" s="3" t="s">
        <v>75</v>
      </c>
      <c r="I2659" s="3" t="s">
        <v>76</v>
      </c>
      <c r="J2659" s="3" t="s">
        <v>77</v>
      </c>
      <c r="K2659" s="3" t="s">
        <v>78</v>
      </c>
      <c r="L2659" s="3" t="s">
        <v>90</v>
      </c>
      <c r="M2659" s="3" t="s">
        <v>91</v>
      </c>
      <c r="N2659" s="3" t="s">
        <v>584</v>
      </c>
      <c r="O2659" s="3" t="s">
        <v>148</v>
      </c>
      <c r="P2659" s="3" t="str">
        <f>"2170813397                    "</f>
        <v xml:space="preserve">2170813397                    </v>
      </c>
      <c r="Q2659" s="3">
        <v>0</v>
      </c>
      <c r="R2659" s="3">
        <v>0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  <c r="AE2659" s="3">
        <v>0</v>
      </c>
      <c r="AF2659" s="3">
        <v>0</v>
      </c>
      <c r="AG2659" s="3">
        <v>0</v>
      </c>
      <c r="AH2659" s="3">
        <v>0</v>
      </c>
      <c r="AI2659" s="3">
        <v>0</v>
      </c>
      <c r="AJ2659" s="3">
        <v>0</v>
      </c>
      <c r="AK2659" s="3">
        <v>32.840000000000003</v>
      </c>
      <c r="AL2659" s="3">
        <v>0</v>
      </c>
      <c r="AM2659" s="3">
        <v>0</v>
      </c>
      <c r="AN2659" s="3">
        <v>0</v>
      </c>
      <c r="AO2659" s="3">
        <v>0</v>
      </c>
      <c r="AP2659" s="3">
        <v>0</v>
      </c>
      <c r="AQ2659" s="3">
        <v>0</v>
      </c>
      <c r="AR2659" s="3">
        <v>0</v>
      </c>
      <c r="AS2659" s="3">
        <v>0</v>
      </c>
      <c r="AT2659" s="3">
        <v>0</v>
      </c>
      <c r="AU2659" s="3">
        <v>0</v>
      </c>
      <c r="AV2659" s="3">
        <v>0</v>
      </c>
      <c r="AW2659" s="3">
        <v>0</v>
      </c>
      <c r="AX2659" s="3">
        <v>0</v>
      </c>
      <c r="AY2659" s="3">
        <v>0</v>
      </c>
      <c r="AZ2659" s="3">
        <v>0</v>
      </c>
      <c r="BA2659" s="3">
        <v>0</v>
      </c>
      <c r="BB2659" s="3">
        <v>0</v>
      </c>
      <c r="BC2659" s="3">
        <v>0</v>
      </c>
      <c r="BD2659" s="3">
        <v>0</v>
      </c>
      <c r="BE2659" s="3">
        <v>0</v>
      </c>
      <c r="BF2659" s="3">
        <v>0</v>
      </c>
      <c r="BG2659" s="3">
        <v>0</v>
      </c>
      <c r="BH2659" s="3">
        <v>1</v>
      </c>
      <c r="BI2659" s="3">
        <v>2</v>
      </c>
      <c r="BJ2659" s="3">
        <v>5</v>
      </c>
      <c r="BK2659" s="3">
        <v>5</v>
      </c>
      <c r="BL2659" s="3">
        <v>122.29</v>
      </c>
      <c r="BM2659" s="3">
        <v>18.34</v>
      </c>
      <c r="BN2659" s="3">
        <v>140.63</v>
      </c>
      <c r="BO2659" s="3">
        <v>140.63</v>
      </c>
      <c r="BQ2659" s="3" t="s">
        <v>83</v>
      </c>
      <c r="BR2659" s="3" t="s">
        <v>308</v>
      </c>
      <c r="BS2659" s="4">
        <v>44568</v>
      </c>
      <c r="BT2659" s="5">
        <v>0.34513888888888888</v>
      </c>
      <c r="BU2659" s="3" t="s">
        <v>959</v>
      </c>
      <c r="BV2659" s="3" t="s">
        <v>87</v>
      </c>
      <c r="BW2659" s="3" t="s">
        <v>457</v>
      </c>
      <c r="BX2659" s="3" t="s">
        <v>354</v>
      </c>
      <c r="BY2659" s="3">
        <v>25200</v>
      </c>
      <c r="BZ2659" s="3" t="s">
        <v>327</v>
      </c>
      <c r="CA2659" s="3" t="s">
        <v>543</v>
      </c>
      <c r="CC2659" s="3" t="s">
        <v>91</v>
      </c>
      <c r="CD2659" s="3">
        <v>7530</v>
      </c>
      <c r="CE2659" s="3" t="s">
        <v>86</v>
      </c>
      <c r="CF2659" s="4">
        <v>44571</v>
      </c>
      <c r="CI2659" s="3">
        <v>2</v>
      </c>
      <c r="CJ2659" s="3">
        <v>3</v>
      </c>
      <c r="CK2659" s="3">
        <v>41</v>
      </c>
      <c r="CL2659" s="3" t="s">
        <v>87</v>
      </c>
    </row>
    <row r="2660" spans="1:90" x14ac:dyDescent="0.2">
      <c r="A2660" s="3" t="s">
        <v>72</v>
      </c>
      <c r="B2660" s="3" t="s">
        <v>73</v>
      </c>
      <c r="C2660" s="3" t="s">
        <v>74</v>
      </c>
      <c r="E2660" s="3" t="str">
        <f>"FES1162843333"</f>
        <v>FES1162843333</v>
      </c>
      <c r="F2660" s="4">
        <v>44565</v>
      </c>
      <c r="G2660" s="3">
        <v>202207</v>
      </c>
      <c r="H2660" s="3" t="s">
        <v>75</v>
      </c>
      <c r="I2660" s="3" t="s">
        <v>76</v>
      </c>
      <c r="J2660" s="3" t="s">
        <v>77</v>
      </c>
      <c r="K2660" s="3" t="s">
        <v>78</v>
      </c>
      <c r="L2660" s="3" t="s">
        <v>90</v>
      </c>
      <c r="M2660" s="3" t="s">
        <v>91</v>
      </c>
      <c r="N2660" s="3" t="s">
        <v>735</v>
      </c>
      <c r="O2660" s="3" t="s">
        <v>82</v>
      </c>
      <c r="P2660" s="3" t="str">
        <f>"2170814618                    "</f>
        <v xml:space="preserve">2170814618                    </v>
      </c>
      <c r="Q2660" s="3">
        <v>0</v>
      </c>
      <c r="R2660" s="3">
        <v>0</v>
      </c>
      <c r="S2660" s="3">
        <v>0</v>
      </c>
      <c r="T2660" s="3">
        <v>0</v>
      </c>
      <c r="U2660" s="3">
        <v>0</v>
      </c>
      <c r="V2660" s="3">
        <v>0</v>
      </c>
      <c r="W2660" s="3">
        <v>0</v>
      </c>
      <c r="X2660" s="3">
        <v>0</v>
      </c>
      <c r="Y2660" s="3">
        <v>0</v>
      </c>
      <c r="Z2660" s="3">
        <v>0</v>
      </c>
      <c r="AA2660" s="3">
        <v>0</v>
      </c>
      <c r="AB2660" s="3">
        <v>0</v>
      </c>
      <c r="AC2660" s="3">
        <v>0</v>
      </c>
      <c r="AD2660" s="3">
        <v>0</v>
      </c>
      <c r="AE2660" s="3">
        <v>0</v>
      </c>
      <c r="AF2660" s="3">
        <v>0</v>
      </c>
      <c r="AG2660" s="3">
        <v>0</v>
      </c>
      <c r="AH2660" s="3">
        <v>0</v>
      </c>
      <c r="AI2660" s="3">
        <v>0</v>
      </c>
      <c r="AJ2660" s="3">
        <v>0</v>
      </c>
      <c r="AK2660" s="3">
        <v>16.98</v>
      </c>
      <c r="AL2660" s="3">
        <v>0</v>
      </c>
      <c r="AM2660" s="3">
        <v>0</v>
      </c>
      <c r="AN2660" s="3">
        <v>0</v>
      </c>
      <c r="AO2660" s="3">
        <v>0</v>
      </c>
      <c r="AP2660" s="3">
        <v>0</v>
      </c>
      <c r="AQ2660" s="3">
        <v>0</v>
      </c>
      <c r="AR2660" s="3">
        <v>0</v>
      </c>
      <c r="AS2660" s="3">
        <v>0</v>
      </c>
      <c r="AT2660" s="3">
        <v>0</v>
      </c>
      <c r="AU2660" s="3">
        <v>0</v>
      </c>
      <c r="AV2660" s="3">
        <v>0</v>
      </c>
      <c r="AW2660" s="3">
        <v>0</v>
      </c>
      <c r="AX2660" s="3">
        <v>0</v>
      </c>
      <c r="AY2660" s="3">
        <v>0</v>
      </c>
      <c r="AZ2660" s="3">
        <v>0</v>
      </c>
      <c r="BA2660" s="3">
        <v>0</v>
      </c>
      <c r="BB2660" s="3">
        <v>0</v>
      </c>
      <c r="BC2660" s="3">
        <v>0</v>
      </c>
      <c r="BD2660" s="3">
        <v>0</v>
      </c>
      <c r="BE2660" s="3">
        <v>0</v>
      </c>
      <c r="BF2660" s="3">
        <v>0</v>
      </c>
      <c r="BG2660" s="3">
        <v>0</v>
      </c>
      <c r="BH2660" s="3">
        <v>1</v>
      </c>
      <c r="BI2660" s="3">
        <v>1</v>
      </c>
      <c r="BJ2660" s="3">
        <v>0.2</v>
      </c>
      <c r="BK2660" s="3">
        <v>1</v>
      </c>
      <c r="BL2660" s="3">
        <v>60.52</v>
      </c>
      <c r="BM2660" s="3">
        <v>9.08</v>
      </c>
      <c r="BN2660" s="3">
        <v>69.599999999999994</v>
      </c>
      <c r="BO2660" s="3">
        <v>69.599999999999994</v>
      </c>
      <c r="BQ2660" s="3" t="s">
        <v>273</v>
      </c>
      <c r="BR2660" s="3" t="s">
        <v>308</v>
      </c>
      <c r="BS2660" s="4">
        <v>44566</v>
      </c>
      <c r="BT2660" s="5">
        <v>0.3125</v>
      </c>
      <c r="BU2660" s="3" t="s">
        <v>2565</v>
      </c>
      <c r="BV2660" s="3" t="s">
        <v>105</v>
      </c>
      <c r="BY2660" s="3">
        <v>1200</v>
      </c>
      <c r="BZ2660" s="3" t="s">
        <v>165</v>
      </c>
      <c r="CA2660" s="3" t="s">
        <v>566</v>
      </c>
      <c r="CC2660" s="3" t="s">
        <v>91</v>
      </c>
      <c r="CD2660" s="3">
        <v>7460</v>
      </c>
      <c r="CE2660" s="3" t="s">
        <v>93</v>
      </c>
      <c r="CF2660" s="4">
        <v>44567</v>
      </c>
      <c r="CI2660" s="3">
        <v>1</v>
      </c>
      <c r="CJ2660" s="3">
        <v>1</v>
      </c>
      <c r="CK2660" s="3">
        <v>21</v>
      </c>
      <c r="CL2660" s="3" t="s">
        <v>87</v>
      </c>
    </row>
    <row r="2661" spans="1:90" x14ac:dyDescent="0.2">
      <c r="A2661" s="3" t="s">
        <v>72</v>
      </c>
      <c r="B2661" s="3" t="s">
        <v>73</v>
      </c>
      <c r="C2661" s="3" t="s">
        <v>74</v>
      </c>
      <c r="E2661" s="3" t="str">
        <f>"FES1162843460"</f>
        <v>FES1162843460</v>
      </c>
      <c r="F2661" s="4">
        <v>44565</v>
      </c>
      <c r="G2661" s="3">
        <v>202207</v>
      </c>
      <c r="H2661" s="3" t="s">
        <v>75</v>
      </c>
      <c r="I2661" s="3" t="s">
        <v>76</v>
      </c>
      <c r="J2661" s="3" t="s">
        <v>77</v>
      </c>
      <c r="K2661" s="3" t="s">
        <v>78</v>
      </c>
      <c r="L2661" s="3" t="s">
        <v>75</v>
      </c>
      <c r="M2661" s="3" t="s">
        <v>76</v>
      </c>
      <c r="N2661" s="3" t="s">
        <v>153</v>
      </c>
      <c r="O2661" s="3" t="s">
        <v>82</v>
      </c>
      <c r="P2661" s="3" t="str">
        <f>"2170813929                    "</f>
        <v xml:space="preserve">2170813929                    </v>
      </c>
      <c r="Q2661" s="3">
        <v>0</v>
      </c>
      <c r="R2661" s="3">
        <v>0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  <c r="AE2661" s="3">
        <v>0</v>
      </c>
      <c r="AF2661" s="3">
        <v>0</v>
      </c>
      <c r="AG2661" s="3">
        <v>0</v>
      </c>
      <c r="AH2661" s="3">
        <v>0</v>
      </c>
      <c r="AI2661" s="3">
        <v>0</v>
      </c>
      <c r="AJ2661" s="3">
        <v>0</v>
      </c>
      <c r="AK2661" s="3">
        <v>13.26</v>
      </c>
      <c r="AL2661" s="3">
        <v>0</v>
      </c>
      <c r="AM2661" s="3">
        <v>0</v>
      </c>
      <c r="AN2661" s="3">
        <v>0</v>
      </c>
      <c r="AO2661" s="3">
        <v>0</v>
      </c>
      <c r="AP2661" s="3">
        <v>0</v>
      </c>
      <c r="AQ2661" s="3">
        <v>0</v>
      </c>
      <c r="AR2661" s="3">
        <v>0</v>
      </c>
      <c r="AS2661" s="3">
        <v>0</v>
      </c>
      <c r="AT2661" s="3">
        <v>0</v>
      </c>
      <c r="AU2661" s="3">
        <v>0</v>
      </c>
      <c r="AV2661" s="3">
        <v>0</v>
      </c>
      <c r="AW2661" s="3">
        <v>0</v>
      </c>
      <c r="AX2661" s="3">
        <v>0</v>
      </c>
      <c r="AY2661" s="3">
        <v>0</v>
      </c>
      <c r="AZ2661" s="3">
        <v>0</v>
      </c>
      <c r="BA2661" s="3">
        <v>0</v>
      </c>
      <c r="BB2661" s="3">
        <v>0</v>
      </c>
      <c r="BC2661" s="3">
        <v>0</v>
      </c>
      <c r="BD2661" s="3">
        <v>0</v>
      </c>
      <c r="BE2661" s="3">
        <v>0</v>
      </c>
      <c r="BF2661" s="3">
        <v>0</v>
      </c>
      <c r="BG2661" s="3">
        <v>0</v>
      </c>
      <c r="BH2661" s="3">
        <v>1</v>
      </c>
      <c r="BI2661" s="3">
        <v>1</v>
      </c>
      <c r="BJ2661" s="3">
        <v>0.2</v>
      </c>
      <c r="BK2661" s="3">
        <v>1</v>
      </c>
      <c r="BL2661" s="3">
        <v>47.27</v>
      </c>
      <c r="BM2661" s="3">
        <v>7.09</v>
      </c>
      <c r="BN2661" s="3">
        <v>54.36</v>
      </c>
      <c r="BO2661" s="3">
        <v>54.36</v>
      </c>
      <c r="BR2661" s="3" t="s">
        <v>308</v>
      </c>
      <c r="BS2661" s="4">
        <v>44566</v>
      </c>
      <c r="BT2661" s="5">
        <v>0.3833333333333333</v>
      </c>
      <c r="BU2661" s="3" t="s">
        <v>2566</v>
      </c>
      <c r="BV2661" s="3" t="s">
        <v>105</v>
      </c>
      <c r="BY2661" s="3">
        <v>1200</v>
      </c>
      <c r="BZ2661" s="3" t="s">
        <v>165</v>
      </c>
      <c r="CA2661" s="3" t="s">
        <v>227</v>
      </c>
      <c r="CC2661" s="3" t="s">
        <v>76</v>
      </c>
      <c r="CD2661" s="3">
        <v>1600</v>
      </c>
      <c r="CE2661" s="3" t="s">
        <v>93</v>
      </c>
      <c r="CF2661" s="4">
        <v>44566</v>
      </c>
      <c r="CI2661" s="3">
        <v>1</v>
      </c>
      <c r="CJ2661" s="3">
        <v>1</v>
      </c>
      <c r="CK2661" s="3">
        <v>22</v>
      </c>
      <c r="CL2661" s="3" t="s">
        <v>87</v>
      </c>
    </row>
    <row r="2662" spans="1:90" x14ac:dyDescent="0.2">
      <c r="A2662" s="3" t="s">
        <v>72</v>
      </c>
      <c r="B2662" s="3" t="s">
        <v>73</v>
      </c>
      <c r="C2662" s="3" t="s">
        <v>74</v>
      </c>
      <c r="E2662" s="3" t="str">
        <f>"FES1162843475"</f>
        <v>FES1162843475</v>
      </c>
      <c r="F2662" s="4">
        <v>44565</v>
      </c>
      <c r="G2662" s="3">
        <v>202207</v>
      </c>
      <c r="H2662" s="3" t="s">
        <v>75</v>
      </c>
      <c r="I2662" s="3" t="s">
        <v>76</v>
      </c>
      <c r="J2662" s="3" t="s">
        <v>77</v>
      </c>
      <c r="K2662" s="3" t="s">
        <v>78</v>
      </c>
      <c r="L2662" s="3" t="s">
        <v>167</v>
      </c>
      <c r="M2662" s="3" t="s">
        <v>168</v>
      </c>
      <c r="N2662" s="3" t="s">
        <v>169</v>
      </c>
      <c r="O2662" s="3" t="s">
        <v>82</v>
      </c>
      <c r="P2662" s="3" t="str">
        <f>"2170814376                    "</f>
        <v xml:space="preserve">2170814376                    </v>
      </c>
      <c r="Q2662" s="3">
        <v>0</v>
      </c>
      <c r="R2662" s="3">
        <v>0</v>
      </c>
      <c r="S2662" s="3">
        <v>0</v>
      </c>
      <c r="T2662" s="3">
        <v>0</v>
      </c>
      <c r="U2662" s="3">
        <v>0</v>
      </c>
      <c r="V2662" s="3">
        <v>0</v>
      </c>
      <c r="W2662" s="3">
        <v>0</v>
      </c>
      <c r="X2662" s="3">
        <v>0</v>
      </c>
      <c r="Y2662" s="3">
        <v>0</v>
      </c>
      <c r="Z2662" s="3">
        <v>0</v>
      </c>
      <c r="AA2662" s="3">
        <v>0</v>
      </c>
      <c r="AB2662" s="3">
        <v>0</v>
      </c>
      <c r="AC2662" s="3">
        <v>0</v>
      </c>
      <c r="AD2662" s="3">
        <v>0</v>
      </c>
      <c r="AE2662" s="3">
        <v>0</v>
      </c>
      <c r="AF2662" s="3">
        <v>0</v>
      </c>
      <c r="AG2662" s="3">
        <v>0</v>
      </c>
      <c r="AH2662" s="3">
        <v>0</v>
      </c>
      <c r="AI2662" s="3">
        <v>0</v>
      </c>
      <c r="AJ2662" s="3">
        <v>0</v>
      </c>
      <c r="AK2662" s="3">
        <v>16.98</v>
      </c>
      <c r="AL2662" s="3">
        <v>0</v>
      </c>
      <c r="AM2662" s="3">
        <v>0</v>
      </c>
      <c r="AN2662" s="3">
        <v>0</v>
      </c>
      <c r="AO2662" s="3">
        <v>0</v>
      </c>
      <c r="AP2662" s="3">
        <v>0</v>
      </c>
      <c r="AQ2662" s="3">
        <v>0</v>
      </c>
      <c r="AR2662" s="3">
        <v>0</v>
      </c>
      <c r="AS2662" s="3">
        <v>0</v>
      </c>
      <c r="AT2662" s="3">
        <v>0</v>
      </c>
      <c r="AU2662" s="3">
        <v>0</v>
      </c>
      <c r="AV2662" s="3">
        <v>0</v>
      </c>
      <c r="AW2662" s="3">
        <v>0</v>
      </c>
      <c r="AX2662" s="3">
        <v>0</v>
      </c>
      <c r="AY2662" s="3">
        <v>0</v>
      </c>
      <c r="AZ2662" s="3">
        <v>0</v>
      </c>
      <c r="BA2662" s="3">
        <v>0</v>
      </c>
      <c r="BB2662" s="3">
        <v>0</v>
      </c>
      <c r="BC2662" s="3">
        <v>0</v>
      </c>
      <c r="BD2662" s="3">
        <v>0</v>
      </c>
      <c r="BE2662" s="3">
        <v>0</v>
      </c>
      <c r="BF2662" s="3">
        <v>0</v>
      </c>
      <c r="BG2662" s="3">
        <v>0</v>
      </c>
      <c r="BH2662" s="3">
        <v>1</v>
      </c>
      <c r="BI2662" s="3">
        <v>1</v>
      </c>
      <c r="BJ2662" s="3">
        <v>0.2</v>
      </c>
      <c r="BK2662" s="3">
        <v>1</v>
      </c>
      <c r="BL2662" s="3">
        <v>60.52</v>
      </c>
      <c r="BM2662" s="3">
        <v>9.08</v>
      </c>
      <c r="BN2662" s="3">
        <v>69.599999999999994</v>
      </c>
      <c r="BO2662" s="3">
        <v>69.599999999999994</v>
      </c>
      <c r="BQ2662" s="3" t="s">
        <v>83</v>
      </c>
      <c r="BR2662" s="3" t="s">
        <v>308</v>
      </c>
      <c r="BS2662" s="4">
        <v>44566</v>
      </c>
      <c r="BT2662" s="5">
        <v>0.43888888888888888</v>
      </c>
      <c r="BU2662" s="3" t="s">
        <v>2567</v>
      </c>
      <c r="BV2662" s="3" t="s">
        <v>87</v>
      </c>
      <c r="BW2662" s="3" t="s">
        <v>457</v>
      </c>
      <c r="BX2662" s="3" t="s">
        <v>2558</v>
      </c>
      <c r="BY2662" s="3">
        <v>1200</v>
      </c>
      <c r="BZ2662" s="3" t="s">
        <v>165</v>
      </c>
      <c r="CA2662" s="3" t="s">
        <v>263</v>
      </c>
      <c r="CC2662" s="3" t="s">
        <v>168</v>
      </c>
      <c r="CD2662" s="3">
        <v>6220</v>
      </c>
      <c r="CE2662" s="3" t="s">
        <v>93</v>
      </c>
      <c r="CF2662" s="4">
        <v>44566</v>
      </c>
      <c r="CI2662" s="3">
        <v>1</v>
      </c>
      <c r="CJ2662" s="3">
        <v>1</v>
      </c>
      <c r="CK2662" s="3">
        <v>21</v>
      </c>
      <c r="CL2662" s="3" t="s">
        <v>87</v>
      </c>
    </row>
    <row r="2663" spans="1:90" x14ac:dyDescent="0.2">
      <c r="A2663" s="3" t="s">
        <v>72</v>
      </c>
      <c r="B2663" s="3" t="s">
        <v>73</v>
      </c>
      <c r="C2663" s="3" t="s">
        <v>74</v>
      </c>
      <c r="E2663" s="3" t="str">
        <f>"FES1162843193"</f>
        <v>FES1162843193</v>
      </c>
      <c r="F2663" s="4">
        <v>44564</v>
      </c>
      <c r="G2663" s="3">
        <v>202207</v>
      </c>
      <c r="H2663" s="3" t="s">
        <v>75</v>
      </c>
      <c r="I2663" s="3" t="s">
        <v>76</v>
      </c>
      <c r="J2663" s="3" t="s">
        <v>77</v>
      </c>
      <c r="K2663" s="3" t="s">
        <v>78</v>
      </c>
      <c r="L2663" s="3" t="s">
        <v>79</v>
      </c>
      <c r="M2663" s="3" t="s">
        <v>80</v>
      </c>
      <c r="N2663" s="3" t="s">
        <v>740</v>
      </c>
      <c r="O2663" s="3" t="s">
        <v>82</v>
      </c>
      <c r="P2663" s="3" t="str">
        <f>"2170813031                    "</f>
        <v xml:space="preserve">2170813031                    </v>
      </c>
      <c r="Q2663" s="3">
        <v>0</v>
      </c>
      <c r="R2663" s="3">
        <v>0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  <c r="AE2663" s="3">
        <v>0</v>
      </c>
      <c r="AF2663" s="3">
        <v>0</v>
      </c>
      <c r="AG2663" s="3">
        <v>0</v>
      </c>
      <c r="AH2663" s="3">
        <v>0</v>
      </c>
      <c r="AI2663" s="3">
        <v>0</v>
      </c>
      <c r="AJ2663" s="3">
        <v>0</v>
      </c>
      <c r="AK2663" s="3">
        <v>16.98</v>
      </c>
      <c r="AL2663" s="3">
        <v>0</v>
      </c>
      <c r="AM2663" s="3">
        <v>0</v>
      </c>
      <c r="AN2663" s="3">
        <v>0</v>
      </c>
      <c r="AO2663" s="3">
        <v>0</v>
      </c>
      <c r="AP2663" s="3">
        <v>0</v>
      </c>
      <c r="AQ2663" s="3">
        <v>0</v>
      </c>
      <c r="AR2663" s="3">
        <v>0</v>
      </c>
      <c r="AS2663" s="3">
        <v>0</v>
      </c>
      <c r="AT2663" s="3">
        <v>0</v>
      </c>
      <c r="AU2663" s="3">
        <v>0</v>
      </c>
      <c r="AV2663" s="3">
        <v>0</v>
      </c>
      <c r="AW2663" s="3">
        <v>0</v>
      </c>
      <c r="AX2663" s="3">
        <v>0</v>
      </c>
      <c r="AY2663" s="3">
        <v>0</v>
      </c>
      <c r="AZ2663" s="3">
        <v>0</v>
      </c>
      <c r="BA2663" s="3">
        <v>0</v>
      </c>
      <c r="BB2663" s="3">
        <v>0</v>
      </c>
      <c r="BC2663" s="3">
        <v>0</v>
      </c>
      <c r="BD2663" s="3">
        <v>0</v>
      </c>
      <c r="BE2663" s="3">
        <v>0</v>
      </c>
      <c r="BF2663" s="3">
        <v>0</v>
      </c>
      <c r="BG2663" s="3">
        <v>0</v>
      </c>
      <c r="BH2663" s="3">
        <v>1</v>
      </c>
      <c r="BI2663" s="3">
        <v>1</v>
      </c>
      <c r="BJ2663" s="3">
        <v>0.9</v>
      </c>
      <c r="BK2663" s="3">
        <v>1</v>
      </c>
      <c r="BL2663" s="3">
        <v>60.52</v>
      </c>
      <c r="BM2663" s="3">
        <v>9.08</v>
      </c>
      <c r="BN2663" s="3">
        <v>69.599999999999994</v>
      </c>
      <c r="BO2663" s="3">
        <v>69.599999999999994</v>
      </c>
      <c r="BQ2663" s="3" t="s">
        <v>126</v>
      </c>
      <c r="BR2663" s="3" t="s">
        <v>308</v>
      </c>
      <c r="BS2663" s="4">
        <v>44565</v>
      </c>
      <c r="BT2663" s="5">
        <v>0.41666666666666669</v>
      </c>
      <c r="BU2663" s="3" t="s">
        <v>2152</v>
      </c>
      <c r="BV2663" s="3" t="s">
        <v>105</v>
      </c>
      <c r="BY2663" s="3">
        <v>4275</v>
      </c>
      <c r="BZ2663" s="3" t="s">
        <v>165</v>
      </c>
      <c r="CA2663" s="3" t="s">
        <v>366</v>
      </c>
      <c r="CC2663" s="3" t="s">
        <v>80</v>
      </c>
      <c r="CD2663" s="3">
        <v>200</v>
      </c>
      <c r="CE2663" s="3" t="s">
        <v>86</v>
      </c>
      <c r="CF2663" s="4">
        <v>44565</v>
      </c>
      <c r="CI2663" s="3">
        <v>1</v>
      </c>
      <c r="CJ2663" s="3">
        <v>1</v>
      </c>
      <c r="CK2663" s="3">
        <v>21</v>
      </c>
      <c r="CL2663" s="3" t="s">
        <v>87</v>
      </c>
    </row>
    <row r="2664" spans="1:90" x14ac:dyDescent="0.2">
      <c r="A2664" s="3" t="s">
        <v>72</v>
      </c>
      <c r="B2664" s="3" t="s">
        <v>73</v>
      </c>
      <c r="C2664" s="3" t="s">
        <v>74</v>
      </c>
      <c r="E2664" s="3" t="str">
        <f>"FES1162843660"</f>
        <v>FES1162843660</v>
      </c>
      <c r="F2664" s="4">
        <v>44566</v>
      </c>
      <c r="G2664" s="3">
        <v>202207</v>
      </c>
      <c r="H2664" s="3" t="s">
        <v>75</v>
      </c>
      <c r="I2664" s="3" t="s">
        <v>76</v>
      </c>
      <c r="J2664" s="3" t="s">
        <v>77</v>
      </c>
      <c r="K2664" s="3" t="s">
        <v>78</v>
      </c>
      <c r="L2664" s="3" t="s">
        <v>115</v>
      </c>
      <c r="M2664" s="3" t="s">
        <v>116</v>
      </c>
      <c r="N2664" s="3" t="s">
        <v>419</v>
      </c>
      <c r="O2664" s="3" t="s">
        <v>82</v>
      </c>
      <c r="P2664" s="3" t="str">
        <f>"2170813771                    "</f>
        <v xml:space="preserve">2170813771                    </v>
      </c>
      <c r="Q2664" s="3">
        <v>0</v>
      </c>
      <c r="R2664" s="3">
        <v>0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  <c r="AE2664" s="3">
        <v>0</v>
      </c>
      <c r="AF2664" s="3">
        <v>0</v>
      </c>
      <c r="AG2664" s="3">
        <v>0</v>
      </c>
      <c r="AH2664" s="3">
        <v>0</v>
      </c>
      <c r="AI2664" s="3">
        <v>0</v>
      </c>
      <c r="AJ2664" s="3">
        <v>0</v>
      </c>
      <c r="AK2664" s="3">
        <v>12.07</v>
      </c>
      <c r="AL2664" s="3">
        <v>0</v>
      </c>
      <c r="AM2664" s="3">
        <v>0</v>
      </c>
      <c r="AN2664" s="3">
        <v>0</v>
      </c>
      <c r="AO2664" s="3">
        <v>0</v>
      </c>
      <c r="AP2664" s="3">
        <v>0</v>
      </c>
      <c r="AQ2664" s="3">
        <v>0</v>
      </c>
      <c r="AR2664" s="3">
        <v>0</v>
      </c>
      <c r="AS2664" s="3">
        <v>0</v>
      </c>
      <c r="AT2664" s="3">
        <v>0</v>
      </c>
      <c r="AU2664" s="3">
        <v>0</v>
      </c>
      <c r="AV2664" s="3">
        <v>0</v>
      </c>
      <c r="AW2664" s="3">
        <v>0</v>
      </c>
      <c r="AX2664" s="3">
        <v>0</v>
      </c>
      <c r="AY2664" s="3">
        <v>0</v>
      </c>
      <c r="AZ2664" s="3">
        <v>0</v>
      </c>
      <c r="BA2664" s="3">
        <v>0</v>
      </c>
      <c r="BB2664" s="3">
        <v>0</v>
      </c>
      <c r="BC2664" s="3">
        <v>0</v>
      </c>
      <c r="BD2664" s="3">
        <v>0</v>
      </c>
      <c r="BE2664" s="3">
        <v>0</v>
      </c>
      <c r="BF2664" s="3">
        <v>0</v>
      </c>
      <c r="BG2664" s="3">
        <v>0</v>
      </c>
      <c r="BH2664" s="3">
        <v>1</v>
      </c>
      <c r="BI2664" s="3">
        <v>1</v>
      </c>
      <c r="BJ2664" s="3">
        <v>0.2</v>
      </c>
      <c r="BK2664" s="3">
        <v>1</v>
      </c>
      <c r="BL2664" s="3">
        <v>46.08</v>
      </c>
      <c r="BM2664" s="3">
        <v>6.91</v>
      </c>
      <c r="BN2664" s="3">
        <v>52.99</v>
      </c>
      <c r="BO2664" s="3">
        <v>52.99</v>
      </c>
      <c r="BQ2664" s="3" t="s">
        <v>89</v>
      </c>
      <c r="BR2664" s="3" t="s">
        <v>364</v>
      </c>
      <c r="BS2664" s="4">
        <v>44567</v>
      </c>
      <c r="BT2664" s="5">
        <v>0.40416666666666662</v>
      </c>
      <c r="BU2664" s="3" t="s">
        <v>836</v>
      </c>
      <c r="BV2664" s="3" t="s">
        <v>105</v>
      </c>
      <c r="BY2664" s="3">
        <v>1200</v>
      </c>
      <c r="BZ2664" s="3" t="s">
        <v>165</v>
      </c>
      <c r="CA2664" s="3" t="s">
        <v>119</v>
      </c>
      <c r="CC2664" s="3" t="s">
        <v>116</v>
      </c>
      <c r="CD2664" s="3">
        <v>1559</v>
      </c>
      <c r="CE2664" s="3" t="s">
        <v>93</v>
      </c>
      <c r="CF2664" s="4">
        <v>44567</v>
      </c>
      <c r="CI2664" s="3">
        <v>1</v>
      </c>
      <c r="CJ2664" s="3">
        <v>1</v>
      </c>
      <c r="CK2664" s="3">
        <v>22</v>
      </c>
      <c r="CL2664" s="3" t="s">
        <v>87</v>
      </c>
    </row>
    <row r="2665" spans="1:90" x14ac:dyDescent="0.2">
      <c r="A2665" s="3" t="s">
        <v>72</v>
      </c>
      <c r="B2665" s="3" t="s">
        <v>73</v>
      </c>
      <c r="C2665" s="3" t="s">
        <v>74</v>
      </c>
      <c r="E2665" s="3" t="str">
        <f>"FES1162843375"</f>
        <v>FES1162843375</v>
      </c>
      <c r="F2665" s="4">
        <v>44565</v>
      </c>
      <c r="G2665" s="3">
        <v>202207</v>
      </c>
      <c r="H2665" s="3" t="s">
        <v>75</v>
      </c>
      <c r="I2665" s="3" t="s">
        <v>76</v>
      </c>
      <c r="J2665" s="3" t="s">
        <v>77</v>
      </c>
      <c r="K2665" s="3" t="s">
        <v>78</v>
      </c>
      <c r="L2665" s="3" t="s">
        <v>90</v>
      </c>
      <c r="M2665" s="3" t="s">
        <v>91</v>
      </c>
      <c r="N2665" s="3" t="s">
        <v>157</v>
      </c>
      <c r="O2665" s="3" t="s">
        <v>82</v>
      </c>
      <c r="P2665" s="3" t="str">
        <f>"2170813364                    "</f>
        <v xml:space="preserve">2170813364                    </v>
      </c>
      <c r="Q2665" s="3">
        <v>0</v>
      </c>
      <c r="R2665" s="3">
        <v>0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  <c r="AE2665" s="3">
        <v>0</v>
      </c>
      <c r="AF2665" s="3">
        <v>0</v>
      </c>
      <c r="AG2665" s="3">
        <v>0</v>
      </c>
      <c r="AH2665" s="3">
        <v>0</v>
      </c>
      <c r="AI2665" s="3">
        <v>0</v>
      </c>
      <c r="AJ2665" s="3">
        <v>0</v>
      </c>
      <c r="AK2665" s="3">
        <v>38.200000000000003</v>
      </c>
      <c r="AL2665" s="3">
        <v>0</v>
      </c>
      <c r="AM2665" s="3">
        <v>0</v>
      </c>
      <c r="AN2665" s="3">
        <v>0</v>
      </c>
      <c r="AO2665" s="3">
        <v>0</v>
      </c>
      <c r="AP2665" s="3">
        <v>0</v>
      </c>
      <c r="AQ2665" s="3">
        <v>0</v>
      </c>
      <c r="AR2665" s="3">
        <v>0</v>
      </c>
      <c r="AS2665" s="3">
        <v>0</v>
      </c>
      <c r="AT2665" s="3">
        <v>0</v>
      </c>
      <c r="AU2665" s="3">
        <v>0</v>
      </c>
      <c r="AV2665" s="3">
        <v>0</v>
      </c>
      <c r="AW2665" s="3">
        <v>0</v>
      </c>
      <c r="AX2665" s="3">
        <v>0</v>
      </c>
      <c r="AY2665" s="3">
        <v>0</v>
      </c>
      <c r="AZ2665" s="3">
        <v>0</v>
      </c>
      <c r="BA2665" s="3">
        <v>0</v>
      </c>
      <c r="BB2665" s="3">
        <v>0</v>
      </c>
      <c r="BC2665" s="3">
        <v>0</v>
      </c>
      <c r="BD2665" s="3">
        <v>0</v>
      </c>
      <c r="BE2665" s="3">
        <v>0</v>
      </c>
      <c r="BF2665" s="3">
        <v>0</v>
      </c>
      <c r="BG2665" s="3">
        <v>0</v>
      </c>
      <c r="BH2665" s="3">
        <v>1</v>
      </c>
      <c r="BI2665" s="3">
        <v>1</v>
      </c>
      <c r="BJ2665" s="3">
        <v>4.0999999999999996</v>
      </c>
      <c r="BK2665" s="3">
        <v>4.5</v>
      </c>
      <c r="BL2665" s="3">
        <v>136.13999999999999</v>
      </c>
      <c r="BM2665" s="3">
        <v>20.420000000000002</v>
      </c>
      <c r="BN2665" s="3">
        <v>156.56</v>
      </c>
      <c r="BO2665" s="3">
        <v>156.56</v>
      </c>
      <c r="BQ2665" s="3" t="s">
        <v>89</v>
      </c>
      <c r="BR2665" s="3" t="s">
        <v>308</v>
      </c>
      <c r="BS2665" s="4">
        <v>44566</v>
      </c>
      <c r="BT2665" s="5">
        <v>0.31597222222222221</v>
      </c>
      <c r="BU2665" s="3" t="s">
        <v>1999</v>
      </c>
      <c r="BV2665" s="3" t="s">
        <v>105</v>
      </c>
      <c r="BY2665" s="3">
        <v>20358</v>
      </c>
      <c r="BZ2665" s="3" t="s">
        <v>165</v>
      </c>
      <c r="CA2665" s="3" t="s">
        <v>692</v>
      </c>
      <c r="CC2665" s="3" t="s">
        <v>91</v>
      </c>
      <c r="CD2665" s="3">
        <v>7441</v>
      </c>
      <c r="CE2665" s="3" t="s">
        <v>86</v>
      </c>
      <c r="CF2665" s="4">
        <v>44567</v>
      </c>
      <c r="CI2665" s="3">
        <v>1</v>
      </c>
      <c r="CJ2665" s="3">
        <v>1</v>
      </c>
      <c r="CK2665" s="3">
        <v>21</v>
      </c>
      <c r="CL2665" s="3" t="s">
        <v>87</v>
      </c>
    </row>
    <row r="2666" spans="1:90" x14ac:dyDescent="0.2">
      <c r="A2666" s="3" t="s">
        <v>72</v>
      </c>
      <c r="B2666" s="3" t="s">
        <v>73</v>
      </c>
      <c r="C2666" s="3" t="s">
        <v>74</v>
      </c>
      <c r="E2666" s="3" t="str">
        <f>"FES1162843580"</f>
        <v>FES1162843580</v>
      </c>
      <c r="F2666" s="4">
        <v>44566</v>
      </c>
      <c r="G2666" s="3">
        <v>202207</v>
      </c>
      <c r="H2666" s="3" t="s">
        <v>75</v>
      </c>
      <c r="I2666" s="3" t="s">
        <v>76</v>
      </c>
      <c r="J2666" s="3" t="s">
        <v>77</v>
      </c>
      <c r="K2666" s="3" t="s">
        <v>78</v>
      </c>
      <c r="L2666" s="3" t="s">
        <v>195</v>
      </c>
      <c r="M2666" s="3" t="s">
        <v>196</v>
      </c>
      <c r="N2666" s="3" t="s">
        <v>197</v>
      </c>
      <c r="O2666" s="3" t="s">
        <v>82</v>
      </c>
      <c r="P2666" s="3" t="str">
        <f>"2170812574                    "</f>
        <v xml:space="preserve">2170812574                    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  <c r="AE2666" s="3">
        <v>0</v>
      </c>
      <c r="AF2666" s="3">
        <v>0</v>
      </c>
      <c r="AG2666" s="3">
        <v>0</v>
      </c>
      <c r="AH2666" s="3">
        <v>0</v>
      </c>
      <c r="AI2666" s="3">
        <v>0</v>
      </c>
      <c r="AJ2666" s="3">
        <v>0</v>
      </c>
      <c r="AK2666" s="3">
        <v>34.770000000000003</v>
      </c>
      <c r="AL2666" s="3">
        <v>0</v>
      </c>
      <c r="AM2666" s="3">
        <v>0</v>
      </c>
      <c r="AN2666" s="3">
        <v>0</v>
      </c>
      <c r="AO2666" s="3">
        <v>0</v>
      </c>
      <c r="AP2666" s="3">
        <v>0</v>
      </c>
      <c r="AQ2666" s="3">
        <v>0</v>
      </c>
      <c r="AR2666" s="3">
        <v>0</v>
      </c>
      <c r="AS2666" s="3">
        <v>0</v>
      </c>
      <c r="AT2666" s="3">
        <v>0</v>
      </c>
      <c r="AU2666" s="3">
        <v>0</v>
      </c>
      <c r="AV2666" s="3">
        <v>0</v>
      </c>
      <c r="AW2666" s="3">
        <v>0</v>
      </c>
      <c r="AX2666" s="3">
        <v>0</v>
      </c>
      <c r="AY2666" s="3">
        <v>0</v>
      </c>
      <c r="AZ2666" s="3">
        <v>0</v>
      </c>
      <c r="BA2666" s="3">
        <v>0</v>
      </c>
      <c r="BB2666" s="3">
        <v>0</v>
      </c>
      <c r="BC2666" s="3">
        <v>0</v>
      </c>
      <c r="BD2666" s="3">
        <v>0</v>
      </c>
      <c r="BE2666" s="3">
        <v>0</v>
      </c>
      <c r="BF2666" s="3">
        <v>0</v>
      </c>
      <c r="BG2666" s="3">
        <v>0</v>
      </c>
      <c r="BH2666" s="3">
        <v>1</v>
      </c>
      <c r="BI2666" s="3">
        <v>4</v>
      </c>
      <c r="BJ2666" s="3">
        <v>4.0999999999999996</v>
      </c>
      <c r="BK2666" s="3">
        <v>4.5</v>
      </c>
      <c r="BL2666" s="3">
        <v>132.71</v>
      </c>
      <c r="BM2666" s="3">
        <v>19.91</v>
      </c>
      <c r="BN2666" s="3">
        <v>152.62</v>
      </c>
      <c r="BO2666" s="3">
        <v>152.62</v>
      </c>
      <c r="BQ2666" s="3" t="s">
        <v>89</v>
      </c>
      <c r="BR2666" s="3" t="s">
        <v>308</v>
      </c>
      <c r="BS2666" s="4">
        <v>44567</v>
      </c>
      <c r="BT2666" s="5">
        <v>0.34791666666666665</v>
      </c>
      <c r="BU2666" s="3" t="s">
        <v>570</v>
      </c>
      <c r="BV2666" s="3" t="s">
        <v>105</v>
      </c>
      <c r="BY2666" s="3">
        <v>20358</v>
      </c>
      <c r="BZ2666" s="3" t="s">
        <v>165</v>
      </c>
      <c r="CA2666" s="3" t="s">
        <v>571</v>
      </c>
      <c r="CC2666" s="3" t="s">
        <v>196</v>
      </c>
      <c r="CD2666" s="3">
        <v>4302</v>
      </c>
      <c r="CE2666" s="3" t="s">
        <v>86</v>
      </c>
      <c r="CF2666" s="4">
        <v>44567</v>
      </c>
      <c r="CI2666" s="3">
        <v>1</v>
      </c>
      <c r="CJ2666" s="3">
        <v>1</v>
      </c>
      <c r="CK2666" s="3">
        <v>21</v>
      </c>
      <c r="CL2666" s="3" t="s">
        <v>87</v>
      </c>
    </row>
    <row r="2667" spans="1:90" x14ac:dyDescent="0.2">
      <c r="A2667" s="3" t="s">
        <v>72</v>
      </c>
      <c r="B2667" s="3" t="s">
        <v>73</v>
      </c>
      <c r="C2667" s="3" t="s">
        <v>74</v>
      </c>
      <c r="E2667" s="3" t="str">
        <f>"FES1162843353"</f>
        <v>FES1162843353</v>
      </c>
      <c r="F2667" s="4">
        <v>44565</v>
      </c>
      <c r="G2667" s="3">
        <v>202207</v>
      </c>
      <c r="H2667" s="3" t="s">
        <v>75</v>
      </c>
      <c r="I2667" s="3" t="s">
        <v>76</v>
      </c>
      <c r="J2667" s="3" t="s">
        <v>77</v>
      </c>
      <c r="K2667" s="3" t="s">
        <v>78</v>
      </c>
      <c r="L2667" s="3" t="s">
        <v>94</v>
      </c>
      <c r="M2667" s="3" t="s">
        <v>95</v>
      </c>
      <c r="N2667" s="3" t="s">
        <v>1828</v>
      </c>
      <c r="O2667" s="3" t="s">
        <v>82</v>
      </c>
      <c r="P2667" s="3" t="str">
        <f>"2170815470                    "</f>
        <v xml:space="preserve">2170815470                    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0</v>
      </c>
      <c r="W2667" s="3">
        <v>0</v>
      </c>
      <c r="X2667" s="3">
        <v>0</v>
      </c>
      <c r="Y2667" s="3">
        <v>0</v>
      </c>
      <c r="Z2667" s="3">
        <v>0</v>
      </c>
      <c r="AA2667" s="3">
        <v>0</v>
      </c>
      <c r="AB2667" s="3">
        <v>0</v>
      </c>
      <c r="AC2667" s="3">
        <v>0</v>
      </c>
      <c r="AD2667" s="3">
        <v>0</v>
      </c>
      <c r="AE2667" s="3">
        <v>0</v>
      </c>
      <c r="AF2667" s="3">
        <v>0</v>
      </c>
      <c r="AG2667" s="3">
        <v>0</v>
      </c>
      <c r="AH2667" s="3">
        <v>0</v>
      </c>
      <c r="AI2667" s="3">
        <v>0</v>
      </c>
      <c r="AJ2667" s="3">
        <v>0</v>
      </c>
      <c r="AK2667" s="3">
        <v>16.98</v>
      </c>
      <c r="AL2667" s="3">
        <v>0</v>
      </c>
      <c r="AM2667" s="3">
        <v>0</v>
      </c>
      <c r="AN2667" s="3">
        <v>0</v>
      </c>
      <c r="AO2667" s="3">
        <v>0</v>
      </c>
      <c r="AP2667" s="3">
        <v>0</v>
      </c>
      <c r="AQ2667" s="3">
        <v>15</v>
      </c>
      <c r="AR2667" s="3">
        <v>0</v>
      </c>
      <c r="AS2667" s="3">
        <v>0</v>
      </c>
      <c r="AT2667" s="3">
        <v>0</v>
      </c>
      <c r="AU2667" s="3">
        <v>0</v>
      </c>
      <c r="AV2667" s="3">
        <v>0</v>
      </c>
      <c r="AW2667" s="3">
        <v>0</v>
      </c>
      <c r="AX2667" s="3">
        <v>0</v>
      </c>
      <c r="AY2667" s="3">
        <v>0</v>
      </c>
      <c r="AZ2667" s="3">
        <v>0</v>
      </c>
      <c r="BA2667" s="3">
        <v>0</v>
      </c>
      <c r="BB2667" s="3">
        <v>0</v>
      </c>
      <c r="BC2667" s="3">
        <v>0</v>
      </c>
      <c r="BD2667" s="3">
        <v>0</v>
      </c>
      <c r="BE2667" s="3">
        <v>0</v>
      </c>
      <c r="BF2667" s="3">
        <v>0</v>
      </c>
      <c r="BG2667" s="3">
        <v>0</v>
      </c>
      <c r="BH2667" s="3">
        <v>1</v>
      </c>
      <c r="BI2667" s="3">
        <v>1</v>
      </c>
      <c r="BJ2667" s="3">
        <v>0.2</v>
      </c>
      <c r="BK2667" s="3">
        <v>1</v>
      </c>
      <c r="BL2667" s="3">
        <v>75.52</v>
      </c>
      <c r="BM2667" s="3">
        <v>11.33</v>
      </c>
      <c r="BN2667" s="3">
        <v>86.85</v>
      </c>
      <c r="BO2667" s="3">
        <v>86.85</v>
      </c>
      <c r="BR2667" s="3" t="s">
        <v>308</v>
      </c>
      <c r="BS2667" s="4">
        <v>44566</v>
      </c>
      <c r="BT2667" s="5">
        <v>0.50416666666666665</v>
      </c>
      <c r="BU2667" s="3" t="s">
        <v>2101</v>
      </c>
      <c r="BV2667" s="3" t="s">
        <v>105</v>
      </c>
      <c r="BY2667" s="3">
        <v>1200</v>
      </c>
      <c r="BZ2667" s="3" t="s">
        <v>446</v>
      </c>
      <c r="CA2667" s="3" t="s">
        <v>328</v>
      </c>
      <c r="CC2667" s="3" t="s">
        <v>95</v>
      </c>
      <c r="CD2667" s="3">
        <v>3699</v>
      </c>
      <c r="CE2667" s="3" t="s">
        <v>93</v>
      </c>
      <c r="CF2667" s="4">
        <v>44568</v>
      </c>
      <c r="CI2667" s="3">
        <v>1</v>
      </c>
      <c r="CJ2667" s="3">
        <v>1</v>
      </c>
      <c r="CK2667" s="3">
        <v>21</v>
      </c>
      <c r="CL2667" s="3" t="s">
        <v>87</v>
      </c>
    </row>
    <row r="2668" spans="1:90" x14ac:dyDescent="0.2">
      <c r="A2668" s="3" t="s">
        <v>72</v>
      </c>
      <c r="B2668" s="3" t="s">
        <v>73</v>
      </c>
      <c r="C2668" s="3" t="s">
        <v>74</v>
      </c>
      <c r="E2668" s="3" t="str">
        <f>"FES1162843697"</f>
        <v>FES1162843697</v>
      </c>
      <c r="F2668" s="4">
        <v>44566</v>
      </c>
      <c r="G2668" s="3">
        <v>202207</v>
      </c>
      <c r="H2668" s="3" t="s">
        <v>75</v>
      </c>
      <c r="I2668" s="3" t="s">
        <v>76</v>
      </c>
      <c r="J2668" s="3" t="s">
        <v>77</v>
      </c>
      <c r="K2668" s="3" t="s">
        <v>78</v>
      </c>
      <c r="L2668" s="3" t="s">
        <v>115</v>
      </c>
      <c r="M2668" s="3" t="s">
        <v>116</v>
      </c>
      <c r="N2668" s="3" t="s">
        <v>902</v>
      </c>
      <c r="O2668" s="3" t="s">
        <v>82</v>
      </c>
      <c r="P2668" s="3" t="str">
        <f>"2170814482                    "</f>
        <v xml:space="preserve">2170814482                    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0</v>
      </c>
      <c r="W2668" s="3">
        <v>0</v>
      </c>
      <c r="X2668" s="3">
        <v>0</v>
      </c>
      <c r="Y2668" s="3">
        <v>0</v>
      </c>
      <c r="Z2668" s="3">
        <v>0</v>
      </c>
      <c r="AA2668" s="3">
        <v>0</v>
      </c>
      <c r="AB2668" s="3">
        <v>0</v>
      </c>
      <c r="AC2668" s="3">
        <v>0</v>
      </c>
      <c r="AD2668" s="3">
        <v>0</v>
      </c>
      <c r="AE2668" s="3">
        <v>0</v>
      </c>
      <c r="AF2668" s="3">
        <v>0</v>
      </c>
      <c r="AG2668" s="3">
        <v>0</v>
      </c>
      <c r="AH2668" s="3">
        <v>0</v>
      </c>
      <c r="AI2668" s="3">
        <v>0</v>
      </c>
      <c r="AJ2668" s="3">
        <v>0</v>
      </c>
      <c r="AK2668" s="3">
        <v>12.07</v>
      </c>
      <c r="AL2668" s="3">
        <v>0</v>
      </c>
      <c r="AM2668" s="3">
        <v>0</v>
      </c>
      <c r="AN2668" s="3">
        <v>0</v>
      </c>
      <c r="AO2668" s="3">
        <v>0</v>
      </c>
      <c r="AP2668" s="3">
        <v>0</v>
      </c>
      <c r="AQ2668" s="3">
        <v>0</v>
      </c>
      <c r="AR2668" s="3">
        <v>0</v>
      </c>
      <c r="AS2668" s="3">
        <v>0</v>
      </c>
      <c r="AT2668" s="3">
        <v>0</v>
      </c>
      <c r="AU2668" s="3">
        <v>0</v>
      </c>
      <c r="AV2668" s="3">
        <v>0</v>
      </c>
      <c r="AW2668" s="3">
        <v>0</v>
      </c>
      <c r="AX2668" s="3">
        <v>0</v>
      </c>
      <c r="AY2668" s="3">
        <v>0</v>
      </c>
      <c r="AZ2668" s="3">
        <v>0</v>
      </c>
      <c r="BA2668" s="3">
        <v>0</v>
      </c>
      <c r="BB2668" s="3">
        <v>0</v>
      </c>
      <c r="BC2668" s="3">
        <v>0</v>
      </c>
      <c r="BD2668" s="3">
        <v>0</v>
      </c>
      <c r="BE2668" s="3">
        <v>0</v>
      </c>
      <c r="BF2668" s="3">
        <v>0</v>
      </c>
      <c r="BG2668" s="3">
        <v>0</v>
      </c>
      <c r="BH2668" s="3">
        <v>1</v>
      </c>
      <c r="BI2668" s="3">
        <v>1</v>
      </c>
      <c r="BJ2668" s="3">
        <v>0.2</v>
      </c>
      <c r="BK2668" s="3">
        <v>1</v>
      </c>
      <c r="BL2668" s="3">
        <v>46.08</v>
      </c>
      <c r="BM2668" s="3">
        <v>6.91</v>
      </c>
      <c r="BN2668" s="3">
        <v>52.99</v>
      </c>
      <c r="BO2668" s="3">
        <v>52.99</v>
      </c>
      <c r="BQ2668" s="3" t="s">
        <v>83</v>
      </c>
      <c r="BR2668" s="3" t="s">
        <v>364</v>
      </c>
      <c r="BS2668" s="4">
        <v>44567</v>
      </c>
      <c r="BT2668" s="5">
        <v>0.34375</v>
      </c>
      <c r="BU2668" s="3" t="s">
        <v>2568</v>
      </c>
      <c r="BV2668" s="3" t="s">
        <v>105</v>
      </c>
      <c r="BY2668" s="3">
        <v>1200</v>
      </c>
      <c r="BZ2668" s="3" t="s">
        <v>165</v>
      </c>
      <c r="CA2668" s="3" t="s">
        <v>119</v>
      </c>
      <c r="CC2668" s="3" t="s">
        <v>116</v>
      </c>
      <c r="CD2668" s="3">
        <v>1559</v>
      </c>
      <c r="CE2668" s="3" t="s">
        <v>93</v>
      </c>
      <c r="CF2668" s="4">
        <v>44567</v>
      </c>
      <c r="CI2668" s="3">
        <v>1</v>
      </c>
      <c r="CJ2668" s="3">
        <v>1</v>
      </c>
      <c r="CK2668" s="3">
        <v>22</v>
      </c>
      <c r="CL2668" s="3" t="s">
        <v>87</v>
      </c>
    </row>
    <row r="2669" spans="1:90" x14ac:dyDescent="0.2">
      <c r="A2669" s="3" t="s">
        <v>72</v>
      </c>
      <c r="B2669" s="3" t="s">
        <v>73</v>
      </c>
      <c r="C2669" s="3" t="s">
        <v>74</v>
      </c>
      <c r="E2669" s="3" t="str">
        <f>"FES1162843422"</f>
        <v>FES1162843422</v>
      </c>
      <c r="F2669" s="4">
        <v>44565</v>
      </c>
      <c r="G2669" s="3">
        <v>202207</v>
      </c>
      <c r="H2669" s="3" t="s">
        <v>75</v>
      </c>
      <c r="I2669" s="3" t="s">
        <v>76</v>
      </c>
      <c r="J2669" s="3" t="s">
        <v>77</v>
      </c>
      <c r="K2669" s="3" t="s">
        <v>78</v>
      </c>
      <c r="L2669" s="3" t="s">
        <v>805</v>
      </c>
      <c r="M2669" s="3" t="s">
        <v>806</v>
      </c>
      <c r="N2669" s="3" t="s">
        <v>807</v>
      </c>
      <c r="O2669" s="3" t="s">
        <v>82</v>
      </c>
      <c r="P2669" s="3" t="str">
        <f>"2170812705                    "</f>
        <v xml:space="preserve">2170812705                    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  <c r="AE2669" s="3">
        <v>0</v>
      </c>
      <c r="AF2669" s="3">
        <v>0</v>
      </c>
      <c r="AG2669" s="3">
        <v>0</v>
      </c>
      <c r="AH2669" s="3">
        <v>0</v>
      </c>
      <c r="AI2669" s="3">
        <v>0</v>
      </c>
      <c r="AJ2669" s="3">
        <v>0</v>
      </c>
      <c r="AK2669" s="3">
        <v>32.9</v>
      </c>
      <c r="AL2669" s="3">
        <v>0</v>
      </c>
      <c r="AM2669" s="3">
        <v>0</v>
      </c>
      <c r="AN2669" s="3">
        <v>0</v>
      </c>
      <c r="AO2669" s="3">
        <v>0</v>
      </c>
      <c r="AP2669" s="3">
        <v>0</v>
      </c>
      <c r="AQ2669" s="3">
        <v>0</v>
      </c>
      <c r="AR2669" s="3">
        <v>0</v>
      </c>
      <c r="AS2669" s="3">
        <v>0</v>
      </c>
      <c r="AT2669" s="3">
        <v>0</v>
      </c>
      <c r="AU2669" s="3">
        <v>0</v>
      </c>
      <c r="AV2669" s="3">
        <v>0</v>
      </c>
      <c r="AW2669" s="3">
        <v>0</v>
      </c>
      <c r="AX2669" s="3">
        <v>0</v>
      </c>
      <c r="AY2669" s="3">
        <v>0</v>
      </c>
      <c r="AZ2669" s="3">
        <v>0</v>
      </c>
      <c r="BA2669" s="3">
        <v>0</v>
      </c>
      <c r="BB2669" s="3">
        <v>0</v>
      </c>
      <c r="BC2669" s="3">
        <v>0</v>
      </c>
      <c r="BD2669" s="3">
        <v>0</v>
      </c>
      <c r="BE2669" s="3">
        <v>0</v>
      </c>
      <c r="BF2669" s="3">
        <v>0</v>
      </c>
      <c r="BG2669" s="3">
        <v>0</v>
      </c>
      <c r="BH2669" s="3">
        <v>1</v>
      </c>
      <c r="BI2669" s="3">
        <v>1</v>
      </c>
      <c r="BJ2669" s="3">
        <v>0.2</v>
      </c>
      <c r="BK2669" s="3">
        <v>1</v>
      </c>
      <c r="BL2669" s="3">
        <v>117.26</v>
      </c>
      <c r="BM2669" s="3">
        <v>17.59</v>
      </c>
      <c r="BN2669" s="3">
        <v>134.85</v>
      </c>
      <c r="BO2669" s="3">
        <v>134.85</v>
      </c>
      <c r="BQ2669" s="3" t="s">
        <v>808</v>
      </c>
      <c r="BR2669" s="3" t="s">
        <v>308</v>
      </c>
      <c r="BS2669" s="4">
        <v>44566</v>
      </c>
      <c r="BT2669" s="5">
        <v>0.48333333333333334</v>
      </c>
      <c r="BU2669" s="3" t="s">
        <v>2569</v>
      </c>
      <c r="BV2669" s="3" t="s">
        <v>105</v>
      </c>
      <c r="BY2669" s="3">
        <v>1200</v>
      </c>
      <c r="BZ2669" s="3" t="s">
        <v>165</v>
      </c>
      <c r="CA2669" s="3" t="s">
        <v>809</v>
      </c>
      <c r="CC2669" s="3" t="s">
        <v>806</v>
      </c>
      <c r="CD2669" s="3">
        <v>4400</v>
      </c>
      <c r="CE2669" s="3" t="s">
        <v>93</v>
      </c>
      <c r="CF2669" s="4">
        <v>44572</v>
      </c>
      <c r="CI2669" s="3">
        <v>1</v>
      </c>
      <c r="CJ2669" s="3">
        <v>1</v>
      </c>
      <c r="CK2669" s="3">
        <v>23</v>
      </c>
      <c r="CL2669" s="3" t="s">
        <v>87</v>
      </c>
    </row>
    <row r="2670" spans="1:90" x14ac:dyDescent="0.2">
      <c r="A2670" s="3" t="s">
        <v>72</v>
      </c>
      <c r="B2670" s="3" t="s">
        <v>73</v>
      </c>
      <c r="C2670" s="3" t="s">
        <v>74</v>
      </c>
      <c r="E2670" s="3" t="str">
        <f>"FES1162843672"</f>
        <v>FES1162843672</v>
      </c>
      <c r="F2670" s="4">
        <v>44566</v>
      </c>
      <c r="G2670" s="3">
        <v>202207</v>
      </c>
      <c r="H2670" s="3" t="s">
        <v>75</v>
      </c>
      <c r="I2670" s="3" t="s">
        <v>76</v>
      </c>
      <c r="J2670" s="3" t="s">
        <v>77</v>
      </c>
      <c r="K2670" s="3" t="s">
        <v>78</v>
      </c>
      <c r="L2670" s="3" t="s">
        <v>94</v>
      </c>
      <c r="M2670" s="3" t="s">
        <v>95</v>
      </c>
      <c r="N2670" s="3" t="s">
        <v>1437</v>
      </c>
      <c r="O2670" s="3" t="s">
        <v>82</v>
      </c>
      <c r="P2670" s="3" t="str">
        <f>"2170814227                    "</f>
        <v xml:space="preserve">2170814227                    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  <c r="AE2670" s="3">
        <v>0</v>
      </c>
      <c r="AF2670" s="3">
        <v>0</v>
      </c>
      <c r="AG2670" s="3">
        <v>0</v>
      </c>
      <c r="AH2670" s="3">
        <v>0</v>
      </c>
      <c r="AI2670" s="3">
        <v>0</v>
      </c>
      <c r="AJ2670" s="3">
        <v>0</v>
      </c>
      <c r="AK2670" s="3">
        <v>15.46</v>
      </c>
      <c r="AL2670" s="3">
        <v>0</v>
      </c>
      <c r="AM2670" s="3">
        <v>0</v>
      </c>
      <c r="AN2670" s="3">
        <v>0</v>
      </c>
      <c r="AO2670" s="3">
        <v>0</v>
      </c>
      <c r="AP2670" s="3">
        <v>0</v>
      </c>
      <c r="AQ2670" s="3">
        <v>0</v>
      </c>
      <c r="AR2670" s="3">
        <v>0</v>
      </c>
      <c r="AS2670" s="3">
        <v>0</v>
      </c>
      <c r="AT2670" s="3">
        <v>0</v>
      </c>
      <c r="AU2670" s="3">
        <v>0</v>
      </c>
      <c r="AV2670" s="3">
        <v>0</v>
      </c>
      <c r="AW2670" s="3">
        <v>0</v>
      </c>
      <c r="AX2670" s="3">
        <v>0</v>
      </c>
      <c r="AY2670" s="3">
        <v>0</v>
      </c>
      <c r="AZ2670" s="3">
        <v>0</v>
      </c>
      <c r="BA2670" s="3">
        <v>0</v>
      </c>
      <c r="BB2670" s="3">
        <v>0</v>
      </c>
      <c r="BC2670" s="3">
        <v>0</v>
      </c>
      <c r="BD2670" s="3">
        <v>0</v>
      </c>
      <c r="BE2670" s="3">
        <v>0</v>
      </c>
      <c r="BF2670" s="3">
        <v>0</v>
      </c>
      <c r="BG2670" s="3">
        <v>0</v>
      </c>
      <c r="BH2670" s="3">
        <v>1</v>
      </c>
      <c r="BI2670" s="3">
        <v>1</v>
      </c>
      <c r="BJ2670" s="3">
        <v>0.2</v>
      </c>
      <c r="BK2670" s="3">
        <v>1</v>
      </c>
      <c r="BL2670" s="3">
        <v>59</v>
      </c>
      <c r="BM2670" s="3">
        <v>8.85</v>
      </c>
      <c r="BN2670" s="3">
        <v>67.849999999999994</v>
      </c>
      <c r="BO2670" s="3">
        <v>67.849999999999994</v>
      </c>
      <c r="BQ2670" s="3" t="s">
        <v>89</v>
      </c>
      <c r="BR2670" s="3" t="s">
        <v>364</v>
      </c>
      <c r="BS2670" s="4">
        <v>44567</v>
      </c>
      <c r="BT2670" s="5">
        <v>0.5</v>
      </c>
      <c r="BU2670" s="3" t="s">
        <v>2570</v>
      </c>
      <c r="BV2670" s="3" t="s">
        <v>87</v>
      </c>
      <c r="BY2670" s="3">
        <v>1200</v>
      </c>
      <c r="BZ2670" s="3" t="s">
        <v>165</v>
      </c>
      <c r="CA2670" s="3" t="s">
        <v>328</v>
      </c>
      <c r="CC2670" s="3" t="s">
        <v>95</v>
      </c>
      <c r="CD2670" s="3">
        <v>3200</v>
      </c>
      <c r="CE2670" s="3" t="s">
        <v>93</v>
      </c>
      <c r="CF2670" s="4">
        <v>44568</v>
      </c>
      <c r="CI2670" s="3">
        <v>1</v>
      </c>
      <c r="CJ2670" s="3">
        <v>1</v>
      </c>
      <c r="CK2670" s="3">
        <v>21</v>
      </c>
      <c r="CL2670" s="3" t="s">
        <v>87</v>
      </c>
    </row>
    <row r="2671" spans="1:90" x14ac:dyDescent="0.2">
      <c r="A2671" s="3" t="s">
        <v>72</v>
      </c>
      <c r="B2671" s="3" t="s">
        <v>73</v>
      </c>
      <c r="C2671" s="3" t="s">
        <v>74</v>
      </c>
      <c r="E2671" s="3" t="str">
        <f>"FES1162843471"</f>
        <v>FES1162843471</v>
      </c>
      <c r="F2671" s="4">
        <v>44565</v>
      </c>
      <c r="G2671" s="3">
        <v>202207</v>
      </c>
      <c r="H2671" s="3" t="s">
        <v>75</v>
      </c>
      <c r="I2671" s="3" t="s">
        <v>76</v>
      </c>
      <c r="J2671" s="3" t="s">
        <v>77</v>
      </c>
      <c r="K2671" s="3" t="s">
        <v>78</v>
      </c>
      <c r="L2671" s="3" t="s">
        <v>129</v>
      </c>
      <c r="M2671" s="3" t="s">
        <v>130</v>
      </c>
      <c r="N2671" s="3" t="s">
        <v>131</v>
      </c>
      <c r="O2671" s="3" t="s">
        <v>82</v>
      </c>
      <c r="P2671" s="3" t="str">
        <f>"2170814265                    "</f>
        <v xml:space="preserve">2170814265                    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  <c r="AE2671" s="3">
        <v>0</v>
      </c>
      <c r="AF2671" s="3">
        <v>0</v>
      </c>
      <c r="AG2671" s="3">
        <v>0</v>
      </c>
      <c r="AH2671" s="3">
        <v>0</v>
      </c>
      <c r="AI2671" s="3">
        <v>0</v>
      </c>
      <c r="AJ2671" s="3">
        <v>0</v>
      </c>
      <c r="AK2671" s="3">
        <v>47.76</v>
      </c>
      <c r="AL2671" s="3">
        <v>0</v>
      </c>
      <c r="AM2671" s="3">
        <v>0</v>
      </c>
      <c r="AN2671" s="3">
        <v>0</v>
      </c>
      <c r="AO2671" s="3">
        <v>0</v>
      </c>
      <c r="AP2671" s="3">
        <v>0</v>
      </c>
      <c r="AQ2671" s="3">
        <v>0</v>
      </c>
      <c r="AR2671" s="3">
        <v>0</v>
      </c>
      <c r="AS2671" s="3">
        <v>0</v>
      </c>
      <c r="AT2671" s="3">
        <v>0</v>
      </c>
      <c r="AU2671" s="3">
        <v>0</v>
      </c>
      <c r="AV2671" s="3">
        <v>0</v>
      </c>
      <c r="AW2671" s="3">
        <v>0</v>
      </c>
      <c r="AX2671" s="3">
        <v>0</v>
      </c>
      <c r="AY2671" s="3">
        <v>0</v>
      </c>
      <c r="AZ2671" s="3">
        <v>0</v>
      </c>
      <c r="BA2671" s="3">
        <v>0</v>
      </c>
      <c r="BB2671" s="3">
        <v>0</v>
      </c>
      <c r="BC2671" s="3">
        <v>0</v>
      </c>
      <c r="BD2671" s="3">
        <v>0</v>
      </c>
      <c r="BE2671" s="3">
        <v>0</v>
      </c>
      <c r="BF2671" s="3">
        <v>0</v>
      </c>
      <c r="BG2671" s="3">
        <v>0</v>
      </c>
      <c r="BH2671" s="3">
        <v>1</v>
      </c>
      <c r="BI2671" s="3">
        <v>3</v>
      </c>
      <c r="BJ2671" s="3">
        <v>2</v>
      </c>
      <c r="BK2671" s="3">
        <v>3</v>
      </c>
      <c r="BL2671" s="3">
        <v>170.22</v>
      </c>
      <c r="BM2671" s="3">
        <v>25.53</v>
      </c>
      <c r="BN2671" s="3">
        <v>195.75</v>
      </c>
      <c r="BO2671" s="3">
        <v>195.75</v>
      </c>
      <c r="BQ2671" s="3" t="s">
        <v>83</v>
      </c>
      <c r="BR2671" s="3" t="s">
        <v>308</v>
      </c>
      <c r="BS2671" s="4">
        <v>44571</v>
      </c>
      <c r="BT2671" s="5">
        <v>0.58333333333333337</v>
      </c>
      <c r="BU2671" s="3" t="s">
        <v>2571</v>
      </c>
      <c r="BV2671" s="3" t="s">
        <v>87</v>
      </c>
      <c r="BW2671" s="3" t="s">
        <v>453</v>
      </c>
      <c r="BX2671" s="3" t="s">
        <v>2519</v>
      </c>
      <c r="BY2671" s="3">
        <v>9918</v>
      </c>
      <c r="BZ2671" s="3" t="s">
        <v>165</v>
      </c>
      <c r="CA2671" s="3" t="s">
        <v>406</v>
      </c>
      <c r="CC2671" s="3" t="s">
        <v>130</v>
      </c>
      <c r="CD2671" s="3">
        <v>3370</v>
      </c>
      <c r="CE2671" s="3" t="s">
        <v>86</v>
      </c>
      <c r="CF2671" s="4">
        <v>44572</v>
      </c>
      <c r="CI2671" s="3">
        <v>2</v>
      </c>
      <c r="CJ2671" s="3">
        <v>4</v>
      </c>
      <c r="CK2671" s="3">
        <v>23</v>
      </c>
      <c r="CL2671" s="3" t="s">
        <v>87</v>
      </c>
    </row>
    <row r="2672" spans="1:90" x14ac:dyDescent="0.2">
      <c r="A2672" s="3" t="s">
        <v>72</v>
      </c>
      <c r="B2672" s="3" t="s">
        <v>73</v>
      </c>
      <c r="C2672" s="3" t="s">
        <v>74</v>
      </c>
      <c r="E2672" s="3" t="str">
        <f>"FES1162843556"</f>
        <v>FES1162843556</v>
      </c>
      <c r="F2672" s="4">
        <v>44566</v>
      </c>
      <c r="G2672" s="3">
        <v>202207</v>
      </c>
      <c r="H2672" s="3" t="s">
        <v>75</v>
      </c>
      <c r="I2672" s="3" t="s">
        <v>76</v>
      </c>
      <c r="J2672" s="3" t="s">
        <v>77</v>
      </c>
      <c r="K2672" s="3" t="s">
        <v>78</v>
      </c>
      <c r="L2672" s="3" t="s">
        <v>79</v>
      </c>
      <c r="M2672" s="3" t="s">
        <v>80</v>
      </c>
      <c r="N2672" s="3" t="s">
        <v>81</v>
      </c>
      <c r="O2672" s="3" t="s">
        <v>82</v>
      </c>
      <c r="P2672" s="3" t="str">
        <f>"2170815648                    "</f>
        <v xml:space="preserve">2170815648                    </v>
      </c>
      <c r="Q2672" s="3">
        <v>0</v>
      </c>
      <c r="R2672" s="3">
        <v>0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  <c r="AE2672" s="3">
        <v>0</v>
      </c>
      <c r="AF2672" s="3">
        <v>0</v>
      </c>
      <c r="AG2672" s="3">
        <v>0</v>
      </c>
      <c r="AH2672" s="3">
        <v>0</v>
      </c>
      <c r="AI2672" s="3">
        <v>0</v>
      </c>
      <c r="AJ2672" s="3">
        <v>0</v>
      </c>
      <c r="AK2672" s="3">
        <v>15.46</v>
      </c>
      <c r="AL2672" s="3">
        <v>0</v>
      </c>
      <c r="AM2672" s="3">
        <v>0</v>
      </c>
      <c r="AN2672" s="3">
        <v>0</v>
      </c>
      <c r="AO2672" s="3">
        <v>0</v>
      </c>
      <c r="AP2672" s="3">
        <v>0</v>
      </c>
      <c r="AQ2672" s="3">
        <v>0</v>
      </c>
      <c r="AR2672" s="3">
        <v>0</v>
      </c>
      <c r="AS2672" s="3">
        <v>0</v>
      </c>
      <c r="AT2672" s="3">
        <v>0</v>
      </c>
      <c r="AU2672" s="3">
        <v>0</v>
      </c>
      <c r="AV2672" s="3">
        <v>0</v>
      </c>
      <c r="AW2672" s="3">
        <v>0</v>
      </c>
      <c r="AX2672" s="3">
        <v>0</v>
      </c>
      <c r="AY2672" s="3">
        <v>0</v>
      </c>
      <c r="AZ2672" s="3">
        <v>0</v>
      </c>
      <c r="BA2672" s="3">
        <v>0</v>
      </c>
      <c r="BB2672" s="3">
        <v>0</v>
      </c>
      <c r="BC2672" s="3">
        <v>0</v>
      </c>
      <c r="BD2672" s="3">
        <v>0</v>
      </c>
      <c r="BE2672" s="3">
        <v>0</v>
      </c>
      <c r="BF2672" s="3">
        <v>0</v>
      </c>
      <c r="BG2672" s="3">
        <v>0</v>
      </c>
      <c r="BH2672" s="3">
        <v>1</v>
      </c>
      <c r="BI2672" s="3">
        <v>1</v>
      </c>
      <c r="BJ2672" s="3">
        <v>0.2</v>
      </c>
      <c r="BK2672" s="3">
        <v>1</v>
      </c>
      <c r="BL2672" s="3">
        <v>59</v>
      </c>
      <c r="BM2672" s="3">
        <v>8.85</v>
      </c>
      <c r="BN2672" s="3">
        <v>67.849999999999994</v>
      </c>
      <c r="BO2672" s="3">
        <v>67.849999999999994</v>
      </c>
      <c r="BQ2672" s="3" t="s">
        <v>83</v>
      </c>
      <c r="BR2672" s="3" t="s">
        <v>364</v>
      </c>
      <c r="BS2672" s="4">
        <v>44567</v>
      </c>
      <c r="BT2672" s="5">
        <v>0.3923611111111111</v>
      </c>
      <c r="BU2672" s="3" t="s">
        <v>893</v>
      </c>
      <c r="BV2672" s="3" t="s">
        <v>105</v>
      </c>
      <c r="BY2672" s="3">
        <v>1200</v>
      </c>
      <c r="BZ2672" s="3" t="s">
        <v>165</v>
      </c>
      <c r="CA2672" s="3" t="s">
        <v>366</v>
      </c>
      <c r="CC2672" s="3" t="s">
        <v>80</v>
      </c>
      <c r="CD2672" s="3">
        <v>200</v>
      </c>
      <c r="CE2672" s="3" t="s">
        <v>93</v>
      </c>
      <c r="CF2672" s="4">
        <v>44567</v>
      </c>
      <c r="CI2672" s="3">
        <v>1</v>
      </c>
      <c r="CJ2672" s="3">
        <v>1</v>
      </c>
      <c r="CK2672" s="3">
        <v>21</v>
      </c>
      <c r="CL2672" s="3" t="s">
        <v>87</v>
      </c>
    </row>
    <row r="2673" spans="1:90" x14ac:dyDescent="0.2">
      <c r="A2673" s="3" t="s">
        <v>72</v>
      </c>
      <c r="B2673" s="3" t="s">
        <v>73</v>
      </c>
      <c r="C2673" s="3" t="s">
        <v>74</v>
      </c>
      <c r="E2673" s="3" t="str">
        <f>"FES1162843336"</f>
        <v>FES1162843336</v>
      </c>
      <c r="F2673" s="4">
        <v>44565</v>
      </c>
      <c r="G2673" s="3">
        <v>202207</v>
      </c>
      <c r="H2673" s="3" t="s">
        <v>75</v>
      </c>
      <c r="I2673" s="3" t="s">
        <v>76</v>
      </c>
      <c r="J2673" s="3" t="s">
        <v>77</v>
      </c>
      <c r="K2673" s="3" t="s">
        <v>78</v>
      </c>
      <c r="L2673" s="3" t="s">
        <v>138</v>
      </c>
      <c r="M2673" s="3" t="s">
        <v>139</v>
      </c>
      <c r="N2673" s="3" t="s">
        <v>152</v>
      </c>
      <c r="O2673" s="3" t="s">
        <v>82</v>
      </c>
      <c r="P2673" s="3" t="str">
        <f>"2170814750                    "</f>
        <v xml:space="preserve">2170814750                    </v>
      </c>
      <c r="Q2673" s="3">
        <v>0</v>
      </c>
      <c r="R2673" s="3">
        <v>0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  <c r="AE2673" s="3">
        <v>0</v>
      </c>
      <c r="AF2673" s="3">
        <v>0</v>
      </c>
      <c r="AG2673" s="3">
        <v>0</v>
      </c>
      <c r="AH2673" s="3">
        <v>0</v>
      </c>
      <c r="AI2673" s="3">
        <v>0</v>
      </c>
      <c r="AJ2673" s="3">
        <v>0</v>
      </c>
      <c r="AK2673" s="3">
        <v>16.98</v>
      </c>
      <c r="AL2673" s="3">
        <v>0</v>
      </c>
      <c r="AM2673" s="3">
        <v>0</v>
      </c>
      <c r="AN2673" s="3">
        <v>0</v>
      </c>
      <c r="AO2673" s="3">
        <v>0</v>
      </c>
      <c r="AP2673" s="3">
        <v>0</v>
      </c>
      <c r="AQ2673" s="3">
        <v>0</v>
      </c>
      <c r="AR2673" s="3">
        <v>0</v>
      </c>
      <c r="AS2673" s="3">
        <v>0</v>
      </c>
      <c r="AT2673" s="3">
        <v>0</v>
      </c>
      <c r="AU2673" s="3">
        <v>0</v>
      </c>
      <c r="AV2673" s="3">
        <v>0</v>
      </c>
      <c r="AW2673" s="3">
        <v>0</v>
      </c>
      <c r="AX2673" s="3">
        <v>0</v>
      </c>
      <c r="AY2673" s="3">
        <v>0</v>
      </c>
      <c r="AZ2673" s="3">
        <v>0</v>
      </c>
      <c r="BA2673" s="3">
        <v>0</v>
      </c>
      <c r="BB2673" s="3">
        <v>0</v>
      </c>
      <c r="BC2673" s="3">
        <v>0</v>
      </c>
      <c r="BD2673" s="3">
        <v>0</v>
      </c>
      <c r="BE2673" s="3">
        <v>0</v>
      </c>
      <c r="BF2673" s="3">
        <v>0</v>
      </c>
      <c r="BG2673" s="3">
        <v>0</v>
      </c>
      <c r="BH2673" s="3">
        <v>1</v>
      </c>
      <c r="BI2673" s="3">
        <v>1</v>
      </c>
      <c r="BJ2673" s="3">
        <v>0.2</v>
      </c>
      <c r="BK2673" s="3">
        <v>1</v>
      </c>
      <c r="BL2673" s="3">
        <v>60.52</v>
      </c>
      <c r="BM2673" s="3">
        <v>9.08</v>
      </c>
      <c r="BN2673" s="3">
        <v>69.599999999999994</v>
      </c>
      <c r="BO2673" s="3">
        <v>69.599999999999994</v>
      </c>
      <c r="BQ2673" s="3" t="s">
        <v>83</v>
      </c>
      <c r="BR2673" s="3" t="s">
        <v>308</v>
      </c>
      <c r="BS2673" s="4">
        <v>44566</v>
      </c>
      <c r="BT2673" s="5">
        <v>0.3659722222222222</v>
      </c>
      <c r="BU2673" s="3" t="s">
        <v>2572</v>
      </c>
      <c r="BV2673" s="3" t="s">
        <v>105</v>
      </c>
      <c r="BY2673" s="3">
        <v>1200</v>
      </c>
      <c r="BZ2673" s="3" t="s">
        <v>165</v>
      </c>
      <c r="CA2673" s="3" t="s">
        <v>303</v>
      </c>
      <c r="CC2673" s="3" t="s">
        <v>139</v>
      </c>
      <c r="CD2673" s="3">
        <v>3610</v>
      </c>
      <c r="CE2673" s="3" t="s">
        <v>93</v>
      </c>
      <c r="CF2673" s="4">
        <v>44566</v>
      </c>
      <c r="CI2673" s="3">
        <v>1</v>
      </c>
      <c r="CJ2673" s="3">
        <v>1</v>
      </c>
      <c r="CK2673" s="3">
        <v>21</v>
      </c>
      <c r="CL2673" s="3" t="s">
        <v>87</v>
      </c>
    </row>
    <row r="2674" spans="1:90" x14ac:dyDescent="0.2">
      <c r="A2674" s="3" t="s">
        <v>72</v>
      </c>
      <c r="B2674" s="3" t="s">
        <v>73</v>
      </c>
      <c r="C2674" s="3" t="s">
        <v>74</v>
      </c>
      <c r="E2674" s="3" t="str">
        <f>"FES1162843687"</f>
        <v>FES1162843687</v>
      </c>
      <c r="F2674" s="4">
        <v>44566</v>
      </c>
      <c r="G2674" s="3">
        <v>202207</v>
      </c>
      <c r="H2674" s="3" t="s">
        <v>75</v>
      </c>
      <c r="I2674" s="3" t="s">
        <v>76</v>
      </c>
      <c r="J2674" s="3" t="s">
        <v>77</v>
      </c>
      <c r="K2674" s="3" t="s">
        <v>78</v>
      </c>
      <c r="L2674" s="3" t="s">
        <v>184</v>
      </c>
      <c r="M2674" s="3" t="s">
        <v>185</v>
      </c>
      <c r="N2674" s="3" t="s">
        <v>1539</v>
      </c>
      <c r="O2674" s="3" t="s">
        <v>82</v>
      </c>
      <c r="P2674" s="3" t="str">
        <f>"2170814397                    "</f>
        <v xml:space="preserve">2170814397                    </v>
      </c>
      <c r="Q2674" s="3">
        <v>0</v>
      </c>
      <c r="R2674" s="3">
        <v>0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  <c r="AE2674" s="3">
        <v>0</v>
      </c>
      <c r="AF2674" s="3">
        <v>0</v>
      </c>
      <c r="AG2674" s="3">
        <v>0</v>
      </c>
      <c r="AH2674" s="3">
        <v>0</v>
      </c>
      <c r="AI2674" s="3">
        <v>0</v>
      </c>
      <c r="AJ2674" s="3">
        <v>0</v>
      </c>
      <c r="AK2674" s="3">
        <v>15.46</v>
      </c>
      <c r="AL2674" s="3">
        <v>0</v>
      </c>
      <c r="AM2674" s="3">
        <v>0</v>
      </c>
      <c r="AN2674" s="3">
        <v>0</v>
      </c>
      <c r="AO2674" s="3">
        <v>0</v>
      </c>
      <c r="AP2674" s="3">
        <v>0</v>
      </c>
      <c r="AQ2674" s="3">
        <v>0</v>
      </c>
      <c r="AR2674" s="3">
        <v>0</v>
      </c>
      <c r="AS2674" s="3">
        <v>0</v>
      </c>
      <c r="AT2674" s="3">
        <v>0</v>
      </c>
      <c r="AU2674" s="3">
        <v>0</v>
      </c>
      <c r="AV2674" s="3">
        <v>0</v>
      </c>
      <c r="AW2674" s="3">
        <v>0</v>
      </c>
      <c r="AX2674" s="3">
        <v>0</v>
      </c>
      <c r="AY2674" s="3">
        <v>0</v>
      </c>
      <c r="AZ2674" s="3">
        <v>0</v>
      </c>
      <c r="BA2674" s="3">
        <v>0</v>
      </c>
      <c r="BB2674" s="3">
        <v>0</v>
      </c>
      <c r="BC2674" s="3">
        <v>0</v>
      </c>
      <c r="BD2674" s="3">
        <v>0</v>
      </c>
      <c r="BE2674" s="3">
        <v>0</v>
      </c>
      <c r="BF2674" s="3">
        <v>0</v>
      </c>
      <c r="BG2674" s="3">
        <v>0</v>
      </c>
      <c r="BH2674" s="3">
        <v>1</v>
      </c>
      <c r="BI2674" s="3">
        <v>1</v>
      </c>
      <c r="BJ2674" s="3">
        <v>0.2</v>
      </c>
      <c r="BK2674" s="3">
        <v>1</v>
      </c>
      <c r="BL2674" s="3">
        <v>59</v>
      </c>
      <c r="BM2674" s="3">
        <v>8.85</v>
      </c>
      <c r="BN2674" s="3">
        <v>67.849999999999994</v>
      </c>
      <c r="BO2674" s="3">
        <v>67.849999999999994</v>
      </c>
      <c r="BQ2674" s="3" t="s">
        <v>83</v>
      </c>
      <c r="BR2674" s="3" t="s">
        <v>364</v>
      </c>
      <c r="BS2674" s="4">
        <v>44567</v>
      </c>
      <c r="BT2674" s="5">
        <v>0.3979166666666667</v>
      </c>
      <c r="BU2674" s="3" t="s">
        <v>2573</v>
      </c>
      <c r="BV2674" s="3" t="s">
        <v>105</v>
      </c>
      <c r="BY2674" s="3">
        <v>1200</v>
      </c>
      <c r="BZ2674" s="3" t="s">
        <v>165</v>
      </c>
      <c r="CA2674" s="3" t="s">
        <v>612</v>
      </c>
      <c r="CC2674" s="3" t="s">
        <v>185</v>
      </c>
      <c r="CD2674" s="3">
        <v>5201</v>
      </c>
      <c r="CE2674" s="3" t="s">
        <v>93</v>
      </c>
      <c r="CF2674" s="4">
        <v>44567</v>
      </c>
      <c r="CI2674" s="3">
        <v>1</v>
      </c>
      <c r="CJ2674" s="3">
        <v>1</v>
      </c>
      <c r="CK2674" s="3">
        <v>21</v>
      </c>
      <c r="CL2674" s="3" t="s">
        <v>87</v>
      </c>
    </row>
    <row r="2675" spans="1:90" x14ac:dyDescent="0.2">
      <c r="A2675" s="3" t="s">
        <v>72</v>
      </c>
      <c r="B2675" s="3" t="s">
        <v>73</v>
      </c>
      <c r="C2675" s="3" t="s">
        <v>74</v>
      </c>
      <c r="E2675" s="3" t="str">
        <f>"FES1162843429"</f>
        <v>FES1162843429</v>
      </c>
      <c r="F2675" s="4">
        <v>44565</v>
      </c>
      <c r="G2675" s="3">
        <v>202207</v>
      </c>
      <c r="H2675" s="3" t="s">
        <v>75</v>
      </c>
      <c r="I2675" s="3" t="s">
        <v>76</v>
      </c>
      <c r="J2675" s="3" t="s">
        <v>77</v>
      </c>
      <c r="K2675" s="3" t="s">
        <v>78</v>
      </c>
      <c r="L2675" s="3" t="s">
        <v>79</v>
      </c>
      <c r="M2675" s="3" t="s">
        <v>80</v>
      </c>
      <c r="N2675" s="3" t="s">
        <v>771</v>
      </c>
      <c r="O2675" s="3" t="s">
        <v>82</v>
      </c>
      <c r="P2675" s="3" t="str">
        <f>"2170813224                    "</f>
        <v xml:space="preserve">2170813224                    </v>
      </c>
      <c r="Q2675" s="3">
        <v>0</v>
      </c>
      <c r="R2675" s="3">
        <v>0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  <c r="AE2675" s="3">
        <v>0</v>
      </c>
      <c r="AF2675" s="3">
        <v>0</v>
      </c>
      <c r="AG2675" s="3">
        <v>0</v>
      </c>
      <c r="AH2675" s="3">
        <v>0</v>
      </c>
      <c r="AI2675" s="3">
        <v>0</v>
      </c>
      <c r="AJ2675" s="3">
        <v>0</v>
      </c>
      <c r="AK2675" s="3">
        <v>16.98</v>
      </c>
      <c r="AL2675" s="3">
        <v>0</v>
      </c>
      <c r="AM2675" s="3">
        <v>0</v>
      </c>
      <c r="AN2675" s="3">
        <v>0</v>
      </c>
      <c r="AO2675" s="3">
        <v>0</v>
      </c>
      <c r="AP2675" s="3">
        <v>0</v>
      </c>
      <c r="AQ2675" s="3">
        <v>0</v>
      </c>
      <c r="AR2675" s="3">
        <v>0</v>
      </c>
      <c r="AS2675" s="3">
        <v>0</v>
      </c>
      <c r="AT2675" s="3">
        <v>0</v>
      </c>
      <c r="AU2675" s="3">
        <v>0</v>
      </c>
      <c r="AV2675" s="3">
        <v>0</v>
      </c>
      <c r="AW2675" s="3">
        <v>0</v>
      </c>
      <c r="AX2675" s="3">
        <v>0</v>
      </c>
      <c r="AY2675" s="3">
        <v>0</v>
      </c>
      <c r="AZ2675" s="3">
        <v>0</v>
      </c>
      <c r="BA2675" s="3">
        <v>0</v>
      </c>
      <c r="BB2675" s="3">
        <v>0</v>
      </c>
      <c r="BC2675" s="3">
        <v>0</v>
      </c>
      <c r="BD2675" s="3">
        <v>0</v>
      </c>
      <c r="BE2675" s="3">
        <v>0</v>
      </c>
      <c r="BF2675" s="3">
        <v>0</v>
      </c>
      <c r="BG2675" s="3">
        <v>0</v>
      </c>
      <c r="BH2675" s="3">
        <v>1</v>
      </c>
      <c r="BI2675" s="3">
        <v>1</v>
      </c>
      <c r="BJ2675" s="3">
        <v>0.9</v>
      </c>
      <c r="BK2675" s="3">
        <v>1</v>
      </c>
      <c r="BL2675" s="3">
        <v>60.52</v>
      </c>
      <c r="BM2675" s="3">
        <v>9.08</v>
      </c>
      <c r="BN2675" s="3">
        <v>69.599999999999994</v>
      </c>
      <c r="BO2675" s="3">
        <v>69.599999999999994</v>
      </c>
      <c r="BQ2675" s="3" t="s">
        <v>89</v>
      </c>
      <c r="BR2675" s="3" t="s">
        <v>308</v>
      </c>
      <c r="BS2675" s="4">
        <v>44566</v>
      </c>
      <c r="BT2675" s="5">
        <v>0.42499999999999999</v>
      </c>
      <c r="BU2675" s="3" t="s">
        <v>1931</v>
      </c>
      <c r="BV2675" s="3" t="s">
        <v>105</v>
      </c>
      <c r="BY2675" s="3">
        <v>4275</v>
      </c>
      <c r="BZ2675" s="3" t="s">
        <v>165</v>
      </c>
      <c r="CA2675" s="3" t="s">
        <v>557</v>
      </c>
      <c r="CC2675" s="3" t="s">
        <v>80</v>
      </c>
      <c r="CD2675" s="3">
        <v>1</v>
      </c>
      <c r="CE2675" s="3" t="s">
        <v>86</v>
      </c>
      <c r="CF2675" s="4">
        <v>44566</v>
      </c>
      <c r="CI2675" s="3">
        <v>1</v>
      </c>
      <c r="CJ2675" s="3">
        <v>1</v>
      </c>
      <c r="CK2675" s="3">
        <v>21</v>
      </c>
      <c r="CL2675" s="3" t="s">
        <v>87</v>
      </c>
    </row>
    <row r="2676" spans="1:90" x14ac:dyDescent="0.2">
      <c r="A2676" s="3" t="s">
        <v>72</v>
      </c>
      <c r="B2676" s="3" t="s">
        <v>73</v>
      </c>
      <c r="C2676" s="3" t="s">
        <v>74</v>
      </c>
      <c r="E2676" s="3" t="str">
        <f>"FES1162843605"</f>
        <v>FES1162843605</v>
      </c>
      <c r="F2676" s="4">
        <v>44566</v>
      </c>
      <c r="G2676" s="3">
        <v>202207</v>
      </c>
      <c r="H2676" s="3" t="s">
        <v>75</v>
      </c>
      <c r="I2676" s="3" t="s">
        <v>76</v>
      </c>
      <c r="J2676" s="3" t="s">
        <v>77</v>
      </c>
      <c r="K2676" s="3" t="s">
        <v>78</v>
      </c>
      <c r="L2676" s="3" t="s">
        <v>171</v>
      </c>
      <c r="M2676" s="3" t="s">
        <v>172</v>
      </c>
      <c r="N2676" s="3" t="s">
        <v>200</v>
      </c>
      <c r="O2676" s="3" t="s">
        <v>82</v>
      </c>
      <c r="P2676" s="3" t="str">
        <f>"2170815678                    "</f>
        <v xml:space="preserve">2170815678                    </v>
      </c>
      <c r="Q2676" s="3">
        <v>0</v>
      </c>
      <c r="R2676" s="3">
        <v>0</v>
      </c>
      <c r="S2676" s="3">
        <v>0</v>
      </c>
      <c r="T2676" s="3">
        <v>0</v>
      </c>
      <c r="U2676" s="3">
        <v>0</v>
      </c>
      <c r="V2676" s="3">
        <v>0</v>
      </c>
      <c r="W2676" s="3">
        <v>0</v>
      </c>
      <c r="X2676" s="3">
        <v>0</v>
      </c>
      <c r="Y2676" s="3">
        <v>0</v>
      </c>
      <c r="Z2676" s="3">
        <v>0</v>
      </c>
      <c r="AA2676" s="3">
        <v>0</v>
      </c>
      <c r="AB2676" s="3">
        <v>0</v>
      </c>
      <c r="AC2676" s="3">
        <v>0</v>
      </c>
      <c r="AD2676" s="3">
        <v>0</v>
      </c>
      <c r="AE2676" s="3">
        <v>0</v>
      </c>
      <c r="AF2676" s="3">
        <v>0</v>
      </c>
      <c r="AG2676" s="3">
        <v>0</v>
      </c>
      <c r="AH2676" s="3">
        <v>0</v>
      </c>
      <c r="AI2676" s="3">
        <v>0</v>
      </c>
      <c r="AJ2676" s="3">
        <v>0</v>
      </c>
      <c r="AK2676" s="3">
        <v>15.46</v>
      </c>
      <c r="AL2676" s="3">
        <v>0</v>
      </c>
      <c r="AM2676" s="3">
        <v>0</v>
      </c>
      <c r="AN2676" s="3">
        <v>0</v>
      </c>
      <c r="AO2676" s="3">
        <v>0</v>
      </c>
      <c r="AP2676" s="3">
        <v>0</v>
      </c>
      <c r="AQ2676" s="3">
        <v>0</v>
      </c>
      <c r="AR2676" s="3">
        <v>0</v>
      </c>
      <c r="AS2676" s="3">
        <v>0</v>
      </c>
      <c r="AT2676" s="3">
        <v>0</v>
      </c>
      <c r="AU2676" s="3">
        <v>0</v>
      </c>
      <c r="AV2676" s="3">
        <v>0</v>
      </c>
      <c r="AW2676" s="3">
        <v>0</v>
      </c>
      <c r="AX2676" s="3">
        <v>0</v>
      </c>
      <c r="AY2676" s="3">
        <v>0</v>
      </c>
      <c r="AZ2676" s="3">
        <v>0</v>
      </c>
      <c r="BA2676" s="3">
        <v>0</v>
      </c>
      <c r="BB2676" s="3">
        <v>0</v>
      </c>
      <c r="BC2676" s="3">
        <v>0</v>
      </c>
      <c r="BD2676" s="3">
        <v>0</v>
      </c>
      <c r="BE2676" s="3">
        <v>0</v>
      </c>
      <c r="BF2676" s="3">
        <v>0</v>
      </c>
      <c r="BG2676" s="3">
        <v>0</v>
      </c>
      <c r="BH2676" s="3">
        <v>1</v>
      </c>
      <c r="BI2676" s="3">
        <v>2</v>
      </c>
      <c r="BJ2676" s="3">
        <v>1.3</v>
      </c>
      <c r="BK2676" s="3">
        <v>2</v>
      </c>
      <c r="BL2676" s="3">
        <v>59</v>
      </c>
      <c r="BM2676" s="3">
        <v>8.85</v>
      </c>
      <c r="BN2676" s="3">
        <v>67.849999999999994</v>
      </c>
      <c r="BO2676" s="3">
        <v>67.849999999999994</v>
      </c>
      <c r="BQ2676" s="3" t="s">
        <v>89</v>
      </c>
      <c r="BR2676" s="3" t="s">
        <v>364</v>
      </c>
      <c r="BS2676" s="4">
        <v>44567</v>
      </c>
      <c r="BT2676" s="5">
        <v>0.41805555555555557</v>
      </c>
      <c r="BU2676" s="3" t="s">
        <v>908</v>
      </c>
      <c r="BV2676" s="3" t="s">
        <v>105</v>
      </c>
      <c r="BY2676" s="3">
        <v>6727</v>
      </c>
      <c r="BZ2676" s="3" t="s">
        <v>165</v>
      </c>
      <c r="CA2676" s="3" t="s">
        <v>814</v>
      </c>
      <c r="CC2676" s="3" t="s">
        <v>172</v>
      </c>
      <c r="CD2676" s="3">
        <v>6001</v>
      </c>
      <c r="CE2676" s="3" t="s">
        <v>86</v>
      </c>
      <c r="CF2676" s="4">
        <v>44567</v>
      </c>
      <c r="CI2676" s="3">
        <v>1</v>
      </c>
      <c r="CJ2676" s="3">
        <v>1</v>
      </c>
      <c r="CK2676" s="3">
        <v>21</v>
      </c>
      <c r="CL2676" s="3" t="s">
        <v>87</v>
      </c>
    </row>
    <row r="2677" spans="1:90" x14ac:dyDescent="0.2">
      <c r="A2677" s="3" t="s">
        <v>72</v>
      </c>
      <c r="B2677" s="3" t="s">
        <v>73</v>
      </c>
      <c r="C2677" s="3" t="s">
        <v>74</v>
      </c>
      <c r="E2677" s="3" t="str">
        <f>"FES1162843190"</f>
        <v>FES1162843190</v>
      </c>
      <c r="F2677" s="4">
        <v>44564</v>
      </c>
      <c r="G2677" s="3">
        <v>202207</v>
      </c>
      <c r="H2677" s="3" t="s">
        <v>75</v>
      </c>
      <c r="I2677" s="3" t="s">
        <v>76</v>
      </c>
      <c r="J2677" s="3" t="s">
        <v>77</v>
      </c>
      <c r="K2677" s="3" t="s">
        <v>78</v>
      </c>
      <c r="L2677" s="3" t="s">
        <v>171</v>
      </c>
      <c r="M2677" s="3" t="s">
        <v>172</v>
      </c>
      <c r="N2677" s="3" t="s">
        <v>199</v>
      </c>
      <c r="O2677" s="3" t="s">
        <v>82</v>
      </c>
      <c r="P2677" s="3" t="str">
        <f>"2170813022                    "</f>
        <v xml:space="preserve">2170813022                    </v>
      </c>
      <c r="Q2677" s="3">
        <v>0</v>
      </c>
      <c r="R2677" s="3">
        <v>0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  <c r="AE2677" s="3">
        <v>0</v>
      </c>
      <c r="AF2677" s="3">
        <v>0</v>
      </c>
      <c r="AG2677" s="3">
        <v>0</v>
      </c>
      <c r="AH2677" s="3">
        <v>0</v>
      </c>
      <c r="AI2677" s="3">
        <v>0</v>
      </c>
      <c r="AJ2677" s="3">
        <v>0</v>
      </c>
      <c r="AK2677" s="3">
        <v>16.98</v>
      </c>
      <c r="AL2677" s="3">
        <v>0</v>
      </c>
      <c r="AM2677" s="3">
        <v>0</v>
      </c>
      <c r="AN2677" s="3">
        <v>0</v>
      </c>
      <c r="AO2677" s="3">
        <v>0</v>
      </c>
      <c r="AP2677" s="3">
        <v>0</v>
      </c>
      <c r="AQ2677" s="3">
        <v>0</v>
      </c>
      <c r="AR2677" s="3">
        <v>0</v>
      </c>
      <c r="AS2677" s="3">
        <v>0</v>
      </c>
      <c r="AT2677" s="3">
        <v>0</v>
      </c>
      <c r="AU2677" s="3">
        <v>0</v>
      </c>
      <c r="AV2677" s="3">
        <v>0</v>
      </c>
      <c r="AW2677" s="3">
        <v>0</v>
      </c>
      <c r="AX2677" s="3">
        <v>0</v>
      </c>
      <c r="AY2677" s="3">
        <v>0</v>
      </c>
      <c r="AZ2677" s="3">
        <v>0</v>
      </c>
      <c r="BA2677" s="3">
        <v>0</v>
      </c>
      <c r="BB2677" s="3">
        <v>0</v>
      </c>
      <c r="BC2677" s="3">
        <v>0</v>
      </c>
      <c r="BD2677" s="3">
        <v>0</v>
      </c>
      <c r="BE2677" s="3">
        <v>0</v>
      </c>
      <c r="BF2677" s="3">
        <v>0</v>
      </c>
      <c r="BG2677" s="3">
        <v>0</v>
      </c>
      <c r="BH2677" s="3">
        <v>1</v>
      </c>
      <c r="BI2677" s="3">
        <v>1</v>
      </c>
      <c r="BJ2677" s="3">
        <v>0.2</v>
      </c>
      <c r="BK2677" s="3">
        <v>1</v>
      </c>
      <c r="BL2677" s="3">
        <v>60.52</v>
      </c>
      <c r="BM2677" s="3">
        <v>9.08</v>
      </c>
      <c r="BN2677" s="3">
        <v>69.599999999999994</v>
      </c>
      <c r="BO2677" s="3">
        <v>69.599999999999994</v>
      </c>
      <c r="BR2677" s="3" t="s">
        <v>308</v>
      </c>
      <c r="BS2677" s="4">
        <v>44565</v>
      </c>
      <c r="BT2677" s="5">
        <v>0.31111111111111112</v>
      </c>
      <c r="BU2677" s="3" t="s">
        <v>2574</v>
      </c>
      <c r="BV2677" s="3" t="s">
        <v>105</v>
      </c>
      <c r="BY2677" s="3">
        <v>1200</v>
      </c>
      <c r="BZ2677" s="3" t="s">
        <v>165</v>
      </c>
      <c r="CA2677" s="3" t="s">
        <v>408</v>
      </c>
      <c r="CC2677" s="3" t="s">
        <v>172</v>
      </c>
      <c r="CD2677" s="3">
        <v>6000</v>
      </c>
      <c r="CE2677" s="3" t="s">
        <v>93</v>
      </c>
      <c r="CF2677" s="4">
        <v>44565</v>
      </c>
      <c r="CI2677" s="3">
        <v>1</v>
      </c>
      <c r="CJ2677" s="3">
        <v>1</v>
      </c>
      <c r="CK2677" s="3">
        <v>21</v>
      </c>
      <c r="CL2677" s="3" t="s">
        <v>87</v>
      </c>
    </row>
    <row r="2678" spans="1:90" x14ac:dyDescent="0.2">
      <c r="A2678" s="3" t="s">
        <v>72</v>
      </c>
      <c r="B2678" s="3" t="s">
        <v>73</v>
      </c>
      <c r="C2678" s="3" t="s">
        <v>74</v>
      </c>
      <c r="E2678" s="3" t="str">
        <f>"FES1162843828"</f>
        <v>FES1162843828</v>
      </c>
      <c r="F2678" s="4">
        <v>44566</v>
      </c>
      <c r="G2678" s="3">
        <v>202207</v>
      </c>
      <c r="H2678" s="3" t="s">
        <v>75</v>
      </c>
      <c r="I2678" s="3" t="s">
        <v>76</v>
      </c>
      <c r="J2678" s="3" t="s">
        <v>77</v>
      </c>
      <c r="K2678" s="3" t="s">
        <v>78</v>
      </c>
      <c r="L2678" s="3" t="s">
        <v>101</v>
      </c>
      <c r="M2678" s="3" t="s">
        <v>102</v>
      </c>
      <c r="N2678" s="3" t="s">
        <v>2575</v>
      </c>
      <c r="O2678" s="3" t="s">
        <v>82</v>
      </c>
      <c r="P2678" s="3" t="str">
        <f>"2170815756                    "</f>
        <v xml:space="preserve">2170815756                    </v>
      </c>
      <c r="Q2678" s="3">
        <v>0</v>
      </c>
      <c r="R2678" s="3">
        <v>0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  <c r="AE2678" s="3">
        <v>0</v>
      </c>
      <c r="AF2678" s="3">
        <v>0</v>
      </c>
      <c r="AG2678" s="3">
        <v>0</v>
      </c>
      <c r="AH2678" s="3">
        <v>0</v>
      </c>
      <c r="AI2678" s="3">
        <v>0</v>
      </c>
      <c r="AJ2678" s="3">
        <v>0</v>
      </c>
      <c r="AK2678" s="3">
        <v>54.08</v>
      </c>
      <c r="AL2678" s="3">
        <v>0</v>
      </c>
      <c r="AM2678" s="3">
        <v>0</v>
      </c>
      <c r="AN2678" s="3">
        <v>0</v>
      </c>
      <c r="AO2678" s="3">
        <v>0</v>
      </c>
      <c r="AP2678" s="3">
        <v>0</v>
      </c>
      <c r="AQ2678" s="3">
        <v>0</v>
      </c>
      <c r="AR2678" s="3">
        <v>0</v>
      </c>
      <c r="AS2678" s="3">
        <v>0</v>
      </c>
      <c r="AT2678" s="3">
        <v>0</v>
      </c>
      <c r="AU2678" s="3">
        <v>0</v>
      </c>
      <c r="AV2678" s="3">
        <v>0</v>
      </c>
      <c r="AW2678" s="3">
        <v>0</v>
      </c>
      <c r="AX2678" s="3">
        <v>0</v>
      </c>
      <c r="AY2678" s="3">
        <v>0</v>
      </c>
      <c r="AZ2678" s="3">
        <v>0</v>
      </c>
      <c r="BA2678" s="3">
        <v>0</v>
      </c>
      <c r="BB2678" s="3">
        <v>0</v>
      </c>
      <c r="BC2678" s="3">
        <v>0</v>
      </c>
      <c r="BD2678" s="3">
        <v>0</v>
      </c>
      <c r="BE2678" s="3">
        <v>0</v>
      </c>
      <c r="BF2678" s="3">
        <v>0</v>
      </c>
      <c r="BG2678" s="3">
        <v>0</v>
      </c>
      <c r="BH2678" s="3">
        <v>1</v>
      </c>
      <c r="BI2678" s="3">
        <v>7</v>
      </c>
      <c r="BJ2678" s="3">
        <v>2.9</v>
      </c>
      <c r="BK2678" s="3">
        <v>7</v>
      </c>
      <c r="BL2678" s="3">
        <v>206.42</v>
      </c>
      <c r="BM2678" s="3">
        <v>30.96</v>
      </c>
      <c r="BN2678" s="3">
        <v>237.38</v>
      </c>
      <c r="BO2678" s="3">
        <v>237.38</v>
      </c>
      <c r="BR2678" s="3" t="s">
        <v>364</v>
      </c>
      <c r="BS2678" s="4">
        <v>44567</v>
      </c>
      <c r="BT2678" s="5">
        <v>0.39930555555555558</v>
      </c>
      <c r="BU2678" s="3" t="s">
        <v>2576</v>
      </c>
      <c r="BV2678" s="3" t="s">
        <v>105</v>
      </c>
      <c r="BY2678" s="3">
        <v>14628</v>
      </c>
      <c r="BZ2678" s="3" t="s">
        <v>165</v>
      </c>
      <c r="CA2678" s="3" t="s">
        <v>669</v>
      </c>
      <c r="CC2678" s="3" t="s">
        <v>102</v>
      </c>
      <c r="CD2678" s="3">
        <v>4051</v>
      </c>
      <c r="CE2678" s="3" t="s">
        <v>86</v>
      </c>
      <c r="CF2678" s="4">
        <v>44567</v>
      </c>
      <c r="CI2678" s="3">
        <v>1</v>
      </c>
      <c r="CJ2678" s="3">
        <v>1</v>
      </c>
      <c r="CK2678" s="3">
        <v>21</v>
      </c>
      <c r="CL2678" s="3" t="s">
        <v>87</v>
      </c>
    </row>
    <row r="2679" spans="1:90" x14ac:dyDescent="0.2">
      <c r="A2679" s="3" t="s">
        <v>72</v>
      </c>
      <c r="B2679" s="3" t="s">
        <v>73</v>
      </c>
      <c r="C2679" s="3" t="s">
        <v>74</v>
      </c>
      <c r="E2679" s="3" t="str">
        <f>"FES1162843486"</f>
        <v>FES1162843486</v>
      </c>
      <c r="F2679" s="4">
        <v>44565</v>
      </c>
      <c r="G2679" s="3">
        <v>202207</v>
      </c>
      <c r="H2679" s="3" t="s">
        <v>75</v>
      </c>
      <c r="I2679" s="3" t="s">
        <v>76</v>
      </c>
      <c r="J2679" s="3" t="s">
        <v>77</v>
      </c>
      <c r="K2679" s="3" t="s">
        <v>78</v>
      </c>
      <c r="L2679" s="3" t="s">
        <v>94</v>
      </c>
      <c r="M2679" s="3" t="s">
        <v>95</v>
      </c>
      <c r="N2679" s="3" t="s">
        <v>96</v>
      </c>
      <c r="O2679" s="3" t="s">
        <v>82</v>
      </c>
      <c r="P2679" s="3" t="str">
        <f>"2170814499                    "</f>
        <v xml:space="preserve">2170814499                    </v>
      </c>
      <c r="Q2679" s="3">
        <v>0</v>
      </c>
      <c r="R2679" s="3">
        <v>0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  <c r="AE2679" s="3">
        <v>0</v>
      </c>
      <c r="AF2679" s="3">
        <v>0</v>
      </c>
      <c r="AG2679" s="3">
        <v>0</v>
      </c>
      <c r="AH2679" s="3">
        <v>0</v>
      </c>
      <c r="AI2679" s="3">
        <v>0</v>
      </c>
      <c r="AJ2679" s="3">
        <v>0</v>
      </c>
      <c r="AK2679" s="3">
        <v>25.47</v>
      </c>
      <c r="AL2679" s="3">
        <v>0</v>
      </c>
      <c r="AM2679" s="3">
        <v>0</v>
      </c>
      <c r="AN2679" s="3">
        <v>0</v>
      </c>
      <c r="AO2679" s="3">
        <v>0</v>
      </c>
      <c r="AP2679" s="3">
        <v>0</v>
      </c>
      <c r="AQ2679" s="3">
        <v>0</v>
      </c>
      <c r="AR2679" s="3">
        <v>0</v>
      </c>
      <c r="AS2679" s="3">
        <v>0</v>
      </c>
      <c r="AT2679" s="3">
        <v>0</v>
      </c>
      <c r="AU2679" s="3">
        <v>0</v>
      </c>
      <c r="AV2679" s="3">
        <v>0</v>
      </c>
      <c r="AW2679" s="3">
        <v>0</v>
      </c>
      <c r="AX2679" s="3">
        <v>0</v>
      </c>
      <c r="AY2679" s="3">
        <v>0</v>
      </c>
      <c r="AZ2679" s="3">
        <v>0</v>
      </c>
      <c r="BA2679" s="3">
        <v>0</v>
      </c>
      <c r="BB2679" s="3">
        <v>0</v>
      </c>
      <c r="BC2679" s="3">
        <v>0</v>
      </c>
      <c r="BD2679" s="3">
        <v>0</v>
      </c>
      <c r="BE2679" s="3">
        <v>0</v>
      </c>
      <c r="BF2679" s="3">
        <v>0</v>
      </c>
      <c r="BG2679" s="3">
        <v>0</v>
      </c>
      <c r="BH2679" s="3">
        <v>1</v>
      </c>
      <c r="BI2679" s="3">
        <v>3</v>
      </c>
      <c r="BJ2679" s="3">
        <v>1.5</v>
      </c>
      <c r="BK2679" s="3">
        <v>3</v>
      </c>
      <c r="BL2679" s="3">
        <v>90.77</v>
      </c>
      <c r="BM2679" s="3">
        <v>13.62</v>
      </c>
      <c r="BN2679" s="3">
        <v>104.39</v>
      </c>
      <c r="BO2679" s="3">
        <v>104.39</v>
      </c>
      <c r="BQ2679" s="3" t="s">
        <v>89</v>
      </c>
      <c r="BR2679" s="3" t="s">
        <v>308</v>
      </c>
      <c r="BS2679" s="4">
        <v>44566</v>
      </c>
      <c r="BT2679" s="5">
        <v>0.60763888888888895</v>
      </c>
      <c r="BU2679" s="3" t="s">
        <v>2577</v>
      </c>
      <c r="BV2679" s="3" t="s">
        <v>87</v>
      </c>
      <c r="BW2679" s="3" t="s">
        <v>453</v>
      </c>
      <c r="BX2679" s="3" t="s">
        <v>2578</v>
      </c>
      <c r="BY2679" s="3">
        <v>7540</v>
      </c>
      <c r="BZ2679" s="3" t="s">
        <v>165</v>
      </c>
      <c r="CA2679" s="3" t="s">
        <v>328</v>
      </c>
      <c r="CC2679" s="3" t="s">
        <v>95</v>
      </c>
      <c r="CD2679" s="3">
        <v>3201</v>
      </c>
      <c r="CE2679" s="3" t="s">
        <v>86</v>
      </c>
      <c r="CF2679" s="4">
        <v>44568</v>
      </c>
      <c r="CI2679" s="3">
        <v>1</v>
      </c>
      <c r="CJ2679" s="3">
        <v>1</v>
      </c>
      <c r="CK2679" s="3">
        <v>21</v>
      </c>
      <c r="CL2679" s="3" t="s">
        <v>87</v>
      </c>
    </row>
    <row r="2680" spans="1:90" x14ac:dyDescent="0.2">
      <c r="A2680" s="3" t="s">
        <v>72</v>
      </c>
      <c r="B2680" s="3" t="s">
        <v>73</v>
      </c>
      <c r="C2680" s="3" t="s">
        <v>74</v>
      </c>
      <c r="E2680" s="3" t="str">
        <f>"FES1162843562"</f>
        <v>FES1162843562</v>
      </c>
      <c r="F2680" s="4">
        <v>44566</v>
      </c>
      <c r="G2680" s="3">
        <v>202207</v>
      </c>
      <c r="H2680" s="3" t="s">
        <v>75</v>
      </c>
      <c r="I2680" s="3" t="s">
        <v>76</v>
      </c>
      <c r="J2680" s="3" t="s">
        <v>77</v>
      </c>
      <c r="K2680" s="3" t="s">
        <v>78</v>
      </c>
      <c r="L2680" s="3" t="s">
        <v>184</v>
      </c>
      <c r="M2680" s="3" t="s">
        <v>185</v>
      </c>
      <c r="N2680" s="3" t="s">
        <v>186</v>
      </c>
      <c r="O2680" s="3" t="s">
        <v>82</v>
      </c>
      <c r="P2680" s="3" t="str">
        <f>"2170815657                    "</f>
        <v xml:space="preserve">2170815657                    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  <c r="W2680" s="3">
        <v>0</v>
      </c>
      <c r="X2680" s="3">
        <v>0</v>
      </c>
      <c r="Y2680" s="3">
        <v>0</v>
      </c>
      <c r="Z2680" s="3">
        <v>0</v>
      </c>
      <c r="AA2680" s="3">
        <v>0</v>
      </c>
      <c r="AB2680" s="3">
        <v>0</v>
      </c>
      <c r="AC2680" s="3">
        <v>0</v>
      </c>
      <c r="AD2680" s="3">
        <v>0</v>
      </c>
      <c r="AE2680" s="3">
        <v>0</v>
      </c>
      <c r="AF2680" s="3">
        <v>0</v>
      </c>
      <c r="AG2680" s="3">
        <v>0</v>
      </c>
      <c r="AH2680" s="3">
        <v>0</v>
      </c>
      <c r="AI2680" s="3">
        <v>0</v>
      </c>
      <c r="AJ2680" s="3">
        <v>0</v>
      </c>
      <c r="AK2680" s="3">
        <v>15.46</v>
      </c>
      <c r="AL2680" s="3">
        <v>0</v>
      </c>
      <c r="AM2680" s="3">
        <v>0</v>
      </c>
      <c r="AN2680" s="3">
        <v>0</v>
      </c>
      <c r="AO2680" s="3">
        <v>0</v>
      </c>
      <c r="AP2680" s="3">
        <v>0</v>
      </c>
      <c r="AQ2680" s="3">
        <v>0</v>
      </c>
      <c r="AR2680" s="3">
        <v>0</v>
      </c>
      <c r="AS2680" s="3">
        <v>0</v>
      </c>
      <c r="AT2680" s="3">
        <v>0</v>
      </c>
      <c r="AU2680" s="3">
        <v>0</v>
      </c>
      <c r="AV2680" s="3">
        <v>0</v>
      </c>
      <c r="AW2680" s="3">
        <v>0</v>
      </c>
      <c r="AX2680" s="3">
        <v>0</v>
      </c>
      <c r="AY2680" s="3">
        <v>0</v>
      </c>
      <c r="AZ2680" s="3">
        <v>0</v>
      </c>
      <c r="BA2680" s="3">
        <v>0</v>
      </c>
      <c r="BB2680" s="3">
        <v>0</v>
      </c>
      <c r="BC2680" s="3">
        <v>0</v>
      </c>
      <c r="BD2680" s="3">
        <v>0</v>
      </c>
      <c r="BE2680" s="3">
        <v>0</v>
      </c>
      <c r="BF2680" s="3">
        <v>0</v>
      </c>
      <c r="BG2680" s="3">
        <v>0</v>
      </c>
      <c r="BH2680" s="3">
        <v>1</v>
      </c>
      <c r="BI2680" s="3">
        <v>1</v>
      </c>
      <c r="BJ2680" s="3">
        <v>0.2</v>
      </c>
      <c r="BK2680" s="3">
        <v>1</v>
      </c>
      <c r="BL2680" s="3">
        <v>59</v>
      </c>
      <c r="BM2680" s="3">
        <v>8.85</v>
      </c>
      <c r="BN2680" s="3">
        <v>67.849999999999994</v>
      </c>
      <c r="BO2680" s="3">
        <v>67.849999999999994</v>
      </c>
      <c r="BQ2680" s="3" t="s">
        <v>83</v>
      </c>
      <c r="BR2680" s="3" t="s">
        <v>364</v>
      </c>
      <c r="BS2680" s="4">
        <v>44567</v>
      </c>
      <c r="BT2680" s="5">
        <v>0.44444444444444442</v>
      </c>
      <c r="BU2680" s="3" t="s">
        <v>1542</v>
      </c>
      <c r="BV2680" s="3" t="s">
        <v>87</v>
      </c>
      <c r="BW2680" s="3" t="s">
        <v>353</v>
      </c>
      <c r="BX2680" s="3" t="s">
        <v>605</v>
      </c>
      <c r="BY2680" s="3">
        <v>1200</v>
      </c>
      <c r="BZ2680" s="3" t="s">
        <v>165</v>
      </c>
      <c r="CA2680" s="3" t="s">
        <v>357</v>
      </c>
      <c r="CC2680" s="3" t="s">
        <v>185</v>
      </c>
      <c r="CD2680" s="3">
        <v>5201</v>
      </c>
      <c r="CE2680" s="3" t="s">
        <v>93</v>
      </c>
      <c r="CF2680" s="4">
        <v>44567</v>
      </c>
      <c r="CI2680" s="3">
        <v>1</v>
      </c>
      <c r="CJ2680" s="3">
        <v>1</v>
      </c>
      <c r="CK2680" s="3">
        <v>21</v>
      </c>
      <c r="CL2680" s="3" t="s">
        <v>87</v>
      </c>
    </row>
    <row r="2681" spans="1:90" x14ac:dyDescent="0.2">
      <c r="A2681" s="3" t="s">
        <v>72</v>
      </c>
      <c r="B2681" s="3" t="s">
        <v>73</v>
      </c>
      <c r="C2681" s="3" t="s">
        <v>74</v>
      </c>
      <c r="E2681" s="3" t="str">
        <f>"FES1162843350"</f>
        <v>FES1162843350</v>
      </c>
      <c r="F2681" s="4">
        <v>44565</v>
      </c>
      <c r="G2681" s="3">
        <v>202207</v>
      </c>
      <c r="H2681" s="3" t="s">
        <v>75</v>
      </c>
      <c r="I2681" s="3" t="s">
        <v>76</v>
      </c>
      <c r="J2681" s="3" t="s">
        <v>77</v>
      </c>
      <c r="K2681" s="3" t="s">
        <v>78</v>
      </c>
      <c r="L2681" s="3" t="s">
        <v>171</v>
      </c>
      <c r="M2681" s="3" t="s">
        <v>172</v>
      </c>
      <c r="N2681" s="3" t="s">
        <v>398</v>
      </c>
      <c r="O2681" s="3" t="s">
        <v>82</v>
      </c>
      <c r="P2681" s="3" t="str">
        <f>"2170815450                    "</f>
        <v xml:space="preserve">2170815450                    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  <c r="AE2681" s="3">
        <v>0</v>
      </c>
      <c r="AF2681" s="3">
        <v>0</v>
      </c>
      <c r="AG2681" s="3">
        <v>0</v>
      </c>
      <c r="AH2681" s="3">
        <v>0</v>
      </c>
      <c r="AI2681" s="3">
        <v>0</v>
      </c>
      <c r="AJ2681" s="3">
        <v>0</v>
      </c>
      <c r="AK2681" s="3">
        <v>16.98</v>
      </c>
      <c r="AL2681" s="3">
        <v>0</v>
      </c>
      <c r="AM2681" s="3">
        <v>0</v>
      </c>
      <c r="AN2681" s="3">
        <v>0</v>
      </c>
      <c r="AO2681" s="3">
        <v>0</v>
      </c>
      <c r="AP2681" s="3">
        <v>0</v>
      </c>
      <c r="AQ2681" s="3">
        <v>0</v>
      </c>
      <c r="AR2681" s="3">
        <v>0</v>
      </c>
      <c r="AS2681" s="3">
        <v>0</v>
      </c>
      <c r="AT2681" s="3">
        <v>0</v>
      </c>
      <c r="AU2681" s="3">
        <v>0</v>
      </c>
      <c r="AV2681" s="3">
        <v>0</v>
      </c>
      <c r="AW2681" s="3">
        <v>0</v>
      </c>
      <c r="AX2681" s="3">
        <v>0</v>
      </c>
      <c r="AY2681" s="3">
        <v>0</v>
      </c>
      <c r="AZ2681" s="3">
        <v>0</v>
      </c>
      <c r="BA2681" s="3">
        <v>0</v>
      </c>
      <c r="BB2681" s="3">
        <v>0</v>
      </c>
      <c r="BC2681" s="3">
        <v>0</v>
      </c>
      <c r="BD2681" s="3">
        <v>0</v>
      </c>
      <c r="BE2681" s="3">
        <v>0</v>
      </c>
      <c r="BF2681" s="3">
        <v>0</v>
      </c>
      <c r="BG2681" s="3">
        <v>0</v>
      </c>
      <c r="BH2681" s="3">
        <v>1</v>
      </c>
      <c r="BI2681" s="3">
        <v>1</v>
      </c>
      <c r="BJ2681" s="3">
        <v>0.2</v>
      </c>
      <c r="BK2681" s="3">
        <v>1</v>
      </c>
      <c r="BL2681" s="3">
        <v>60.52</v>
      </c>
      <c r="BM2681" s="3">
        <v>9.08</v>
      </c>
      <c r="BN2681" s="3">
        <v>69.599999999999994</v>
      </c>
      <c r="BO2681" s="3">
        <v>69.599999999999994</v>
      </c>
      <c r="BQ2681" s="3" t="s">
        <v>126</v>
      </c>
      <c r="BR2681" s="3" t="s">
        <v>308</v>
      </c>
      <c r="BS2681" s="4">
        <v>44582</v>
      </c>
      <c r="BT2681" s="5">
        <v>0.625</v>
      </c>
      <c r="BU2681" s="3" t="s">
        <v>634</v>
      </c>
      <c r="BV2681" s="3" t="s">
        <v>87</v>
      </c>
      <c r="BW2681" s="3" t="s">
        <v>457</v>
      </c>
      <c r="BX2681" s="3" t="s">
        <v>758</v>
      </c>
      <c r="BY2681" s="3">
        <v>1200</v>
      </c>
      <c r="BZ2681" s="3" t="s">
        <v>165</v>
      </c>
      <c r="CA2681" s="3" t="s">
        <v>635</v>
      </c>
      <c r="CC2681" s="3" t="s">
        <v>172</v>
      </c>
      <c r="CD2681" s="3">
        <v>6014</v>
      </c>
      <c r="CE2681" s="3" t="s">
        <v>93</v>
      </c>
      <c r="CF2681" s="4">
        <v>44582</v>
      </c>
      <c r="CI2681" s="3">
        <v>1</v>
      </c>
      <c r="CJ2681" s="3">
        <v>13</v>
      </c>
      <c r="CK2681" s="3">
        <v>21</v>
      </c>
      <c r="CL2681" s="3" t="s">
        <v>87</v>
      </c>
    </row>
    <row r="2682" spans="1:90" x14ac:dyDescent="0.2">
      <c r="A2682" s="3" t="s">
        <v>72</v>
      </c>
      <c r="B2682" s="3" t="s">
        <v>73</v>
      </c>
      <c r="C2682" s="3" t="s">
        <v>74</v>
      </c>
      <c r="E2682" s="3" t="str">
        <f>"FES1162843328"</f>
        <v>FES1162843328</v>
      </c>
      <c r="F2682" s="4">
        <v>44565</v>
      </c>
      <c r="G2682" s="3">
        <v>202207</v>
      </c>
      <c r="H2682" s="3" t="s">
        <v>75</v>
      </c>
      <c r="I2682" s="3" t="s">
        <v>76</v>
      </c>
      <c r="J2682" s="3" t="s">
        <v>77</v>
      </c>
      <c r="K2682" s="3" t="s">
        <v>78</v>
      </c>
      <c r="L2682" s="3" t="s">
        <v>107</v>
      </c>
      <c r="M2682" s="3" t="s">
        <v>108</v>
      </c>
      <c r="N2682" s="3" t="s">
        <v>392</v>
      </c>
      <c r="O2682" s="3" t="s">
        <v>82</v>
      </c>
      <c r="P2682" s="3" t="str">
        <f>"2170812982                    "</f>
        <v xml:space="preserve">2170812982                    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  <c r="AE2682" s="3">
        <v>0</v>
      </c>
      <c r="AF2682" s="3">
        <v>0</v>
      </c>
      <c r="AG2682" s="3">
        <v>0</v>
      </c>
      <c r="AH2682" s="3">
        <v>0</v>
      </c>
      <c r="AI2682" s="3">
        <v>0</v>
      </c>
      <c r="AJ2682" s="3">
        <v>0</v>
      </c>
      <c r="AK2682" s="3">
        <v>181.49</v>
      </c>
      <c r="AL2682" s="3">
        <v>0</v>
      </c>
      <c r="AM2682" s="3">
        <v>0</v>
      </c>
      <c r="AN2682" s="3">
        <v>0</v>
      </c>
      <c r="AO2682" s="3">
        <v>0</v>
      </c>
      <c r="AP2682" s="3">
        <v>0</v>
      </c>
      <c r="AQ2682" s="3">
        <v>0</v>
      </c>
      <c r="AR2682" s="3">
        <v>0</v>
      </c>
      <c r="AS2682" s="3">
        <v>0</v>
      </c>
      <c r="AT2682" s="3">
        <v>0</v>
      </c>
      <c r="AU2682" s="3">
        <v>0</v>
      </c>
      <c r="AV2682" s="3">
        <v>0</v>
      </c>
      <c r="AW2682" s="3">
        <v>0</v>
      </c>
      <c r="AX2682" s="3">
        <v>0</v>
      </c>
      <c r="AY2682" s="3">
        <v>0</v>
      </c>
      <c r="AZ2682" s="3">
        <v>0</v>
      </c>
      <c r="BA2682" s="3">
        <v>0</v>
      </c>
      <c r="BB2682" s="3">
        <v>0</v>
      </c>
      <c r="BC2682" s="3">
        <v>0</v>
      </c>
      <c r="BD2682" s="3">
        <v>0</v>
      </c>
      <c r="BE2682" s="3">
        <v>0</v>
      </c>
      <c r="BF2682" s="3">
        <v>0</v>
      </c>
      <c r="BG2682" s="3">
        <v>0</v>
      </c>
      <c r="BH2682" s="3">
        <v>1</v>
      </c>
      <c r="BI2682" s="3">
        <v>12</v>
      </c>
      <c r="BJ2682" s="3">
        <v>4.0999999999999996</v>
      </c>
      <c r="BK2682" s="3">
        <v>12</v>
      </c>
      <c r="BL2682" s="3">
        <v>646.85</v>
      </c>
      <c r="BM2682" s="3">
        <v>97.03</v>
      </c>
      <c r="BN2682" s="3">
        <v>743.88</v>
      </c>
      <c r="BO2682" s="3">
        <v>743.88</v>
      </c>
      <c r="BQ2682" s="3" t="s">
        <v>83</v>
      </c>
      <c r="BR2682" s="3" t="s">
        <v>308</v>
      </c>
      <c r="BS2682" s="4">
        <v>44571</v>
      </c>
      <c r="BT2682" s="5">
        <v>0.41666666666666669</v>
      </c>
      <c r="BU2682" s="3" t="s">
        <v>2334</v>
      </c>
      <c r="BV2682" s="3" t="s">
        <v>87</v>
      </c>
      <c r="BW2682" s="3" t="s">
        <v>493</v>
      </c>
      <c r="BX2682" s="3" t="s">
        <v>354</v>
      </c>
      <c r="BY2682" s="3">
        <v>20358</v>
      </c>
      <c r="BZ2682" s="3" t="s">
        <v>165</v>
      </c>
      <c r="CC2682" s="3" t="s">
        <v>108</v>
      </c>
      <c r="CD2682" s="3">
        <v>6849</v>
      </c>
      <c r="CE2682" s="3" t="s">
        <v>86</v>
      </c>
      <c r="CF2682" s="4">
        <v>44572</v>
      </c>
      <c r="CI2682" s="3">
        <v>2</v>
      </c>
      <c r="CJ2682" s="3">
        <v>4</v>
      </c>
      <c r="CK2682" s="3">
        <v>23</v>
      </c>
      <c r="CL2682" s="3" t="s">
        <v>87</v>
      </c>
    </row>
    <row r="2683" spans="1:90" x14ac:dyDescent="0.2">
      <c r="A2683" s="3" t="s">
        <v>72</v>
      </c>
      <c r="B2683" s="3" t="s">
        <v>73</v>
      </c>
      <c r="C2683" s="3" t="s">
        <v>74</v>
      </c>
      <c r="E2683" s="3" t="str">
        <f>"FES1162843599"</f>
        <v>FES1162843599</v>
      </c>
      <c r="F2683" s="4">
        <v>44566</v>
      </c>
      <c r="G2683" s="3">
        <v>202207</v>
      </c>
      <c r="H2683" s="3" t="s">
        <v>75</v>
      </c>
      <c r="I2683" s="3" t="s">
        <v>76</v>
      </c>
      <c r="J2683" s="3" t="s">
        <v>77</v>
      </c>
      <c r="K2683" s="3" t="s">
        <v>78</v>
      </c>
      <c r="L2683" s="3" t="s">
        <v>138</v>
      </c>
      <c r="M2683" s="3" t="s">
        <v>139</v>
      </c>
      <c r="N2683" s="3" t="s">
        <v>621</v>
      </c>
      <c r="O2683" s="3" t="s">
        <v>82</v>
      </c>
      <c r="P2683" s="3" t="str">
        <f>"2170815672                    "</f>
        <v xml:space="preserve">2170815672                    </v>
      </c>
      <c r="Q2683" s="3">
        <v>0</v>
      </c>
      <c r="R2683" s="3">
        <v>0</v>
      </c>
      <c r="S2683" s="3">
        <v>0</v>
      </c>
      <c r="T2683" s="3">
        <v>0</v>
      </c>
      <c r="U2683" s="3">
        <v>0</v>
      </c>
      <c r="V2683" s="3">
        <v>0</v>
      </c>
      <c r="W2683" s="3">
        <v>0</v>
      </c>
      <c r="X2683" s="3">
        <v>0</v>
      </c>
      <c r="Y2683" s="3">
        <v>0</v>
      </c>
      <c r="Z2683" s="3">
        <v>0</v>
      </c>
      <c r="AA2683" s="3">
        <v>0</v>
      </c>
      <c r="AB2683" s="3">
        <v>0</v>
      </c>
      <c r="AC2683" s="3">
        <v>0</v>
      </c>
      <c r="AD2683" s="3">
        <v>0</v>
      </c>
      <c r="AE2683" s="3">
        <v>0</v>
      </c>
      <c r="AF2683" s="3">
        <v>0</v>
      </c>
      <c r="AG2683" s="3">
        <v>0</v>
      </c>
      <c r="AH2683" s="3">
        <v>0</v>
      </c>
      <c r="AI2683" s="3">
        <v>0</v>
      </c>
      <c r="AJ2683" s="3">
        <v>0</v>
      </c>
      <c r="AK2683" s="3">
        <v>15.46</v>
      </c>
      <c r="AL2683" s="3">
        <v>0</v>
      </c>
      <c r="AM2683" s="3">
        <v>0</v>
      </c>
      <c r="AN2683" s="3">
        <v>0</v>
      </c>
      <c r="AO2683" s="3">
        <v>0</v>
      </c>
      <c r="AP2683" s="3">
        <v>0</v>
      </c>
      <c r="AQ2683" s="3">
        <v>0</v>
      </c>
      <c r="AR2683" s="3">
        <v>0</v>
      </c>
      <c r="AS2683" s="3">
        <v>0</v>
      </c>
      <c r="AT2683" s="3">
        <v>0</v>
      </c>
      <c r="AU2683" s="3">
        <v>0</v>
      </c>
      <c r="AV2683" s="3">
        <v>0</v>
      </c>
      <c r="AW2683" s="3">
        <v>0</v>
      </c>
      <c r="AX2683" s="3">
        <v>0</v>
      </c>
      <c r="AY2683" s="3">
        <v>0</v>
      </c>
      <c r="AZ2683" s="3">
        <v>0</v>
      </c>
      <c r="BA2683" s="3">
        <v>0</v>
      </c>
      <c r="BB2683" s="3">
        <v>0</v>
      </c>
      <c r="BC2683" s="3">
        <v>0</v>
      </c>
      <c r="BD2683" s="3">
        <v>0</v>
      </c>
      <c r="BE2683" s="3">
        <v>0</v>
      </c>
      <c r="BF2683" s="3">
        <v>0</v>
      </c>
      <c r="BG2683" s="3">
        <v>0</v>
      </c>
      <c r="BH2683" s="3">
        <v>1</v>
      </c>
      <c r="BI2683" s="3">
        <v>1</v>
      </c>
      <c r="BJ2683" s="3">
        <v>0.2</v>
      </c>
      <c r="BK2683" s="3">
        <v>1</v>
      </c>
      <c r="BL2683" s="3">
        <v>59</v>
      </c>
      <c r="BM2683" s="3">
        <v>8.85</v>
      </c>
      <c r="BN2683" s="3">
        <v>67.849999999999994</v>
      </c>
      <c r="BO2683" s="3">
        <v>67.849999999999994</v>
      </c>
      <c r="BQ2683" s="3" t="s">
        <v>83</v>
      </c>
      <c r="BR2683" s="3" t="s">
        <v>364</v>
      </c>
      <c r="BS2683" s="4">
        <v>44567</v>
      </c>
      <c r="BT2683" s="5">
        <v>0.41805555555555557</v>
      </c>
      <c r="BU2683" s="3" t="s">
        <v>1330</v>
      </c>
      <c r="BV2683" s="3" t="s">
        <v>105</v>
      </c>
      <c r="BY2683" s="3">
        <v>1200</v>
      </c>
      <c r="BZ2683" s="3" t="s">
        <v>165</v>
      </c>
      <c r="CA2683" s="3" t="s">
        <v>303</v>
      </c>
      <c r="CC2683" s="3" t="s">
        <v>139</v>
      </c>
      <c r="CD2683" s="3">
        <v>3610</v>
      </c>
      <c r="CE2683" s="3" t="s">
        <v>93</v>
      </c>
      <c r="CF2683" s="4">
        <v>44567</v>
      </c>
      <c r="CI2683" s="3">
        <v>1</v>
      </c>
      <c r="CJ2683" s="3">
        <v>1</v>
      </c>
      <c r="CK2683" s="3">
        <v>21</v>
      </c>
      <c r="CL2683" s="3" t="s">
        <v>87</v>
      </c>
    </row>
    <row r="2684" spans="1:90" x14ac:dyDescent="0.2">
      <c r="A2684" s="3" t="s">
        <v>72</v>
      </c>
      <c r="B2684" s="3" t="s">
        <v>73</v>
      </c>
      <c r="C2684" s="3" t="s">
        <v>74</v>
      </c>
      <c r="E2684" s="3" t="str">
        <f>"FES1162843051"</f>
        <v>FES1162843051</v>
      </c>
      <c r="F2684" s="4">
        <v>44564</v>
      </c>
      <c r="G2684" s="3">
        <v>202207</v>
      </c>
      <c r="H2684" s="3" t="s">
        <v>75</v>
      </c>
      <c r="I2684" s="3" t="s">
        <v>76</v>
      </c>
      <c r="J2684" s="3" t="s">
        <v>77</v>
      </c>
      <c r="K2684" s="3" t="s">
        <v>78</v>
      </c>
      <c r="L2684" s="3" t="s">
        <v>162</v>
      </c>
      <c r="M2684" s="3" t="s">
        <v>163</v>
      </c>
      <c r="N2684" s="3" t="s">
        <v>2579</v>
      </c>
      <c r="O2684" s="3" t="s">
        <v>82</v>
      </c>
      <c r="P2684" s="3" t="str">
        <f>"2170815409                    "</f>
        <v xml:space="preserve">2170815409                    </v>
      </c>
      <c r="Q2684" s="3">
        <v>0</v>
      </c>
      <c r="R2684" s="3">
        <v>0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  <c r="AE2684" s="3">
        <v>0</v>
      </c>
      <c r="AF2684" s="3">
        <v>0</v>
      </c>
      <c r="AG2684" s="3">
        <v>0</v>
      </c>
      <c r="AH2684" s="3">
        <v>0</v>
      </c>
      <c r="AI2684" s="3">
        <v>0</v>
      </c>
      <c r="AJ2684" s="3">
        <v>0</v>
      </c>
      <c r="AK2684" s="3">
        <v>13.26</v>
      </c>
      <c r="AL2684" s="3">
        <v>0</v>
      </c>
      <c r="AM2684" s="3">
        <v>0</v>
      </c>
      <c r="AN2684" s="3">
        <v>0</v>
      </c>
      <c r="AO2684" s="3">
        <v>0</v>
      </c>
      <c r="AP2684" s="3">
        <v>0</v>
      </c>
      <c r="AQ2684" s="3">
        <v>0</v>
      </c>
      <c r="AR2684" s="3">
        <v>0</v>
      </c>
      <c r="AS2684" s="3">
        <v>0</v>
      </c>
      <c r="AT2684" s="3">
        <v>0</v>
      </c>
      <c r="AU2684" s="3">
        <v>0</v>
      </c>
      <c r="AV2684" s="3">
        <v>0</v>
      </c>
      <c r="AW2684" s="3">
        <v>0</v>
      </c>
      <c r="AX2684" s="3">
        <v>0</v>
      </c>
      <c r="AY2684" s="3">
        <v>0</v>
      </c>
      <c r="AZ2684" s="3">
        <v>0</v>
      </c>
      <c r="BA2684" s="3">
        <v>0</v>
      </c>
      <c r="BB2684" s="3">
        <v>0</v>
      </c>
      <c r="BC2684" s="3">
        <v>0</v>
      </c>
      <c r="BD2684" s="3">
        <v>0</v>
      </c>
      <c r="BE2684" s="3">
        <v>0</v>
      </c>
      <c r="BF2684" s="3">
        <v>0</v>
      </c>
      <c r="BG2684" s="3">
        <v>0</v>
      </c>
      <c r="BH2684" s="3">
        <v>1</v>
      </c>
      <c r="BI2684" s="3">
        <v>1</v>
      </c>
      <c r="BJ2684" s="3">
        <v>0.2</v>
      </c>
      <c r="BK2684" s="3">
        <v>1</v>
      </c>
      <c r="BL2684" s="3">
        <v>47.27</v>
      </c>
      <c r="BM2684" s="3">
        <v>7.09</v>
      </c>
      <c r="BN2684" s="3">
        <v>54.36</v>
      </c>
      <c r="BO2684" s="3">
        <v>54.36</v>
      </c>
      <c r="BR2684" s="3" t="s">
        <v>308</v>
      </c>
      <c r="BS2684" s="4">
        <v>44566</v>
      </c>
      <c r="BT2684" s="5">
        <v>0.72083333333333333</v>
      </c>
      <c r="BU2684" s="3" t="s">
        <v>1549</v>
      </c>
      <c r="BV2684" s="3" t="s">
        <v>87</v>
      </c>
      <c r="BW2684" s="3" t="s">
        <v>278</v>
      </c>
      <c r="BX2684" s="3" t="s">
        <v>1722</v>
      </c>
      <c r="BY2684" s="3">
        <v>1200</v>
      </c>
      <c r="BZ2684" s="3" t="s">
        <v>165</v>
      </c>
      <c r="CA2684" s="3" t="s">
        <v>1314</v>
      </c>
      <c r="CC2684" s="3" t="s">
        <v>163</v>
      </c>
      <c r="CD2684" s="3">
        <v>1401</v>
      </c>
      <c r="CE2684" s="3" t="s">
        <v>93</v>
      </c>
      <c r="CF2684" s="4">
        <v>44567</v>
      </c>
      <c r="CI2684" s="3">
        <v>1</v>
      </c>
      <c r="CJ2684" s="3">
        <v>2</v>
      </c>
      <c r="CK2684" s="3">
        <v>22</v>
      </c>
      <c r="CL2684" s="3" t="s">
        <v>87</v>
      </c>
    </row>
    <row r="2685" spans="1:90" x14ac:dyDescent="0.2">
      <c r="A2685" s="3" t="s">
        <v>72</v>
      </c>
      <c r="B2685" s="3" t="s">
        <v>73</v>
      </c>
      <c r="C2685" s="3" t="s">
        <v>74</v>
      </c>
      <c r="E2685" s="3" t="str">
        <f>"FES1162843701"</f>
        <v>FES1162843701</v>
      </c>
      <c r="F2685" s="4">
        <v>44566</v>
      </c>
      <c r="G2685" s="3">
        <v>202207</v>
      </c>
      <c r="H2685" s="3" t="s">
        <v>75</v>
      </c>
      <c r="I2685" s="3" t="s">
        <v>76</v>
      </c>
      <c r="J2685" s="3" t="s">
        <v>77</v>
      </c>
      <c r="K2685" s="3" t="s">
        <v>78</v>
      </c>
      <c r="L2685" s="3" t="s">
        <v>97</v>
      </c>
      <c r="M2685" s="3" t="s">
        <v>98</v>
      </c>
      <c r="N2685" s="3" t="s">
        <v>593</v>
      </c>
      <c r="O2685" s="3" t="s">
        <v>82</v>
      </c>
      <c r="P2685" s="3" t="str">
        <f>"2170814525                    "</f>
        <v xml:space="preserve">2170814525                    </v>
      </c>
      <c r="Q2685" s="3">
        <v>0</v>
      </c>
      <c r="R2685" s="3">
        <v>0</v>
      </c>
      <c r="S2685" s="3">
        <v>0</v>
      </c>
      <c r="T2685" s="3">
        <v>0</v>
      </c>
      <c r="U2685" s="3">
        <v>0</v>
      </c>
      <c r="V2685" s="3">
        <v>0</v>
      </c>
      <c r="W2685" s="3">
        <v>0</v>
      </c>
      <c r="X2685" s="3">
        <v>0</v>
      </c>
      <c r="Y2685" s="3">
        <v>0</v>
      </c>
      <c r="Z2685" s="3">
        <v>0</v>
      </c>
      <c r="AA2685" s="3">
        <v>0</v>
      </c>
      <c r="AB2685" s="3">
        <v>0</v>
      </c>
      <c r="AC2685" s="3">
        <v>0</v>
      </c>
      <c r="AD2685" s="3">
        <v>0</v>
      </c>
      <c r="AE2685" s="3">
        <v>0</v>
      </c>
      <c r="AF2685" s="3">
        <v>0</v>
      </c>
      <c r="AG2685" s="3">
        <v>0</v>
      </c>
      <c r="AH2685" s="3">
        <v>0</v>
      </c>
      <c r="AI2685" s="3">
        <v>0</v>
      </c>
      <c r="AJ2685" s="3">
        <v>0</v>
      </c>
      <c r="AK2685" s="3">
        <v>12.07</v>
      </c>
      <c r="AL2685" s="3">
        <v>0</v>
      </c>
      <c r="AM2685" s="3">
        <v>0</v>
      </c>
      <c r="AN2685" s="3">
        <v>0</v>
      </c>
      <c r="AO2685" s="3">
        <v>0</v>
      </c>
      <c r="AP2685" s="3">
        <v>0</v>
      </c>
      <c r="AQ2685" s="3">
        <v>0</v>
      </c>
      <c r="AR2685" s="3">
        <v>0</v>
      </c>
      <c r="AS2685" s="3">
        <v>0</v>
      </c>
      <c r="AT2685" s="3">
        <v>0</v>
      </c>
      <c r="AU2685" s="3">
        <v>0</v>
      </c>
      <c r="AV2685" s="3">
        <v>0</v>
      </c>
      <c r="AW2685" s="3">
        <v>0</v>
      </c>
      <c r="AX2685" s="3">
        <v>0</v>
      </c>
      <c r="AY2685" s="3">
        <v>0</v>
      </c>
      <c r="AZ2685" s="3">
        <v>0</v>
      </c>
      <c r="BA2685" s="3">
        <v>0</v>
      </c>
      <c r="BB2685" s="3">
        <v>0</v>
      </c>
      <c r="BC2685" s="3">
        <v>0</v>
      </c>
      <c r="BD2685" s="3">
        <v>0</v>
      </c>
      <c r="BE2685" s="3">
        <v>0</v>
      </c>
      <c r="BF2685" s="3">
        <v>0</v>
      </c>
      <c r="BG2685" s="3">
        <v>0</v>
      </c>
      <c r="BH2685" s="3">
        <v>1</v>
      </c>
      <c r="BI2685" s="3">
        <v>1</v>
      </c>
      <c r="BJ2685" s="3">
        <v>0.2</v>
      </c>
      <c r="BK2685" s="3">
        <v>1</v>
      </c>
      <c r="BL2685" s="3">
        <v>46.08</v>
      </c>
      <c r="BM2685" s="3">
        <v>6.91</v>
      </c>
      <c r="BN2685" s="3">
        <v>52.99</v>
      </c>
      <c r="BO2685" s="3">
        <v>52.99</v>
      </c>
      <c r="BQ2685" s="3" t="s">
        <v>83</v>
      </c>
      <c r="BR2685" s="3" t="s">
        <v>364</v>
      </c>
      <c r="BS2685" s="4">
        <v>44567</v>
      </c>
      <c r="BT2685" s="5">
        <v>0.47291666666666665</v>
      </c>
      <c r="BU2685" s="3" t="s">
        <v>540</v>
      </c>
      <c r="BV2685" s="3" t="s">
        <v>87</v>
      </c>
      <c r="BW2685" s="3" t="s">
        <v>278</v>
      </c>
      <c r="BX2685" s="3" t="s">
        <v>1722</v>
      </c>
      <c r="BY2685" s="3">
        <v>1200</v>
      </c>
      <c r="BZ2685" s="3" t="s">
        <v>165</v>
      </c>
      <c r="CA2685" s="3" t="s">
        <v>952</v>
      </c>
      <c r="CC2685" s="3" t="s">
        <v>98</v>
      </c>
      <c r="CD2685" s="3">
        <v>2094</v>
      </c>
      <c r="CE2685" s="3" t="s">
        <v>93</v>
      </c>
      <c r="CF2685" s="4">
        <v>44568</v>
      </c>
      <c r="CI2685" s="3">
        <v>1</v>
      </c>
      <c r="CJ2685" s="3">
        <v>1</v>
      </c>
      <c r="CK2685" s="3">
        <v>22</v>
      </c>
      <c r="CL2685" s="3" t="s">
        <v>87</v>
      </c>
    </row>
    <row r="2686" spans="1:90" x14ac:dyDescent="0.2">
      <c r="A2686" s="3" t="s">
        <v>72</v>
      </c>
      <c r="B2686" s="3" t="s">
        <v>73</v>
      </c>
      <c r="C2686" s="3" t="s">
        <v>74</v>
      </c>
      <c r="E2686" s="3" t="str">
        <f>"FES1162843489"</f>
        <v>FES1162843489</v>
      </c>
      <c r="F2686" s="4">
        <v>44565</v>
      </c>
      <c r="G2686" s="3">
        <v>202207</v>
      </c>
      <c r="H2686" s="3" t="s">
        <v>75</v>
      </c>
      <c r="I2686" s="3" t="s">
        <v>76</v>
      </c>
      <c r="J2686" s="3" t="s">
        <v>77</v>
      </c>
      <c r="K2686" s="3" t="s">
        <v>78</v>
      </c>
      <c r="L2686" s="3" t="s">
        <v>138</v>
      </c>
      <c r="M2686" s="3" t="s">
        <v>139</v>
      </c>
      <c r="N2686" s="3" t="s">
        <v>238</v>
      </c>
      <c r="O2686" s="3" t="s">
        <v>82</v>
      </c>
      <c r="P2686" s="3" t="str">
        <f>"2170814557                    "</f>
        <v xml:space="preserve">2170814557                    </v>
      </c>
      <c r="Q2686" s="3">
        <v>0</v>
      </c>
      <c r="R2686" s="3">
        <v>0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  <c r="AE2686" s="3">
        <v>0</v>
      </c>
      <c r="AF2686" s="3">
        <v>0</v>
      </c>
      <c r="AG2686" s="3">
        <v>0</v>
      </c>
      <c r="AH2686" s="3">
        <v>0</v>
      </c>
      <c r="AI2686" s="3">
        <v>0</v>
      </c>
      <c r="AJ2686" s="3">
        <v>0</v>
      </c>
      <c r="AK2686" s="3">
        <v>16.98</v>
      </c>
      <c r="AL2686" s="3">
        <v>0</v>
      </c>
      <c r="AM2686" s="3">
        <v>0</v>
      </c>
      <c r="AN2686" s="3">
        <v>0</v>
      </c>
      <c r="AO2686" s="3">
        <v>0</v>
      </c>
      <c r="AP2686" s="3">
        <v>0</v>
      </c>
      <c r="AQ2686" s="3">
        <v>0</v>
      </c>
      <c r="AR2686" s="3">
        <v>0</v>
      </c>
      <c r="AS2686" s="3">
        <v>0</v>
      </c>
      <c r="AT2686" s="3">
        <v>0</v>
      </c>
      <c r="AU2686" s="3">
        <v>0</v>
      </c>
      <c r="AV2686" s="3">
        <v>0</v>
      </c>
      <c r="AW2686" s="3">
        <v>0</v>
      </c>
      <c r="AX2686" s="3">
        <v>0</v>
      </c>
      <c r="AY2686" s="3">
        <v>0</v>
      </c>
      <c r="AZ2686" s="3">
        <v>0</v>
      </c>
      <c r="BA2686" s="3">
        <v>0</v>
      </c>
      <c r="BB2686" s="3">
        <v>0</v>
      </c>
      <c r="BC2686" s="3">
        <v>0</v>
      </c>
      <c r="BD2686" s="3">
        <v>0</v>
      </c>
      <c r="BE2686" s="3">
        <v>0</v>
      </c>
      <c r="BF2686" s="3">
        <v>0</v>
      </c>
      <c r="BG2686" s="3">
        <v>0</v>
      </c>
      <c r="BH2686" s="3">
        <v>1</v>
      </c>
      <c r="BI2686" s="3">
        <v>1</v>
      </c>
      <c r="BJ2686" s="3">
        <v>0.2</v>
      </c>
      <c r="BK2686" s="3">
        <v>1</v>
      </c>
      <c r="BL2686" s="3">
        <v>60.52</v>
      </c>
      <c r="BM2686" s="3">
        <v>9.08</v>
      </c>
      <c r="BN2686" s="3">
        <v>69.599999999999994</v>
      </c>
      <c r="BO2686" s="3">
        <v>69.599999999999994</v>
      </c>
      <c r="BQ2686" s="3" t="s">
        <v>89</v>
      </c>
      <c r="BR2686" s="3" t="s">
        <v>308</v>
      </c>
      <c r="BS2686" s="4">
        <v>44567</v>
      </c>
      <c r="BT2686" s="5">
        <v>0.4375</v>
      </c>
      <c r="BU2686" s="3" t="s">
        <v>2580</v>
      </c>
      <c r="BV2686" s="3" t="s">
        <v>87</v>
      </c>
      <c r="BW2686" s="3" t="s">
        <v>493</v>
      </c>
      <c r="BX2686" s="3" t="s">
        <v>1878</v>
      </c>
      <c r="BY2686" s="3">
        <v>1200</v>
      </c>
      <c r="BZ2686" s="3" t="s">
        <v>165</v>
      </c>
      <c r="CC2686" s="3" t="s">
        <v>139</v>
      </c>
      <c r="CD2686" s="3">
        <v>3610</v>
      </c>
      <c r="CE2686" s="3" t="s">
        <v>93</v>
      </c>
      <c r="CF2686" s="4">
        <v>44567</v>
      </c>
      <c r="CI2686" s="3">
        <v>1</v>
      </c>
      <c r="CJ2686" s="3">
        <v>2</v>
      </c>
      <c r="CK2686" s="3">
        <v>21</v>
      </c>
      <c r="CL2686" s="3" t="s">
        <v>87</v>
      </c>
    </row>
    <row r="2687" spans="1:90" x14ac:dyDescent="0.2">
      <c r="A2687" s="3" t="s">
        <v>72</v>
      </c>
      <c r="B2687" s="3" t="s">
        <v>73</v>
      </c>
      <c r="C2687" s="3" t="s">
        <v>74</v>
      </c>
      <c r="E2687" s="3" t="str">
        <f>"FES1162843575"</f>
        <v>FES1162843575</v>
      </c>
      <c r="F2687" s="4">
        <v>44566</v>
      </c>
      <c r="G2687" s="3">
        <v>202207</v>
      </c>
      <c r="H2687" s="3" t="s">
        <v>75</v>
      </c>
      <c r="I2687" s="3" t="s">
        <v>76</v>
      </c>
      <c r="J2687" s="3" t="s">
        <v>77</v>
      </c>
      <c r="K2687" s="3" t="s">
        <v>78</v>
      </c>
      <c r="L2687" s="3" t="s">
        <v>75</v>
      </c>
      <c r="M2687" s="3" t="s">
        <v>76</v>
      </c>
      <c r="N2687" s="3" t="s">
        <v>153</v>
      </c>
      <c r="O2687" s="3" t="s">
        <v>82</v>
      </c>
      <c r="P2687" s="3" t="str">
        <f>"2170815666                    "</f>
        <v xml:space="preserve">2170815666                    </v>
      </c>
      <c r="Q2687" s="3">
        <v>0</v>
      </c>
      <c r="R2687" s="3">
        <v>0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  <c r="AE2687" s="3">
        <v>0</v>
      </c>
      <c r="AF2687" s="3">
        <v>0</v>
      </c>
      <c r="AG2687" s="3">
        <v>0</v>
      </c>
      <c r="AH2687" s="3">
        <v>0</v>
      </c>
      <c r="AI2687" s="3">
        <v>0</v>
      </c>
      <c r="AJ2687" s="3">
        <v>0</v>
      </c>
      <c r="AK2687" s="3">
        <v>12.07</v>
      </c>
      <c r="AL2687" s="3">
        <v>0</v>
      </c>
      <c r="AM2687" s="3">
        <v>0</v>
      </c>
      <c r="AN2687" s="3">
        <v>0</v>
      </c>
      <c r="AO2687" s="3">
        <v>0</v>
      </c>
      <c r="AP2687" s="3">
        <v>0</v>
      </c>
      <c r="AQ2687" s="3">
        <v>0</v>
      </c>
      <c r="AR2687" s="3">
        <v>0</v>
      </c>
      <c r="AS2687" s="3">
        <v>0</v>
      </c>
      <c r="AT2687" s="3">
        <v>0</v>
      </c>
      <c r="AU2687" s="3">
        <v>0</v>
      </c>
      <c r="AV2687" s="3">
        <v>0</v>
      </c>
      <c r="AW2687" s="3">
        <v>0</v>
      </c>
      <c r="AX2687" s="3">
        <v>0</v>
      </c>
      <c r="AY2687" s="3">
        <v>0</v>
      </c>
      <c r="AZ2687" s="3">
        <v>0</v>
      </c>
      <c r="BA2687" s="3">
        <v>0</v>
      </c>
      <c r="BB2687" s="3">
        <v>0</v>
      </c>
      <c r="BC2687" s="3">
        <v>0</v>
      </c>
      <c r="BD2687" s="3">
        <v>0</v>
      </c>
      <c r="BE2687" s="3">
        <v>0</v>
      </c>
      <c r="BF2687" s="3">
        <v>0</v>
      </c>
      <c r="BG2687" s="3">
        <v>0</v>
      </c>
      <c r="BH2687" s="3">
        <v>1</v>
      </c>
      <c r="BI2687" s="3">
        <v>1</v>
      </c>
      <c r="BJ2687" s="3">
        <v>0.2</v>
      </c>
      <c r="BK2687" s="3">
        <v>1</v>
      </c>
      <c r="BL2687" s="3">
        <v>46.08</v>
      </c>
      <c r="BM2687" s="3">
        <v>6.91</v>
      </c>
      <c r="BN2687" s="3">
        <v>52.99</v>
      </c>
      <c r="BO2687" s="3">
        <v>52.99</v>
      </c>
      <c r="BR2687" s="3" t="s">
        <v>364</v>
      </c>
      <c r="BS2687" s="4">
        <v>44567</v>
      </c>
      <c r="BT2687" s="5">
        <v>0.38055555555555554</v>
      </c>
      <c r="BU2687" s="3" t="s">
        <v>2581</v>
      </c>
      <c r="BV2687" s="3" t="s">
        <v>105</v>
      </c>
      <c r="BY2687" s="3">
        <v>1200</v>
      </c>
      <c r="BZ2687" s="3" t="s">
        <v>165</v>
      </c>
      <c r="CA2687" s="3" t="s">
        <v>227</v>
      </c>
      <c r="CC2687" s="3" t="s">
        <v>76</v>
      </c>
      <c r="CD2687" s="3">
        <v>1600</v>
      </c>
      <c r="CE2687" s="3" t="s">
        <v>93</v>
      </c>
      <c r="CF2687" s="4">
        <v>44567</v>
      </c>
      <c r="CI2687" s="3">
        <v>1</v>
      </c>
      <c r="CJ2687" s="3">
        <v>1</v>
      </c>
      <c r="CK2687" s="3">
        <v>22</v>
      </c>
      <c r="CL2687" s="3" t="s">
        <v>87</v>
      </c>
    </row>
    <row r="2688" spans="1:90" x14ac:dyDescent="0.2">
      <c r="A2688" s="3" t="s">
        <v>72</v>
      </c>
      <c r="B2688" s="3" t="s">
        <v>73</v>
      </c>
      <c r="C2688" s="3" t="s">
        <v>74</v>
      </c>
      <c r="E2688" s="3" t="str">
        <f>"FES1162843326"</f>
        <v>FES1162843326</v>
      </c>
      <c r="F2688" s="4">
        <v>44565</v>
      </c>
      <c r="G2688" s="3">
        <v>202207</v>
      </c>
      <c r="H2688" s="3" t="s">
        <v>75</v>
      </c>
      <c r="I2688" s="3" t="s">
        <v>76</v>
      </c>
      <c r="J2688" s="3" t="s">
        <v>77</v>
      </c>
      <c r="K2688" s="3" t="s">
        <v>78</v>
      </c>
      <c r="L2688" s="3" t="s">
        <v>138</v>
      </c>
      <c r="M2688" s="3" t="s">
        <v>139</v>
      </c>
      <c r="N2688" s="3" t="s">
        <v>152</v>
      </c>
      <c r="O2688" s="3" t="s">
        <v>82</v>
      </c>
      <c r="P2688" s="3" t="str">
        <f>"2170812664                    "</f>
        <v xml:space="preserve">2170812664                    </v>
      </c>
      <c r="Q2688" s="3">
        <v>0</v>
      </c>
      <c r="R2688" s="3">
        <v>0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  <c r="AE2688" s="3">
        <v>0</v>
      </c>
      <c r="AF2688" s="3">
        <v>0</v>
      </c>
      <c r="AG2688" s="3">
        <v>0</v>
      </c>
      <c r="AH2688" s="3">
        <v>0</v>
      </c>
      <c r="AI2688" s="3">
        <v>0</v>
      </c>
      <c r="AJ2688" s="3">
        <v>0</v>
      </c>
      <c r="AK2688" s="3">
        <v>16.98</v>
      </c>
      <c r="AL2688" s="3">
        <v>0</v>
      </c>
      <c r="AM2688" s="3">
        <v>0</v>
      </c>
      <c r="AN2688" s="3">
        <v>0</v>
      </c>
      <c r="AO2688" s="3">
        <v>0</v>
      </c>
      <c r="AP2688" s="3">
        <v>0</v>
      </c>
      <c r="AQ2688" s="3">
        <v>0</v>
      </c>
      <c r="AR2688" s="3">
        <v>0</v>
      </c>
      <c r="AS2688" s="3">
        <v>0</v>
      </c>
      <c r="AT2688" s="3">
        <v>0</v>
      </c>
      <c r="AU2688" s="3">
        <v>0</v>
      </c>
      <c r="AV2688" s="3">
        <v>0</v>
      </c>
      <c r="AW2688" s="3">
        <v>0</v>
      </c>
      <c r="AX2688" s="3">
        <v>0</v>
      </c>
      <c r="AY2688" s="3">
        <v>0</v>
      </c>
      <c r="AZ2688" s="3">
        <v>0</v>
      </c>
      <c r="BA2688" s="3">
        <v>0</v>
      </c>
      <c r="BB2688" s="3">
        <v>0</v>
      </c>
      <c r="BC2688" s="3">
        <v>0</v>
      </c>
      <c r="BD2688" s="3">
        <v>0</v>
      </c>
      <c r="BE2688" s="3">
        <v>0</v>
      </c>
      <c r="BF2688" s="3">
        <v>0</v>
      </c>
      <c r="BG2688" s="3">
        <v>0</v>
      </c>
      <c r="BH2688" s="3">
        <v>1</v>
      </c>
      <c r="BI2688" s="3">
        <v>1</v>
      </c>
      <c r="BJ2688" s="3">
        <v>0.2</v>
      </c>
      <c r="BK2688" s="3">
        <v>1</v>
      </c>
      <c r="BL2688" s="3">
        <v>60.52</v>
      </c>
      <c r="BM2688" s="3">
        <v>9.08</v>
      </c>
      <c r="BN2688" s="3">
        <v>69.599999999999994</v>
      </c>
      <c r="BO2688" s="3">
        <v>69.599999999999994</v>
      </c>
      <c r="BQ2688" s="3" t="s">
        <v>83</v>
      </c>
      <c r="BR2688" s="3" t="s">
        <v>308</v>
      </c>
      <c r="BS2688" s="4">
        <v>44566</v>
      </c>
      <c r="BT2688" s="5">
        <v>0.36527777777777781</v>
      </c>
      <c r="BU2688" s="3" t="s">
        <v>2582</v>
      </c>
      <c r="BV2688" s="3" t="s">
        <v>105</v>
      </c>
      <c r="BY2688" s="3">
        <v>1200</v>
      </c>
      <c r="BZ2688" s="3" t="s">
        <v>165</v>
      </c>
      <c r="CA2688" s="3" t="s">
        <v>303</v>
      </c>
      <c r="CC2688" s="3" t="s">
        <v>139</v>
      </c>
      <c r="CD2688" s="3">
        <v>3610</v>
      </c>
      <c r="CE2688" s="3" t="s">
        <v>93</v>
      </c>
      <c r="CF2688" s="4">
        <v>44566</v>
      </c>
      <c r="CI2688" s="3">
        <v>1</v>
      </c>
      <c r="CJ2688" s="3">
        <v>1</v>
      </c>
      <c r="CK2688" s="3">
        <v>21</v>
      </c>
      <c r="CL2688" s="3" t="s">
        <v>87</v>
      </c>
    </row>
    <row r="2689" spans="1:90" x14ac:dyDescent="0.2">
      <c r="A2689" s="3" t="s">
        <v>72</v>
      </c>
      <c r="B2689" s="3" t="s">
        <v>73</v>
      </c>
      <c r="C2689" s="3" t="s">
        <v>74</v>
      </c>
      <c r="E2689" s="3" t="str">
        <f>"FES1162843693"</f>
        <v>FES1162843693</v>
      </c>
      <c r="F2689" s="4">
        <v>44566</v>
      </c>
      <c r="G2689" s="3">
        <v>202207</v>
      </c>
      <c r="H2689" s="3" t="s">
        <v>75</v>
      </c>
      <c r="I2689" s="3" t="s">
        <v>76</v>
      </c>
      <c r="J2689" s="3" t="s">
        <v>77</v>
      </c>
      <c r="K2689" s="3" t="s">
        <v>78</v>
      </c>
      <c r="L2689" s="3" t="s">
        <v>162</v>
      </c>
      <c r="M2689" s="3" t="s">
        <v>163</v>
      </c>
      <c r="N2689" s="3" t="s">
        <v>586</v>
      </c>
      <c r="O2689" s="3" t="s">
        <v>82</v>
      </c>
      <c r="P2689" s="3" t="str">
        <f>"2170814453                    "</f>
        <v xml:space="preserve">2170814453                    </v>
      </c>
      <c r="Q2689" s="3">
        <v>0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  <c r="AE2689" s="3">
        <v>0</v>
      </c>
      <c r="AF2689" s="3">
        <v>0</v>
      </c>
      <c r="AG2689" s="3">
        <v>0</v>
      </c>
      <c r="AH2689" s="3">
        <v>0</v>
      </c>
      <c r="AI2689" s="3">
        <v>0</v>
      </c>
      <c r="AJ2689" s="3">
        <v>0</v>
      </c>
      <c r="AK2689" s="3">
        <v>12.07</v>
      </c>
      <c r="AL2689" s="3">
        <v>0</v>
      </c>
      <c r="AM2689" s="3">
        <v>0</v>
      </c>
      <c r="AN2689" s="3">
        <v>0</v>
      </c>
      <c r="AO2689" s="3">
        <v>0</v>
      </c>
      <c r="AP2689" s="3">
        <v>0</v>
      </c>
      <c r="AQ2689" s="3">
        <v>0</v>
      </c>
      <c r="AR2689" s="3">
        <v>0</v>
      </c>
      <c r="AS2689" s="3">
        <v>0</v>
      </c>
      <c r="AT2689" s="3">
        <v>0</v>
      </c>
      <c r="AU2689" s="3">
        <v>0</v>
      </c>
      <c r="AV2689" s="3">
        <v>0</v>
      </c>
      <c r="AW2689" s="3">
        <v>0</v>
      </c>
      <c r="AX2689" s="3">
        <v>0</v>
      </c>
      <c r="AY2689" s="3">
        <v>0</v>
      </c>
      <c r="AZ2689" s="3">
        <v>0</v>
      </c>
      <c r="BA2689" s="3">
        <v>0</v>
      </c>
      <c r="BB2689" s="3">
        <v>0</v>
      </c>
      <c r="BC2689" s="3">
        <v>0</v>
      </c>
      <c r="BD2689" s="3">
        <v>0</v>
      </c>
      <c r="BE2689" s="3">
        <v>0</v>
      </c>
      <c r="BF2689" s="3">
        <v>0</v>
      </c>
      <c r="BG2689" s="3">
        <v>0</v>
      </c>
      <c r="BH2689" s="3">
        <v>1</v>
      </c>
      <c r="BI2689" s="3">
        <v>1</v>
      </c>
      <c r="BJ2689" s="3">
        <v>0.2</v>
      </c>
      <c r="BK2689" s="3">
        <v>1</v>
      </c>
      <c r="BL2689" s="3">
        <v>46.08</v>
      </c>
      <c r="BM2689" s="3">
        <v>6.91</v>
      </c>
      <c r="BN2689" s="3">
        <v>52.99</v>
      </c>
      <c r="BO2689" s="3">
        <v>52.99</v>
      </c>
      <c r="BR2689" s="3" t="s">
        <v>364</v>
      </c>
      <c r="BS2689" s="4">
        <v>44571</v>
      </c>
      <c r="BT2689" s="5">
        <v>0.3666666666666667</v>
      </c>
      <c r="BU2689" s="3" t="s">
        <v>2583</v>
      </c>
      <c r="BV2689" s="3" t="s">
        <v>87</v>
      </c>
      <c r="BW2689" s="3" t="s">
        <v>376</v>
      </c>
      <c r="BX2689" s="3" t="s">
        <v>377</v>
      </c>
      <c r="BY2689" s="3">
        <v>1200</v>
      </c>
      <c r="BZ2689" s="3" t="s">
        <v>165</v>
      </c>
      <c r="CA2689" s="3" t="s">
        <v>588</v>
      </c>
      <c r="CC2689" s="3" t="s">
        <v>163</v>
      </c>
      <c r="CD2689" s="3">
        <v>1401</v>
      </c>
      <c r="CE2689" s="3" t="s">
        <v>93</v>
      </c>
      <c r="CF2689" s="4">
        <v>44571</v>
      </c>
      <c r="CI2689" s="3">
        <v>1</v>
      </c>
      <c r="CJ2689" s="3">
        <v>3</v>
      </c>
      <c r="CK2689" s="3">
        <v>22</v>
      </c>
      <c r="CL2689" s="3" t="s">
        <v>87</v>
      </c>
    </row>
    <row r="2690" spans="1:90" x14ac:dyDescent="0.2">
      <c r="A2690" s="3" t="s">
        <v>72</v>
      </c>
      <c r="B2690" s="3" t="s">
        <v>73</v>
      </c>
      <c r="C2690" s="3" t="s">
        <v>74</v>
      </c>
      <c r="E2690" s="3" t="str">
        <f>"FES1162843464"</f>
        <v>FES1162843464</v>
      </c>
      <c r="F2690" s="4">
        <v>44565</v>
      </c>
      <c r="G2690" s="3">
        <v>202207</v>
      </c>
      <c r="H2690" s="3" t="s">
        <v>75</v>
      </c>
      <c r="I2690" s="3" t="s">
        <v>76</v>
      </c>
      <c r="J2690" s="3" t="s">
        <v>77</v>
      </c>
      <c r="K2690" s="3" t="s">
        <v>78</v>
      </c>
      <c r="L2690" s="3" t="s">
        <v>158</v>
      </c>
      <c r="M2690" s="3" t="s">
        <v>159</v>
      </c>
      <c r="N2690" s="3" t="s">
        <v>1253</v>
      </c>
      <c r="O2690" s="3" t="s">
        <v>82</v>
      </c>
      <c r="P2690" s="3" t="str">
        <f>"2170813974                    "</f>
        <v xml:space="preserve">2170813974                    </v>
      </c>
      <c r="Q2690" s="3">
        <v>0</v>
      </c>
      <c r="R2690" s="3">
        <v>0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  <c r="AE2690" s="3">
        <v>0</v>
      </c>
      <c r="AF2690" s="3">
        <v>0</v>
      </c>
      <c r="AG2690" s="3">
        <v>0</v>
      </c>
      <c r="AH2690" s="3">
        <v>0</v>
      </c>
      <c r="AI2690" s="3">
        <v>0</v>
      </c>
      <c r="AJ2690" s="3">
        <v>0</v>
      </c>
      <c r="AK2690" s="3">
        <v>13.26</v>
      </c>
      <c r="AL2690" s="3">
        <v>0</v>
      </c>
      <c r="AM2690" s="3">
        <v>0</v>
      </c>
      <c r="AN2690" s="3">
        <v>0</v>
      </c>
      <c r="AO2690" s="3">
        <v>0</v>
      </c>
      <c r="AP2690" s="3">
        <v>0</v>
      </c>
      <c r="AQ2690" s="3">
        <v>0</v>
      </c>
      <c r="AR2690" s="3">
        <v>0</v>
      </c>
      <c r="AS2690" s="3">
        <v>0</v>
      </c>
      <c r="AT2690" s="3">
        <v>0</v>
      </c>
      <c r="AU2690" s="3">
        <v>0</v>
      </c>
      <c r="AV2690" s="3">
        <v>0</v>
      </c>
      <c r="AW2690" s="3">
        <v>0</v>
      </c>
      <c r="AX2690" s="3">
        <v>0</v>
      </c>
      <c r="AY2690" s="3">
        <v>0</v>
      </c>
      <c r="AZ2690" s="3">
        <v>0</v>
      </c>
      <c r="BA2690" s="3">
        <v>0</v>
      </c>
      <c r="BB2690" s="3">
        <v>0</v>
      </c>
      <c r="BC2690" s="3">
        <v>0</v>
      </c>
      <c r="BD2690" s="3">
        <v>0</v>
      </c>
      <c r="BE2690" s="3">
        <v>0</v>
      </c>
      <c r="BF2690" s="3">
        <v>0</v>
      </c>
      <c r="BG2690" s="3">
        <v>0</v>
      </c>
      <c r="BH2690" s="3">
        <v>1</v>
      </c>
      <c r="BI2690" s="3">
        <v>1</v>
      </c>
      <c r="BJ2690" s="3">
        <v>0.2</v>
      </c>
      <c r="BK2690" s="3">
        <v>1</v>
      </c>
      <c r="BL2690" s="3">
        <v>47.27</v>
      </c>
      <c r="BM2690" s="3">
        <v>7.09</v>
      </c>
      <c r="BN2690" s="3">
        <v>54.36</v>
      </c>
      <c r="BO2690" s="3">
        <v>54.36</v>
      </c>
      <c r="BQ2690" s="3" t="s">
        <v>89</v>
      </c>
      <c r="BR2690" s="3" t="s">
        <v>308</v>
      </c>
      <c r="BS2690" s="4">
        <v>44566</v>
      </c>
      <c r="BT2690" s="5">
        <v>0.32291666666666669</v>
      </c>
      <c r="BU2690" s="3" t="s">
        <v>1254</v>
      </c>
      <c r="BV2690" s="3" t="s">
        <v>105</v>
      </c>
      <c r="BY2690" s="3">
        <v>1200</v>
      </c>
      <c r="BZ2690" s="3" t="s">
        <v>165</v>
      </c>
      <c r="CA2690" s="3" t="s">
        <v>653</v>
      </c>
      <c r="CC2690" s="3" t="s">
        <v>159</v>
      </c>
      <c r="CD2690" s="3">
        <v>1459</v>
      </c>
      <c r="CE2690" s="3" t="s">
        <v>93</v>
      </c>
      <c r="CF2690" s="4">
        <v>44566</v>
      </c>
      <c r="CI2690" s="3">
        <v>1</v>
      </c>
      <c r="CJ2690" s="3">
        <v>1</v>
      </c>
      <c r="CK2690" s="3">
        <v>22</v>
      </c>
      <c r="CL2690" s="3" t="s">
        <v>87</v>
      </c>
    </row>
    <row r="2691" spans="1:90" x14ac:dyDescent="0.2">
      <c r="A2691" s="3" t="s">
        <v>72</v>
      </c>
      <c r="B2691" s="3" t="s">
        <v>73</v>
      </c>
      <c r="C2691" s="3" t="s">
        <v>74</v>
      </c>
      <c r="E2691" s="3" t="str">
        <f>"FES1162843595"</f>
        <v>FES1162843595</v>
      </c>
      <c r="F2691" s="4">
        <v>44566</v>
      </c>
      <c r="G2691" s="3">
        <v>202207</v>
      </c>
      <c r="H2691" s="3" t="s">
        <v>75</v>
      </c>
      <c r="I2691" s="3" t="s">
        <v>76</v>
      </c>
      <c r="J2691" s="3" t="s">
        <v>77</v>
      </c>
      <c r="K2691" s="3" t="s">
        <v>78</v>
      </c>
      <c r="L2691" s="3" t="s">
        <v>90</v>
      </c>
      <c r="M2691" s="3" t="s">
        <v>91</v>
      </c>
      <c r="N2691" s="3" t="s">
        <v>735</v>
      </c>
      <c r="O2691" s="3" t="s">
        <v>82</v>
      </c>
      <c r="P2691" s="3" t="str">
        <f>"2170815633                    "</f>
        <v xml:space="preserve">2170815633                    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  <c r="AE2691" s="3">
        <v>0</v>
      </c>
      <c r="AF2691" s="3">
        <v>0</v>
      </c>
      <c r="AG2691" s="3">
        <v>0</v>
      </c>
      <c r="AH2691" s="3">
        <v>0</v>
      </c>
      <c r="AI2691" s="3">
        <v>0</v>
      </c>
      <c r="AJ2691" s="3">
        <v>0</v>
      </c>
      <c r="AK2691" s="3">
        <v>15.46</v>
      </c>
      <c r="AL2691" s="3">
        <v>0</v>
      </c>
      <c r="AM2691" s="3">
        <v>0</v>
      </c>
      <c r="AN2691" s="3">
        <v>0</v>
      </c>
      <c r="AO2691" s="3">
        <v>0</v>
      </c>
      <c r="AP2691" s="3">
        <v>0</v>
      </c>
      <c r="AQ2691" s="3">
        <v>0</v>
      </c>
      <c r="AR2691" s="3">
        <v>0</v>
      </c>
      <c r="AS2691" s="3">
        <v>0</v>
      </c>
      <c r="AT2691" s="3">
        <v>0</v>
      </c>
      <c r="AU2691" s="3">
        <v>0</v>
      </c>
      <c r="AV2691" s="3">
        <v>0</v>
      </c>
      <c r="AW2691" s="3">
        <v>0</v>
      </c>
      <c r="AX2691" s="3">
        <v>0</v>
      </c>
      <c r="AY2691" s="3">
        <v>0</v>
      </c>
      <c r="AZ2691" s="3">
        <v>0</v>
      </c>
      <c r="BA2691" s="3">
        <v>0</v>
      </c>
      <c r="BB2691" s="3">
        <v>0</v>
      </c>
      <c r="BC2691" s="3">
        <v>0</v>
      </c>
      <c r="BD2691" s="3">
        <v>0</v>
      </c>
      <c r="BE2691" s="3">
        <v>0</v>
      </c>
      <c r="BF2691" s="3">
        <v>0</v>
      </c>
      <c r="BG2691" s="3">
        <v>0</v>
      </c>
      <c r="BH2691" s="3">
        <v>1</v>
      </c>
      <c r="BI2691" s="3">
        <v>1</v>
      </c>
      <c r="BJ2691" s="3">
        <v>0.2</v>
      </c>
      <c r="BK2691" s="3">
        <v>1</v>
      </c>
      <c r="BL2691" s="3">
        <v>59</v>
      </c>
      <c r="BM2691" s="3">
        <v>8.85</v>
      </c>
      <c r="BN2691" s="3">
        <v>67.849999999999994</v>
      </c>
      <c r="BO2691" s="3">
        <v>67.849999999999994</v>
      </c>
      <c r="BQ2691" s="3" t="s">
        <v>273</v>
      </c>
      <c r="BR2691" s="3" t="s">
        <v>364</v>
      </c>
      <c r="BS2691" s="4">
        <v>44567</v>
      </c>
      <c r="BT2691" s="5">
        <v>0.32916666666666666</v>
      </c>
      <c r="BU2691" s="3" t="s">
        <v>2584</v>
      </c>
      <c r="BV2691" s="3" t="s">
        <v>105</v>
      </c>
      <c r="BY2691" s="3">
        <v>1200</v>
      </c>
      <c r="BZ2691" s="3" t="s">
        <v>165</v>
      </c>
      <c r="CA2691" s="3" t="s">
        <v>930</v>
      </c>
      <c r="CC2691" s="3" t="s">
        <v>91</v>
      </c>
      <c r="CD2691" s="3">
        <v>7460</v>
      </c>
      <c r="CE2691" s="3" t="s">
        <v>93</v>
      </c>
      <c r="CF2691" s="4">
        <v>44568</v>
      </c>
      <c r="CI2691" s="3">
        <v>1</v>
      </c>
      <c r="CJ2691" s="3">
        <v>1</v>
      </c>
      <c r="CK2691" s="3">
        <v>21</v>
      </c>
      <c r="CL2691" s="3" t="s">
        <v>87</v>
      </c>
    </row>
    <row r="2692" spans="1:90" x14ac:dyDescent="0.2">
      <c r="A2692" s="3" t="s">
        <v>72</v>
      </c>
      <c r="B2692" s="3" t="s">
        <v>73</v>
      </c>
      <c r="C2692" s="3" t="s">
        <v>74</v>
      </c>
      <c r="E2692" s="3" t="str">
        <f>"FES1162843054"</f>
        <v>FES1162843054</v>
      </c>
      <c r="F2692" s="4">
        <v>44564</v>
      </c>
      <c r="G2692" s="3">
        <v>202207</v>
      </c>
      <c r="H2692" s="3" t="s">
        <v>75</v>
      </c>
      <c r="I2692" s="3" t="s">
        <v>76</v>
      </c>
      <c r="J2692" s="3" t="s">
        <v>77</v>
      </c>
      <c r="K2692" s="3" t="s">
        <v>78</v>
      </c>
      <c r="L2692" s="3" t="s">
        <v>154</v>
      </c>
      <c r="M2692" s="3" t="s">
        <v>155</v>
      </c>
      <c r="N2692" s="3" t="s">
        <v>1735</v>
      </c>
      <c r="O2692" s="3" t="s">
        <v>82</v>
      </c>
      <c r="P2692" s="3" t="str">
        <f>"2170812411                    "</f>
        <v xml:space="preserve">2170812411                    </v>
      </c>
      <c r="Q2692" s="3">
        <v>0</v>
      </c>
      <c r="R2692" s="3">
        <v>0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  <c r="AE2692" s="3">
        <v>0</v>
      </c>
      <c r="AF2692" s="3">
        <v>0</v>
      </c>
      <c r="AG2692" s="3">
        <v>0</v>
      </c>
      <c r="AH2692" s="3">
        <v>0</v>
      </c>
      <c r="AI2692" s="3">
        <v>0</v>
      </c>
      <c r="AJ2692" s="3">
        <v>0</v>
      </c>
      <c r="AK2692" s="3">
        <v>13.26</v>
      </c>
      <c r="AL2692" s="3">
        <v>0</v>
      </c>
      <c r="AM2692" s="3">
        <v>0</v>
      </c>
      <c r="AN2692" s="3">
        <v>0</v>
      </c>
      <c r="AO2692" s="3">
        <v>0</v>
      </c>
      <c r="AP2692" s="3">
        <v>0</v>
      </c>
      <c r="AQ2692" s="3">
        <v>0</v>
      </c>
      <c r="AR2692" s="3">
        <v>0</v>
      </c>
      <c r="AS2692" s="3">
        <v>0</v>
      </c>
      <c r="AT2692" s="3">
        <v>0</v>
      </c>
      <c r="AU2692" s="3">
        <v>0</v>
      </c>
      <c r="AV2692" s="3">
        <v>0</v>
      </c>
      <c r="AW2692" s="3">
        <v>0</v>
      </c>
      <c r="AX2692" s="3">
        <v>0</v>
      </c>
      <c r="AY2692" s="3">
        <v>0</v>
      </c>
      <c r="AZ2692" s="3">
        <v>0</v>
      </c>
      <c r="BA2692" s="3">
        <v>0</v>
      </c>
      <c r="BB2692" s="3">
        <v>0</v>
      </c>
      <c r="BC2692" s="3">
        <v>0</v>
      </c>
      <c r="BD2692" s="3">
        <v>0</v>
      </c>
      <c r="BE2692" s="3">
        <v>0</v>
      </c>
      <c r="BF2692" s="3">
        <v>0</v>
      </c>
      <c r="BG2692" s="3">
        <v>0</v>
      </c>
      <c r="BH2692" s="3">
        <v>1</v>
      </c>
      <c r="BI2692" s="3">
        <v>1</v>
      </c>
      <c r="BJ2692" s="3">
        <v>0.2</v>
      </c>
      <c r="BK2692" s="3">
        <v>1</v>
      </c>
      <c r="BL2692" s="3">
        <v>47.27</v>
      </c>
      <c r="BM2692" s="3">
        <v>7.09</v>
      </c>
      <c r="BN2692" s="3">
        <v>54.36</v>
      </c>
      <c r="BO2692" s="3">
        <v>54.36</v>
      </c>
      <c r="BQ2692" s="3" t="s">
        <v>89</v>
      </c>
      <c r="BR2692" s="3" t="s">
        <v>308</v>
      </c>
      <c r="BS2692" s="4">
        <v>44565</v>
      </c>
      <c r="BT2692" s="5">
        <v>0.3840277777777778</v>
      </c>
      <c r="BU2692" s="3" t="s">
        <v>1736</v>
      </c>
      <c r="BV2692" s="3" t="s">
        <v>105</v>
      </c>
      <c r="BY2692" s="3">
        <v>1200</v>
      </c>
      <c r="BZ2692" s="3" t="s">
        <v>165</v>
      </c>
      <c r="CA2692" s="3" t="s">
        <v>708</v>
      </c>
      <c r="CC2692" s="3" t="s">
        <v>155</v>
      </c>
      <c r="CD2692" s="3">
        <v>1682</v>
      </c>
      <c r="CE2692" s="3" t="s">
        <v>93</v>
      </c>
      <c r="CF2692" s="4">
        <v>44565</v>
      </c>
      <c r="CI2692" s="3">
        <v>1</v>
      </c>
      <c r="CJ2692" s="3">
        <v>1</v>
      </c>
      <c r="CK2692" s="3">
        <v>22</v>
      </c>
      <c r="CL2692" s="3" t="s">
        <v>87</v>
      </c>
    </row>
    <row r="2693" spans="1:90" x14ac:dyDescent="0.2">
      <c r="A2693" s="3" t="s">
        <v>72</v>
      </c>
      <c r="B2693" s="3" t="s">
        <v>73</v>
      </c>
      <c r="C2693" s="3" t="s">
        <v>74</v>
      </c>
      <c r="E2693" s="3" t="str">
        <f>"FES1162843617"</f>
        <v>FES1162843617</v>
      </c>
      <c r="F2693" s="4">
        <v>44566</v>
      </c>
      <c r="G2693" s="3">
        <v>202207</v>
      </c>
      <c r="H2693" s="3" t="s">
        <v>75</v>
      </c>
      <c r="I2693" s="3" t="s">
        <v>76</v>
      </c>
      <c r="J2693" s="3" t="s">
        <v>77</v>
      </c>
      <c r="K2693" s="3" t="s">
        <v>78</v>
      </c>
      <c r="L2693" s="3" t="s">
        <v>158</v>
      </c>
      <c r="M2693" s="3" t="s">
        <v>159</v>
      </c>
      <c r="N2693" s="3" t="s">
        <v>970</v>
      </c>
      <c r="O2693" s="3" t="s">
        <v>82</v>
      </c>
      <c r="P2693" s="3" t="str">
        <f>"2170815692                    "</f>
        <v xml:space="preserve">2170815692                    </v>
      </c>
      <c r="Q2693" s="3">
        <v>0</v>
      </c>
      <c r="R2693" s="3">
        <v>0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  <c r="AE2693" s="3">
        <v>0</v>
      </c>
      <c r="AF2693" s="3">
        <v>0</v>
      </c>
      <c r="AG2693" s="3">
        <v>0</v>
      </c>
      <c r="AH2693" s="3">
        <v>0</v>
      </c>
      <c r="AI2693" s="3">
        <v>0</v>
      </c>
      <c r="AJ2693" s="3">
        <v>0</v>
      </c>
      <c r="AK2693" s="3">
        <v>12.07</v>
      </c>
      <c r="AL2693" s="3">
        <v>0</v>
      </c>
      <c r="AM2693" s="3">
        <v>0</v>
      </c>
      <c r="AN2693" s="3">
        <v>0</v>
      </c>
      <c r="AO2693" s="3">
        <v>0</v>
      </c>
      <c r="AP2693" s="3">
        <v>0</v>
      </c>
      <c r="AQ2693" s="3">
        <v>0</v>
      </c>
      <c r="AR2693" s="3">
        <v>0</v>
      </c>
      <c r="AS2693" s="3">
        <v>0</v>
      </c>
      <c r="AT2693" s="3">
        <v>0</v>
      </c>
      <c r="AU2693" s="3">
        <v>0</v>
      </c>
      <c r="AV2693" s="3">
        <v>0</v>
      </c>
      <c r="AW2693" s="3">
        <v>0</v>
      </c>
      <c r="AX2693" s="3">
        <v>0</v>
      </c>
      <c r="AY2693" s="3">
        <v>0</v>
      </c>
      <c r="AZ2693" s="3">
        <v>0</v>
      </c>
      <c r="BA2693" s="3">
        <v>0</v>
      </c>
      <c r="BB2693" s="3">
        <v>0</v>
      </c>
      <c r="BC2693" s="3">
        <v>0</v>
      </c>
      <c r="BD2693" s="3">
        <v>0</v>
      </c>
      <c r="BE2693" s="3">
        <v>0</v>
      </c>
      <c r="BF2693" s="3">
        <v>0</v>
      </c>
      <c r="BG2693" s="3">
        <v>0</v>
      </c>
      <c r="BH2693" s="3">
        <v>1</v>
      </c>
      <c r="BI2693" s="3">
        <v>2</v>
      </c>
      <c r="BJ2693" s="3">
        <v>1.1000000000000001</v>
      </c>
      <c r="BK2693" s="3">
        <v>2</v>
      </c>
      <c r="BL2693" s="3">
        <v>46.08</v>
      </c>
      <c r="BM2693" s="3">
        <v>6.91</v>
      </c>
      <c r="BN2693" s="3">
        <v>52.99</v>
      </c>
      <c r="BO2693" s="3">
        <v>52.99</v>
      </c>
      <c r="BR2693" s="3" t="s">
        <v>364</v>
      </c>
      <c r="BS2693" s="4">
        <v>44567</v>
      </c>
      <c r="BT2693" s="5">
        <v>0.3347222222222222</v>
      </c>
      <c r="BU2693" s="3" t="s">
        <v>2585</v>
      </c>
      <c r="BV2693" s="3" t="s">
        <v>105</v>
      </c>
      <c r="BY2693" s="3">
        <v>5320</v>
      </c>
      <c r="BZ2693" s="3" t="s">
        <v>165</v>
      </c>
      <c r="CA2693" s="3" t="s">
        <v>653</v>
      </c>
      <c r="CC2693" s="3" t="s">
        <v>159</v>
      </c>
      <c r="CD2693" s="3">
        <v>1469</v>
      </c>
      <c r="CE2693" s="3" t="s">
        <v>86</v>
      </c>
      <c r="CF2693" s="4">
        <v>44568</v>
      </c>
      <c r="CI2693" s="3">
        <v>1</v>
      </c>
      <c r="CJ2693" s="3">
        <v>1</v>
      </c>
      <c r="CK2693" s="3">
        <v>22</v>
      </c>
      <c r="CL2693" s="3" t="s">
        <v>87</v>
      </c>
    </row>
    <row r="2694" spans="1:90" x14ac:dyDescent="0.2">
      <c r="A2694" s="3" t="s">
        <v>72</v>
      </c>
      <c r="B2694" s="3" t="s">
        <v>73</v>
      </c>
      <c r="C2694" s="3" t="s">
        <v>74</v>
      </c>
      <c r="E2694" s="3" t="str">
        <f>"FES1162843490"</f>
        <v>FES1162843490</v>
      </c>
      <c r="F2694" s="4">
        <v>44565</v>
      </c>
      <c r="G2694" s="3">
        <v>202207</v>
      </c>
      <c r="H2694" s="3" t="s">
        <v>75</v>
      </c>
      <c r="I2694" s="3" t="s">
        <v>76</v>
      </c>
      <c r="J2694" s="3" t="s">
        <v>77</v>
      </c>
      <c r="K2694" s="3" t="s">
        <v>78</v>
      </c>
      <c r="L2694" s="3" t="s">
        <v>75</v>
      </c>
      <c r="M2694" s="3" t="s">
        <v>76</v>
      </c>
      <c r="N2694" s="3" t="s">
        <v>459</v>
      </c>
      <c r="O2694" s="3" t="s">
        <v>82</v>
      </c>
      <c r="P2694" s="3" t="str">
        <f>"2170814613                    "</f>
        <v xml:space="preserve">2170814613                    </v>
      </c>
      <c r="Q2694" s="3">
        <v>0</v>
      </c>
      <c r="R2694" s="3">
        <v>0</v>
      </c>
      <c r="S2694" s="3">
        <v>0</v>
      </c>
      <c r="T2694" s="3">
        <v>0</v>
      </c>
      <c r="U2694" s="3">
        <v>0</v>
      </c>
      <c r="V2694" s="3">
        <v>0</v>
      </c>
      <c r="W2694" s="3">
        <v>0</v>
      </c>
      <c r="X2694" s="3">
        <v>0</v>
      </c>
      <c r="Y2694" s="3">
        <v>0</v>
      </c>
      <c r="Z2694" s="3">
        <v>0</v>
      </c>
      <c r="AA2694" s="3">
        <v>0</v>
      </c>
      <c r="AB2694" s="3">
        <v>0</v>
      </c>
      <c r="AC2694" s="3">
        <v>0</v>
      </c>
      <c r="AD2694" s="3">
        <v>0</v>
      </c>
      <c r="AE2694" s="3">
        <v>0</v>
      </c>
      <c r="AF2694" s="3">
        <v>0</v>
      </c>
      <c r="AG2694" s="3">
        <v>0</v>
      </c>
      <c r="AH2694" s="3">
        <v>0</v>
      </c>
      <c r="AI2694" s="3">
        <v>0</v>
      </c>
      <c r="AJ2694" s="3">
        <v>0</v>
      </c>
      <c r="AK2694" s="3">
        <v>13.26</v>
      </c>
      <c r="AL2694" s="3">
        <v>0</v>
      </c>
      <c r="AM2694" s="3">
        <v>0</v>
      </c>
      <c r="AN2694" s="3">
        <v>0</v>
      </c>
      <c r="AO2694" s="3">
        <v>0</v>
      </c>
      <c r="AP2694" s="3">
        <v>0</v>
      </c>
      <c r="AQ2694" s="3">
        <v>0</v>
      </c>
      <c r="AR2694" s="3">
        <v>0</v>
      </c>
      <c r="AS2694" s="3">
        <v>0</v>
      </c>
      <c r="AT2694" s="3">
        <v>0</v>
      </c>
      <c r="AU2694" s="3">
        <v>0</v>
      </c>
      <c r="AV2694" s="3">
        <v>0</v>
      </c>
      <c r="AW2694" s="3">
        <v>0</v>
      </c>
      <c r="AX2694" s="3">
        <v>0</v>
      </c>
      <c r="AY2694" s="3">
        <v>0</v>
      </c>
      <c r="AZ2694" s="3">
        <v>0</v>
      </c>
      <c r="BA2694" s="3">
        <v>0</v>
      </c>
      <c r="BB2694" s="3">
        <v>0</v>
      </c>
      <c r="BC2694" s="3">
        <v>0</v>
      </c>
      <c r="BD2694" s="3">
        <v>0</v>
      </c>
      <c r="BE2694" s="3">
        <v>0</v>
      </c>
      <c r="BF2694" s="3">
        <v>0</v>
      </c>
      <c r="BG2694" s="3">
        <v>0</v>
      </c>
      <c r="BH2694" s="3">
        <v>1</v>
      </c>
      <c r="BI2694" s="3">
        <v>1</v>
      </c>
      <c r="BJ2694" s="3">
        <v>0.2</v>
      </c>
      <c r="BK2694" s="3">
        <v>1</v>
      </c>
      <c r="BL2694" s="3">
        <v>47.27</v>
      </c>
      <c r="BM2694" s="3">
        <v>7.09</v>
      </c>
      <c r="BN2694" s="3">
        <v>54.36</v>
      </c>
      <c r="BO2694" s="3">
        <v>54.36</v>
      </c>
      <c r="BQ2694" s="3" t="s">
        <v>83</v>
      </c>
      <c r="BR2694" s="3" t="s">
        <v>308</v>
      </c>
      <c r="BS2694" s="4">
        <v>44566</v>
      </c>
      <c r="BT2694" s="5">
        <v>0.4375</v>
      </c>
      <c r="BU2694" s="3" t="s">
        <v>2586</v>
      </c>
      <c r="BV2694" s="3" t="s">
        <v>105</v>
      </c>
      <c r="BY2694" s="3">
        <v>1200</v>
      </c>
      <c r="BZ2694" s="3" t="s">
        <v>165</v>
      </c>
      <c r="CC2694" s="3" t="s">
        <v>76</v>
      </c>
      <c r="CD2694" s="3">
        <v>1686</v>
      </c>
      <c r="CE2694" s="3" t="s">
        <v>93</v>
      </c>
      <c r="CF2694" s="4">
        <v>44566</v>
      </c>
      <c r="CI2694" s="3">
        <v>1</v>
      </c>
      <c r="CJ2694" s="3">
        <v>1</v>
      </c>
      <c r="CK2694" s="3">
        <v>22</v>
      </c>
      <c r="CL2694" s="3" t="s">
        <v>87</v>
      </c>
    </row>
    <row r="2695" spans="1:90" x14ac:dyDescent="0.2">
      <c r="A2695" s="3" t="s">
        <v>72</v>
      </c>
      <c r="B2695" s="3" t="s">
        <v>73</v>
      </c>
      <c r="C2695" s="3" t="s">
        <v>74</v>
      </c>
      <c r="E2695" s="3" t="str">
        <f>"FES1162843348"</f>
        <v>FES1162843348</v>
      </c>
      <c r="F2695" s="4">
        <v>44565</v>
      </c>
      <c r="G2695" s="3">
        <v>202207</v>
      </c>
      <c r="H2695" s="3" t="s">
        <v>75</v>
      </c>
      <c r="I2695" s="3" t="s">
        <v>76</v>
      </c>
      <c r="J2695" s="3" t="s">
        <v>77</v>
      </c>
      <c r="K2695" s="3" t="s">
        <v>78</v>
      </c>
      <c r="L2695" s="3" t="s">
        <v>1271</v>
      </c>
      <c r="M2695" s="3" t="s">
        <v>1272</v>
      </c>
      <c r="N2695" s="3" t="s">
        <v>1273</v>
      </c>
      <c r="O2695" s="3" t="s">
        <v>82</v>
      </c>
      <c r="P2695" s="3" t="str">
        <f>"2170815432                    "</f>
        <v xml:space="preserve">2170815432                    </v>
      </c>
      <c r="Q2695" s="3">
        <v>0</v>
      </c>
      <c r="R2695" s="3">
        <v>0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  <c r="AE2695" s="3">
        <v>0</v>
      </c>
      <c r="AF2695" s="3">
        <v>0</v>
      </c>
      <c r="AG2695" s="3">
        <v>0</v>
      </c>
      <c r="AH2695" s="3">
        <v>0</v>
      </c>
      <c r="AI2695" s="3">
        <v>0</v>
      </c>
      <c r="AJ2695" s="3">
        <v>0</v>
      </c>
      <c r="AK2695" s="3">
        <v>23.88</v>
      </c>
      <c r="AL2695" s="3">
        <v>0</v>
      </c>
      <c r="AM2695" s="3">
        <v>0</v>
      </c>
      <c r="AN2695" s="3">
        <v>0</v>
      </c>
      <c r="AO2695" s="3">
        <v>0</v>
      </c>
      <c r="AP2695" s="3">
        <v>0</v>
      </c>
      <c r="AQ2695" s="3">
        <v>0</v>
      </c>
      <c r="AR2695" s="3">
        <v>0</v>
      </c>
      <c r="AS2695" s="3">
        <v>0</v>
      </c>
      <c r="AT2695" s="3">
        <v>0</v>
      </c>
      <c r="AU2695" s="3">
        <v>0</v>
      </c>
      <c r="AV2695" s="3">
        <v>0</v>
      </c>
      <c r="AW2695" s="3">
        <v>0</v>
      </c>
      <c r="AX2695" s="3">
        <v>0</v>
      </c>
      <c r="AY2695" s="3">
        <v>0</v>
      </c>
      <c r="AZ2695" s="3">
        <v>0</v>
      </c>
      <c r="BA2695" s="3">
        <v>0</v>
      </c>
      <c r="BB2695" s="3">
        <v>0</v>
      </c>
      <c r="BC2695" s="3">
        <v>0</v>
      </c>
      <c r="BD2695" s="3">
        <v>0</v>
      </c>
      <c r="BE2695" s="3">
        <v>0</v>
      </c>
      <c r="BF2695" s="3">
        <v>0</v>
      </c>
      <c r="BG2695" s="3">
        <v>0</v>
      </c>
      <c r="BH2695" s="3">
        <v>1</v>
      </c>
      <c r="BI2695" s="3">
        <v>1</v>
      </c>
      <c r="BJ2695" s="3">
        <v>0.2</v>
      </c>
      <c r="BK2695" s="3">
        <v>1</v>
      </c>
      <c r="BL2695" s="3">
        <v>85.12</v>
      </c>
      <c r="BM2695" s="3">
        <v>12.77</v>
      </c>
      <c r="BN2695" s="3">
        <v>97.89</v>
      </c>
      <c r="BO2695" s="3">
        <v>97.89</v>
      </c>
      <c r="BQ2695" s="3" t="s">
        <v>83</v>
      </c>
      <c r="BR2695" s="3" t="s">
        <v>308</v>
      </c>
      <c r="BS2695" s="4">
        <v>44566</v>
      </c>
      <c r="BT2695" s="5">
        <v>0.43611111111111112</v>
      </c>
      <c r="BU2695" s="3" t="s">
        <v>1901</v>
      </c>
      <c r="BV2695" s="3" t="s">
        <v>105</v>
      </c>
      <c r="BY2695" s="3">
        <v>1200</v>
      </c>
      <c r="BZ2695" s="3" t="s">
        <v>165</v>
      </c>
      <c r="CA2695" s="3" t="s">
        <v>1902</v>
      </c>
      <c r="CC2695" s="3" t="s">
        <v>1272</v>
      </c>
      <c r="CD2695" s="3">
        <v>1438</v>
      </c>
      <c r="CE2695" s="3" t="s">
        <v>93</v>
      </c>
      <c r="CF2695" s="4">
        <v>44567</v>
      </c>
      <c r="CI2695" s="3">
        <v>1</v>
      </c>
      <c r="CJ2695" s="3">
        <v>1</v>
      </c>
      <c r="CK2695" s="3">
        <v>24</v>
      </c>
      <c r="CL2695" s="3" t="s">
        <v>87</v>
      </c>
    </row>
    <row r="2696" spans="1:90" x14ac:dyDescent="0.2">
      <c r="A2696" s="3" t="s">
        <v>72</v>
      </c>
      <c r="B2696" s="3" t="s">
        <v>73</v>
      </c>
      <c r="C2696" s="3" t="s">
        <v>74</v>
      </c>
      <c r="E2696" s="3" t="str">
        <f>"FES1162843618"</f>
        <v>FES1162843618</v>
      </c>
      <c r="F2696" s="4">
        <v>44566</v>
      </c>
      <c r="G2696" s="3">
        <v>202207</v>
      </c>
      <c r="H2696" s="3" t="s">
        <v>75</v>
      </c>
      <c r="I2696" s="3" t="s">
        <v>76</v>
      </c>
      <c r="J2696" s="3" t="s">
        <v>77</v>
      </c>
      <c r="K2696" s="3" t="s">
        <v>78</v>
      </c>
      <c r="L2696" s="3" t="s">
        <v>731</v>
      </c>
      <c r="M2696" s="3" t="s">
        <v>732</v>
      </c>
      <c r="N2696" s="3" t="s">
        <v>733</v>
      </c>
      <c r="O2696" s="3" t="s">
        <v>82</v>
      </c>
      <c r="P2696" s="3" t="str">
        <f>"2170815693                    "</f>
        <v xml:space="preserve">2170815693                    </v>
      </c>
      <c r="Q2696" s="3">
        <v>0</v>
      </c>
      <c r="R2696" s="3">
        <v>0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  <c r="AE2696" s="3">
        <v>0</v>
      </c>
      <c r="AF2696" s="3">
        <v>0</v>
      </c>
      <c r="AG2696" s="3">
        <v>0</v>
      </c>
      <c r="AH2696" s="3">
        <v>0</v>
      </c>
      <c r="AI2696" s="3">
        <v>0</v>
      </c>
      <c r="AJ2696" s="3">
        <v>0</v>
      </c>
      <c r="AK2696" s="3">
        <v>57</v>
      </c>
      <c r="AL2696" s="3">
        <v>0</v>
      </c>
      <c r="AM2696" s="3">
        <v>0</v>
      </c>
      <c r="AN2696" s="3">
        <v>0</v>
      </c>
      <c r="AO2696" s="3">
        <v>0</v>
      </c>
      <c r="AP2696" s="3">
        <v>0</v>
      </c>
      <c r="AQ2696" s="3">
        <v>0</v>
      </c>
      <c r="AR2696" s="3">
        <v>0</v>
      </c>
      <c r="AS2696" s="3">
        <v>0</v>
      </c>
      <c r="AT2696" s="3">
        <v>0</v>
      </c>
      <c r="AU2696" s="3">
        <v>0</v>
      </c>
      <c r="AV2696" s="3">
        <v>0</v>
      </c>
      <c r="AW2696" s="3">
        <v>0</v>
      </c>
      <c r="AX2696" s="3">
        <v>0</v>
      </c>
      <c r="AY2696" s="3">
        <v>0</v>
      </c>
      <c r="AZ2696" s="3">
        <v>0</v>
      </c>
      <c r="BA2696" s="3">
        <v>0</v>
      </c>
      <c r="BB2696" s="3">
        <v>0</v>
      </c>
      <c r="BC2696" s="3">
        <v>0</v>
      </c>
      <c r="BD2696" s="3">
        <v>0</v>
      </c>
      <c r="BE2696" s="3">
        <v>0</v>
      </c>
      <c r="BF2696" s="3">
        <v>0</v>
      </c>
      <c r="BG2696" s="3">
        <v>0</v>
      </c>
      <c r="BH2696" s="3">
        <v>1</v>
      </c>
      <c r="BI2696" s="3">
        <v>3</v>
      </c>
      <c r="BJ2696" s="3">
        <v>3.9</v>
      </c>
      <c r="BK2696" s="3">
        <v>4</v>
      </c>
      <c r="BL2696" s="3">
        <v>217.56</v>
      </c>
      <c r="BM2696" s="3">
        <v>32.630000000000003</v>
      </c>
      <c r="BN2696" s="3">
        <v>250.19</v>
      </c>
      <c r="BO2696" s="3">
        <v>250.19</v>
      </c>
      <c r="BQ2696" s="3" t="s">
        <v>89</v>
      </c>
      <c r="BR2696" s="3" t="s">
        <v>364</v>
      </c>
      <c r="BS2696" s="4">
        <v>44567</v>
      </c>
      <c r="BT2696" s="5">
        <v>0.54166666666666663</v>
      </c>
      <c r="BU2696" s="3" t="s">
        <v>2513</v>
      </c>
      <c r="BV2696" s="3" t="s">
        <v>105</v>
      </c>
      <c r="BY2696" s="3">
        <v>19440</v>
      </c>
      <c r="BZ2696" s="3" t="s">
        <v>165</v>
      </c>
      <c r="CA2696" s="3" t="s">
        <v>328</v>
      </c>
      <c r="CC2696" s="3" t="s">
        <v>732</v>
      </c>
      <c r="CD2696" s="3">
        <v>3290</v>
      </c>
      <c r="CE2696" s="3" t="s">
        <v>86</v>
      </c>
      <c r="CF2696" s="4">
        <v>44568</v>
      </c>
      <c r="CI2696" s="3">
        <v>1</v>
      </c>
      <c r="CJ2696" s="3">
        <v>1</v>
      </c>
      <c r="CK2696" s="3">
        <v>23</v>
      </c>
      <c r="CL2696" s="3" t="s">
        <v>87</v>
      </c>
    </row>
    <row r="2697" spans="1:90" x14ac:dyDescent="0.2">
      <c r="A2697" s="3" t="s">
        <v>72</v>
      </c>
      <c r="B2697" s="3" t="s">
        <v>73</v>
      </c>
      <c r="C2697" s="3" t="s">
        <v>74</v>
      </c>
      <c r="E2697" s="3" t="str">
        <f>"FES1162843484"</f>
        <v>FES1162843484</v>
      </c>
      <c r="F2697" s="4">
        <v>44565</v>
      </c>
      <c r="G2697" s="3">
        <v>202207</v>
      </c>
      <c r="H2697" s="3" t="s">
        <v>75</v>
      </c>
      <c r="I2697" s="3" t="s">
        <v>76</v>
      </c>
      <c r="J2697" s="3" t="s">
        <v>77</v>
      </c>
      <c r="K2697" s="3" t="s">
        <v>78</v>
      </c>
      <c r="L2697" s="3" t="s">
        <v>94</v>
      </c>
      <c r="M2697" s="3" t="s">
        <v>95</v>
      </c>
      <c r="N2697" s="3" t="s">
        <v>2587</v>
      </c>
      <c r="O2697" s="3" t="s">
        <v>82</v>
      </c>
      <c r="P2697" s="3" t="str">
        <f>"2170814485                    "</f>
        <v xml:space="preserve">2170814485                    </v>
      </c>
      <c r="Q2697" s="3">
        <v>0</v>
      </c>
      <c r="R2697" s="3">
        <v>0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  <c r="AE2697" s="3">
        <v>0</v>
      </c>
      <c r="AF2697" s="3">
        <v>0</v>
      </c>
      <c r="AG2697" s="3">
        <v>0</v>
      </c>
      <c r="AH2697" s="3">
        <v>0</v>
      </c>
      <c r="AI2697" s="3">
        <v>0</v>
      </c>
      <c r="AJ2697" s="3">
        <v>0</v>
      </c>
      <c r="AK2697" s="3">
        <v>16.98</v>
      </c>
      <c r="AL2697" s="3">
        <v>0</v>
      </c>
      <c r="AM2697" s="3">
        <v>0</v>
      </c>
      <c r="AN2697" s="3">
        <v>0</v>
      </c>
      <c r="AO2697" s="3">
        <v>0</v>
      </c>
      <c r="AP2697" s="3">
        <v>0</v>
      </c>
      <c r="AQ2697" s="3">
        <v>0</v>
      </c>
      <c r="AR2697" s="3">
        <v>0</v>
      </c>
      <c r="AS2697" s="3">
        <v>0</v>
      </c>
      <c r="AT2697" s="3">
        <v>0</v>
      </c>
      <c r="AU2697" s="3">
        <v>0</v>
      </c>
      <c r="AV2697" s="3">
        <v>0</v>
      </c>
      <c r="AW2697" s="3">
        <v>0</v>
      </c>
      <c r="AX2697" s="3">
        <v>0</v>
      </c>
      <c r="AY2697" s="3">
        <v>0</v>
      </c>
      <c r="AZ2697" s="3">
        <v>0</v>
      </c>
      <c r="BA2697" s="3">
        <v>0</v>
      </c>
      <c r="BB2697" s="3">
        <v>0</v>
      </c>
      <c r="BC2697" s="3">
        <v>0</v>
      </c>
      <c r="BD2697" s="3">
        <v>0</v>
      </c>
      <c r="BE2697" s="3">
        <v>0</v>
      </c>
      <c r="BF2697" s="3">
        <v>0</v>
      </c>
      <c r="BG2697" s="3">
        <v>0</v>
      </c>
      <c r="BH2697" s="3">
        <v>1</v>
      </c>
      <c r="BI2697" s="3">
        <v>1</v>
      </c>
      <c r="BJ2697" s="3">
        <v>0.2</v>
      </c>
      <c r="BK2697" s="3">
        <v>1</v>
      </c>
      <c r="BL2697" s="3">
        <v>60.52</v>
      </c>
      <c r="BM2697" s="3">
        <v>9.08</v>
      </c>
      <c r="BN2697" s="3">
        <v>69.599999999999994</v>
      </c>
      <c r="BO2697" s="3">
        <v>69.599999999999994</v>
      </c>
      <c r="BQ2697" s="3" t="s">
        <v>750</v>
      </c>
      <c r="BR2697" s="3" t="s">
        <v>308</v>
      </c>
      <c r="BS2697" s="4">
        <v>44567</v>
      </c>
      <c r="BT2697" s="5">
        <v>0.58333333333333337</v>
      </c>
      <c r="BU2697" s="3" t="s">
        <v>2588</v>
      </c>
      <c r="BV2697" s="3" t="s">
        <v>87</v>
      </c>
      <c r="BW2697" s="3" t="s">
        <v>453</v>
      </c>
      <c r="BX2697" s="3" t="s">
        <v>2578</v>
      </c>
      <c r="BY2697" s="3">
        <v>1200</v>
      </c>
      <c r="BZ2697" s="3" t="s">
        <v>165</v>
      </c>
      <c r="CA2697" s="3" t="s">
        <v>328</v>
      </c>
      <c r="CC2697" s="3" t="s">
        <v>95</v>
      </c>
      <c r="CD2697" s="3">
        <v>3201</v>
      </c>
      <c r="CE2697" s="3" t="s">
        <v>93</v>
      </c>
      <c r="CF2697" s="4">
        <v>44568</v>
      </c>
      <c r="CI2697" s="3">
        <v>1</v>
      </c>
      <c r="CJ2697" s="3">
        <v>2</v>
      </c>
      <c r="CK2697" s="3">
        <v>21</v>
      </c>
      <c r="CL2697" s="3" t="s">
        <v>87</v>
      </c>
    </row>
    <row r="2698" spans="1:90" x14ac:dyDescent="0.2">
      <c r="A2698" s="3" t="s">
        <v>72</v>
      </c>
      <c r="B2698" s="3" t="s">
        <v>73</v>
      </c>
      <c r="C2698" s="3" t="s">
        <v>74</v>
      </c>
      <c r="E2698" s="3" t="str">
        <f>"FES1162843751"</f>
        <v>FES1162843751</v>
      </c>
      <c r="F2698" s="4">
        <v>44566</v>
      </c>
      <c r="G2698" s="3">
        <v>202207</v>
      </c>
      <c r="H2698" s="3" t="s">
        <v>75</v>
      </c>
      <c r="I2698" s="3" t="s">
        <v>76</v>
      </c>
      <c r="J2698" s="3" t="s">
        <v>77</v>
      </c>
      <c r="K2698" s="3" t="s">
        <v>78</v>
      </c>
      <c r="L2698" s="3" t="s">
        <v>75</v>
      </c>
      <c r="M2698" s="3" t="s">
        <v>76</v>
      </c>
      <c r="N2698" s="3" t="s">
        <v>147</v>
      </c>
      <c r="O2698" s="3" t="s">
        <v>82</v>
      </c>
      <c r="P2698" s="3" t="str">
        <f>"2170814242                    "</f>
        <v xml:space="preserve">2170814242                    </v>
      </c>
      <c r="Q2698" s="3">
        <v>0</v>
      </c>
      <c r="R2698" s="3">
        <v>0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  <c r="AE2698" s="3">
        <v>0</v>
      </c>
      <c r="AF2698" s="3">
        <v>0</v>
      </c>
      <c r="AG2698" s="3">
        <v>0</v>
      </c>
      <c r="AH2698" s="3">
        <v>0</v>
      </c>
      <c r="AI2698" s="3">
        <v>0</v>
      </c>
      <c r="AJ2698" s="3">
        <v>0</v>
      </c>
      <c r="AK2698" s="3">
        <v>12.07</v>
      </c>
      <c r="AL2698" s="3">
        <v>0</v>
      </c>
      <c r="AM2698" s="3">
        <v>0</v>
      </c>
      <c r="AN2698" s="3">
        <v>0</v>
      </c>
      <c r="AO2698" s="3">
        <v>0</v>
      </c>
      <c r="AP2698" s="3">
        <v>0</v>
      </c>
      <c r="AQ2698" s="3">
        <v>0</v>
      </c>
      <c r="AR2698" s="3">
        <v>0</v>
      </c>
      <c r="AS2698" s="3">
        <v>0</v>
      </c>
      <c r="AT2698" s="3">
        <v>0</v>
      </c>
      <c r="AU2698" s="3">
        <v>0</v>
      </c>
      <c r="AV2698" s="3">
        <v>0</v>
      </c>
      <c r="AW2698" s="3">
        <v>0</v>
      </c>
      <c r="AX2698" s="3">
        <v>0</v>
      </c>
      <c r="AY2698" s="3">
        <v>0</v>
      </c>
      <c r="AZ2698" s="3">
        <v>0</v>
      </c>
      <c r="BA2698" s="3">
        <v>0</v>
      </c>
      <c r="BB2698" s="3">
        <v>0</v>
      </c>
      <c r="BC2698" s="3">
        <v>0</v>
      </c>
      <c r="BD2698" s="3">
        <v>0</v>
      </c>
      <c r="BE2698" s="3">
        <v>0</v>
      </c>
      <c r="BF2698" s="3">
        <v>0</v>
      </c>
      <c r="BG2698" s="3">
        <v>0</v>
      </c>
      <c r="BH2698" s="3">
        <v>1</v>
      </c>
      <c r="BI2698" s="3">
        <v>7</v>
      </c>
      <c r="BJ2698" s="3">
        <v>4.0999999999999996</v>
      </c>
      <c r="BK2698" s="3">
        <v>7</v>
      </c>
      <c r="BL2698" s="3">
        <v>46.08</v>
      </c>
      <c r="BM2698" s="3">
        <v>6.91</v>
      </c>
      <c r="BN2698" s="3">
        <v>52.99</v>
      </c>
      <c r="BO2698" s="3">
        <v>52.99</v>
      </c>
      <c r="BQ2698" s="3" t="s">
        <v>89</v>
      </c>
      <c r="BR2698" s="3" t="s">
        <v>308</v>
      </c>
      <c r="BS2698" s="4">
        <v>44567</v>
      </c>
      <c r="BT2698" s="5">
        <v>0.3520833333333333</v>
      </c>
      <c r="BU2698" s="3" t="s">
        <v>849</v>
      </c>
      <c r="BV2698" s="3" t="s">
        <v>105</v>
      </c>
      <c r="BY2698" s="3">
        <v>20358</v>
      </c>
      <c r="BZ2698" s="3" t="s">
        <v>165</v>
      </c>
      <c r="CA2698" s="3" t="s">
        <v>477</v>
      </c>
      <c r="CC2698" s="3" t="s">
        <v>76</v>
      </c>
      <c r="CD2698" s="3">
        <v>1645</v>
      </c>
      <c r="CE2698" s="3" t="s">
        <v>86</v>
      </c>
      <c r="CF2698" s="4">
        <v>44568</v>
      </c>
      <c r="CI2698" s="3">
        <v>1</v>
      </c>
      <c r="CJ2698" s="3">
        <v>1</v>
      </c>
      <c r="CK2698" s="3">
        <v>22</v>
      </c>
      <c r="CL2698" s="3" t="s">
        <v>87</v>
      </c>
    </row>
    <row r="2699" spans="1:90" x14ac:dyDescent="0.2">
      <c r="A2699" s="3" t="s">
        <v>72</v>
      </c>
      <c r="B2699" s="3" t="s">
        <v>73</v>
      </c>
      <c r="C2699" s="3" t="s">
        <v>74</v>
      </c>
      <c r="E2699" s="3" t="str">
        <f>"FES1162843078"</f>
        <v>FES1162843078</v>
      </c>
      <c r="F2699" s="4">
        <v>44564</v>
      </c>
      <c r="G2699" s="3">
        <v>202207</v>
      </c>
      <c r="H2699" s="3" t="s">
        <v>75</v>
      </c>
      <c r="I2699" s="3" t="s">
        <v>76</v>
      </c>
      <c r="J2699" s="3" t="s">
        <v>77</v>
      </c>
      <c r="K2699" s="3" t="s">
        <v>78</v>
      </c>
      <c r="L2699" s="3" t="s">
        <v>90</v>
      </c>
      <c r="M2699" s="3" t="s">
        <v>91</v>
      </c>
      <c r="N2699" s="3" t="s">
        <v>132</v>
      </c>
      <c r="O2699" s="3" t="s">
        <v>82</v>
      </c>
      <c r="P2699" s="3" t="str">
        <f>"2170815364                    "</f>
        <v xml:space="preserve">2170815364                    </v>
      </c>
      <c r="Q2699" s="3">
        <v>0</v>
      </c>
      <c r="R2699" s="3">
        <v>0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  <c r="AE2699" s="3">
        <v>0</v>
      </c>
      <c r="AF2699" s="3">
        <v>0</v>
      </c>
      <c r="AG2699" s="3">
        <v>0</v>
      </c>
      <c r="AH2699" s="3">
        <v>0</v>
      </c>
      <c r="AI2699" s="3">
        <v>0</v>
      </c>
      <c r="AJ2699" s="3">
        <v>0</v>
      </c>
      <c r="AK2699" s="3">
        <v>16.98</v>
      </c>
      <c r="AL2699" s="3">
        <v>0</v>
      </c>
      <c r="AM2699" s="3">
        <v>0</v>
      </c>
      <c r="AN2699" s="3">
        <v>0</v>
      </c>
      <c r="AO2699" s="3">
        <v>0</v>
      </c>
      <c r="AP2699" s="3">
        <v>0</v>
      </c>
      <c r="AQ2699" s="3">
        <v>0</v>
      </c>
      <c r="AR2699" s="3">
        <v>0</v>
      </c>
      <c r="AS2699" s="3">
        <v>0</v>
      </c>
      <c r="AT2699" s="3">
        <v>0</v>
      </c>
      <c r="AU2699" s="3">
        <v>0</v>
      </c>
      <c r="AV2699" s="3">
        <v>0</v>
      </c>
      <c r="AW2699" s="3">
        <v>0</v>
      </c>
      <c r="AX2699" s="3">
        <v>0</v>
      </c>
      <c r="AY2699" s="3">
        <v>0</v>
      </c>
      <c r="AZ2699" s="3">
        <v>0</v>
      </c>
      <c r="BA2699" s="3">
        <v>0</v>
      </c>
      <c r="BB2699" s="3">
        <v>0</v>
      </c>
      <c r="BC2699" s="3">
        <v>0</v>
      </c>
      <c r="BD2699" s="3">
        <v>0</v>
      </c>
      <c r="BE2699" s="3">
        <v>0</v>
      </c>
      <c r="BF2699" s="3">
        <v>0</v>
      </c>
      <c r="BG2699" s="3">
        <v>0</v>
      </c>
      <c r="BH2699" s="3">
        <v>1</v>
      </c>
      <c r="BI2699" s="3">
        <v>1</v>
      </c>
      <c r="BJ2699" s="3">
        <v>0.2</v>
      </c>
      <c r="BK2699" s="3">
        <v>1</v>
      </c>
      <c r="BL2699" s="3">
        <v>60.52</v>
      </c>
      <c r="BM2699" s="3">
        <v>9.08</v>
      </c>
      <c r="BN2699" s="3">
        <v>69.599999999999994</v>
      </c>
      <c r="BO2699" s="3">
        <v>69.599999999999994</v>
      </c>
      <c r="BQ2699" s="3" t="s">
        <v>83</v>
      </c>
      <c r="BR2699" s="3" t="s">
        <v>308</v>
      </c>
      <c r="BS2699" s="4">
        <v>44565</v>
      </c>
      <c r="BT2699" s="5">
        <v>0.39861111111111108</v>
      </c>
      <c r="BU2699" s="3" t="s">
        <v>2527</v>
      </c>
      <c r="BV2699" s="3" t="s">
        <v>105</v>
      </c>
      <c r="BY2699" s="3">
        <v>1200</v>
      </c>
      <c r="BZ2699" s="3" t="s">
        <v>165</v>
      </c>
      <c r="CA2699" s="3" t="s">
        <v>641</v>
      </c>
      <c r="CC2699" s="3" t="s">
        <v>91</v>
      </c>
      <c r="CD2699" s="3">
        <v>7530</v>
      </c>
      <c r="CE2699" s="3" t="s">
        <v>93</v>
      </c>
      <c r="CF2699" s="4">
        <v>44566</v>
      </c>
      <c r="CI2699" s="3">
        <v>1</v>
      </c>
      <c r="CJ2699" s="3">
        <v>1</v>
      </c>
      <c r="CK2699" s="3">
        <v>21</v>
      </c>
      <c r="CL2699" s="3" t="s">
        <v>87</v>
      </c>
    </row>
    <row r="2700" spans="1:90" x14ac:dyDescent="0.2">
      <c r="A2700" s="3" t="s">
        <v>72</v>
      </c>
      <c r="B2700" s="3" t="s">
        <v>73</v>
      </c>
      <c r="C2700" s="3" t="s">
        <v>74</v>
      </c>
      <c r="E2700" s="3" t="str">
        <f>"FES1162843667"</f>
        <v>FES1162843667</v>
      </c>
      <c r="F2700" s="4">
        <v>44566</v>
      </c>
      <c r="G2700" s="3">
        <v>202207</v>
      </c>
      <c r="H2700" s="3" t="s">
        <v>75</v>
      </c>
      <c r="I2700" s="3" t="s">
        <v>76</v>
      </c>
      <c r="J2700" s="3" t="s">
        <v>77</v>
      </c>
      <c r="K2700" s="3" t="s">
        <v>78</v>
      </c>
      <c r="L2700" s="3" t="s">
        <v>281</v>
      </c>
      <c r="M2700" s="3" t="s">
        <v>282</v>
      </c>
      <c r="N2700" s="3" t="s">
        <v>927</v>
      </c>
      <c r="O2700" s="3" t="s">
        <v>82</v>
      </c>
      <c r="P2700" s="3" t="str">
        <f>"2170814057                    "</f>
        <v xml:space="preserve">2170814057                    </v>
      </c>
      <c r="Q2700" s="3">
        <v>0</v>
      </c>
      <c r="R2700" s="3">
        <v>0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  <c r="AE2700" s="3">
        <v>0</v>
      </c>
      <c r="AF2700" s="3">
        <v>0</v>
      </c>
      <c r="AG2700" s="3">
        <v>0</v>
      </c>
      <c r="AH2700" s="3">
        <v>0</v>
      </c>
      <c r="AI2700" s="3">
        <v>0</v>
      </c>
      <c r="AJ2700" s="3">
        <v>0</v>
      </c>
      <c r="AK2700" s="3">
        <v>70.52</v>
      </c>
      <c r="AL2700" s="3">
        <v>0</v>
      </c>
      <c r="AM2700" s="3">
        <v>0</v>
      </c>
      <c r="AN2700" s="3">
        <v>0</v>
      </c>
      <c r="AO2700" s="3">
        <v>0</v>
      </c>
      <c r="AP2700" s="3">
        <v>0</v>
      </c>
      <c r="AQ2700" s="3">
        <v>0</v>
      </c>
      <c r="AR2700" s="3">
        <v>0</v>
      </c>
      <c r="AS2700" s="3">
        <v>0</v>
      </c>
      <c r="AT2700" s="3">
        <v>0</v>
      </c>
      <c r="AU2700" s="3">
        <v>0</v>
      </c>
      <c r="AV2700" s="3">
        <v>0</v>
      </c>
      <c r="AW2700" s="3">
        <v>0</v>
      </c>
      <c r="AX2700" s="3">
        <v>0</v>
      </c>
      <c r="AY2700" s="3">
        <v>0</v>
      </c>
      <c r="AZ2700" s="3">
        <v>0</v>
      </c>
      <c r="BA2700" s="3">
        <v>0</v>
      </c>
      <c r="BB2700" s="3">
        <v>0</v>
      </c>
      <c r="BC2700" s="3">
        <v>0</v>
      </c>
      <c r="BD2700" s="3">
        <v>0</v>
      </c>
      <c r="BE2700" s="3">
        <v>0</v>
      </c>
      <c r="BF2700" s="3">
        <v>0</v>
      </c>
      <c r="BG2700" s="3">
        <v>0</v>
      </c>
      <c r="BH2700" s="3">
        <v>1</v>
      </c>
      <c r="BI2700" s="3">
        <v>5</v>
      </c>
      <c r="BJ2700" s="3">
        <v>1.9</v>
      </c>
      <c r="BK2700" s="3">
        <v>5</v>
      </c>
      <c r="BL2700" s="3">
        <v>269.18</v>
      </c>
      <c r="BM2700" s="3">
        <v>40.380000000000003</v>
      </c>
      <c r="BN2700" s="3">
        <v>309.56</v>
      </c>
      <c r="BO2700" s="3">
        <v>309.56</v>
      </c>
      <c r="BQ2700" s="3" t="s">
        <v>83</v>
      </c>
      <c r="BR2700" s="3" t="s">
        <v>364</v>
      </c>
      <c r="BS2700" s="4">
        <v>44568</v>
      </c>
      <c r="BT2700" s="5">
        <v>0.56527777777777777</v>
      </c>
      <c r="BU2700" s="3" t="s">
        <v>2589</v>
      </c>
      <c r="BV2700" s="3" t="s">
        <v>105</v>
      </c>
      <c r="BY2700" s="3">
        <v>9450</v>
      </c>
      <c r="BZ2700" s="3" t="s">
        <v>165</v>
      </c>
      <c r="CA2700" s="3" t="s">
        <v>328</v>
      </c>
      <c r="CC2700" s="3" t="s">
        <v>282</v>
      </c>
      <c r="CD2700" s="3">
        <v>3236</v>
      </c>
      <c r="CE2700" s="3" t="s">
        <v>86</v>
      </c>
      <c r="CF2700" s="4">
        <v>44572</v>
      </c>
      <c r="CI2700" s="3">
        <v>5</v>
      </c>
      <c r="CJ2700" s="3">
        <v>2</v>
      </c>
      <c r="CK2700" s="3">
        <v>23</v>
      </c>
      <c r="CL2700" s="3" t="s">
        <v>87</v>
      </c>
    </row>
    <row r="2701" spans="1:90" x14ac:dyDescent="0.2">
      <c r="A2701" s="3" t="s">
        <v>72</v>
      </c>
      <c r="B2701" s="3" t="s">
        <v>73</v>
      </c>
      <c r="C2701" s="3" t="s">
        <v>74</v>
      </c>
      <c r="E2701" s="3" t="str">
        <f>"FES1162843325"</f>
        <v>FES1162843325</v>
      </c>
      <c r="F2701" s="4">
        <v>44565</v>
      </c>
      <c r="G2701" s="3">
        <v>202207</v>
      </c>
      <c r="H2701" s="3" t="s">
        <v>75</v>
      </c>
      <c r="I2701" s="3" t="s">
        <v>76</v>
      </c>
      <c r="J2701" s="3" t="s">
        <v>77</v>
      </c>
      <c r="K2701" s="3" t="s">
        <v>78</v>
      </c>
      <c r="L2701" s="3" t="s">
        <v>90</v>
      </c>
      <c r="M2701" s="3" t="s">
        <v>91</v>
      </c>
      <c r="N2701" s="3" t="s">
        <v>114</v>
      </c>
      <c r="O2701" s="3" t="s">
        <v>82</v>
      </c>
      <c r="P2701" s="3" t="str">
        <f>"2170812405                    "</f>
        <v xml:space="preserve">2170812405                    </v>
      </c>
      <c r="Q2701" s="3">
        <v>0</v>
      </c>
      <c r="R2701" s="3">
        <v>0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  <c r="AE2701" s="3">
        <v>0</v>
      </c>
      <c r="AF2701" s="3">
        <v>0</v>
      </c>
      <c r="AG2701" s="3">
        <v>0</v>
      </c>
      <c r="AH2701" s="3">
        <v>0</v>
      </c>
      <c r="AI2701" s="3">
        <v>0</v>
      </c>
      <c r="AJ2701" s="3">
        <v>0</v>
      </c>
      <c r="AK2701" s="3">
        <v>38.200000000000003</v>
      </c>
      <c r="AL2701" s="3">
        <v>0</v>
      </c>
      <c r="AM2701" s="3">
        <v>0</v>
      </c>
      <c r="AN2701" s="3">
        <v>0</v>
      </c>
      <c r="AO2701" s="3">
        <v>0</v>
      </c>
      <c r="AP2701" s="3">
        <v>0</v>
      </c>
      <c r="AQ2701" s="3">
        <v>0</v>
      </c>
      <c r="AR2701" s="3">
        <v>0</v>
      </c>
      <c r="AS2701" s="3">
        <v>0</v>
      </c>
      <c r="AT2701" s="3">
        <v>0</v>
      </c>
      <c r="AU2701" s="3">
        <v>0</v>
      </c>
      <c r="AV2701" s="3">
        <v>0</v>
      </c>
      <c r="AW2701" s="3">
        <v>0</v>
      </c>
      <c r="AX2701" s="3">
        <v>0</v>
      </c>
      <c r="AY2701" s="3">
        <v>0</v>
      </c>
      <c r="AZ2701" s="3">
        <v>0</v>
      </c>
      <c r="BA2701" s="3">
        <v>0</v>
      </c>
      <c r="BB2701" s="3">
        <v>0</v>
      </c>
      <c r="BC2701" s="3">
        <v>0</v>
      </c>
      <c r="BD2701" s="3">
        <v>0</v>
      </c>
      <c r="BE2701" s="3">
        <v>0</v>
      </c>
      <c r="BF2701" s="3">
        <v>0</v>
      </c>
      <c r="BG2701" s="3">
        <v>0</v>
      </c>
      <c r="BH2701" s="3">
        <v>1</v>
      </c>
      <c r="BI2701" s="3">
        <v>2</v>
      </c>
      <c r="BJ2701" s="3">
        <v>4.0999999999999996</v>
      </c>
      <c r="BK2701" s="3">
        <v>4.5</v>
      </c>
      <c r="BL2701" s="3">
        <v>136.13999999999999</v>
      </c>
      <c r="BM2701" s="3">
        <v>20.420000000000002</v>
      </c>
      <c r="BN2701" s="3">
        <v>156.56</v>
      </c>
      <c r="BO2701" s="3">
        <v>156.56</v>
      </c>
      <c r="BQ2701" s="3" t="s">
        <v>89</v>
      </c>
      <c r="BR2701" s="3" t="s">
        <v>308</v>
      </c>
      <c r="BS2701" s="4">
        <v>44566</v>
      </c>
      <c r="BT2701" s="5">
        <v>0.32291666666666669</v>
      </c>
      <c r="BU2701" s="3" t="s">
        <v>2590</v>
      </c>
      <c r="BV2701" s="3" t="s">
        <v>105</v>
      </c>
      <c r="BY2701" s="3">
        <v>20358</v>
      </c>
      <c r="BZ2701" s="3" t="s">
        <v>165</v>
      </c>
      <c r="CA2701" s="3" t="s">
        <v>692</v>
      </c>
      <c r="CC2701" s="3" t="s">
        <v>91</v>
      </c>
      <c r="CD2701" s="3">
        <v>7441</v>
      </c>
      <c r="CE2701" s="3" t="s">
        <v>86</v>
      </c>
      <c r="CF2701" s="4">
        <v>44567</v>
      </c>
      <c r="CI2701" s="3">
        <v>1</v>
      </c>
      <c r="CJ2701" s="3">
        <v>1</v>
      </c>
      <c r="CK2701" s="3">
        <v>21</v>
      </c>
      <c r="CL2701" s="3" t="s">
        <v>87</v>
      </c>
    </row>
    <row r="2702" spans="1:90" x14ac:dyDescent="0.2">
      <c r="A2702" s="3" t="s">
        <v>72</v>
      </c>
      <c r="B2702" s="3" t="s">
        <v>73</v>
      </c>
      <c r="C2702" s="3" t="s">
        <v>74</v>
      </c>
      <c r="E2702" s="3" t="str">
        <f>"FES1162843359"</f>
        <v>FES1162843359</v>
      </c>
      <c r="F2702" s="4">
        <v>44565</v>
      </c>
      <c r="G2702" s="3">
        <v>202207</v>
      </c>
      <c r="H2702" s="3" t="s">
        <v>75</v>
      </c>
      <c r="I2702" s="3" t="s">
        <v>76</v>
      </c>
      <c r="J2702" s="3" t="s">
        <v>77</v>
      </c>
      <c r="K2702" s="3" t="s">
        <v>78</v>
      </c>
      <c r="L2702" s="3" t="s">
        <v>799</v>
      </c>
      <c r="M2702" s="3" t="s">
        <v>800</v>
      </c>
      <c r="N2702" s="3" t="s">
        <v>801</v>
      </c>
      <c r="O2702" s="3" t="s">
        <v>82</v>
      </c>
      <c r="P2702" s="3" t="str">
        <f>"2170815514                    "</f>
        <v xml:space="preserve">2170815514                    </v>
      </c>
      <c r="Q2702" s="3">
        <v>0</v>
      </c>
      <c r="R2702" s="3">
        <v>0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  <c r="AE2702" s="3">
        <v>0</v>
      </c>
      <c r="AF2702" s="3">
        <v>0</v>
      </c>
      <c r="AG2702" s="3">
        <v>0</v>
      </c>
      <c r="AH2702" s="3">
        <v>0</v>
      </c>
      <c r="AI2702" s="3">
        <v>0</v>
      </c>
      <c r="AJ2702" s="3">
        <v>0</v>
      </c>
      <c r="AK2702" s="3">
        <v>23.88</v>
      </c>
      <c r="AL2702" s="3">
        <v>0</v>
      </c>
      <c r="AM2702" s="3">
        <v>0</v>
      </c>
      <c r="AN2702" s="3">
        <v>0</v>
      </c>
      <c r="AO2702" s="3">
        <v>0</v>
      </c>
      <c r="AP2702" s="3">
        <v>0</v>
      </c>
      <c r="AQ2702" s="3">
        <v>0</v>
      </c>
      <c r="AR2702" s="3">
        <v>0</v>
      </c>
      <c r="AS2702" s="3">
        <v>0</v>
      </c>
      <c r="AT2702" s="3">
        <v>0</v>
      </c>
      <c r="AU2702" s="3">
        <v>0</v>
      </c>
      <c r="AV2702" s="3">
        <v>0</v>
      </c>
      <c r="AW2702" s="3">
        <v>0</v>
      </c>
      <c r="AX2702" s="3">
        <v>0</v>
      </c>
      <c r="AY2702" s="3">
        <v>0</v>
      </c>
      <c r="AZ2702" s="3">
        <v>0</v>
      </c>
      <c r="BA2702" s="3">
        <v>0</v>
      </c>
      <c r="BB2702" s="3">
        <v>0</v>
      </c>
      <c r="BC2702" s="3">
        <v>0</v>
      </c>
      <c r="BD2702" s="3">
        <v>0</v>
      </c>
      <c r="BE2702" s="3">
        <v>0</v>
      </c>
      <c r="BF2702" s="3">
        <v>0</v>
      </c>
      <c r="BG2702" s="3">
        <v>0</v>
      </c>
      <c r="BH2702" s="3">
        <v>1</v>
      </c>
      <c r="BI2702" s="3">
        <v>2</v>
      </c>
      <c r="BJ2702" s="3">
        <v>1.5</v>
      </c>
      <c r="BK2702" s="3">
        <v>2</v>
      </c>
      <c r="BL2702" s="3">
        <v>85.12</v>
      </c>
      <c r="BM2702" s="3">
        <v>12.77</v>
      </c>
      <c r="BN2702" s="3">
        <v>97.89</v>
      </c>
      <c r="BO2702" s="3">
        <v>97.89</v>
      </c>
      <c r="BQ2702" s="3" t="s">
        <v>89</v>
      </c>
      <c r="BR2702" s="3" t="s">
        <v>308</v>
      </c>
      <c r="BS2702" s="4">
        <v>44566</v>
      </c>
      <c r="BT2702" s="5">
        <v>0.54999999999999993</v>
      </c>
      <c r="BU2702" s="3" t="s">
        <v>1392</v>
      </c>
      <c r="BV2702" s="3" t="s">
        <v>105</v>
      </c>
      <c r="BY2702" s="3">
        <v>7540</v>
      </c>
      <c r="BZ2702" s="3" t="s">
        <v>165</v>
      </c>
      <c r="CA2702" s="3" t="s">
        <v>803</v>
      </c>
      <c r="CC2702" s="3" t="s">
        <v>800</v>
      </c>
      <c r="CD2702" s="3">
        <v>2210</v>
      </c>
      <c r="CE2702" s="3" t="s">
        <v>86</v>
      </c>
      <c r="CF2702" s="4">
        <v>44567</v>
      </c>
      <c r="CI2702" s="3">
        <v>1</v>
      </c>
      <c r="CJ2702" s="3">
        <v>1</v>
      </c>
      <c r="CK2702" s="3">
        <v>24</v>
      </c>
      <c r="CL2702" s="3" t="s">
        <v>87</v>
      </c>
    </row>
    <row r="2703" spans="1:90" x14ac:dyDescent="0.2">
      <c r="A2703" s="3" t="s">
        <v>72</v>
      </c>
      <c r="B2703" s="3" t="s">
        <v>73</v>
      </c>
      <c r="C2703" s="3" t="s">
        <v>74</v>
      </c>
      <c r="E2703" s="3" t="str">
        <f>"FES1162843817"</f>
        <v>FES1162843817</v>
      </c>
      <c r="F2703" s="4">
        <v>44566</v>
      </c>
      <c r="G2703" s="3">
        <v>202207</v>
      </c>
      <c r="H2703" s="3" t="s">
        <v>75</v>
      </c>
      <c r="I2703" s="3" t="s">
        <v>76</v>
      </c>
      <c r="J2703" s="3" t="s">
        <v>77</v>
      </c>
      <c r="K2703" s="3" t="s">
        <v>78</v>
      </c>
      <c r="L2703" s="3" t="s">
        <v>75</v>
      </c>
      <c r="M2703" s="3" t="s">
        <v>76</v>
      </c>
      <c r="N2703" s="3" t="s">
        <v>688</v>
      </c>
      <c r="O2703" s="3" t="s">
        <v>82</v>
      </c>
      <c r="P2703" s="3" t="str">
        <f>"2170815742                    "</f>
        <v xml:space="preserve">2170815742                    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0</v>
      </c>
      <c r="W2703" s="3">
        <v>0</v>
      </c>
      <c r="X2703" s="3">
        <v>0</v>
      </c>
      <c r="Y2703" s="3">
        <v>0</v>
      </c>
      <c r="Z2703" s="3">
        <v>0</v>
      </c>
      <c r="AA2703" s="3">
        <v>0</v>
      </c>
      <c r="AB2703" s="3">
        <v>0</v>
      </c>
      <c r="AC2703" s="3">
        <v>0</v>
      </c>
      <c r="AD2703" s="3">
        <v>0</v>
      </c>
      <c r="AE2703" s="3">
        <v>0</v>
      </c>
      <c r="AF2703" s="3">
        <v>0</v>
      </c>
      <c r="AG2703" s="3">
        <v>0</v>
      </c>
      <c r="AH2703" s="3">
        <v>0</v>
      </c>
      <c r="AI2703" s="3">
        <v>0</v>
      </c>
      <c r="AJ2703" s="3">
        <v>0</v>
      </c>
      <c r="AK2703" s="3">
        <v>12.07</v>
      </c>
      <c r="AL2703" s="3">
        <v>0</v>
      </c>
      <c r="AM2703" s="3">
        <v>0</v>
      </c>
      <c r="AN2703" s="3">
        <v>0</v>
      </c>
      <c r="AO2703" s="3">
        <v>0</v>
      </c>
      <c r="AP2703" s="3">
        <v>0</v>
      </c>
      <c r="AQ2703" s="3">
        <v>0</v>
      </c>
      <c r="AR2703" s="3">
        <v>0</v>
      </c>
      <c r="AS2703" s="3">
        <v>0</v>
      </c>
      <c r="AT2703" s="3">
        <v>0</v>
      </c>
      <c r="AU2703" s="3">
        <v>0</v>
      </c>
      <c r="AV2703" s="3">
        <v>0</v>
      </c>
      <c r="AW2703" s="3">
        <v>0</v>
      </c>
      <c r="AX2703" s="3">
        <v>0</v>
      </c>
      <c r="AY2703" s="3">
        <v>0</v>
      </c>
      <c r="AZ2703" s="3">
        <v>0</v>
      </c>
      <c r="BA2703" s="3">
        <v>0</v>
      </c>
      <c r="BB2703" s="3">
        <v>0</v>
      </c>
      <c r="BC2703" s="3">
        <v>0</v>
      </c>
      <c r="BD2703" s="3">
        <v>0</v>
      </c>
      <c r="BE2703" s="3">
        <v>0</v>
      </c>
      <c r="BF2703" s="3">
        <v>0</v>
      </c>
      <c r="BG2703" s="3">
        <v>0</v>
      </c>
      <c r="BH2703" s="3">
        <v>1</v>
      </c>
      <c r="BI2703" s="3">
        <v>1</v>
      </c>
      <c r="BJ2703" s="3">
        <v>0.2</v>
      </c>
      <c r="BK2703" s="3">
        <v>1</v>
      </c>
      <c r="BL2703" s="3">
        <v>46.08</v>
      </c>
      <c r="BM2703" s="3">
        <v>6.91</v>
      </c>
      <c r="BN2703" s="3">
        <v>52.99</v>
      </c>
      <c r="BO2703" s="3">
        <v>52.99</v>
      </c>
      <c r="BQ2703" s="3" t="s">
        <v>83</v>
      </c>
      <c r="BR2703" s="3" t="s">
        <v>364</v>
      </c>
      <c r="BS2703" s="4">
        <v>44567</v>
      </c>
      <c r="BT2703" s="5">
        <v>0.39999999999999997</v>
      </c>
      <c r="BU2703" s="3" t="s">
        <v>527</v>
      </c>
      <c r="BV2703" s="3" t="s">
        <v>105</v>
      </c>
      <c r="BY2703" s="3">
        <v>1200</v>
      </c>
      <c r="BZ2703" s="3" t="s">
        <v>165</v>
      </c>
      <c r="CA2703" s="3" t="s">
        <v>227</v>
      </c>
      <c r="CC2703" s="3" t="s">
        <v>76</v>
      </c>
      <c r="CD2703" s="3">
        <v>1620</v>
      </c>
      <c r="CE2703" s="3" t="s">
        <v>93</v>
      </c>
      <c r="CF2703" s="4">
        <v>44567</v>
      </c>
      <c r="CI2703" s="3">
        <v>1</v>
      </c>
      <c r="CJ2703" s="3">
        <v>1</v>
      </c>
      <c r="CK2703" s="3">
        <v>22</v>
      </c>
      <c r="CL2703" s="3" t="s">
        <v>87</v>
      </c>
    </row>
    <row r="2704" spans="1:90" x14ac:dyDescent="0.2">
      <c r="A2704" s="3" t="s">
        <v>72</v>
      </c>
      <c r="B2704" s="3" t="s">
        <v>73</v>
      </c>
      <c r="C2704" s="3" t="s">
        <v>74</v>
      </c>
      <c r="E2704" s="3" t="str">
        <f>"FES1162843451"</f>
        <v>FES1162843451</v>
      </c>
      <c r="F2704" s="4">
        <v>44565</v>
      </c>
      <c r="G2704" s="3">
        <v>202207</v>
      </c>
      <c r="H2704" s="3" t="s">
        <v>75</v>
      </c>
      <c r="I2704" s="3" t="s">
        <v>76</v>
      </c>
      <c r="J2704" s="3" t="s">
        <v>77</v>
      </c>
      <c r="K2704" s="3" t="s">
        <v>78</v>
      </c>
      <c r="L2704" s="3" t="s">
        <v>171</v>
      </c>
      <c r="M2704" s="3" t="s">
        <v>172</v>
      </c>
      <c r="N2704" s="3" t="s">
        <v>539</v>
      </c>
      <c r="O2704" s="3" t="s">
        <v>82</v>
      </c>
      <c r="P2704" s="3" t="str">
        <f>"2170813799                    "</f>
        <v xml:space="preserve">2170813799                    </v>
      </c>
      <c r="Q2704" s="3">
        <v>0</v>
      </c>
      <c r="R2704" s="3">
        <v>0</v>
      </c>
      <c r="S2704" s="3">
        <v>0</v>
      </c>
      <c r="T2704" s="3">
        <v>0</v>
      </c>
      <c r="U2704" s="3">
        <v>0</v>
      </c>
      <c r="V2704" s="3">
        <v>0</v>
      </c>
      <c r="W2704" s="3">
        <v>0</v>
      </c>
      <c r="X2704" s="3">
        <v>0</v>
      </c>
      <c r="Y2704" s="3">
        <v>0</v>
      </c>
      <c r="Z2704" s="3">
        <v>0</v>
      </c>
      <c r="AA2704" s="3">
        <v>0</v>
      </c>
      <c r="AB2704" s="3">
        <v>0</v>
      </c>
      <c r="AC2704" s="3">
        <v>0</v>
      </c>
      <c r="AD2704" s="3">
        <v>0</v>
      </c>
      <c r="AE2704" s="3">
        <v>0</v>
      </c>
      <c r="AF2704" s="3">
        <v>0</v>
      </c>
      <c r="AG2704" s="3">
        <v>0</v>
      </c>
      <c r="AH2704" s="3">
        <v>0</v>
      </c>
      <c r="AI2704" s="3">
        <v>0</v>
      </c>
      <c r="AJ2704" s="3">
        <v>0</v>
      </c>
      <c r="AK2704" s="3">
        <v>16.98</v>
      </c>
      <c r="AL2704" s="3">
        <v>0</v>
      </c>
      <c r="AM2704" s="3">
        <v>0</v>
      </c>
      <c r="AN2704" s="3">
        <v>0</v>
      </c>
      <c r="AO2704" s="3">
        <v>0</v>
      </c>
      <c r="AP2704" s="3">
        <v>0</v>
      </c>
      <c r="AQ2704" s="3">
        <v>0</v>
      </c>
      <c r="AR2704" s="3">
        <v>0</v>
      </c>
      <c r="AS2704" s="3">
        <v>0</v>
      </c>
      <c r="AT2704" s="3">
        <v>0</v>
      </c>
      <c r="AU2704" s="3">
        <v>0</v>
      </c>
      <c r="AV2704" s="3">
        <v>0</v>
      </c>
      <c r="AW2704" s="3">
        <v>0</v>
      </c>
      <c r="AX2704" s="3">
        <v>0</v>
      </c>
      <c r="AY2704" s="3">
        <v>0</v>
      </c>
      <c r="AZ2704" s="3">
        <v>0</v>
      </c>
      <c r="BA2704" s="3">
        <v>0</v>
      </c>
      <c r="BB2704" s="3">
        <v>0</v>
      </c>
      <c r="BC2704" s="3">
        <v>0</v>
      </c>
      <c r="BD2704" s="3">
        <v>0</v>
      </c>
      <c r="BE2704" s="3">
        <v>0</v>
      </c>
      <c r="BF2704" s="3">
        <v>0</v>
      </c>
      <c r="BG2704" s="3">
        <v>0</v>
      </c>
      <c r="BH2704" s="3">
        <v>1</v>
      </c>
      <c r="BI2704" s="3">
        <v>1</v>
      </c>
      <c r="BJ2704" s="3">
        <v>0.2</v>
      </c>
      <c r="BK2704" s="3">
        <v>1</v>
      </c>
      <c r="BL2704" s="3">
        <v>60.52</v>
      </c>
      <c r="BM2704" s="3">
        <v>9.08</v>
      </c>
      <c r="BN2704" s="3">
        <v>69.599999999999994</v>
      </c>
      <c r="BO2704" s="3">
        <v>69.599999999999994</v>
      </c>
      <c r="BQ2704" s="3" t="s">
        <v>83</v>
      </c>
      <c r="BR2704" s="3" t="s">
        <v>308</v>
      </c>
      <c r="BS2704" s="4">
        <v>44566</v>
      </c>
      <c r="BT2704" s="5">
        <v>0.55763888888888891</v>
      </c>
      <c r="BU2704" s="3" t="s">
        <v>2591</v>
      </c>
      <c r="BV2704" s="3" t="s">
        <v>87</v>
      </c>
      <c r="BW2704" s="3" t="s">
        <v>457</v>
      </c>
      <c r="BX2704" s="3" t="s">
        <v>2558</v>
      </c>
      <c r="BY2704" s="3">
        <v>1200</v>
      </c>
      <c r="BZ2704" s="3" t="s">
        <v>165</v>
      </c>
      <c r="CA2704" s="3" t="s">
        <v>263</v>
      </c>
      <c r="CC2704" s="3" t="s">
        <v>172</v>
      </c>
      <c r="CD2704" s="3">
        <v>6012</v>
      </c>
      <c r="CE2704" s="3" t="s">
        <v>93</v>
      </c>
      <c r="CF2704" s="4">
        <v>44566</v>
      </c>
      <c r="CI2704" s="3">
        <v>1</v>
      </c>
      <c r="CJ2704" s="3">
        <v>1</v>
      </c>
      <c r="CK2704" s="3">
        <v>21</v>
      </c>
      <c r="CL2704" s="3" t="s">
        <v>87</v>
      </c>
    </row>
    <row r="2705" spans="1:90" x14ac:dyDescent="0.2">
      <c r="A2705" s="3" t="s">
        <v>72</v>
      </c>
      <c r="B2705" s="3" t="s">
        <v>73</v>
      </c>
      <c r="C2705" s="3" t="s">
        <v>74</v>
      </c>
      <c r="E2705" s="3" t="str">
        <f>"FES1162843521"</f>
        <v>FES1162843521</v>
      </c>
      <c r="F2705" s="4">
        <v>44565</v>
      </c>
      <c r="G2705" s="3">
        <v>202207</v>
      </c>
      <c r="H2705" s="3" t="s">
        <v>75</v>
      </c>
      <c r="I2705" s="3" t="s">
        <v>76</v>
      </c>
      <c r="J2705" s="3" t="s">
        <v>77</v>
      </c>
      <c r="K2705" s="3" t="s">
        <v>78</v>
      </c>
      <c r="L2705" s="3" t="s">
        <v>97</v>
      </c>
      <c r="M2705" s="3" t="s">
        <v>98</v>
      </c>
      <c r="N2705" s="3" t="s">
        <v>2592</v>
      </c>
      <c r="O2705" s="3" t="s">
        <v>82</v>
      </c>
      <c r="P2705" s="3" t="str">
        <f>"2170812611                    "</f>
        <v xml:space="preserve">2170812611                    </v>
      </c>
      <c r="Q2705" s="3">
        <v>0</v>
      </c>
      <c r="R2705" s="3">
        <v>0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  <c r="AE2705" s="3">
        <v>0</v>
      </c>
      <c r="AF2705" s="3">
        <v>0</v>
      </c>
      <c r="AG2705" s="3">
        <v>0</v>
      </c>
      <c r="AH2705" s="3">
        <v>0</v>
      </c>
      <c r="AI2705" s="3">
        <v>0</v>
      </c>
      <c r="AJ2705" s="3">
        <v>0</v>
      </c>
      <c r="AK2705" s="3">
        <v>13.26</v>
      </c>
      <c r="AL2705" s="3">
        <v>0</v>
      </c>
      <c r="AM2705" s="3">
        <v>0</v>
      </c>
      <c r="AN2705" s="3">
        <v>0</v>
      </c>
      <c r="AO2705" s="3">
        <v>0</v>
      </c>
      <c r="AP2705" s="3">
        <v>0</v>
      </c>
      <c r="AQ2705" s="3">
        <v>0</v>
      </c>
      <c r="AR2705" s="3">
        <v>0</v>
      </c>
      <c r="AS2705" s="3">
        <v>0</v>
      </c>
      <c r="AT2705" s="3">
        <v>0</v>
      </c>
      <c r="AU2705" s="3">
        <v>0</v>
      </c>
      <c r="AV2705" s="3">
        <v>0</v>
      </c>
      <c r="AW2705" s="3">
        <v>0</v>
      </c>
      <c r="AX2705" s="3">
        <v>0</v>
      </c>
      <c r="AY2705" s="3">
        <v>0</v>
      </c>
      <c r="AZ2705" s="3">
        <v>0</v>
      </c>
      <c r="BA2705" s="3">
        <v>0</v>
      </c>
      <c r="BB2705" s="3">
        <v>0</v>
      </c>
      <c r="BC2705" s="3">
        <v>0</v>
      </c>
      <c r="BD2705" s="3">
        <v>0</v>
      </c>
      <c r="BE2705" s="3">
        <v>0</v>
      </c>
      <c r="BF2705" s="3">
        <v>0</v>
      </c>
      <c r="BG2705" s="3">
        <v>0</v>
      </c>
      <c r="BH2705" s="3">
        <v>1</v>
      </c>
      <c r="BI2705" s="3">
        <v>1</v>
      </c>
      <c r="BJ2705" s="3">
        <v>0.2</v>
      </c>
      <c r="BK2705" s="3">
        <v>1</v>
      </c>
      <c r="BL2705" s="3">
        <v>47.27</v>
      </c>
      <c r="BM2705" s="3">
        <v>7.09</v>
      </c>
      <c r="BN2705" s="3">
        <v>54.36</v>
      </c>
      <c r="BO2705" s="3">
        <v>54.36</v>
      </c>
      <c r="BQ2705" s="3" t="s">
        <v>2593</v>
      </c>
      <c r="BR2705" s="3" t="s">
        <v>308</v>
      </c>
      <c r="BS2705" s="4">
        <v>44571</v>
      </c>
      <c r="BT2705" s="5">
        <v>0.34930555555555554</v>
      </c>
      <c r="BU2705" s="3" t="s">
        <v>2594</v>
      </c>
      <c r="BV2705" s="3" t="s">
        <v>87</v>
      </c>
      <c r="BW2705" s="3" t="s">
        <v>278</v>
      </c>
      <c r="BX2705" s="3" t="s">
        <v>723</v>
      </c>
      <c r="BY2705" s="3">
        <v>1200</v>
      </c>
      <c r="BZ2705" s="3" t="s">
        <v>165</v>
      </c>
      <c r="CA2705" s="3" t="s">
        <v>1293</v>
      </c>
      <c r="CC2705" s="3" t="s">
        <v>98</v>
      </c>
      <c r="CD2705" s="3">
        <v>2157</v>
      </c>
      <c r="CE2705" s="3" t="s">
        <v>93</v>
      </c>
      <c r="CF2705" s="4">
        <v>44572</v>
      </c>
      <c r="CI2705" s="3">
        <v>1</v>
      </c>
      <c r="CJ2705" s="3">
        <v>4</v>
      </c>
      <c r="CK2705" s="3">
        <v>22</v>
      </c>
      <c r="CL2705" s="3" t="s">
        <v>87</v>
      </c>
    </row>
    <row r="2706" spans="1:90" x14ac:dyDescent="0.2">
      <c r="A2706" s="3" t="s">
        <v>72</v>
      </c>
      <c r="B2706" s="3" t="s">
        <v>73</v>
      </c>
      <c r="C2706" s="3" t="s">
        <v>74</v>
      </c>
      <c r="E2706" s="3" t="str">
        <f>"FES1162843770"</f>
        <v>FES1162843770</v>
      </c>
      <c r="F2706" s="4">
        <v>44566</v>
      </c>
      <c r="G2706" s="3">
        <v>202207</v>
      </c>
      <c r="H2706" s="3" t="s">
        <v>75</v>
      </c>
      <c r="I2706" s="3" t="s">
        <v>76</v>
      </c>
      <c r="J2706" s="3" t="s">
        <v>77</v>
      </c>
      <c r="K2706" s="3" t="s">
        <v>78</v>
      </c>
      <c r="L2706" s="3" t="s">
        <v>162</v>
      </c>
      <c r="M2706" s="3" t="s">
        <v>163</v>
      </c>
      <c r="N2706" s="3" t="s">
        <v>2595</v>
      </c>
      <c r="O2706" s="3" t="s">
        <v>82</v>
      </c>
      <c r="P2706" s="3" t="str">
        <f>"2170814970                    "</f>
        <v xml:space="preserve">2170814970                    </v>
      </c>
      <c r="Q2706" s="3">
        <v>0</v>
      </c>
      <c r="R2706" s="3">
        <v>0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  <c r="AE2706" s="3">
        <v>0</v>
      </c>
      <c r="AF2706" s="3">
        <v>0</v>
      </c>
      <c r="AG2706" s="3">
        <v>0</v>
      </c>
      <c r="AH2706" s="3">
        <v>0</v>
      </c>
      <c r="AI2706" s="3">
        <v>0</v>
      </c>
      <c r="AJ2706" s="3">
        <v>0</v>
      </c>
      <c r="AK2706" s="3">
        <v>12.07</v>
      </c>
      <c r="AL2706" s="3">
        <v>0</v>
      </c>
      <c r="AM2706" s="3">
        <v>0</v>
      </c>
      <c r="AN2706" s="3">
        <v>0</v>
      </c>
      <c r="AO2706" s="3">
        <v>0</v>
      </c>
      <c r="AP2706" s="3">
        <v>0</v>
      </c>
      <c r="AQ2706" s="3">
        <v>0</v>
      </c>
      <c r="AR2706" s="3">
        <v>0</v>
      </c>
      <c r="AS2706" s="3">
        <v>0</v>
      </c>
      <c r="AT2706" s="3">
        <v>0</v>
      </c>
      <c r="AU2706" s="3">
        <v>0</v>
      </c>
      <c r="AV2706" s="3">
        <v>0</v>
      </c>
      <c r="AW2706" s="3">
        <v>0</v>
      </c>
      <c r="AX2706" s="3">
        <v>0</v>
      </c>
      <c r="AY2706" s="3">
        <v>0</v>
      </c>
      <c r="AZ2706" s="3">
        <v>0</v>
      </c>
      <c r="BA2706" s="3">
        <v>0</v>
      </c>
      <c r="BB2706" s="3">
        <v>0</v>
      </c>
      <c r="BC2706" s="3">
        <v>0</v>
      </c>
      <c r="BD2706" s="3">
        <v>0</v>
      </c>
      <c r="BE2706" s="3">
        <v>0</v>
      </c>
      <c r="BF2706" s="3">
        <v>0</v>
      </c>
      <c r="BG2706" s="3">
        <v>0</v>
      </c>
      <c r="BH2706" s="3">
        <v>1</v>
      </c>
      <c r="BI2706" s="3">
        <v>1</v>
      </c>
      <c r="BJ2706" s="3">
        <v>0.2</v>
      </c>
      <c r="BK2706" s="3">
        <v>1</v>
      </c>
      <c r="BL2706" s="3">
        <v>46.08</v>
      </c>
      <c r="BM2706" s="3">
        <v>6.91</v>
      </c>
      <c r="BN2706" s="3">
        <v>52.99</v>
      </c>
      <c r="BO2706" s="3">
        <v>52.99</v>
      </c>
      <c r="BQ2706" s="3" t="s">
        <v>83</v>
      </c>
      <c r="BR2706" s="3" t="s">
        <v>364</v>
      </c>
      <c r="BS2706" s="4">
        <v>44567</v>
      </c>
      <c r="BT2706" s="5">
        <v>0.45624999999999999</v>
      </c>
      <c r="BU2706" s="3" t="s">
        <v>2596</v>
      </c>
      <c r="BV2706" s="3" t="s">
        <v>87</v>
      </c>
      <c r="BW2706" s="3" t="s">
        <v>353</v>
      </c>
      <c r="BX2706" s="3" t="s">
        <v>618</v>
      </c>
      <c r="BY2706" s="3">
        <v>1200</v>
      </c>
      <c r="BZ2706" s="3" t="s">
        <v>165</v>
      </c>
      <c r="CA2706" s="3" t="s">
        <v>2597</v>
      </c>
      <c r="CC2706" s="3" t="s">
        <v>163</v>
      </c>
      <c r="CD2706" s="3">
        <v>1400</v>
      </c>
      <c r="CE2706" s="3" t="s">
        <v>93</v>
      </c>
      <c r="CF2706" s="4">
        <v>44567</v>
      </c>
      <c r="CI2706" s="3">
        <v>1</v>
      </c>
      <c r="CJ2706" s="3">
        <v>1</v>
      </c>
      <c r="CK2706" s="3">
        <v>22</v>
      </c>
      <c r="CL2706" s="3" t="s">
        <v>87</v>
      </c>
    </row>
    <row r="2707" spans="1:90" x14ac:dyDescent="0.2">
      <c r="A2707" s="3" t="s">
        <v>72</v>
      </c>
      <c r="B2707" s="3" t="s">
        <v>73</v>
      </c>
      <c r="C2707" s="3" t="s">
        <v>74</v>
      </c>
      <c r="E2707" s="3" t="str">
        <f>"FES1162843090"</f>
        <v>FES1162843090</v>
      </c>
      <c r="F2707" s="4">
        <v>44564</v>
      </c>
      <c r="G2707" s="3">
        <v>202207</v>
      </c>
      <c r="H2707" s="3" t="s">
        <v>75</v>
      </c>
      <c r="I2707" s="3" t="s">
        <v>76</v>
      </c>
      <c r="J2707" s="3" t="s">
        <v>77</v>
      </c>
      <c r="K2707" s="3" t="s">
        <v>78</v>
      </c>
      <c r="L2707" s="3" t="s">
        <v>176</v>
      </c>
      <c r="M2707" s="3" t="s">
        <v>177</v>
      </c>
      <c r="N2707" s="3" t="s">
        <v>178</v>
      </c>
      <c r="O2707" s="3" t="s">
        <v>82</v>
      </c>
      <c r="P2707" s="3" t="str">
        <f>"2170815467                    "</f>
        <v xml:space="preserve">2170815467                    </v>
      </c>
      <c r="Q2707" s="3">
        <v>0</v>
      </c>
      <c r="R2707" s="3">
        <v>0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  <c r="AE2707" s="3">
        <v>0</v>
      </c>
      <c r="AF2707" s="3">
        <v>0</v>
      </c>
      <c r="AG2707" s="3">
        <v>0</v>
      </c>
      <c r="AH2707" s="3">
        <v>0</v>
      </c>
      <c r="AI2707" s="3">
        <v>0</v>
      </c>
      <c r="AJ2707" s="3">
        <v>0</v>
      </c>
      <c r="AK2707" s="3">
        <v>16.98</v>
      </c>
      <c r="AL2707" s="3">
        <v>0</v>
      </c>
      <c r="AM2707" s="3">
        <v>0</v>
      </c>
      <c r="AN2707" s="3">
        <v>0</v>
      </c>
      <c r="AO2707" s="3">
        <v>0</v>
      </c>
      <c r="AP2707" s="3">
        <v>0</v>
      </c>
      <c r="AQ2707" s="3">
        <v>0</v>
      </c>
      <c r="AR2707" s="3">
        <v>0</v>
      </c>
      <c r="AS2707" s="3">
        <v>0</v>
      </c>
      <c r="AT2707" s="3">
        <v>0</v>
      </c>
      <c r="AU2707" s="3">
        <v>0</v>
      </c>
      <c r="AV2707" s="3">
        <v>0</v>
      </c>
      <c r="AW2707" s="3">
        <v>0</v>
      </c>
      <c r="AX2707" s="3">
        <v>0</v>
      </c>
      <c r="AY2707" s="3">
        <v>0</v>
      </c>
      <c r="AZ2707" s="3">
        <v>0</v>
      </c>
      <c r="BA2707" s="3">
        <v>0</v>
      </c>
      <c r="BB2707" s="3">
        <v>0</v>
      </c>
      <c r="BC2707" s="3">
        <v>0</v>
      </c>
      <c r="BD2707" s="3">
        <v>0</v>
      </c>
      <c r="BE2707" s="3">
        <v>0</v>
      </c>
      <c r="BF2707" s="3">
        <v>0</v>
      </c>
      <c r="BG2707" s="3">
        <v>0</v>
      </c>
      <c r="BH2707" s="3">
        <v>1</v>
      </c>
      <c r="BI2707" s="3">
        <v>1</v>
      </c>
      <c r="BJ2707" s="3">
        <v>0.2</v>
      </c>
      <c r="BK2707" s="3">
        <v>1</v>
      </c>
      <c r="BL2707" s="3">
        <v>60.52</v>
      </c>
      <c r="BM2707" s="3">
        <v>9.08</v>
      </c>
      <c r="BN2707" s="3">
        <v>69.599999999999994</v>
      </c>
      <c r="BO2707" s="3">
        <v>69.599999999999994</v>
      </c>
      <c r="BQ2707" s="3" t="s">
        <v>83</v>
      </c>
      <c r="BR2707" s="3" t="s">
        <v>308</v>
      </c>
      <c r="BS2707" s="4">
        <v>44565</v>
      </c>
      <c r="BT2707" s="5">
        <v>0.43611111111111112</v>
      </c>
      <c r="BU2707" s="3" t="s">
        <v>614</v>
      </c>
      <c r="BV2707" s="3" t="s">
        <v>105</v>
      </c>
      <c r="BY2707" s="3">
        <v>1200</v>
      </c>
      <c r="BZ2707" s="3" t="s">
        <v>165</v>
      </c>
      <c r="CA2707" s="3" t="s">
        <v>615</v>
      </c>
      <c r="CC2707" s="3" t="s">
        <v>177</v>
      </c>
      <c r="CD2707" s="3">
        <v>4026</v>
      </c>
      <c r="CE2707" s="3" t="s">
        <v>93</v>
      </c>
      <c r="CF2707" s="4">
        <v>44565</v>
      </c>
      <c r="CI2707" s="3">
        <v>1</v>
      </c>
      <c r="CJ2707" s="3">
        <v>1</v>
      </c>
      <c r="CK2707" s="3">
        <v>21</v>
      </c>
      <c r="CL2707" s="3" t="s">
        <v>87</v>
      </c>
    </row>
    <row r="2708" spans="1:90" x14ac:dyDescent="0.2">
      <c r="A2708" s="3" t="s">
        <v>72</v>
      </c>
      <c r="B2708" s="3" t="s">
        <v>73</v>
      </c>
      <c r="C2708" s="3" t="s">
        <v>74</v>
      </c>
      <c r="E2708" s="3" t="str">
        <f>"FES116284366"</f>
        <v>FES116284366</v>
      </c>
      <c r="F2708" s="4">
        <v>44566</v>
      </c>
      <c r="G2708" s="3">
        <v>202207</v>
      </c>
      <c r="H2708" s="3" t="s">
        <v>75</v>
      </c>
      <c r="I2708" s="3" t="s">
        <v>76</v>
      </c>
      <c r="J2708" s="3" t="s">
        <v>77</v>
      </c>
      <c r="K2708" s="3" t="s">
        <v>78</v>
      </c>
      <c r="L2708" s="3" t="s">
        <v>101</v>
      </c>
      <c r="M2708" s="3" t="s">
        <v>102</v>
      </c>
      <c r="N2708" s="3" t="s">
        <v>135</v>
      </c>
      <c r="O2708" s="3" t="s">
        <v>82</v>
      </c>
      <c r="P2708" s="3" t="str">
        <f>"2170814046                    "</f>
        <v xml:space="preserve">2170814046                    </v>
      </c>
      <c r="Q2708" s="3">
        <v>0</v>
      </c>
      <c r="R2708" s="3">
        <v>0</v>
      </c>
      <c r="S2708" s="3">
        <v>0</v>
      </c>
      <c r="T2708" s="3">
        <v>0</v>
      </c>
      <c r="U2708" s="3">
        <v>0</v>
      </c>
      <c r="V2708" s="3">
        <v>0</v>
      </c>
      <c r="W2708" s="3">
        <v>0</v>
      </c>
      <c r="X2708" s="3">
        <v>0</v>
      </c>
      <c r="Y2708" s="3">
        <v>0</v>
      </c>
      <c r="Z2708" s="3">
        <v>0</v>
      </c>
      <c r="AA2708" s="3">
        <v>0</v>
      </c>
      <c r="AB2708" s="3">
        <v>0</v>
      </c>
      <c r="AC2708" s="3">
        <v>0</v>
      </c>
      <c r="AD2708" s="3">
        <v>0</v>
      </c>
      <c r="AE2708" s="3">
        <v>0</v>
      </c>
      <c r="AF2708" s="3">
        <v>0</v>
      </c>
      <c r="AG2708" s="3">
        <v>0</v>
      </c>
      <c r="AH2708" s="3">
        <v>0</v>
      </c>
      <c r="AI2708" s="3">
        <v>0</v>
      </c>
      <c r="AJ2708" s="3">
        <v>0</v>
      </c>
      <c r="AK2708" s="3">
        <v>15.46</v>
      </c>
      <c r="AL2708" s="3">
        <v>0</v>
      </c>
      <c r="AM2708" s="3">
        <v>0</v>
      </c>
      <c r="AN2708" s="3">
        <v>0</v>
      </c>
      <c r="AO2708" s="3">
        <v>0</v>
      </c>
      <c r="AP2708" s="3">
        <v>0</v>
      </c>
      <c r="AQ2708" s="3">
        <v>0</v>
      </c>
      <c r="AR2708" s="3">
        <v>0</v>
      </c>
      <c r="AS2708" s="3">
        <v>0</v>
      </c>
      <c r="AT2708" s="3">
        <v>0</v>
      </c>
      <c r="AU2708" s="3">
        <v>0</v>
      </c>
      <c r="AV2708" s="3">
        <v>0</v>
      </c>
      <c r="AW2708" s="3">
        <v>0</v>
      </c>
      <c r="AX2708" s="3">
        <v>0</v>
      </c>
      <c r="AY2708" s="3">
        <v>0</v>
      </c>
      <c r="AZ2708" s="3">
        <v>0</v>
      </c>
      <c r="BA2708" s="3">
        <v>0</v>
      </c>
      <c r="BB2708" s="3">
        <v>0</v>
      </c>
      <c r="BC2708" s="3">
        <v>0</v>
      </c>
      <c r="BD2708" s="3">
        <v>0</v>
      </c>
      <c r="BE2708" s="3">
        <v>0</v>
      </c>
      <c r="BF2708" s="3">
        <v>0</v>
      </c>
      <c r="BG2708" s="3">
        <v>0</v>
      </c>
      <c r="BH2708" s="3">
        <v>1</v>
      </c>
      <c r="BI2708" s="3">
        <v>1</v>
      </c>
      <c r="BJ2708" s="3">
        <v>0.2</v>
      </c>
      <c r="BK2708" s="3">
        <v>1</v>
      </c>
      <c r="BL2708" s="3">
        <v>59</v>
      </c>
      <c r="BM2708" s="3">
        <v>8.85</v>
      </c>
      <c r="BN2708" s="3">
        <v>67.849999999999994</v>
      </c>
      <c r="BO2708" s="3">
        <v>67.849999999999994</v>
      </c>
      <c r="BQ2708" s="3" t="s">
        <v>89</v>
      </c>
      <c r="BR2708" s="3" t="s">
        <v>364</v>
      </c>
      <c r="BS2708" s="4">
        <v>44567</v>
      </c>
      <c r="BT2708" s="5">
        <v>0.3833333333333333</v>
      </c>
      <c r="BU2708" s="3" t="s">
        <v>2598</v>
      </c>
      <c r="BV2708" s="3" t="s">
        <v>105</v>
      </c>
      <c r="BY2708" s="3">
        <v>1200</v>
      </c>
      <c r="BZ2708" s="3" t="s">
        <v>165</v>
      </c>
      <c r="CA2708" s="3" t="s">
        <v>615</v>
      </c>
      <c r="CC2708" s="3" t="s">
        <v>102</v>
      </c>
      <c r="CD2708" s="3">
        <v>4052</v>
      </c>
      <c r="CE2708" s="3" t="s">
        <v>93</v>
      </c>
      <c r="CF2708" s="4">
        <v>44567</v>
      </c>
      <c r="CI2708" s="3">
        <v>1</v>
      </c>
      <c r="CJ2708" s="3">
        <v>1</v>
      </c>
      <c r="CK2708" s="3">
        <v>21</v>
      </c>
      <c r="CL2708" s="3" t="s">
        <v>87</v>
      </c>
    </row>
    <row r="2709" spans="1:90" x14ac:dyDescent="0.2">
      <c r="A2709" s="3" t="s">
        <v>72</v>
      </c>
      <c r="B2709" s="3" t="s">
        <v>73</v>
      </c>
      <c r="C2709" s="3" t="s">
        <v>74</v>
      </c>
      <c r="E2709" s="3" t="str">
        <f>"FES1162843466"</f>
        <v>FES1162843466</v>
      </c>
      <c r="F2709" s="4">
        <v>44565</v>
      </c>
      <c r="G2709" s="3">
        <v>202207</v>
      </c>
      <c r="H2709" s="3" t="s">
        <v>75</v>
      </c>
      <c r="I2709" s="3" t="s">
        <v>76</v>
      </c>
      <c r="J2709" s="3" t="s">
        <v>77</v>
      </c>
      <c r="K2709" s="3" t="s">
        <v>78</v>
      </c>
      <c r="L2709" s="3" t="s">
        <v>97</v>
      </c>
      <c r="M2709" s="3" t="s">
        <v>98</v>
      </c>
      <c r="N2709" s="3" t="s">
        <v>2599</v>
      </c>
      <c r="O2709" s="3" t="s">
        <v>82</v>
      </c>
      <c r="P2709" s="3" t="str">
        <f>"217813985                     "</f>
        <v xml:space="preserve">217813985                     </v>
      </c>
      <c r="Q2709" s="3">
        <v>0</v>
      </c>
      <c r="R2709" s="3">
        <v>0</v>
      </c>
      <c r="S2709" s="3">
        <v>0</v>
      </c>
      <c r="T2709" s="3">
        <v>0</v>
      </c>
      <c r="U2709" s="3">
        <v>0</v>
      </c>
      <c r="V2709" s="3">
        <v>0</v>
      </c>
      <c r="W2709" s="3">
        <v>0</v>
      </c>
      <c r="X2709" s="3">
        <v>0</v>
      </c>
      <c r="Y2709" s="3">
        <v>0</v>
      </c>
      <c r="Z2709" s="3">
        <v>0</v>
      </c>
      <c r="AA2709" s="3">
        <v>0</v>
      </c>
      <c r="AB2709" s="3">
        <v>0</v>
      </c>
      <c r="AC2709" s="3">
        <v>0</v>
      </c>
      <c r="AD2709" s="3">
        <v>0</v>
      </c>
      <c r="AE2709" s="3">
        <v>0</v>
      </c>
      <c r="AF2709" s="3">
        <v>0</v>
      </c>
      <c r="AG2709" s="3">
        <v>0</v>
      </c>
      <c r="AH2709" s="3">
        <v>0</v>
      </c>
      <c r="AI2709" s="3">
        <v>0</v>
      </c>
      <c r="AJ2709" s="3">
        <v>0</v>
      </c>
      <c r="AK2709" s="3">
        <v>13.26</v>
      </c>
      <c r="AL2709" s="3">
        <v>0</v>
      </c>
      <c r="AM2709" s="3">
        <v>0</v>
      </c>
      <c r="AN2709" s="3">
        <v>0</v>
      </c>
      <c r="AO2709" s="3">
        <v>0</v>
      </c>
      <c r="AP2709" s="3">
        <v>0</v>
      </c>
      <c r="AQ2709" s="3">
        <v>0</v>
      </c>
      <c r="AR2709" s="3">
        <v>0</v>
      </c>
      <c r="AS2709" s="3">
        <v>0</v>
      </c>
      <c r="AT2709" s="3">
        <v>0</v>
      </c>
      <c r="AU2709" s="3">
        <v>0</v>
      </c>
      <c r="AV2709" s="3">
        <v>0</v>
      </c>
      <c r="AW2709" s="3">
        <v>0</v>
      </c>
      <c r="AX2709" s="3">
        <v>0</v>
      </c>
      <c r="AY2709" s="3">
        <v>0</v>
      </c>
      <c r="AZ2709" s="3">
        <v>0</v>
      </c>
      <c r="BA2709" s="3">
        <v>0</v>
      </c>
      <c r="BB2709" s="3">
        <v>0</v>
      </c>
      <c r="BC2709" s="3">
        <v>0</v>
      </c>
      <c r="BD2709" s="3">
        <v>0</v>
      </c>
      <c r="BE2709" s="3">
        <v>0</v>
      </c>
      <c r="BF2709" s="3">
        <v>0</v>
      </c>
      <c r="BG2709" s="3">
        <v>0</v>
      </c>
      <c r="BH2709" s="3">
        <v>1</v>
      </c>
      <c r="BI2709" s="3">
        <v>1</v>
      </c>
      <c r="BJ2709" s="3">
        <v>0.2</v>
      </c>
      <c r="BK2709" s="3">
        <v>1</v>
      </c>
      <c r="BL2709" s="3">
        <v>47.27</v>
      </c>
      <c r="BM2709" s="3">
        <v>7.09</v>
      </c>
      <c r="BN2709" s="3">
        <v>54.36</v>
      </c>
      <c r="BO2709" s="3">
        <v>54.36</v>
      </c>
      <c r="BR2709" s="3" t="s">
        <v>308</v>
      </c>
      <c r="BS2709" s="4">
        <v>44566</v>
      </c>
      <c r="BT2709" s="5">
        <v>0.44930555555555557</v>
      </c>
      <c r="BU2709" s="3" t="s">
        <v>2600</v>
      </c>
      <c r="BV2709" s="3" t="s">
        <v>87</v>
      </c>
      <c r="BW2709" s="3" t="s">
        <v>353</v>
      </c>
      <c r="BX2709" s="3" t="s">
        <v>723</v>
      </c>
      <c r="BY2709" s="3">
        <v>1200</v>
      </c>
      <c r="BZ2709" s="3" t="s">
        <v>165</v>
      </c>
      <c r="CA2709" s="3" t="s">
        <v>2601</v>
      </c>
      <c r="CC2709" s="3" t="s">
        <v>98</v>
      </c>
      <c r="CD2709" s="3">
        <v>2196</v>
      </c>
      <c r="CE2709" s="3" t="s">
        <v>93</v>
      </c>
      <c r="CF2709" s="4">
        <v>44567</v>
      </c>
      <c r="CI2709" s="3">
        <v>1</v>
      </c>
      <c r="CJ2709" s="3">
        <v>1</v>
      </c>
      <c r="CK2709" s="3">
        <v>22</v>
      </c>
      <c r="CL2709" s="3" t="s">
        <v>87</v>
      </c>
    </row>
    <row r="2710" spans="1:90" x14ac:dyDescent="0.2">
      <c r="A2710" s="3" t="s">
        <v>72</v>
      </c>
      <c r="B2710" s="3" t="s">
        <v>73</v>
      </c>
      <c r="C2710" s="3" t="s">
        <v>74</v>
      </c>
      <c r="E2710" s="3" t="str">
        <f>"FES1162843778"</f>
        <v>FES1162843778</v>
      </c>
      <c r="F2710" s="4">
        <v>44566</v>
      </c>
      <c r="G2710" s="3">
        <v>202207</v>
      </c>
      <c r="H2710" s="3" t="s">
        <v>75</v>
      </c>
      <c r="I2710" s="3" t="s">
        <v>76</v>
      </c>
      <c r="J2710" s="3" t="s">
        <v>77</v>
      </c>
      <c r="K2710" s="3" t="s">
        <v>78</v>
      </c>
      <c r="L2710" s="3" t="s">
        <v>158</v>
      </c>
      <c r="M2710" s="3" t="s">
        <v>159</v>
      </c>
      <c r="N2710" s="3" t="s">
        <v>651</v>
      </c>
      <c r="O2710" s="3" t="s">
        <v>82</v>
      </c>
      <c r="P2710" s="3" t="str">
        <f>"21708151616                   "</f>
        <v xml:space="preserve">21708151616                   </v>
      </c>
      <c r="Q2710" s="3">
        <v>0</v>
      </c>
      <c r="R2710" s="3">
        <v>0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  <c r="AE2710" s="3">
        <v>0</v>
      </c>
      <c r="AF2710" s="3">
        <v>0</v>
      </c>
      <c r="AG2710" s="3">
        <v>0</v>
      </c>
      <c r="AH2710" s="3">
        <v>0</v>
      </c>
      <c r="AI2710" s="3">
        <v>0</v>
      </c>
      <c r="AJ2710" s="3">
        <v>0</v>
      </c>
      <c r="AK2710" s="3">
        <v>12.07</v>
      </c>
      <c r="AL2710" s="3">
        <v>0</v>
      </c>
      <c r="AM2710" s="3">
        <v>0</v>
      </c>
      <c r="AN2710" s="3">
        <v>0</v>
      </c>
      <c r="AO2710" s="3">
        <v>0</v>
      </c>
      <c r="AP2710" s="3">
        <v>0</v>
      </c>
      <c r="AQ2710" s="3">
        <v>0</v>
      </c>
      <c r="AR2710" s="3">
        <v>0</v>
      </c>
      <c r="AS2710" s="3">
        <v>0</v>
      </c>
      <c r="AT2710" s="3">
        <v>0</v>
      </c>
      <c r="AU2710" s="3">
        <v>0</v>
      </c>
      <c r="AV2710" s="3">
        <v>0</v>
      </c>
      <c r="AW2710" s="3">
        <v>0</v>
      </c>
      <c r="AX2710" s="3">
        <v>0</v>
      </c>
      <c r="AY2710" s="3">
        <v>0</v>
      </c>
      <c r="AZ2710" s="3">
        <v>0</v>
      </c>
      <c r="BA2710" s="3">
        <v>0</v>
      </c>
      <c r="BB2710" s="3">
        <v>0</v>
      </c>
      <c r="BC2710" s="3">
        <v>0</v>
      </c>
      <c r="BD2710" s="3">
        <v>0</v>
      </c>
      <c r="BE2710" s="3">
        <v>0</v>
      </c>
      <c r="BF2710" s="3">
        <v>0</v>
      </c>
      <c r="BG2710" s="3">
        <v>0</v>
      </c>
      <c r="BH2710" s="3">
        <v>1</v>
      </c>
      <c r="BI2710" s="3">
        <v>1</v>
      </c>
      <c r="BJ2710" s="3">
        <v>0.2</v>
      </c>
      <c r="BK2710" s="3">
        <v>1</v>
      </c>
      <c r="BL2710" s="3">
        <v>46.08</v>
      </c>
      <c r="BM2710" s="3">
        <v>6.91</v>
      </c>
      <c r="BN2710" s="3">
        <v>52.99</v>
      </c>
      <c r="BO2710" s="3">
        <v>52.99</v>
      </c>
      <c r="BQ2710" s="3" t="s">
        <v>89</v>
      </c>
      <c r="BR2710" s="3" t="s">
        <v>364</v>
      </c>
      <c r="BS2710" s="4">
        <v>44567</v>
      </c>
      <c r="BT2710" s="5">
        <v>0.35833333333333334</v>
      </c>
      <c r="BU2710" s="3" t="s">
        <v>2602</v>
      </c>
      <c r="BV2710" s="3" t="s">
        <v>105</v>
      </c>
      <c r="BY2710" s="3">
        <v>1200</v>
      </c>
      <c r="BZ2710" s="3" t="s">
        <v>165</v>
      </c>
      <c r="CA2710" s="3" t="s">
        <v>653</v>
      </c>
      <c r="CC2710" s="3" t="s">
        <v>159</v>
      </c>
      <c r="CD2710" s="3">
        <v>1459</v>
      </c>
      <c r="CE2710" s="3" t="s">
        <v>93</v>
      </c>
      <c r="CF2710" s="4">
        <v>44568</v>
      </c>
      <c r="CI2710" s="3">
        <v>1</v>
      </c>
      <c r="CJ2710" s="3">
        <v>1</v>
      </c>
      <c r="CK2710" s="3">
        <v>22</v>
      </c>
      <c r="CL2710" s="3" t="s">
        <v>87</v>
      </c>
    </row>
    <row r="2711" spans="1:90" x14ac:dyDescent="0.2">
      <c r="A2711" s="3" t="s">
        <v>72</v>
      </c>
      <c r="B2711" s="3" t="s">
        <v>73</v>
      </c>
      <c r="C2711" s="3" t="s">
        <v>74</v>
      </c>
      <c r="E2711" s="3" t="str">
        <f>"FES1162843071"</f>
        <v>FES1162843071</v>
      </c>
      <c r="F2711" s="4">
        <v>44564</v>
      </c>
      <c r="G2711" s="3">
        <v>202207</v>
      </c>
      <c r="H2711" s="3" t="s">
        <v>75</v>
      </c>
      <c r="I2711" s="3" t="s">
        <v>76</v>
      </c>
      <c r="J2711" s="3" t="s">
        <v>77</v>
      </c>
      <c r="K2711" s="3" t="s">
        <v>78</v>
      </c>
      <c r="L2711" s="3" t="s">
        <v>90</v>
      </c>
      <c r="M2711" s="3" t="s">
        <v>91</v>
      </c>
      <c r="N2711" s="3" t="s">
        <v>760</v>
      </c>
      <c r="O2711" s="3" t="s">
        <v>82</v>
      </c>
      <c r="P2711" s="3" t="str">
        <f>"2170814571                    "</f>
        <v xml:space="preserve">2170814571                    </v>
      </c>
      <c r="Q2711" s="3">
        <v>0</v>
      </c>
      <c r="R2711" s="3">
        <v>0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  <c r="AE2711" s="3">
        <v>0</v>
      </c>
      <c r="AF2711" s="3">
        <v>0</v>
      </c>
      <c r="AG2711" s="3">
        <v>0</v>
      </c>
      <c r="AH2711" s="3">
        <v>0</v>
      </c>
      <c r="AI2711" s="3">
        <v>0</v>
      </c>
      <c r="AJ2711" s="3">
        <v>0</v>
      </c>
      <c r="AK2711" s="3">
        <v>16.98</v>
      </c>
      <c r="AL2711" s="3">
        <v>0</v>
      </c>
      <c r="AM2711" s="3">
        <v>0</v>
      </c>
      <c r="AN2711" s="3">
        <v>0</v>
      </c>
      <c r="AO2711" s="3">
        <v>0</v>
      </c>
      <c r="AP2711" s="3">
        <v>0</v>
      </c>
      <c r="AQ2711" s="3">
        <v>0</v>
      </c>
      <c r="AR2711" s="3">
        <v>0</v>
      </c>
      <c r="AS2711" s="3">
        <v>0</v>
      </c>
      <c r="AT2711" s="3">
        <v>0</v>
      </c>
      <c r="AU2711" s="3">
        <v>0</v>
      </c>
      <c r="AV2711" s="3">
        <v>0</v>
      </c>
      <c r="AW2711" s="3">
        <v>0</v>
      </c>
      <c r="AX2711" s="3">
        <v>0</v>
      </c>
      <c r="AY2711" s="3">
        <v>0</v>
      </c>
      <c r="AZ2711" s="3">
        <v>0</v>
      </c>
      <c r="BA2711" s="3">
        <v>0</v>
      </c>
      <c r="BB2711" s="3">
        <v>0</v>
      </c>
      <c r="BC2711" s="3">
        <v>0</v>
      </c>
      <c r="BD2711" s="3">
        <v>0</v>
      </c>
      <c r="BE2711" s="3">
        <v>0</v>
      </c>
      <c r="BF2711" s="3">
        <v>0</v>
      </c>
      <c r="BG2711" s="3">
        <v>0</v>
      </c>
      <c r="BH2711" s="3">
        <v>1</v>
      </c>
      <c r="BI2711" s="3">
        <v>1</v>
      </c>
      <c r="BJ2711" s="3">
        <v>0.2</v>
      </c>
      <c r="BK2711" s="3">
        <v>1</v>
      </c>
      <c r="BL2711" s="3">
        <v>60.52</v>
      </c>
      <c r="BM2711" s="3">
        <v>9.08</v>
      </c>
      <c r="BN2711" s="3">
        <v>69.599999999999994</v>
      </c>
      <c r="BO2711" s="3">
        <v>69.599999999999994</v>
      </c>
      <c r="BQ2711" s="3" t="s">
        <v>83</v>
      </c>
      <c r="BR2711" s="3" t="s">
        <v>308</v>
      </c>
      <c r="BS2711" s="4">
        <v>44565</v>
      </c>
      <c r="BT2711" s="5">
        <v>0.32361111111111113</v>
      </c>
      <c r="BU2711" s="3" t="s">
        <v>2603</v>
      </c>
      <c r="BV2711" s="3" t="s">
        <v>105</v>
      </c>
      <c r="BY2711" s="3">
        <v>1200</v>
      </c>
      <c r="BZ2711" s="3" t="s">
        <v>165</v>
      </c>
      <c r="CA2711" s="3" t="s">
        <v>2604</v>
      </c>
      <c r="CC2711" s="3" t="s">
        <v>91</v>
      </c>
      <c r="CD2711" s="3">
        <v>7460</v>
      </c>
      <c r="CE2711" s="3" t="s">
        <v>93</v>
      </c>
      <c r="CF2711" s="4">
        <v>44566</v>
      </c>
      <c r="CI2711" s="3">
        <v>1</v>
      </c>
      <c r="CJ2711" s="3">
        <v>1</v>
      </c>
      <c r="CK2711" s="3">
        <v>21</v>
      </c>
      <c r="CL2711" s="3" t="s">
        <v>87</v>
      </c>
    </row>
    <row r="2712" spans="1:90" x14ac:dyDescent="0.2">
      <c r="A2712" s="3" t="s">
        <v>72</v>
      </c>
      <c r="B2712" s="3" t="s">
        <v>73</v>
      </c>
      <c r="C2712" s="3" t="s">
        <v>74</v>
      </c>
      <c r="E2712" s="3" t="str">
        <f>"FES1162843622"</f>
        <v>FES1162843622</v>
      </c>
      <c r="F2712" s="4">
        <v>44566</v>
      </c>
      <c r="G2712" s="3">
        <v>202207</v>
      </c>
      <c r="H2712" s="3" t="s">
        <v>75</v>
      </c>
      <c r="I2712" s="3" t="s">
        <v>76</v>
      </c>
      <c r="J2712" s="3" t="s">
        <v>77</v>
      </c>
      <c r="K2712" s="3" t="s">
        <v>78</v>
      </c>
      <c r="L2712" s="3" t="s">
        <v>97</v>
      </c>
      <c r="M2712" s="3" t="s">
        <v>98</v>
      </c>
      <c r="N2712" s="3" t="s">
        <v>1408</v>
      </c>
      <c r="O2712" s="3" t="s">
        <v>82</v>
      </c>
      <c r="P2712" s="3" t="str">
        <f>"2170815700                    "</f>
        <v xml:space="preserve">2170815700                    </v>
      </c>
      <c r="Q2712" s="3">
        <v>0</v>
      </c>
      <c r="R2712" s="3">
        <v>0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  <c r="AE2712" s="3">
        <v>0</v>
      </c>
      <c r="AF2712" s="3">
        <v>0</v>
      </c>
      <c r="AG2712" s="3">
        <v>0</v>
      </c>
      <c r="AH2712" s="3">
        <v>0</v>
      </c>
      <c r="AI2712" s="3">
        <v>0</v>
      </c>
      <c r="AJ2712" s="3">
        <v>0</v>
      </c>
      <c r="AK2712" s="3">
        <v>12.07</v>
      </c>
      <c r="AL2712" s="3">
        <v>0</v>
      </c>
      <c r="AM2712" s="3">
        <v>0</v>
      </c>
      <c r="AN2712" s="3">
        <v>0</v>
      </c>
      <c r="AO2712" s="3">
        <v>0</v>
      </c>
      <c r="AP2712" s="3">
        <v>0</v>
      </c>
      <c r="AQ2712" s="3">
        <v>0</v>
      </c>
      <c r="AR2712" s="3">
        <v>0</v>
      </c>
      <c r="AS2712" s="3">
        <v>0</v>
      </c>
      <c r="AT2712" s="3">
        <v>0</v>
      </c>
      <c r="AU2712" s="3">
        <v>0</v>
      </c>
      <c r="AV2712" s="3">
        <v>0</v>
      </c>
      <c r="AW2712" s="3">
        <v>0</v>
      </c>
      <c r="AX2712" s="3">
        <v>0</v>
      </c>
      <c r="AY2712" s="3">
        <v>0</v>
      </c>
      <c r="AZ2712" s="3">
        <v>0</v>
      </c>
      <c r="BA2712" s="3">
        <v>0</v>
      </c>
      <c r="BB2712" s="3">
        <v>0</v>
      </c>
      <c r="BC2712" s="3">
        <v>0</v>
      </c>
      <c r="BD2712" s="3">
        <v>0</v>
      </c>
      <c r="BE2712" s="3">
        <v>0</v>
      </c>
      <c r="BF2712" s="3">
        <v>0</v>
      </c>
      <c r="BG2712" s="3">
        <v>0</v>
      </c>
      <c r="BH2712" s="3">
        <v>1</v>
      </c>
      <c r="BI2712" s="3">
        <v>1</v>
      </c>
      <c r="BJ2712" s="3">
        <v>0.2</v>
      </c>
      <c r="BK2712" s="3">
        <v>1</v>
      </c>
      <c r="BL2712" s="3">
        <v>46.08</v>
      </c>
      <c r="BM2712" s="3">
        <v>6.91</v>
      </c>
      <c r="BN2712" s="3">
        <v>52.99</v>
      </c>
      <c r="BO2712" s="3">
        <v>52.99</v>
      </c>
      <c r="BR2712" s="3" t="s">
        <v>364</v>
      </c>
      <c r="BS2712" s="4">
        <v>44567</v>
      </c>
      <c r="BT2712" s="5">
        <v>0.43541666666666662</v>
      </c>
      <c r="BU2712" s="3" t="s">
        <v>2605</v>
      </c>
      <c r="BV2712" s="3" t="s">
        <v>105</v>
      </c>
      <c r="BY2712" s="3">
        <v>1200</v>
      </c>
      <c r="BZ2712" s="3" t="s">
        <v>165</v>
      </c>
      <c r="CA2712" s="3" t="s">
        <v>952</v>
      </c>
      <c r="CC2712" s="3" t="s">
        <v>98</v>
      </c>
      <c r="CD2712" s="3">
        <v>2049</v>
      </c>
      <c r="CE2712" s="3" t="s">
        <v>93</v>
      </c>
      <c r="CF2712" s="4">
        <v>44568</v>
      </c>
      <c r="CI2712" s="3">
        <v>1</v>
      </c>
      <c r="CJ2712" s="3">
        <v>1</v>
      </c>
      <c r="CK2712" s="3">
        <v>22</v>
      </c>
      <c r="CL2712" s="3" t="s">
        <v>87</v>
      </c>
    </row>
    <row r="2713" spans="1:90" x14ac:dyDescent="0.2">
      <c r="A2713" s="3" t="s">
        <v>72</v>
      </c>
      <c r="B2713" s="3" t="s">
        <v>73</v>
      </c>
      <c r="C2713" s="3" t="s">
        <v>74</v>
      </c>
      <c r="E2713" s="3" t="str">
        <f>"FES1162843652"</f>
        <v>FES1162843652</v>
      </c>
      <c r="F2713" s="4">
        <v>44566</v>
      </c>
      <c r="G2713" s="3">
        <v>202207</v>
      </c>
      <c r="H2713" s="3" t="s">
        <v>75</v>
      </c>
      <c r="I2713" s="3" t="s">
        <v>76</v>
      </c>
      <c r="J2713" s="3" t="s">
        <v>77</v>
      </c>
      <c r="K2713" s="3" t="s">
        <v>78</v>
      </c>
      <c r="L2713" s="3" t="s">
        <v>115</v>
      </c>
      <c r="M2713" s="3" t="s">
        <v>116</v>
      </c>
      <c r="N2713" s="3" t="s">
        <v>164</v>
      </c>
      <c r="O2713" s="3" t="s">
        <v>82</v>
      </c>
      <c r="P2713" s="3" t="str">
        <f>"2170812306                    "</f>
        <v xml:space="preserve">2170812306                    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  <c r="AE2713" s="3">
        <v>0</v>
      </c>
      <c r="AF2713" s="3">
        <v>0</v>
      </c>
      <c r="AG2713" s="3">
        <v>0</v>
      </c>
      <c r="AH2713" s="3">
        <v>0</v>
      </c>
      <c r="AI2713" s="3">
        <v>0</v>
      </c>
      <c r="AJ2713" s="3">
        <v>0</v>
      </c>
      <c r="AK2713" s="3">
        <v>12.07</v>
      </c>
      <c r="AL2713" s="3">
        <v>0</v>
      </c>
      <c r="AM2713" s="3">
        <v>0</v>
      </c>
      <c r="AN2713" s="3">
        <v>0</v>
      </c>
      <c r="AO2713" s="3">
        <v>0</v>
      </c>
      <c r="AP2713" s="3">
        <v>0</v>
      </c>
      <c r="AQ2713" s="3">
        <v>0</v>
      </c>
      <c r="AR2713" s="3">
        <v>0</v>
      </c>
      <c r="AS2713" s="3">
        <v>0</v>
      </c>
      <c r="AT2713" s="3">
        <v>0</v>
      </c>
      <c r="AU2713" s="3">
        <v>0</v>
      </c>
      <c r="AV2713" s="3">
        <v>0</v>
      </c>
      <c r="AW2713" s="3">
        <v>0</v>
      </c>
      <c r="AX2713" s="3">
        <v>0</v>
      </c>
      <c r="AY2713" s="3">
        <v>0</v>
      </c>
      <c r="AZ2713" s="3">
        <v>0</v>
      </c>
      <c r="BA2713" s="3">
        <v>0</v>
      </c>
      <c r="BB2713" s="3">
        <v>0</v>
      </c>
      <c r="BC2713" s="3">
        <v>0</v>
      </c>
      <c r="BD2713" s="3">
        <v>0</v>
      </c>
      <c r="BE2713" s="3">
        <v>0</v>
      </c>
      <c r="BF2713" s="3">
        <v>0</v>
      </c>
      <c r="BG2713" s="3">
        <v>0</v>
      </c>
      <c r="BH2713" s="3">
        <v>1</v>
      </c>
      <c r="BI2713" s="3">
        <v>2</v>
      </c>
      <c r="BJ2713" s="3">
        <v>4.0999999999999996</v>
      </c>
      <c r="BK2713" s="3">
        <v>4.5</v>
      </c>
      <c r="BL2713" s="3">
        <v>46.08</v>
      </c>
      <c r="BM2713" s="3">
        <v>6.91</v>
      </c>
      <c r="BN2713" s="3">
        <v>52.99</v>
      </c>
      <c r="BO2713" s="3">
        <v>52.99</v>
      </c>
      <c r="BQ2713" s="3" t="s">
        <v>89</v>
      </c>
      <c r="BR2713" s="3" t="s">
        <v>364</v>
      </c>
      <c r="BS2713" s="4">
        <v>44567</v>
      </c>
      <c r="BT2713" s="5">
        <v>0.42152777777777778</v>
      </c>
      <c r="BU2713" s="3" t="s">
        <v>2606</v>
      </c>
      <c r="BV2713" s="3" t="s">
        <v>105</v>
      </c>
      <c r="BY2713" s="3">
        <v>20358</v>
      </c>
      <c r="BZ2713" s="3" t="s">
        <v>165</v>
      </c>
      <c r="CA2713" s="3" t="s">
        <v>119</v>
      </c>
      <c r="CC2713" s="3" t="s">
        <v>116</v>
      </c>
      <c r="CD2713" s="3">
        <v>1559</v>
      </c>
      <c r="CE2713" s="3" t="s">
        <v>86</v>
      </c>
      <c r="CF2713" s="4">
        <v>44567</v>
      </c>
      <c r="CI2713" s="3">
        <v>1</v>
      </c>
      <c r="CJ2713" s="3">
        <v>1</v>
      </c>
      <c r="CK2713" s="3">
        <v>22</v>
      </c>
      <c r="CL2713" s="3" t="s">
        <v>87</v>
      </c>
    </row>
    <row r="2714" spans="1:90" x14ac:dyDescent="0.2">
      <c r="A2714" s="3" t="s">
        <v>72</v>
      </c>
      <c r="B2714" s="3" t="s">
        <v>73</v>
      </c>
      <c r="C2714" s="3" t="s">
        <v>74</v>
      </c>
      <c r="E2714" s="3" t="str">
        <f>"FES1162843130"</f>
        <v>FES1162843130</v>
      </c>
      <c r="F2714" s="4">
        <v>44564</v>
      </c>
      <c r="G2714" s="3">
        <v>202207</v>
      </c>
      <c r="H2714" s="3" t="s">
        <v>75</v>
      </c>
      <c r="I2714" s="3" t="s">
        <v>76</v>
      </c>
      <c r="J2714" s="3" t="s">
        <v>77</v>
      </c>
      <c r="K2714" s="3" t="s">
        <v>78</v>
      </c>
      <c r="L2714" s="3" t="s">
        <v>799</v>
      </c>
      <c r="M2714" s="3" t="s">
        <v>800</v>
      </c>
      <c r="N2714" s="3" t="s">
        <v>801</v>
      </c>
      <c r="O2714" s="3" t="s">
        <v>82</v>
      </c>
      <c r="P2714" s="3" t="str">
        <f>"2170815476                    "</f>
        <v xml:space="preserve">2170815476                    </v>
      </c>
      <c r="Q2714" s="3">
        <v>0</v>
      </c>
      <c r="R2714" s="3">
        <v>0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  <c r="AE2714" s="3">
        <v>0</v>
      </c>
      <c r="AF2714" s="3">
        <v>0</v>
      </c>
      <c r="AG2714" s="3">
        <v>0</v>
      </c>
      <c r="AH2714" s="3">
        <v>0</v>
      </c>
      <c r="AI2714" s="3">
        <v>0</v>
      </c>
      <c r="AJ2714" s="3">
        <v>0</v>
      </c>
      <c r="AK2714" s="3">
        <v>23.88</v>
      </c>
      <c r="AL2714" s="3">
        <v>0</v>
      </c>
      <c r="AM2714" s="3">
        <v>0</v>
      </c>
      <c r="AN2714" s="3">
        <v>0</v>
      </c>
      <c r="AO2714" s="3">
        <v>0</v>
      </c>
      <c r="AP2714" s="3">
        <v>0</v>
      </c>
      <c r="AQ2714" s="3">
        <v>0</v>
      </c>
      <c r="AR2714" s="3">
        <v>0</v>
      </c>
      <c r="AS2714" s="3">
        <v>0</v>
      </c>
      <c r="AT2714" s="3">
        <v>0</v>
      </c>
      <c r="AU2714" s="3">
        <v>0</v>
      </c>
      <c r="AV2714" s="3">
        <v>0</v>
      </c>
      <c r="AW2714" s="3">
        <v>0</v>
      </c>
      <c r="AX2714" s="3">
        <v>0</v>
      </c>
      <c r="AY2714" s="3">
        <v>0</v>
      </c>
      <c r="AZ2714" s="3">
        <v>0</v>
      </c>
      <c r="BA2714" s="3">
        <v>0</v>
      </c>
      <c r="BB2714" s="3">
        <v>0</v>
      </c>
      <c r="BC2714" s="3">
        <v>0</v>
      </c>
      <c r="BD2714" s="3">
        <v>0</v>
      </c>
      <c r="BE2714" s="3">
        <v>0</v>
      </c>
      <c r="BF2714" s="3">
        <v>0</v>
      </c>
      <c r="BG2714" s="3">
        <v>0</v>
      </c>
      <c r="BH2714" s="3">
        <v>1</v>
      </c>
      <c r="BI2714" s="3">
        <v>1</v>
      </c>
      <c r="BJ2714" s="3">
        <v>0.2</v>
      </c>
      <c r="BK2714" s="3">
        <v>1</v>
      </c>
      <c r="BL2714" s="3">
        <v>85.12</v>
      </c>
      <c r="BM2714" s="3">
        <v>12.77</v>
      </c>
      <c r="BN2714" s="3">
        <v>97.89</v>
      </c>
      <c r="BO2714" s="3">
        <v>97.89</v>
      </c>
      <c r="BQ2714" s="3" t="s">
        <v>89</v>
      </c>
      <c r="BR2714" s="3" t="s">
        <v>308</v>
      </c>
      <c r="BS2714" s="4">
        <v>44565</v>
      </c>
      <c r="BT2714" s="5">
        <v>0.43263888888888885</v>
      </c>
      <c r="BU2714" s="3" t="s">
        <v>1392</v>
      </c>
      <c r="BV2714" s="3" t="s">
        <v>105</v>
      </c>
      <c r="BY2714" s="3">
        <v>1200</v>
      </c>
      <c r="BZ2714" s="3" t="s">
        <v>165</v>
      </c>
      <c r="CA2714" s="3" t="s">
        <v>803</v>
      </c>
      <c r="CC2714" s="3" t="s">
        <v>800</v>
      </c>
      <c r="CD2714" s="3">
        <v>2210</v>
      </c>
      <c r="CE2714" s="3" t="s">
        <v>93</v>
      </c>
      <c r="CF2714" s="4">
        <v>44566</v>
      </c>
      <c r="CI2714" s="3">
        <v>1</v>
      </c>
      <c r="CJ2714" s="3">
        <v>1</v>
      </c>
      <c r="CK2714" s="3">
        <v>24</v>
      </c>
      <c r="CL2714" s="3" t="s">
        <v>87</v>
      </c>
    </row>
    <row r="2715" spans="1:90" x14ac:dyDescent="0.2">
      <c r="A2715" s="3" t="s">
        <v>72</v>
      </c>
      <c r="B2715" s="3" t="s">
        <v>73</v>
      </c>
      <c r="C2715" s="3" t="s">
        <v>74</v>
      </c>
      <c r="E2715" s="3" t="str">
        <f>"FES1162843634"</f>
        <v>FES1162843634</v>
      </c>
      <c r="F2715" s="4">
        <v>44566</v>
      </c>
      <c r="G2715" s="3">
        <v>202207</v>
      </c>
      <c r="H2715" s="3" t="s">
        <v>75</v>
      </c>
      <c r="I2715" s="3" t="s">
        <v>76</v>
      </c>
      <c r="J2715" s="3" t="s">
        <v>77</v>
      </c>
      <c r="K2715" s="3" t="s">
        <v>78</v>
      </c>
      <c r="L2715" s="3" t="s">
        <v>206</v>
      </c>
      <c r="M2715" s="3" t="s">
        <v>207</v>
      </c>
      <c r="N2715" s="3" t="s">
        <v>2607</v>
      </c>
      <c r="O2715" s="3" t="s">
        <v>82</v>
      </c>
      <c r="P2715" s="3" t="str">
        <f>"2170802362                    "</f>
        <v xml:space="preserve">2170802362                    </v>
      </c>
      <c r="Q2715" s="3">
        <v>0</v>
      </c>
      <c r="R2715" s="3">
        <v>0</v>
      </c>
      <c r="S2715" s="3">
        <v>0</v>
      </c>
      <c r="T2715" s="3">
        <v>0</v>
      </c>
      <c r="U2715" s="3">
        <v>0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0</v>
      </c>
      <c r="AC2715" s="3">
        <v>0</v>
      </c>
      <c r="AD2715" s="3">
        <v>0</v>
      </c>
      <c r="AE2715" s="3">
        <v>0</v>
      </c>
      <c r="AF2715" s="3">
        <v>0</v>
      </c>
      <c r="AG2715" s="3">
        <v>0</v>
      </c>
      <c r="AH2715" s="3">
        <v>0</v>
      </c>
      <c r="AI2715" s="3">
        <v>0</v>
      </c>
      <c r="AJ2715" s="3">
        <v>0</v>
      </c>
      <c r="AK2715" s="3">
        <v>21.74</v>
      </c>
      <c r="AL2715" s="3">
        <v>0</v>
      </c>
      <c r="AM2715" s="3">
        <v>0</v>
      </c>
      <c r="AN2715" s="3">
        <v>0</v>
      </c>
      <c r="AO2715" s="3">
        <v>0</v>
      </c>
      <c r="AP2715" s="3">
        <v>0</v>
      </c>
      <c r="AQ2715" s="3">
        <v>0</v>
      </c>
      <c r="AR2715" s="3">
        <v>0</v>
      </c>
      <c r="AS2715" s="3">
        <v>0</v>
      </c>
      <c r="AT2715" s="3">
        <v>0</v>
      </c>
      <c r="AU2715" s="3">
        <v>0</v>
      </c>
      <c r="AV2715" s="3">
        <v>0</v>
      </c>
      <c r="AW2715" s="3">
        <v>0</v>
      </c>
      <c r="AX2715" s="3">
        <v>0</v>
      </c>
      <c r="AY2715" s="3">
        <v>0</v>
      </c>
      <c r="AZ2715" s="3">
        <v>0</v>
      </c>
      <c r="BA2715" s="3">
        <v>0</v>
      </c>
      <c r="BB2715" s="3">
        <v>0</v>
      </c>
      <c r="BC2715" s="3">
        <v>0</v>
      </c>
      <c r="BD2715" s="3">
        <v>0</v>
      </c>
      <c r="BE2715" s="3">
        <v>0</v>
      </c>
      <c r="BF2715" s="3">
        <v>0</v>
      </c>
      <c r="BG2715" s="3">
        <v>0</v>
      </c>
      <c r="BH2715" s="3">
        <v>1</v>
      </c>
      <c r="BI2715" s="3">
        <v>1</v>
      </c>
      <c r="BJ2715" s="3">
        <v>0.2</v>
      </c>
      <c r="BK2715" s="3">
        <v>1</v>
      </c>
      <c r="BL2715" s="3">
        <v>82.98</v>
      </c>
      <c r="BM2715" s="3">
        <v>12.45</v>
      </c>
      <c r="BN2715" s="3">
        <v>95.43</v>
      </c>
      <c r="BO2715" s="3">
        <v>95.43</v>
      </c>
      <c r="BR2715" s="3" t="s">
        <v>364</v>
      </c>
      <c r="BS2715" s="4">
        <v>44568</v>
      </c>
      <c r="BT2715" s="5">
        <v>0.80347222222222225</v>
      </c>
      <c r="BU2715" s="3" t="s">
        <v>1987</v>
      </c>
      <c r="BV2715" s="3" t="s">
        <v>87</v>
      </c>
      <c r="BW2715" s="3" t="s">
        <v>353</v>
      </c>
      <c r="BX2715" s="3" t="s">
        <v>377</v>
      </c>
      <c r="BY2715" s="3">
        <v>1200</v>
      </c>
      <c r="BZ2715" s="3" t="s">
        <v>165</v>
      </c>
      <c r="CA2715" s="3" t="s">
        <v>2608</v>
      </c>
      <c r="CC2715" s="3" t="s">
        <v>207</v>
      </c>
      <c r="CD2715" s="3">
        <v>1739</v>
      </c>
      <c r="CE2715" s="3" t="s">
        <v>93</v>
      </c>
      <c r="CF2715" s="4">
        <v>44568</v>
      </c>
      <c r="CI2715" s="3">
        <v>1</v>
      </c>
      <c r="CJ2715" s="3">
        <v>2</v>
      </c>
      <c r="CK2715" s="3">
        <v>24</v>
      </c>
      <c r="CL2715" s="3" t="s">
        <v>87</v>
      </c>
    </row>
    <row r="2716" spans="1:90" x14ac:dyDescent="0.2">
      <c r="A2716" s="3" t="s">
        <v>72</v>
      </c>
      <c r="B2716" s="3" t="s">
        <v>73</v>
      </c>
      <c r="C2716" s="3" t="s">
        <v>74</v>
      </c>
      <c r="E2716" s="3" t="str">
        <f>"FES1162843504"</f>
        <v>FES1162843504</v>
      </c>
      <c r="F2716" s="4">
        <v>44565</v>
      </c>
      <c r="G2716" s="3">
        <v>202207</v>
      </c>
      <c r="H2716" s="3" t="s">
        <v>75</v>
      </c>
      <c r="I2716" s="3" t="s">
        <v>76</v>
      </c>
      <c r="J2716" s="3" t="s">
        <v>77</v>
      </c>
      <c r="K2716" s="3" t="s">
        <v>78</v>
      </c>
      <c r="L2716" s="3" t="s">
        <v>180</v>
      </c>
      <c r="M2716" s="3" t="s">
        <v>181</v>
      </c>
      <c r="N2716" s="3" t="s">
        <v>182</v>
      </c>
      <c r="O2716" s="3" t="s">
        <v>82</v>
      </c>
      <c r="P2716" s="3" t="str">
        <f>"2170815611                    "</f>
        <v xml:space="preserve">2170815611                    </v>
      </c>
      <c r="Q2716" s="3">
        <v>0</v>
      </c>
      <c r="R2716" s="3">
        <v>0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  <c r="AE2716" s="3">
        <v>0</v>
      </c>
      <c r="AF2716" s="3">
        <v>0</v>
      </c>
      <c r="AG2716" s="3">
        <v>0</v>
      </c>
      <c r="AH2716" s="3">
        <v>0</v>
      </c>
      <c r="AI2716" s="3">
        <v>0</v>
      </c>
      <c r="AJ2716" s="3">
        <v>0</v>
      </c>
      <c r="AK2716" s="3">
        <v>23.88</v>
      </c>
      <c r="AL2716" s="3">
        <v>0</v>
      </c>
      <c r="AM2716" s="3">
        <v>0</v>
      </c>
      <c r="AN2716" s="3">
        <v>0</v>
      </c>
      <c r="AO2716" s="3">
        <v>0</v>
      </c>
      <c r="AP2716" s="3">
        <v>0</v>
      </c>
      <c r="AQ2716" s="3">
        <v>0</v>
      </c>
      <c r="AR2716" s="3">
        <v>0</v>
      </c>
      <c r="AS2716" s="3">
        <v>0</v>
      </c>
      <c r="AT2716" s="3">
        <v>0</v>
      </c>
      <c r="AU2716" s="3">
        <v>0</v>
      </c>
      <c r="AV2716" s="3">
        <v>0</v>
      </c>
      <c r="AW2716" s="3">
        <v>0</v>
      </c>
      <c r="AX2716" s="3">
        <v>0</v>
      </c>
      <c r="AY2716" s="3">
        <v>0</v>
      </c>
      <c r="AZ2716" s="3">
        <v>0</v>
      </c>
      <c r="BA2716" s="3">
        <v>0</v>
      </c>
      <c r="BB2716" s="3">
        <v>0</v>
      </c>
      <c r="BC2716" s="3">
        <v>0</v>
      </c>
      <c r="BD2716" s="3">
        <v>0</v>
      </c>
      <c r="BE2716" s="3">
        <v>0</v>
      </c>
      <c r="BF2716" s="3">
        <v>0</v>
      </c>
      <c r="BG2716" s="3">
        <v>0</v>
      </c>
      <c r="BH2716" s="3">
        <v>1</v>
      </c>
      <c r="BI2716" s="3">
        <v>1</v>
      </c>
      <c r="BJ2716" s="3">
        <v>0.2</v>
      </c>
      <c r="BK2716" s="3">
        <v>1</v>
      </c>
      <c r="BL2716" s="3">
        <v>85.12</v>
      </c>
      <c r="BM2716" s="3">
        <v>12.77</v>
      </c>
      <c r="BN2716" s="3">
        <v>97.89</v>
      </c>
      <c r="BO2716" s="3">
        <v>97.89</v>
      </c>
      <c r="BQ2716" s="3" t="s">
        <v>83</v>
      </c>
      <c r="BR2716" s="3" t="s">
        <v>308</v>
      </c>
      <c r="BS2716" s="4">
        <v>44566</v>
      </c>
      <c r="BT2716" s="5">
        <v>0.36458333333333331</v>
      </c>
      <c r="BU2716" s="3" t="s">
        <v>2151</v>
      </c>
      <c r="BV2716" s="3" t="s">
        <v>105</v>
      </c>
      <c r="BY2716" s="3">
        <v>1200</v>
      </c>
      <c r="BZ2716" s="3" t="s">
        <v>165</v>
      </c>
      <c r="CA2716" s="3" t="s">
        <v>1166</v>
      </c>
      <c r="CC2716" s="3" t="s">
        <v>181</v>
      </c>
      <c r="CD2716" s="3">
        <v>1939</v>
      </c>
      <c r="CE2716" s="3" t="s">
        <v>93</v>
      </c>
      <c r="CF2716" s="4">
        <v>44567</v>
      </c>
      <c r="CI2716" s="3">
        <v>1</v>
      </c>
      <c r="CJ2716" s="3">
        <v>1</v>
      </c>
      <c r="CK2716" s="3">
        <v>24</v>
      </c>
      <c r="CL2716" s="3" t="s">
        <v>87</v>
      </c>
    </row>
    <row r="2717" spans="1:90" x14ac:dyDescent="0.2">
      <c r="A2717" s="3" t="s">
        <v>72</v>
      </c>
      <c r="B2717" s="3" t="s">
        <v>73</v>
      </c>
      <c r="C2717" s="3" t="s">
        <v>74</v>
      </c>
      <c r="E2717" s="3" t="str">
        <f>"FES1162843651"</f>
        <v>FES1162843651</v>
      </c>
      <c r="F2717" s="4">
        <v>44566</v>
      </c>
      <c r="G2717" s="3">
        <v>202207</v>
      </c>
      <c r="H2717" s="3" t="s">
        <v>75</v>
      </c>
      <c r="I2717" s="3" t="s">
        <v>76</v>
      </c>
      <c r="J2717" s="3" t="s">
        <v>77</v>
      </c>
      <c r="K2717" s="3" t="s">
        <v>78</v>
      </c>
      <c r="L2717" s="3" t="s">
        <v>115</v>
      </c>
      <c r="M2717" s="3" t="s">
        <v>116</v>
      </c>
      <c r="N2717" s="3" t="s">
        <v>164</v>
      </c>
      <c r="O2717" s="3" t="s">
        <v>82</v>
      </c>
      <c r="P2717" s="3" t="str">
        <f>"2170812304                    "</f>
        <v xml:space="preserve">2170812304                    </v>
      </c>
      <c r="Q2717" s="3">
        <v>0</v>
      </c>
      <c r="R2717" s="3">
        <v>0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  <c r="AE2717" s="3">
        <v>0</v>
      </c>
      <c r="AF2717" s="3">
        <v>0</v>
      </c>
      <c r="AG2717" s="3">
        <v>0</v>
      </c>
      <c r="AH2717" s="3">
        <v>0</v>
      </c>
      <c r="AI2717" s="3">
        <v>0</v>
      </c>
      <c r="AJ2717" s="3">
        <v>0</v>
      </c>
      <c r="AK2717" s="3">
        <v>12.07</v>
      </c>
      <c r="AL2717" s="3">
        <v>0</v>
      </c>
      <c r="AM2717" s="3">
        <v>0</v>
      </c>
      <c r="AN2717" s="3">
        <v>0</v>
      </c>
      <c r="AO2717" s="3">
        <v>0</v>
      </c>
      <c r="AP2717" s="3">
        <v>0</v>
      </c>
      <c r="AQ2717" s="3">
        <v>0</v>
      </c>
      <c r="AR2717" s="3">
        <v>0</v>
      </c>
      <c r="AS2717" s="3">
        <v>0</v>
      </c>
      <c r="AT2717" s="3">
        <v>0</v>
      </c>
      <c r="AU2717" s="3">
        <v>0</v>
      </c>
      <c r="AV2717" s="3">
        <v>0</v>
      </c>
      <c r="AW2717" s="3">
        <v>0</v>
      </c>
      <c r="AX2717" s="3">
        <v>0</v>
      </c>
      <c r="AY2717" s="3">
        <v>0</v>
      </c>
      <c r="AZ2717" s="3">
        <v>0</v>
      </c>
      <c r="BA2717" s="3">
        <v>0</v>
      </c>
      <c r="BB2717" s="3">
        <v>0</v>
      </c>
      <c r="BC2717" s="3">
        <v>0</v>
      </c>
      <c r="BD2717" s="3">
        <v>0</v>
      </c>
      <c r="BE2717" s="3">
        <v>0</v>
      </c>
      <c r="BF2717" s="3">
        <v>0</v>
      </c>
      <c r="BG2717" s="3">
        <v>0</v>
      </c>
      <c r="BH2717" s="3">
        <v>1</v>
      </c>
      <c r="BI2717" s="3">
        <v>2</v>
      </c>
      <c r="BJ2717" s="3">
        <v>4.0999999999999996</v>
      </c>
      <c r="BK2717" s="3">
        <v>4.5</v>
      </c>
      <c r="BL2717" s="3">
        <v>46.08</v>
      </c>
      <c r="BM2717" s="3">
        <v>6.91</v>
      </c>
      <c r="BN2717" s="3">
        <v>52.99</v>
      </c>
      <c r="BO2717" s="3">
        <v>52.99</v>
      </c>
      <c r="BQ2717" s="3" t="s">
        <v>89</v>
      </c>
      <c r="BR2717" s="3" t="s">
        <v>364</v>
      </c>
      <c r="BS2717" s="4">
        <v>44567</v>
      </c>
      <c r="BT2717" s="5">
        <v>0.42152777777777778</v>
      </c>
      <c r="BU2717" s="3" t="s">
        <v>2606</v>
      </c>
      <c r="BV2717" s="3" t="s">
        <v>105</v>
      </c>
      <c r="BY2717" s="3">
        <v>20358</v>
      </c>
      <c r="BZ2717" s="3" t="s">
        <v>165</v>
      </c>
      <c r="CA2717" s="3" t="s">
        <v>119</v>
      </c>
      <c r="CC2717" s="3" t="s">
        <v>116</v>
      </c>
      <c r="CD2717" s="3">
        <v>1559</v>
      </c>
      <c r="CE2717" s="3" t="s">
        <v>86</v>
      </c>
      <c r="CF2717" s="4">
        <v>44567</v>
      </c>
      <c r="CI2717" s="3">
        <v>1</v>
      </c>
      <c r="CJ2717" s="3">
        <v>1</v>
      </c>
      <c r="CK2717" s="3">
        <v>22</v>
      </c>
      <c r="CL2717" s="3" t="s">
        <v>87</v>
      </c>
    </row>
    <row r="2718" spans="1:90" x14ac:dyDescent="0.2">
      <c r="A2718" s="3" t="s">
        <v>72</v>
      </c>
      <c r="B2718" s="3" t="s">
        <v>73</v>
      </c>
      <c r="C2718" s="3" t="s">
        <v>74</v>
      </c>
      <c r="E2718" s="3" t="str">
        <f>"FES1162843118"</f>
        <v>FES1162843118</v>
      </c>
      <c r="F2718" s="4">
        <v>44564</v>
      </c>
      <c r="G2718" s="3">
        <v>202207</v>
      </c>
      <c r="H2718" s="3" t="s">
        <v>75</v>
      </c>
      <c r="I2718" s="3" t="s">
        <v>76</v>
      </c>
      <c r="J2718" s="3" t="s">
        <v>77</v>
      </c>
      <c r="K2718" s="3" t="s">
        <v>78</v>
      </c>
      <c r="L2718" s="3" t="s">
        <v>75</v>
      </c>
      <c r="M2718" s="3" t="s">
        <v>76</v>
      </c>
      <c r="N2718" s="3" t="s">
        <v>147</v>
      </c>
      <c r="O2718" s="3" t="s">
        <v>82</v>
      </c>
      <c r="P2718" s="3" t="str">
        <f>"2170814911                    "</f>
        <v xml:space="preserve">2170814911                    </v>
      </c>
      <c r="Q2718" s="3">
        <v>0</v>
      </c>
      <c r="R2718" s="3">
        <v>0</v>
      </c>
      <c r="S2718" s="3">
        <v>0</v>
      </c>
      <c r="T2718" s="3">
        <v>0</v>
      </c>
      <c r="U2718" s="3">
        <v>0</v>
      </c>
      <c r="V2718" s="3">
        <v>0</v>
      </c>
      <c r="W2718" s="3">
        <v>0</v>
      </c>
      <c r="X2718" s="3">
        <v>0</v>
      </c>
      <c r="Y2718" s="3">
        <v>0</v>
      </c>
      <c r="Z2718" s="3">
        <v>0</v>
      </c>
      <c r="AA2718" s="3">
        <v>0</v>
      </c>
      <c r="AB2718" s="3">
        <v>0</v>
      </c>
      <c r="AC2718" s="3">
        <v>0</v>
      </c>
      <c r="AD2718" s="3">
        <v>0</v>
      </c>
      <c r="AE2718" s="3">
        <v>0</v>
      </c>
      <c r="AF2718" s="3">
        <v>0</v>
      </c>
      <c r="AG2718" s="3">
        <v>0</v>
      </c>
      <c r="AH2718" s="3">
        <v>0</v>
      </c>
      <c r="AI2718" s="3">
        <v>0</v>
      </c>
      <c r="AJ2718" s="3">
        <v>0</v>
      </c>
      <c r="AK2718" s="3">
        <v>13.26</v>
      </c>
      <c r="AL2718" s="3">
        <v>0</v>
      </c>
      <c r="AM2718" s="3">
        <v>0</v>
      </c>
      <c r="AN2718" s="3">
        <v>0</v>
      </c>
      <c r="AO2718" s="3">
        <v>0</v>
      </c>
      <c r="AP2718" s="3">
        <v>0</v>
      </c>
      <c r="AQ2718" s="3">
        <v>0</v>
      </c>
      <c r="AR2718" s="3">
        <v>0</v>
      </c>
      <c r="AS2718" s="3">
        <v>0</v>
      </c>
      <c r="AT2718" s="3">
        <v>0</v>
      </c>
      <c r="AU2718" s="3">
        <v>0</v>
      </c>
      <c r="AV2718" s="3">
        <v>0</v>
      </c>
      <c r="AW2718" s="3">
        <v>0</v>
      </c>
      <c r="AX2718" s="3">
        <v>0</v>
      </c>
      <c r="AY2718" s="3">
        <v>0</v>
      </c>
      <c r="AZ2718" s="3">
        <v>0</v>
      </c>
      <c r="BA2718" s="3">
        <v>0</v>
      </c>
      <c r="BB2718" s="3">
        <v>0</v>
      </c>
      <c r="BC2718" s="3">
        <v>0</v>
      </c>
      <c r="BD2718" s="3">
        <v>0</v>
      </c>
      <c r="BE2718" s="3">
        <v>0</v>
      </c>
      <c r="BF2718" s="3">
        <v>0</v>
      </c>
      <c r="BG2718" s="3">
        <v>0</v>
      </c>
      <c r="BH2718" s="3">
        <v>1</v>
      </c>
      <c r="BI2718" s="3">
        <v>1</v>
      </c>
      <c r="BJ2718" s="3">
        <v>0.2</v>
      </c>
      <c r="BK2718" s="3">
        <v>1</v>
      </c>
      <c r="BL2718" s="3">
        <v>47.27</v>
      </c>
      <c r="BM2718" s="3">
        <v>7.09</v>
      </c>
      <c r="BN2718" s="3">
        <v>54.36</v>
      </c>
      <c r="BO2718" s="3">
        <v>54.36</v>
      </c>
      <c r="BQ2718" s="3" t="s">
        <v>89</v>
      </c>
      <c r="BR2718" s="3" t="s">
        <v>308</v>
      </c>
      <c r="BS2718" s="4">
        <v>44571</v>
      </c>
      <c r="BT2718" s="5">
        <v>0.38263888888888892</v>
      </c>
      <c r="BU2718" s="3" t="s">
        <v>1292</v>
      </c>
      <c r="BV2718" s="3" t="s">
        <v>87</v>
      </c>
      <c r="BW2718" s="3" t="s">
        <v>278</v>
      </c>
      <c r="BX2718" s="3" t="s">
        <v>723</v>
      </c>
      <c r="BY2718" s="3">
        <v>1200</v>
      </c>
      <c r="BZ2718" s="3" t="s">
        <v>165</v>
      </c>
      <c r="CA2718" s="3" t="s">
        <v>1293</v>
      </c>
      <c r="CC2718" s="3" t="s">
        <v>76</v>
      </c>
      <c r="CD2718" s="3">
        <v>1645</v>
      </c>
      <c r="CE2718" s="3" t="s">
        <v>93</v>
      </c>
      <c r="CF2718" s="4">
        <v>44572</v>
      </c>
      <c r="CI2718" s="3">
        <v>1</v>
      </c>
      <c r="CJ2718" s="3">
        <v>5</v>
      </c>
      <c r="CK2718" s="3">
        <v>22</v>
      </c>
      <c r="CL2718" s="3" t="s">
        <v>87</v>
      </c>
    </row>
    <row r="2719" spans="1:90" x14ac:dyDescent="0.2">
      <c r="A2719" s="3" t="s">
        <v>72</v>
      </c>
      <c r="B2719" s="3" t="s">
        <v>73</v>
      </c>
      <c r="C2719" s="3" t="s">
        <v>74</v>
      </c>
      <c r="E2719" s="3" t="str">
        <f>"FES1162843760"</f>
        <v>FES1162843760</v>
      </c>
      <c r="F2719" s="4">
        <v>44566</v>
      </c>
      <c r="G2719" s="3">
        <v>202207</v>
      </c>
      <c r="H2719" s="3" t="s">
        <v>75</v>
      </c>
      <c r="I2719" s="3" t="s">
        <v>76</v>
      </c>
      <c r="J2719" s="3" t="s">
        <v>77</v>
      </c>
      <c r="K2719" s="3" t="s">
        <v>78</v>
      </c>
      <c r="L2719" s="3" t="s">
        <v>90</v>
      </c>
      <c r="M2719" s="3" t="s">
        <v>91</v>
      </c>
      <c r="N2719" s="3" t="s">
        <v>157</v>
      </c>
      <c r="O2719" s="3" t="s">
        <v>82</v>
      </c>
      <c r="P2719" s="3" t="str">
        <f>"2170814487                    "</f>
        <v xml:space="preserve">2170814487                    </v>
      </c>
      <c r="Q2719" s="3">
        <v>0</v>
      </c>
      <c r="R2719" s="3">
        <v>0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  <c r="AE2719" s="3">
        <v>0</v>
      </c>
      <c r="AF2719" s="3">
        <v>0</v>
      </c>
      <c r="AG2719" s="3">
        <v>0</v>
      </c>
      <c r="AH2719" s="3">
        <v>0</v>
      </c>
      <c r="AI2719" s="3">
        <v>0</v>
      </c>
      <c r="AJ2719" s="3">
        <v>0</v>
      </c>
      <c r="AK2719" s="3">
        <v>100.43</v>
      </c>
      <c r="AL2719" s="3">
        <v>0</v>
      </c>
      <c r="AM2719" s="3">
        <v>0</v>
      </c>
      <c r="AN2719" s="3">
        <v>0</v>
      </c>
      <c r="AO2719" s="3">
        <v>0</v>
      </c>
      <c r="AP2719" s="3">
        <v>0</v>
      </c>
      <c r="AQ2719" s="3">
        <v>0</v>
      </c>
      <c r="AR2719" s="3">
        <v>0</v>
      </c>
      <c r="AS2719" s="3">
        <v>0</v>
      </c>
      <c r="AT2719" s="3">
        <v>0</v>
      </c>
      <c r="AU2719" s="3">
        <v>0</v>
      </c>
      <c r="AV2719" s="3">
        <v>0</v>
      </c>
      <c r="AW2719" s="3">
        <v>0</v>
      </c>
      <c r="AX2719" s="3">
        <v>0</v>
      </c>
      <c r="AY2719" s="3">
        <v>0</v>
      </c>
      <c r="AZ2719" s="3">
        <v>0</v>
      </c>
      <c r="BA2719" s="3">
        <v>0</v>
      </c>
      <c r="BB2719" s="3">
        <v>0</v>
      </c>
      <c r="BC2719" s="3">
        <v>0</v>
      </c>
      <c r="BD2719" s="3">
        <v>0</v>
      </c>
      <c r="BE2719" s="3">
        <v>0</v>
      </c>
      <c r="BF2719" s="3">
        <v>0</v>
      </c>
      <c r="BG2719" s="3">
        <v>0</v>
      </c>
      <c r="BH2719" s="3">
        <v>1</v>
      </c>
      <c r="BI2719" s="3">
        <v>13</v>
      </c>
      <c r="BJ2719" s="3">
        <v>4.5999999999999996</v>
      </c>
      <c r="BK2719" s="3">
        <v>13</v>
      </c>
      <c r="BL2719" s="3">
        <v>383.33</v>
      </c>
      <c r="BM2719" s="3">
        <v>57.5</v>
      </c>
      <c r="BN2719" s="3">
        <v>440.83</v>
      </c>
      <c r="BO2719" s="3">
        <v>440.83</v>
      </c>
      <c r="BQ2719" s="3" t="s">
        <v>89</v>
      </c>
      <c r="BR2719" s="3" t="s">
        <v>364</v>
      </c>
      <c r="BS2719" s="4">
        <v>44567</v>
      </c>
      <c r="BT2719" s="5">
        <v>0.37361111111111112</v>
      </c>
      <c r="BU2719" s="3" t="s">
        <v>2564</v>
      </c>
      <c r="BV2719" s="3" t="s">
        <v>105</v>
      </c>
      <c r="BY2719" s="3">
        <v>22880</v>
      </c>
      <c r="BZ2719" s="3" t="s">
        <v>165</v>
      </c>
      <c r="CA2719" s="3" t="s">
        <v>289</v>
      </c>
      <c r="CC2719" s="3" t="s">
        <v>91</v>
      </c>
      <c r="CD2719" s="3">
        <v>7441</v>
      </c>
      <c r="CE2719" s="3" t="s">
        <v>86</v>
      </c>
      <c r="CF2719" s="4">
        <v>44568</v>
      </c>
      <c r="CI2719" s="3">
        <v>1</v>
      </c>
      <c r="CJ2719" s="3">
        <v>1</v>
      </c>
      <c r="CK2719" s="3">
        <v>21</v>
      </c>
      <c r="CL2719" s="3" t="s">
        <v>87</v>
      </c>
    </row>
    <row r="2720" spans="1:90" x14ac:dyDescent="0.2">
      <c r="A2720" s="3" t="s">
        <v>72</v>
      </c>
      <c r="B2720" s="3" t="s">
        <v>73</v>
      </c>
      <c r="C2720" s="3" t="s">
        <v>74</v>
      </c>
      <c r="E2720" s="3" t="str">
        <f>"FES1162843539"</f>
        <v>FES1162843539</v>
      </c>
      <c r="F2720" s="4">
        <v>44565</v>
      </c>
      <c r="G2720" s="3">
        <v>202207</v>
      </c>
      <c r="H2720" s="3" t="s">
        <v>75</v>
      </c>
      <c r="I2720" s="3" t="s">
        <v>76</v>
      </c>
      <c r="J2720" s="3" t="s">
        <v>77</v>
      </c>
      <c r="K2720" s="3" t="s">
        <v>78</v>
      </c>
      <c r="L2720" s="3" t="s">
        <v>254</v>
      </c>
      <c r="M2720" s="3" t="s">
        <v>255</v>
      </c>
      <c r="N2720" s="3" t="s">
        <v>256</v>
      </c>
      <c r="O2720" s="3" t="s">
        <v>148</v>
      </c>
      <c r="P2720" s="3" t="str">
        <f>"2170815623                    "</f>
        <v xml:space="preserve">2170815623                    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0</v>
      </c>
      <c r="W2720" s="3">
        <v>0</v>
      </c>
      <c r="X2720" s="3">
        <v>0</v>
      </c>
      <c r="Y2720" s="3">
        <v>0</v>
      </c>
      <c r="Z2720" s="3">
        <v>0</v>
      </c>
      <c r="AA2720" s="3">
        <v>0</v>
      </c>
      <c r="AB2720" s="3">
        <v>0</v>
      </c>
      <c r="AC2720" s="3">
        <v>0</v>
      </c>
      <c r="AD2720" s="3">
        <v>0</v>
      </c>
      <c r="AE2720" s="3">
        <v>0</v>
      </c>
      <c r="AF2720" s="3">
        <v>0</v>
      </c>
      <c r="AG2720" s="3">
        <v>0</v>
      </c>
      <c r="AH2720" s="3">
        <v>0</v>
      </c>
      <c r="AI2720" s="3">
        <v>0</v>
      </c>
      <c r="AJ2720" s="3">
        <v>0</v>
      </c>
      <c r="AK2720" s="3">
        <v>32.840000000000003</v>
      </c>
      <c r="AL2720" s="3">
        <v>0</v>
      </c>
      <c r="AM2720" s="3">
        <v>0</v>
      </c>
      <c r="AN2720" s="3">
        <v>0</v>
      </c>
      <c r="AO2720" s="3">
        <v>0</v>
      </c>
      <c r="AP2720" s="3">
        <v>0</v>
      </c>
      <c r="AQ2720" s="3">
        <v>0</v>
      </c>
      <c r="AR2720" s="3">
        <v>0</v>
      </c>
      <c r="AS2720" s="3">
        <v>0</v>
      </c>
      <c r="AT2720" s="3">
        <v>0</v>
      </c>
      <c r="AU2720" s="3">
        <v>0</v>
      </c>
      <c r="AV2720" s="3">
        <v>0</v>
      </c>
      <c r="AW2720" s="3">
        <v>0</v>
      </c>
      <c r="AX2720" s="3">
        <v>0</v>
      </c>
      <c r="AY2720" s="3">
        <v>0</v>
      </c>
      <c r="AZ2720" s="3">
        <v>0</v>
      </c>
      <c r="BA2720" s="3">
        <v>0</v>
      </c>
      <c r="BB2720" s="3">
        <v>0</v>
      </c>
      <c r="BC2720" s="3">
        <v>0</v>
      </c>
      <c r="BD2720" s="3">
        <v>0</v>
      </c>
      <c r="BE2720" s="3">
        <v>0</v>
      </c>
      <c r="BF2720" s="3">
        <v>0</v>
      </c>
      <c r="BG2720" s="3">
        <v>0</v>
      </c>
      <c r="BH2720" s="3">
        <v>1</v>
      </c>
      <c r="BI2720" s="3">
        <v>15</v>
      </c>
      <c r="BJ2720" s="3">
        <v>9.1</v>
      </c>
      <c r="BK2720" s="3">
        <v>15</v>
      </c>
      <c r="BL2720" s="3">
        <v>122.29</v>
      </c>
      <c r="BM2720" s="3">
        <v>18.34</v>
      </c>
      <c r="BN2720" s="3">
        <v>140.63</v>
      </c>
      <c r="BO2720" s="3">
        <v>140.63</v>
      </c>
      <c r="BQ2720" s="3" t="s">
        <v>89</v>
      </c>
      <c r="BR2720" s="3" t="s">
        <v>308</v>
      </c>
      <c r="BS2720" s="4">
        <v>44568</v>
      </c>
      <c r="BT2720" s="5">
        <v>0.4777777777777778</v>
      </c>
      <c r="BU2720" s="3" t="s">
        <v>657</v>
      </c>
      <c r="BV2720" s="3" t="s">
        <v>105</v>
      </c>
      <c r="BY2720" s="3">
        <v>45500</v>
      </c>
      <c r="BZ2720" s="3" t="s">
        <v>327</v>
      </c>
      <c r="CA2720" s="3" t="s">
        <v>328</v>
      </c>
      <c r="CC2720" s="3" t="s">
        <v>255</v>
      </c>
      <c r="CD2720" s="3">
        <v>6536</v>
      </c>
      <c r="CE2720" s="3" t="s">
        <v>86</v>
      </c>
      <c r="CF2720" s="4">
        <v>44568</v>
      </c>
      <c r="CI2720" s="3">
        <v>2</v>
      </c>
      <c r="CJ2720" s="3">
        <v>3</v>
      </c>
      <c r="CK2720" s="3">
        <v>41</v>
      </c>
      <c r="CL2720" s="3" t="s">
        <v>87</v>
      </c>
    </row>
    <row r="2721" spans="1:90" x14ac:dyDescent="0.2">
      <c r="A2721" s="3" t="s">
        <v>72</v>
      </c>
      <c r="B2721" s="3" t="s">
        <v>73</v>
      </c>
      <c r="C2721" s="3" t="s">
        <v>74</v>
      </c>
      <c r="E2721" s="3" t="str">
        <f>"FES1162843649"</f>
        <v>FES1162843649</v>
      </c>
      <c r="F2721" s="4">
        <v>44566</v>
      </c>
      <c r="G2721" s="3">
        <v>202207</v>
      </c>
      <c r="H2721" s="3" t="s">
        <v>75</v>
      </c>
      <c r="I2721" s="3" t="s">
        <v>76</v>
      </c>
      <c r="J2721" s="3" t="s">
        <v>77</v>
      </c>
      <c r="K2721" s="3" t="s">
        <v>78</v>
      </c>
      <c r="L2721" s="3" t="s">
        <v>90</v>
      </c>
      <c r="M2721" s="3" t="s">
        <v>91</v>
      </c>
      <c r="N2721" s="3" t="s">
        <v>711</v>
      </c>
      <c r="O2721" s="3" t="s">
        <v>82</v>
      </c>
      <c r="P2721" s="3" t="str">
        <f>"2170811886                    "</f>
        <v xml:space="preserve">2170811886                    </v>
      </c>
      <c r="Q2721" s="3">
        <v>0</v>
      </c>
      <c r="R2721" s="3">
        <v>0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  <c r="AE2721" s="3">
        <v>0</v>
      </c>
      <c r="AF2721" s="3">
        <v>0</v>
      </c>
      <c r="AG2721" s="3">
        <v>0</v>
      </c>
      <c r="AH2721" s="3">
        <v>0</v>
      </c>
      <c r="AI2721" s="3">
        <v>0</v>
      </c>
      <c r="AJ2721" s="3">
        <v>0</v>
      </c>
      <c r="AK2721" s="3">
        <v>54.08</v>
      </c>
      <c r="AL2721" s="3">
        <v>0</v>
      </c>
      <c r="AM2721" s="3">
        <v>0</v>
      </c>
      <c r="AN2721" s="3">
        <v>0</v>
      </c>
      <c r="AO2721" s="3">
        <v>0</v>
      </c>
      <c r="AP2721" s="3">
        <v>0</v>
      </c>
      <c r="AQ2721" s="3">
        <v>0</v>
      </c>
      <c r="AR2721" s="3">
        <v>0</v>
      </c>
      <c r="AS2721" s="3">
        <v>0</v>
      </c>
      <c r="AT2721" s="3">
        <v>0</v>
      </c>
      <c r="AU2721" s="3">
        <v>0</v>
      </c>
      <c r="AV2721" s="3">
        <v>0</v>
      </c>
      <c r="AW2721" s="3">
        <v>0</v>
      </c>
      <c r="AX2721" s="3">
        <v>0</v>
      </c>
      <c r="AY2721" s="3">
        <v>0</v>
      </c>
      <c r="AZ2721" s="3">
        <v>0</v>
      </c>
      <c r="BA2721" s="3">
        <v>0</v>
      </c>
      <c r="BB2721" s="3">
        <v>0</v>
      </c>
      <c r="BC2721" s="3">
        <v>0</v>
      </c>
      <c r="BD2721" s="3">
        <v>0</v>
      </c>
      <c r="BE2721" s="3">
        <v>0</v>
      </c>
      <c r="BF2721" s="3">
        <v>0</v>
      </c>
      <c r="BG2721" s="3">
        <v>0</v>
      </c>
      <c r="BH2721" s="3">
        <v>1</v>
      </c>
      <c r="BI2721" s="3">
        <v>7</v>
      </c>
      <c r="BJ2721" s="3">
        <v>4.0999999999999996</v>
      </c>
      <c r="BK2721" s="3">
        <v>7</v>
      </c>
      <c r="BL2721" s="3">
        <v>206.42</v>
      </c>
      <c r="BM2721" s="3">
        <v>30.96</v>
      </c>
      <c r="BN2721" s="3">
        <v>237.38</v>
      </c>
      <c r="BO2721" s="3">
        <v>237.38</v>
      </c>
      <c r="BQ2721" s="3" t="s">
        <v>83</v>
      </c>
      <c r="BR2721" s="3" t="s">
        <v>364</v>
      </c>
      <c r="BS2721" s="4">
        <v>44571</v>
      </c>
      <c r="BT2721" s="5">
        <v>0.41250000000000003</v>
      </c>
      <c r="BU2721" s="3" t="s">
        <v>2609</v>
      </c>
      <c r="BV2721" s="3" t="s">
        <v>87</v>
      </c>
      <c r="BW2721" s="3" t="s">
        <v>493</v>
      </c>
      <c r="BX2721" s="3" t="s">
        <v>354</v>
      </c>
      <c r="BY2721" s="3">
        <v>20358</v>
      </c>
      <c r="BZ2721" s="3" t="s">
        <v>165</v>
      </c>
      <c r="CA2721" s="3" t="s">
        <v>289</v>
      </c>
      <c r="CC2721" s="3" t="s">
        <v>91</v>
      </c>
      <c r="CD2721" s="3">
        <v>7441</v>
      </c>
      <c r="CE2721" s="3" t="s">
        <v>86</v>
      </c>
      <c r="CF2721" s="4">
        <v>44572</v>
      </c>
      <c r="CI2721" s="3">
        <v>1</v>
      </c>
      <c r="CJ2721" s="3">
        <v>3</v>
      </c>
      <c r="CK2721" s="3">
        <v>21</v>
      </c>
      <c r="CL2721" s="3" t="s">
        <v>87</v>
      </c>
    </row>
    <row r="2722" spans="1:90" x14ac:dyDescent="0.2">
      <c r="A2722" s="3" t="s">
        <v>72</v>
      </c>
      <c r="B2722" s="3" t="s">
        <v>73</v>
      </c>
      <c r="C2722" s="3" t="s">
        <v>74</v>
      </c>
      <c r="E2722" s="3" t="str">
        <f>"FES1162843400"</f>
        <v>FES1162843400</v>
      </c>
      <c r="F2722" s="4">
        <v>44565</v>
      </c>
      <c r="G2722" s="3">
        <v>202207</v>
      </c>
      <c r="H2722" s="3" t="s">
        <v>75</v>
      </c>
      <c r="I2722" s="3" t="s">
        <v>76</v>
      </c>
      <c r="J2722" s="3" t="s">
        <v>77</v>
      </c>
      <c r="K2722" s="3" t="s">
        <v>78</v>
      </c>
      <c r="L2722" s="3" t="s">
        <v>138</v>
      </c>
      <c r="M2722" s="3" t="s">
        <v>139</v>
      </c>
      <c r="N2722" s="3" t="s">
        <v>2610</v>
      </c>
      <c r="O2722" s="3" t="s">
        <v>148</v>
      </c>
      <c r="P2722" s="3" t="str">
        <f>"2170814715                    "</f>
        <v xml:space="preserve">2170814715                    </v>
      </c>
      <c r="Q2722" s="3">
        <v>0</v>
      </c>
      <c r="R2722" s="3">
        <v>0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  <c r="AE2722" s="3">
        <v>0</v>
      </c>
      <c r="AF2722" s="3">
        <v>0</v>
      </c>
      <c r="AG2722" s="3">
        <v>0</v>
      </c>
      <c r="AH2722" s="3">
        <v>0</v>
      </c>
      <c r="AI2722" s="3">
        <v>0</v>
      </c>
      <c r="AJ2722" s="3">
        <v>0</v>
      </c>
      <c r="AK2722" s="3">
        <v>74.790000000000006</v>
      </c>
      <c r="AL2722" s="3">
        <v>0</v>
      </c>
      <c r="AM2722" s="3">
        <v>0</v>
      </c>
      <c r="AN2722" s="3">
        <v>0</v>
      </c>
      <c r="AO2722" s="3">
        <v>0</v>
      </c>
      <c r="AP2722" s="3">
        <v>0</v>
      </c>
      <c r="AQ2722" s="3">
        <v>0</v>
      </c>
      <c r="AR2722" s="3">
        <v>0</v>
      </c>
      <c r="AS2722" s="3">
        <v>0</v>
      </c>
      <c r="AT2722" s="3">
        <v>0</v>
      </c>
      <c r="AU2722" s="3">
        <v>0</v>
      </c>
      <c r="AV2722" s="3">
        <v>0</v>
      </c>
      <c r="AW2722" s="3">
        <v>0</v>
      </c>
      <c r="AX2722" s="3">
        <v>0</v>
      </c>
      <c r="AY2722" s="3">
        <v>0</v>
      </c>
      <c r="AZ2722" s="3">
        <v>0</v>
      </c>
      <c r="BA2722" s="3">
        <v>0</v>
      </c>
      <c r="BB2722" s="3">
        <v>0</v>
      </c>
      <c r="BC2722" s="3">
        <v>0</v>
      </c>
      <c r="BD2722" s="3">
        <v>0</v>
      </c>
      <c r="BE2722" s="3">
        <v>0</v>
      </c>
      <c r="BF2722" s="3">
        <v>0</v>
      </c>
      <c r="BG2722" s="3">
        <v>0</v>
      </c>
      <c r="BH2722" s="3">
        <v>3</v>
      </c>
      <c r="BI2722" s="3">
        <v>25</v>
      </c>
      <c r="BJ2722" s="3">
        <v>45.6</v>
      </c>
      <c r="BK2722" s="3">
        <v>46</v>
      </c>
      <c r="BL2722" s="3">
        <v>271.81</v>
      </c>
      <c r="BM2722" s="3">
        <v>40.770000000000003</v>
      </c>
      <c r="BN2722" s="3">
        <v>312.58</v>
      </c>
      <c r="BO2722" s="3">
        <v>312.58</v>
      </c>
      <c r="BQ2722" s="3" t="s">
        <v>2611</v>
      </c>
      <c r="BR2722" s="3" t="s">
        <v>308</v>
      </c>
      <c r="BS2722" s="4">
        <v>44566</v>
      </c>
      <c r="BT2722" s="5">
        <v>0.37986111111111115</v>
      </c>
      <c r="BU2722" s="3" t="s">
        <v>2612</v>
      </c>
      <c r="BV2722" s="3" t="s">
        <v>105</v>
      </c>
      <c r="BY2722" s="3">
        <v>136896</v>
      </c>
      <c r="BZ2722" s="3" t="s">
        <v>327</v>
      </c>
      <c r="CA2722" s="3" t="s">
        <v>303</v>
      </c>
      <c r="CC2722" s="3" t="s">
        <v>139</v>
      </c>
      <c r="CD2722" s="3">
        <v>3610</v>
      </c>
      <c r="CE2722" s="3" t="s">
        <v>222</v>
      </c>
      <c r="CF2722" s="4">
        <v>44566</v>
      </c>
      <c r="CI2722" s="3">
        <v>1</v>
      </c>
      <c r="CJ2722" s="3">
        <v>1</v>
      </c>
      <c r="CK2722" s="3">
        <v>41</v>
      </c>
      <c r="CL2722" s="3" t="s">
        <v>87</v>
      </c>
    </row>
    <row r="2723" spans="1:90" x14ac:dyDescent="0.2">
      <c r="A2723" s="3" t="s">
        <v>72</v>
      </c>
      <c r="B2723" s="3" t="s">
        <v>73</v>
      </c>
      <c r="C2723" s="3" t="s">
        <v>74</v>
      </c>
      <c r="E2723" s="3" t="str">
        <f>"FES1162843653"</f>
        <v>FES1162843653</v>
      </c>
      <c r="F2723" s="4">
        <v>44566</v>
      </c>
      <c r="G2723" s="3">
        <v>202207</v>
      </c>
      <c r="H2723" s="3" t="s">
        <v>75</v>
      </c>
      <c r="I2723" s="3" t="s">
        <v>76</v>
      </c>
      <c r="J2723" s="3" t="s">
        <v>77</v>
      </c>
      <c r="K2723" s="3" t="s">
        <v>78</v>
      </c>
      <c r="L2723" s="3" t="s">
        <v>75</v>
      </c>
      <c r="M2723" s="3" t="s">
        <v>76</v>
      </c>
      <c r="N2723" s="3" t="s">
        <v>209</v>
      </c>
      <c r="O2723" s="3" t="s">
        <v>82</v>
      </c>
      <c r="P2723" s="3" t="str">
        <f>"2170812928                    "</f>
        <v xml:space="preserve">2170812928                    </v>
      </c>
      <c r="Q2723" s="3">
        <v>0</v>
      </c>
      <c r="R2723" s="3">
        <v>0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  <c r="AE2723" s="3">
        <v>0</v>
      </c>
      <c r="AF2723" s="3">
        <v>0</v>
      </c>
      <c r="AG2723" s="3">
        <v>0</v>
      </c>
      <c r="AH2723" s="3">
        <v>0</v>
      </c>
      <c r="AI2723" s="3">
        <v>0</v>
      </c>
      <c r="AJ2723" s="3">
        <v>0</v>
      </c>
      <c r="AK2723" s="3">
        <v>12.07</v>
      </c>
      <c r="AL2723" s="3">
        <v>0</v>
      </c>
      <c r="AM2723" s="3">
        <v>0</v>
      </c>
      <c r="AN2723" s="3">
        <v>0</v>
      </c>
      <c r="AO2723" s="3">
        <v>0</v>
      </c>
      <c r="AP2723" s="3">
        <v>0</v>
      </c>
      <c r="AQ2723" s="3">
        <v>0</v>
      </c>
      <c r="AR2723" s="3">
        <v>0</v>
      </c>
      <c r="AS2723" s="3">
        <v>0</v>
      </c>
      <c r="AT2723" s="3">
        <v>0</v>
      </c>
      <c r="AU2723" s="3">
        <v>0</v>
      </c>
      <c r="AV2723" s="3">
        <v>0</v>
      </c>
      <c r="AW2723" s="3">
        <v>0</v>
      </c>
      <c r="AX2723" s="3">
        <v>0</v>
      </c>
      <c r="AY2723" s="3">
        <v>0</v>
      </c>
      <c r="AZ2723" s="3">
        <v>0</v>
      </c>
      <c r="BA2723" s="3">
        <v>0</v>
      </c>
      <c r="BB2723" s="3">
        <v>0</v>
      </c>
      <c r="BC2723" s="3">
        <v>0</v>
      </c>
      <c r="BD2723" s="3">
        <v>0</v>
      </c>
      <c r="BE2723" s="3">
        <v>0</v>
      </c>
      <c r="BF2723" s="3">
        <v>0</v>
      </c>
      <c r="BG2723" s="3">
        <v>0</v>
      </c>
      <c r="BH2723" s="3">
        <v>1</v>
      </c>
      <c r="BI2723" s="3">
        <v>1</v>
      </c>
      <c r="BJ2723" s="3">
        <v>1.7</v>
      </c>
      <c r="BK2723" s="3">
        <v>2</v>
      </c>
      <c r="BL2723" s="3">
        <v>46.08</v>
      </c>
      <c r="BM2723" s="3">
        <v>6.91</v>
      </c>
      <c r="BN2723" s="3">
        <v>52.99</v>
      </c>
      <c r="BO2723" s="3">
        <v>52.99</v>
      </c>
      <c r="BQ2723" s="3" t="s">
        <v>89</v>
      </c>
      <c r="BR2723" s="3" t="s">
        <v>364</v>
      </c>
      <c r="BS2723" s="4">
        <v>44567</v>
      </c>
      <c r="BT2723" s="5">
        <v>0.33819444444444446</v>
      </c>
      <c r="BU2723" s="3" t="s">
        <v>1102</v>
      </c>
      <c r="BV2723" s="3" t="s">
        <v>105</v>
      </c>
      <c r="BY2723" s="3">
        <v>8550</v>
      </c>
      <c r="BZ2723" s="3" t="s">
        <v>165</v>
      </c>
      <c r="CA2723" s="3" t="s">
        <v>227</v>
      </c>
      <c r="CC2723" s="3" t="s">
        <v>76</v>
      </c>
      <c r="CD2723" s="3">
        <v>1600</v>
      </c>
      <c r="CE2723" s="3" t="s">
        <v>86</v>
      </c>
      <c r="CF2723" s="4">
        <v>44567</v>
      </c>
      <c r="CI2723" s="3">
        <v>1</v>
      </c>
      <c r="CJ2723" s="3">
        <v>1</v>
      </c>
      <c r="CK2723" s="3">
        <v>22</v>
      </c>
      <c r="CL2723" s="3" t="s">
        <v>87</v>
      </c>
    </row>
    <row r="2724" spans="1:90" x14ac:dyDescent="0.2">
      <c r="A2724" s="3" t="s">
        <v>72</v>
      </c>
      <c r="B2724" s="3" t="s">
        <v>73</v>
      </c>
      <c r="C2724" s="3" t="s">
        <v>74</v>
      </c>
      <c r="E2724" s="3" t="str">
        <f>"FES1162843515"</f>
        <v>FES1162843515</v>
      </c>
      <c r="F2724" s="4">
        <v>44565</v>
      </c>
      <c r="G2724" s="3">
        <v>202207</v>
      </c>
      <c r="H2724" s="3" t="s">
        <v>75</v>
      </c>
      <c r="I2724" s="3" t="s">
        <v>76</v>
      </c>
      <c r="J2724" s="3" t="s">
        <v>77</v>
      </c>
      <c r="K2724" s="3" t="s">
        <v>78</v>
      </c>
      <c r="L2724" s="3" t="s">
        <v>138</v>
      </c>
      <c r="M2724" s="3" t="s">
        <v>139</v>
      </c>
      <c r="N2724" s="3" t="s">
        <v>1199</v>
      </c>
      <c r="O2724" s="3" t="s">
        <v>82</v>
      </c>
      <c r="P2724" s="3" t="str">
        <f>"2170810159                    "</f>
        <v xml:space="preserve">2170810159                    </v>
      </c>
      <c r="Q2724" s="3">
        <v>0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  <c r="AE2724" s="3">
        <v>0</v>
      </c>
      <c r="AF2724" s="3">
        <v>0</v>
      </c>
      <c r="AG2724" s="3">
        <v>0</v>
      </c>
      <c r="AH2724" s="3">
        <v>0</v>
      </c>
      <c r="AI2724" s="3">
        <v>0</v>
      </c>
      <c r="AJ2724" s="3">
        <v>0</v>
      </c>
      <c r="AK2724" s="3">
        <v>16.98</v>
      </c>
      <c r="AL2724" s="3">
        <v>0</v>
      </c>
      <c r="AM2724" s="3">
        <v>0</v>
      </c>
      <c r="AN2724" s="3">
        <v>0</v>
      </c>
      <c r="AO2724" s="3">
        <v>0</v>
      </c>
      <c r="AP2724" s="3">
        <v>0</v>
      </c>
      <c r="AQ2724" s="3">
        <v>0</v>
      </c>
      <c r="AR2724" s="3">
        <v>0</v>
      </c>
      <c r="AS2724" s="3">
        <v>0</v>
      </c>
      <c r="AT2724" s="3">
        <v>0</v>
      </c>
      <c r="AU2724" s="3">
        <v>0</v>
      </c>
      <c r="AV2724" s="3">
        <v>0</v>
      </c>
      <c r="AW2724" s="3">
        <v>0</v>
      </c>
      <c r="AX2724" s="3">
        <v>0</v>
      </c>
      <c r="AY2724" s="3">
        <v>0</v>
      </c>
      <c r="AZ2724" s="3">
        <v>0</v>
      </c>
      <c r="BA2724" s="3">
        <v>0</v>
      </c>
      <c r="BB2724" s="3">
        <v>0</v>
      </c>
      <c r="BC2724" s="3">
        <v>0</v>
      </c>
      <c r="BD2724" s="3">
        <v>0</v>
      </c>
      <c r="BE2724" s="3">
        <v>0</v>
      </c>
      <c r="BF2724" s="3">
        <v>0</v>
      </c>
      <c r="BG2724" s="3">
        <v>0</v>
      </c>
      <c r="BH2724" s="3">
        <v>1</v>
      </c>
      <c r="BI2724" s="3">
        <v>1</v>
      </c>
      <c r="BJ2724" s="3">
        <v>1.1000000000000001</v>
      </c>
      <c r="BK2724" s="3">
        <v>1.5</v>
      </c>
      <c r="BL2724" s="3">
        <v>60.52</v>
      </c>
      <c r="BM2724" s="3">
        <v>9.08</v>
      </c>
      <c r="BN2724" s="3">
        <v>69.599999999999994</v>
      </c>
      <c r="BO2724" s="3">
        <v>69.599999999999994</v>
      </c>
      <c r="BQ2724" s="3" t="s">
        <v>83</v>
      </c>
      <c r="BR2724" s="3" t="s">
        <v>308</v>
      </c>
      <c r="BS2724" s="4">
        <v>44566</v>
      </c>
      <c r="BT2724" s="5">
        <v>0.40833333333333338</v>
      </c>
      <c r="BU2724" s="3" t="s">
        <v>2613</v>
      </c>
      <c r="BV2724" s="3" t="s">
        <v>105</v>
      </c>
      <c r="BY2724" s="3">
        <v>5320</v>
      </c>
      <c r="BZ2724" s="3" t="s">
        <v>165</v>
      </c>
      <c r="CA2724" s="3" t="s">
        <v>303</v>
      </c>
      <c r="CC2724" s="3" t="s">
        <v>139</v>
      </c>
      <c r="CD2724" s="3">
        <v>3610</v>
      </c>
      <c r="CE2724" s="3" t="s">
        <v>86</v>
      </c>
      <c r="CF2724" s="4">
        <v>44566</v>
      </c>
      <c r="CI2724" s="3">
        <v>1</v>
      </c>
      <c r="CJ2724" s="3">
        <v>1</v>
      </c>
      <c r="CK2724" s="3">
        <v>21</v>
      </c>
      <c r="CL2724" s="3" t="s">
        <v>87</v>
      </c>
    </row>
    <row r="2725" spans="1:90" x14ac:dyDescent="0.2">
      <c r="A2725" s="3" t="s">
        <v>72</v>
      </c>
      <c r="B2725" s="3" t="s">
        <v>73</v>
      </c>
      <c r="C2725" s="3" t="s">
        <v>74</v>
      </c>
      <c r="E2725" s="3" t="str">
        <f>"FES1162843665"</f>
        <v>FES1162843665</v>
      </c>
      <c r="F2725" s="4">
        <v>44566</v>
      </c>
      <c r="G2725" s="3">
        <v>202207</v>
      </c>
      <c r="H2725" s="3" t="s">
        <v>75</v>
      </c>
      <c r="I2725" s="3" t="s">
        <v>76</v>
      </c>
      <c r="J2725" s="3" t="s">
        <v>77</v>
      </c>
      <c r="K2725" s="3" t="s">
        <v>78</v>
      </c>
      <c r="L2725" s="3" t="s">
        <v>184</v>
      </c>
      <c r="M2725" s="3" t="s">
        <v>185</v>
      </c>
      <c r="N2725" s="3" t="s">
        <v>186</v>
      </c>
      <c r="O2725" s="3" t="s">
        <v>82</v>
      </c>
      <c r="P2725" s="3" t="str">
        <f>"2170814042                    "</f>
        <v xml:space="preserve">2170814042                    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  <c r="W2725" s="3">
        <v>0</v>
      </c>
      <c r="X2725" s="3">
        <v>0</v>
      </c>
      <c r="Y2725" s="3">
        <v>0</v>
      </c>
      <c r="Z2725" s="3">
        <v>0</v>
      </c>
      <c r="AA2725" s="3">
        <v>0</v>
      </c>
      <c r="AB2725" s="3">
        <v>0</v>
      </c>
      <c r="AC2725" s="3">
        <v>0</v>
      </c>
      <c r="AD2725" s="3">
        <v>0</v>
      </c>
      <c r="AE2725" s="3">
        <v>0</v>
      </c>
      <c r="AF2725" s="3">
        <v>0</v>
      </c>
      <c r="AG2725" s="3">
        <v>0</v>
      </c>
      <c r="AH2725" s="3">
        <v>0</v>
      </c>
      <c r="AI2725" s="3">
        <v>0</v>
      </c>
      <c r="AJ2725" s="3">
        <v>0</v>
      </c>
      <c r="AK2725" s="3">
        <v>15.46</v>
      </c>
      <c r="AL2725" s="3">
        <v>0</v>
      </c>
      <c r="AM2725" s="3">
        <v>0</v>
      </c>
      <c r="AN2725" s="3">
        <v>0</v>
      </c>
      <c r="AO2725" s="3">
        <v>0</v>
      </c>
      <c r="AP2725" s="3">
        <v>0</v>
      </c>
      <c r="AQ2725" s="3">
        <v>0</v>
      </c>
      <c r="AR2725" s="3">
        <v>0</v>
      </c>
      <c r="AS2725" s="3">
        <v>0</v>
      </c>
      <c r="AT2725" s="3">
        <v>0</v>
      </c>
      <c r="AU2725" s="3">
        <v>0</v>
      </c>
      <c r="AV2725" s="3">
        <v>0</v>
      </c>
      <c r="AW2725" s="3">
        <v>0</v>
      </c>
      <c r="AX2725" s="3">
        <v>0</v>
      </c>
      <c r="AY2725" s="3">
        <v>0</v>
      </c>
      <c r="AZ2725" s="3">
        <v>0</v>
      </c>
      <c r="BA2725" s="3">
        <v>0</v>
      </c>
      <c r="BB2725" s="3">
        <v>0</v>
      </c>
      <c r="BC2725" s="3">
        <v>0</v>
      </c>
      <c r="BD2725" s="3">
        <v>0</v>
      </c>
      <c r="BE2725" s="3">
        <v>0</v>
      </c>
      <c r="BF2725" s="3">
        <v>0</v>
      </c>
      <c r="BG2725" s="3">
        <v>0</v>
      </c>
      <c r="BH2725" s="3">
        <v>1</v>
      </c>
      <c r="BI2725" s="3">
        <v>1</v>
      </c>
      <c r="BJ2725" s="3">
        <v>0.2</v>
      </c>
      <c r="BK2725" s="3">
        <v>1</v>
      </c>
      <c r="BL2725" s="3">
        <v>59</v>
      </c>
      <c r="BM2725" s="3">
        <v>8.85</v>
      </c>
      <c r="BN2725" s="3">
        <v>67.849999999999994</v>
      </c>
      <c r="BO2725" s="3">
        <v>67.849999999999994</v>
      </c>
      <c r="BQ2725" s="3" t="s">
        <v>83</v>
      </c>
      <c r="BR2725" s="3" t="s">
        <v>364</v>
      </c>
      <c r="BS2725" s="4">
        <v>44567</v>
      </c>
      <c r="BT2725" s="5">
        <v>0.44375000000000003</v>
      </c>
      <c r="BU2725" s="3" t="s">
        <v>1542</v>
      </c>
      <c r="BV2725" s="3" t="s">
        <v>87</v>
      </c>
      <c r="BW2725" s="3" t="s">
        <v>353</v>
      </c>
      <c r="BX2725" s="3" t="s">
        <v>605</v>
      </c>
      <c r="BY2725" s="3">
        <v>1200</v>
      </c>
      <c r="BZ2725" s="3" t="s">
        <v>165</v>
      </c>
      <c r="CA2725" s="3" t="s">
        <v>357</v>
      </c>
      <c r="CC2725" s="3" t="s">
        <v>185</v>
      </c>
      <c r="CD2725" s="3">
        <v>5201</v>
      </c>
      <c r="CE2725" s="3" t="s">
        <v>93</v>
      </c>
      <c r="CF2725" s="4">
        <v>44567</v>
      </c>
      <c r="CI2725" s="3">
        <v>1</v>
      </c>
      <c r="CJ2725" s="3">
        <v>1</v>
      </c>
      <c r="CK2725" s="3">
        <v>21</v>
      </c>
      <c r="CL2725" s="3" t="s">
        <v>87</v>
      </c>
    </row>
    <row r="2726" spans="1:90" x14ac:dyDescent="0.2">
      <c r="A2726" s="3" t="s">
        <v>72</v>
      </c>
      <c r="B2726" s="3" t="s">
        <v>73</v>
      </c>
      <c r="C2726" s="3" t="s">
        <v>74</v>
      </c>
      <c r="E2726" s="3" t="str">
        <f>"FES1162843520"</f>
        <v>FES1162843520</v>
      </c>
      <c r="F2726" s="4">
        <v>44565</v>
      </c>
      <c r="G2726" s="3">
        <v>202207</v>
      </c>
      <c r="H2726" s="3" t="s">
        <v>75</v>
      </c>
      <c r="I2726" s="3" t="s">
        <v>76</v>
      </c>
      <c r="J2726" s="3" t="s">
        <v>77</v>
      </c>
      <c r="K2726" s="3" t="s">
        <v>78</v>
      </c>
      <c r="L2726" s="3" t="s">
        <v>107</v>
      </c>
      <c r="M2726" s="3" t="s">
        <v>108</v>
      </c>
      <c r="N2726" s="3" t="s">
        <v>109</v>
      </c>
      <c r="O2726" s="3" t="s">
        <v>82</v>
      </c>
      <c r="P2726" s="3" t="str">
        <f>"2170812324                    "</f>
        <v xml:space="preserve">2170812324                    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0</v>
      </c>
      <c r="W2726" s="3">
        <v>0</v>
      </c>
      <c r="X2726" s="3">
        <v>0</v>
      </c>
      <c r="Y2726" s="3">
        <v>0</v>
      </c>
      <c r="Z2726" s="3">
        <v>0</v>
      </c>
      <c r="AA2726" s="3">
        <v>0</v>
      </c>
      <c r="AB2726" s="3">
        <v>0</v>
      </c>
      <c r="AC2726" s="3">
        <v>0</v>
      </c>
      <c r="AD2726" s="3">
        <v>0</v>
      </c>
      <c r="AE2726" s="3">
        <v>0</v>
      </c>
      <c r="AF2726" s="3">
        <v>0</v>
      </c>
      <c r="AG2726" s="3">
        <v>0</v>
      </c>
      <c r="AH2726" s="3">
        <v>0</v>
      </c>
      <c r="AI2726" s="3">
        <v>0</v>
      </c>
      <c r="AJ2726" s="3">
        <v>0</v>
      </c>
      <c r="AK2726" s="3">
        <v>32.9</v>
      </c>
      <c r="AL2726" s="3">
        <v>0</v>
      </c>
      <c r="AM2726" s="3">
        <v>0</v>
      </c>
      <c r="AN2726" s="3">
        <v>0</v>
      </c>
      <c r="AO2726" s="3">
        <v>0</v>
      </c>
      <c r="AP2726" s="3">
        <v>0</v>
      </c>
      <c r="AQ2726" s="3">
        <v>0</v>
      </c>
      <c r="AR2726" s="3">
        <v>0</v>
      </c>
      <c r="AS2726" s="3">
        <v>0</v>
      </c>
      <c r="AT2726" s="3">
        <v>0</v>
      </c>
      <c r="AU2726" s="3">
        <v>0</v>
      </c>
      <c r="AV2726" s="3">
        <v>0</v>
      </c>
      <c r="AW2726" s="3">
        <v>0</v>
      </c>
      <c r="AX2726" s="3">
        <v>0</v>
      </c>
      <c r="AY2726" s="3">
        <v>0</v>
      </c>
      <c r="AZ2726" s="3">
        <v>0</v>
      </c>
      <c r="BA2726" s="3">
        <v>0</v>
      </c>
      <c r="BB2726" s="3">
        <v>0</v>
      </c>
      <c r="BC2726" s="3">
        <v>0</v>
      </c>
      <c r="BD2726" s="3">
        <v>0</v>
      </c>
      <c r="BE2726" s="3">
        <v>0</v>
      </c>
      <c r="BF2726" s="3">
        <v>0</v>
      </c>
      <c r="BG2726" s="3">
        <v>0</v>
      </c>
      <c r="BH2726" s="3">
        <v>1</v>
      </c>
      <c r="BI2726" s="3">
        <v>1</v>
      </c>
      <c r="BJ2726" s="3">
        <v>1.1000000000000001</v>
      </c>
      <c r="BK2726" s="3">
        <v>1.5</v>
      </c>
      <c r="BL2726" s="3">
        <v>117.26</v>
      </c>
      <c r="BM2726" s="3">
        <v>17.59</v>
      </c>
      <c r="BN2726" s="3">
        <v>134.85</v>
      </c>
      <c r="BO2726" s="3">
        <v>134.85</v>
      </c>
      <c r="BQ2726" s="3" t="s">
        <v>83</v>
      </c>
      <c r="BR2726" s="3" t="s">
        <v>308</v>
      </c>
      <c r="BS2726" s="4">
        <v>44566</v>
      </c>
      <c r="BT2726" s="5">
        <v>0.43472222222222223</v>
      </c>
      <c r="BU2726" s="3" t="s">
        <v>2614</v>
      </c>
      <c r="BV2726" s="3" t="s">
        <v>105</v>
      </c>
      <c r="BY2726" s="3">
        <v>5320</v>
      </c>
      <c r="BZ2726" s="3" t="s">
        <v>165</v>
      </c>
      <c r="CA2726" s="3" t="s">
        <v>394</v>
      </c>
      <c r="CC2726" s="3" t="s">
        <v>108</v>
      </c>
      <c r="CD2726" s="3">
        <v>6850</v>
      </c>
      <c r="CE2726" s="3" t="s">
        <v>86</v>
      </c>
      <c r="CF2726" s="4">
        <v>44567</v>
      </c>
      <c r="CI2726" s="3">
        <v>2</v>
      </c>
      <c r="CJ2726" s="3">
        <v>1</v>
      </c>
      <c r="CK2726" s="3">
        <v>23</v>
      </c>
      <c r="CL2726" s="3" t="s">
        <v>87</v>
      </c>
    </row>
    <row r="2727" spans="1:90" x14ac:dyDescent="0.2">
      <c r="A2727" s="3" t="s">
        <v>72</v>
      </c>
      <c r="B2727" s="3" t="s">
        <v>73</v>
      </c>
      <c r="C2727" s="3" t="s">
        <v>74</v>
      </c>
      <c r="E2727" s="3" t="str">
        <f>"FES1162843623"</f>
        <v>FES1162843623</v>
      </c>
      <c r="F2727" s="4">
        <v>44566</v>
      </c>
      <c r="G2727" s="3">
        <v>202207</v>
      </c>
      <c r="H2727" s="3" t="s">
        <v>75</v>
      </c>
      <c r="I2727" s="3" t="s">
        <v>76</v>
      </c>
      <c r="J2727" s="3" t="s">
        <v>77</v>
      </c>
      <c r="K2727" s="3" t="s">
        <v>78</v>
      </c>
      <c r="L2727" s="3" t="s">
        <v>138</v>
      </c>
      <c r="M2727" s="3" t="s">
        <v>139</v>
      </c>
      <c r="N2727" s="3" t="s">
        <v>140</v>
      </c>
      <c r="O2727" s="3" t="s">
        <v>82</v>
      </c>
      <c r="P2727" s="3" t="str">
        <f>"2170815699                    "</f>
        <v xml:space="preserve">2170815699                    </v>
      </c>
      <c r="Q2727" s="3">
        <v>0</v>
      </c>
      <c r="R2727" s="3">
        <v>0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  <c r="AE2727" s="3">
        <v>0</v>
      </c>
      <c r="AF2727" s="3">
        <v>0</v>
      </c>
      <c r="AG2727" s="3">
        <v>0</v>
      </c>
      <c r="AH2727" s="3">
        <v>0</v>
      </c>
      <c r="AI2727" s="3">
        <v>0</v>
      </c>
      <c r="AJ2727" s="3">
        <v>0</v>
      </c>
      <c r="AK2727" s="3">
        <v>46.36</v>
      </c>
      <c r="AL2727" s="3">
        <v>0</v>
      </c>
      <c r="AM2727" s="3">
        <v>0</v>
      </c>
      <c r="AN2727" s="3">
        <v>0</v>
      </c>
      <c r="AO2727" s="3">
        <v>0</v>
      </c>
      <c r="AP2727" s="3">
        <v>0</v>
      </c>
      <c r="AQ2727" s="3">
        <v>0</v>
      </c>
      <c r="AR2727" s="3">
        <v>0</v>
      </c>
      <c r="AS2727" s="3">
        <v>0</v>
      </c>
      <c r="AT2727" s="3">
        <v>0</v>
      </c>
      <c r="AU2727" s="3">
        <v>0</v>
      </c>
      <c r="AV2727" s="3">
        <v>0</v>
      </c>
      <c r="AW2727" s="3">
        <v>0</v>
      </c>
      <c r="AX2727" s="3">
        <v>0</v>
      </c>
      <c r="AY2727" s="3">
        <v>0</v>
      </c>
      <c r="AZ2727" s="3">
        <v>0</v>
      </c>
      <c r="BA2727" s="3">
        <v>0</v>
      </c>
      <c r="BB2727" s="3">
        <v>0</v>
      </c>
      <c r="BC2727" s="3">
        <v>0</v>
      </c>
      <c r="BD2727" s="3">
        <v>0</v>
      </c>
      <c r="BE2727" s="3">
        <v>0</v>
      </c>
      <c r="BF2727" s="3">
        <v>0</v>
      </c>
      <c r="BG2727" s="3">
        <v>0</v>
      </c>
      <c r="BH2727" s="3">
        <v>1</v>
      </c>
      <c r="BI2727" s="3">
        <v>6</v>
      </c>
      <c r="BJ2727" s="3">
        <v>4.0999999999999996</v>
      </c>
      <c r="BK2727" s="3">
        <v>6</v>
      </c>
      <c r="BL2727" s="3">
        <v>176.94</v>
      </c>
      <c r="BM2727" s="3">
        <v>26.54</v>
      </c>
      <c r="BN2727" s="3">
        <v>203.48</v>
      </c>
      <c r="BO2727" s="3">
        <v>203.48</v>
      </c>
      <c r="BQ2727" s="3" t="s">
        <v>126</v>
      </c>
      <c r="BR2727" s="3" t="s">
        <v>364</v>
      </c>
      <c r="BS2727" s="4">
        <v>44567</v>
      </c>
      <c r="BT2727" s="5">
        <v>0.36388888888888887</v>
      </c>
      <c r="BU2727" s="3" t="s">
        <v>819</v>
      </c>
      <c r="BV2727" s="3" t="s">
        <v>105</v>
      </c>
      <c r="BY2727" s="3">
        <v>20358</v>
      </c>
      <c r="BZ2727" s="3" t="s">
        <v>165</v>
      </c>
      <c r="CA2727" s="3" t="s">
        <v>334</v>
      </c>
      <c r="CC2727" s="3" t="s">
        <v>139</v>
      </c>
      <c r="CD2727" s="3">
        <v>3610</v>
      </c>
      <c r="CE2727" s="3" t="s">
        <v>86</v>
      </c>
      <c r="CF2727" s="4">
        <v>44572</v>
      </c>
      <c r="CI2727" s="3">
        <v>1</v>
      </c>
      <c r="CJ2727" s="3">
        <v>1</v>
      </c>
      <c r="CK2727" s="3">
        <v>21</v>
      </c>
      <c r="CL2727" s="3" t="s">
        <v>87</v>
      </c>
    </row>
    <row r="2728" spans="1:90" x14ac:dyDescent="0.2">
      <c r="A2728" s="3" t="s">
        <v>72</v>
      </c>
      <c r="B2728" s="3" t="s">
        <v>73</v>
      </c>
      <c r="C2728" s="3" t="s">
        <v>74</v>
      </c>
      <c r="E2728" s="3" t="str">
        <f>"FES1162843476"</f>
        <v>FES1162843476</v>
      </c>
      <c r="F2728" s="4">
        <v>44565</v>
      </c>
      <c r="G2728" s="3">
        <v>202207</v>
      </c>
      <c r="H2728" s="3" t="s">
        <v>75</v>
      </c>
      <c r="I2728" s="3" t="s">
        <v>76</v>
      </c>
      <c r="J2728" s="3" t="s">
        <v>77</v>
      </c>
      <c r="K2728" s="3" t="s">
        <v>78</v>
      </c>
      <c r="L2728" s="3" t="s">
        <v>94</v>
      </c>
      <c r="M2728" s="3" t="s">
        <v>95</v>
      </c>
      <c r="N2728" s="3" t="s">
        <v>96</v>
      </c>
      <c r="O2728" s="3" t="s">
        <v>82</v>
      </c>
      <c r="P2728" s="3" t="str">
        <f>"2170814377                    "</f>
        <v xml:space="preserve">2170814377                    </v>
      </c>
      <c r="Q2728" s="3">
        <v>0</v>
      </c>
      <c r="R2728" s="3">
        <v>0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  <c r="AE2728" s="3">
        <v>0</v>
      </c>
      <c r="AF2728" s="3">
        <v>0</v>
      </c>
      <c r="AG2728" s="3">
        <v>0</v>
      </c>
      <c r="AH2728" s="3">
        <v>0</v>
      </c>
      <c r="AI2728" s="3">
        <v>0</v>
      </c>
      <c r="AJ2728" s="3">
        <v>0</v>
      </c>
      <c r="AK2728" s="3">
        <v>50.93</v>
      </c>
      <c r="AL2728" s="3">
        <v>0</v>
      </c>
      <c r="AM2728" s="3">
        <v>0</v>
      </c>
      <c r="AN2728" s="3">
        <v>0</v>
      </c>
      <c r="AO2728" s="3">
        <v>0</v>
      </c>
      <c r="AP2728" s="3">
        <v>0</v>
      </c>
      <c r="AQ2728" s="3">
        <v>0</v>
      </c>
      <c r="AR2728" s="3">
        <v>0</v>
      </c>
      <c r="AS2728" s="3">
        <v>0</v>
      </c>
      <c r="AT2728" s="3">
        <v>0</v>
      </c>
      <c r="AU2728" s="3">
        <v>0</v>
      </c>
      <c r="AV2728" s="3">
        <v>0</v>
      </c>
      <c r="AW2728" s="3">
        <v>0</v>
      </c>
      <c r="AX2728" s="3">
        <v>0</v>
      </c>
      <c r="AY2728" s="3">
        <v>0</v>
      </c>
      <c r="AZ2728" s="3">
        <v>0</v>
      </c>
      <c r="BA2728" s="3">
        <v>0</v>
      </c>
      <c r="BB2728" s="3">
        <v>0</v>
      </c>
      <c r="BC2728" s="3">
        <v>0</v>
      </c>
      <c r="BD2728" s="3">
        <v>0</v>
      </c>
      <c r="BE2728" s="3">
        <v>0</v>
      </c>
      <c r="BF2728" s="3">
        <v>0</v>
      </c>
      <c r="BG2728" s="3">
        <v>0</v>
      </c>
      <c r="BH2728" s="3">
        <v>1</v>
      </c>
      <c r="BI2728" s="3">
        <v>6</v>
      </c>
      <c r="BJ2728" s="3">
        <v>2</v>
      </c>
      <c r="BK2728" s="3">
        <v>6</v>
      </c>
      <c r="BL2728" s="3">
        <v>181.51</v>
      </c>
      <c r="BM2728" s="3">
        <v>27.23</v>
      </c>
      <c r="BN2728" s="3">
        <v>208.74</v>
      </c>
      <c r="BO2728" s="3">
        <v>208.74</v>
      </c>
      <c r="BQ2728" s="3" t="s">
        <v>89</v>
      </c>
      <c r="BR2728" s="3" t="s">
        <v>308</v>
      </c>
      <c r="BS2728" s="4">
        <v>44566</v>
      </c>
      <c r="BT2728" s="5">
        <v>0.55972222222222223</v>
      </c>
      <c r="BU2728" s="3" t="s">
        <v>2577</v>
      </c>
      <c r="BV2728" s="3" t="s">
        <v>87</v>
      </c>
      <c r="BY2728" s="3">
        <v>9918</v>
      </c>
      <c r="BZ2728" s="3" t="s">
        <v>165</v>
      </c>
      <c r="CA2728" s="3" t="s">
        <v>328</v>
      </c>
      <c r="CC2728" s="3" t="s">
        <v>95</v>
      </c>
      <c r="CD2728" s="3">
        <v>3201</v>
      </c>
      <c r="CE2728" s="3" t="s">
        <v>86</v>
      </c>
      <c r="CF2728" s="4">
        <v>44568</v>
      </c>
      <c r="CI2728" s="3">
        <v>1</v>
      </c>
      <c r="CJ2728" s="3">
        <v>1</v>
      </c>
      <c r="CK2728" s="3">
        <v>21</v>
      </c>
      <c r="CL2728" s="3" t="s">
        <v>87</v>
      </c>
    </row>
    <row r="2729" spans="1:90" x14ac:dyDescent="0.2">
      <c r="A2729" s="3" t="s">
        <v>72</v>
      </c>
      <c r="B2729" s="3" t="s">
        <v>73</v>
      </c>
      <c r="C2729" s="3" t="s">
        <v>74</v>
      </c>
      <c r="E2729" s="3" t="str">
        <f>"FES1162843482"</f>
        <v>FES1162843482</v>
      </c>
      <c r="F2729" s="4">
        <v>44565</v>
      </c>
      <c r="G2729" s="3">
        <v>202207</v>
      </c>
      <c r="H2729" s="3" t="s">
        <v>75</v>
      </c>
      <c r="I2729" s="3" t="s">
        <v>76</v>
      </c>
      <c r="J2729" s="3" t="s">
        <v>77</v>
      </c>
      <c r="K2729" s="3" t="s">
        <v>78</v>
      </c>
      <c r="L2729" s="3" t="s">
        <v>75</v>
      </c>
      <c r="M2729" s="3" t="s">
        <v>76</v>
      </c>
      <c r="N2729" s="3" t="s">
        <v>1599</v>
      </c>
      <c r="O2729" s="3" t="s">
        <v>82</v>
      </c>
      <c r="P2729" s="3" t="str">
        <f>"2170814449                    "</f>
        <v xml:space="preserve">2170814449                    </v>
      </c>
      <c r="Q2729" s="3">
        <v>0</v>
      </c>
      <c r="R2729" s="3">
        <v>0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  <c r="AE2729" s="3">
        <v>0</v>
      </c>
      <c r="AF2729" s="3">
        <v>0</v>
      </c>
      <c r="AG2729" s="3">
        <v>0</v>
      </c>
      <c r="AH2729" s="3">
        <v>0</v>
      </c>
      <c r="AI2729" s="3">
        <v>0</v>
      </c>
      <c r="AJ2729" s="3">
        <v>0</v>
      </c>
      <c r="AK2729" s="3">
        <v>13.26</v>
      </c>
      <c r="AL2729" s="3">
        <v>0</v>
      </c>
      <c r="AM2729" s="3">
        <v>0</v>
      </c>
      <c r="AN2729" s="3">
        <v>0</v>
      </c>
      <c r="AO2729" s="3">
        <v>0</v>
      </c>
      <c r="AP2729" s="3">
        <v>0</v>
      </c>
      <c r="AQ2729" s="3">
        <v>0</v>
      </c>
      <c r="AR2729" s="3">
        <v>0</v>
      </c>
      <c r="AS2729" s="3">
        <v>0</v>
      </c>
      <c r="AT2729" s="3">
        <v>0</v>
      </c>
      <c r="AU2729" s="3">
        <v>0</v>
      </c>
      <c r="AV2729" s="3">
        <v>0</v>
      </c>
      <c r="AW2729" s="3">
        <v>0</v>
      </c>
      <c r="AX2729" s="3">
        <v>0</v>
      </c>
      <c r="AY2729" s="3">
        <v>0</v>
      </c>
      <c r="AZ2729" s="3">
        <v>0</v>
      </c>
      <c r="BA2729" s="3">
        <v>0</v>
      </c>
      <c r="BB2729" s="3">
        <v>0</v>
      </c>
      <c r="BC2729" s="3">
        <v>0</v>
      </c>
      <c r="BD2729" s="3">
        <v>0</v>
      </c>
      <c r="BE2729" s="3">
        <v>0</v>
      </c>
      <c r="BF2729" s="3">
        <v>0</v>
      </c>
      <c r="BG2729" s="3">
        <v>0</v>
      </c>
      <c r="BH2729" s="3">
        <v>1</v>
      </c>
      <c r="BI2729" s="3">
        <v>1</v>
      </c>
      <c r="BJ2729" s="3">
        <v>0.2</v>
      </c>
      <c r="BK2729" s="3">
        <v>1</v>
      </c>
      <c r="BL2729" s="3">
        <v>47.27</v>
      </c>
      <c r="BM2729" s="3">
        <v>7.09</v>
      </c>
      <c r="BN2729" s="3">
        <v>54.36</v>
      </c>
      <c r="BO2729" s="3">
        <v>54.36</v>
      </c>
      <c r="BQ2729" s="3" t="s">
        <v>83</v>
      </c>
      <c r="BR2729" s="3" t="s">
        <v>308</v>
      </c>
      <c r="BS2729" s="4">
        <v>44566</v>
      </c>
      <c r="BT2729" s="5">
        <v>0.43263888888888885</v>
      </c>
      <c r="BU2729" s="3" t="s">
        <v>2615</v>
      </c>
      <c r="BV2729" s="3" t="s">
        <v>105</v>
      </c>
      <c r="BY2729" s="3">
        <v>1200</v>
      </c>
      <c r="BZ2729" s="3" t="s">
        <v>165</v>
      </c>
      <c r="CA2729" s="3" t="s">
        <v>477</v>
      </c>
      <c r="CC2729" s="3" t="s">
        <v>76</v>
      </c>
      <c r="CD2729" s="3">
        <v>1645</v>
      </c>
      <c r="CE2729" s="3" t="s">
        <v>93</v>
      </c>
      <c r="CF2729" s="4">
        <v>44566</v>
      </c>
      <c r="CI2729" s="3">
        <v>1</v>
      </c>
      <c r="CJ2729" s="3">
        <v>1</v>
      </c>
      <c r="CK2729" s="3">
        <v>22</v>
      </c>
      <c r="CL2729" s="3" t="s">
        <v>87</v>
      </c>
    </row>
    <row r="2730" spans="1:90" x14ac:dyDescent="0.2">
      <c r="A2730" s="3" t="s">
        <v>72</v>
      </c>
      <c r="B2730" s="3" t="s">
        <v>73</v>
      </c>
      <c r="C2730" s="3" t="s">
        <v>74</v>
      </c>
      <c r="E2730" s="3" t="str">
        <f>"FES1162843467"</f>
        <v>FES1162843467</v>
      </c>
      <c r="F2730" s="4">
        <v>44565</v>
      </c>
      <c r="G2730" s="3">
        <v>202207</v>
      </c>
      <c r="H2730" s="3" t="s">
        <v>75</v>
      </c>
      <c r="I2730" s="3" t="s">
        <v>76</v>
      </c>
      <c r="J2730" s="3" t="s">
        <v>77</v>
      </c>
      <c r="K2730" s="3" t="s">
        <v>78</v>
      </c>
      <c r="L2730" s="3" t="s">
        <v>79</v>
      </c>
      <c r="M2730" s="3" t="s">
        <v>80</v>
      </c>
      <c r="N2730" s="3" t="s">
        <v>215</v>
      </c>
      <c r="O2730" s="3" t="s">
        <v>82</v>
      </c>
      <c r="P2730" s="3" t="str">
        <f>"2170814020                    "</f>
        <v xml:space="preserve">2170814020                    </v>
      </c>
      <c r="Q2730" s="3">
        <v>0</v>
      </c>
      <c r="R2730" s="3">
        <v>0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  <c r="AE2730" s="3">
        <v>0</v>
      </c>
      <c r="AF2730" s="3">
        <v>0</v>
      </c>
      <c r="AG2730" s="3">
        <v>0</v>
      </c>
      <c r="AH2730" s="3">
        <v>0</v>
      </c>
      <c r="AI2730" s="3">
        <v>0</v>
      </c>
      <c r="AJ2730" s="3">
        <v>0</v>
      </c>
      <c r="AK2730" s="3">
        <v>16.98</v>
      </c>
      <c r="AL2730" s="3">
        <v>0</v>
      </c>
      <c r="AM2730" s="3">
        <v>0</v>
      </c>
      <c r="AN2730" s="3">
        <v>0</v>
      </c>
      <c r="AO2730" s="3">
        <v>0</v>
      </c>
      <c r="AP2730" s="3">
        <v>0</v>
      </c>
      <c r="AQ2730" s="3">
        <v>0</v>
      </c>
      <c r="AR2730" s="3">
        <v>0</v>
      </c>
      <c r="AS2730" s="3">
        <v>0</v>
      </c>
      <c r="AT2730" s="3">
        <v>0</v>
      </c>
      <c r="AU2730" s="3">
        <v>0</v>
      </c>
      <c r="AV2730" s="3">
        <v>0</v>
      </c>
      <c r="AW2730" s="3">
        <v>0</v>
      </c>
      <c r="AX2730" s="3">
        <v>0</v>
      </c>
      <c r="AY2730" s="3">
        <v>0</v>
      </c>
      <c r="AZ2730" s="3">
        <v>0</v>
      </c>
      <c r="BA2730" s="3">
        <v>0</v>
      </c>
      <c r="BB2730" s="3">
        <v>0</v>
      </c>
      <c r="BC2730" s="3">
        <v>0</v>
      </c>
      <c r="BD2730" s="3">
        <v>0</v>
      </c>
      <c r="BE2730" s="3">
        <v>0</v>
      </c>
      <c r="BF2730" s="3">
        <v>0</v>
      </c>
      <c r="BG2730" s="3">
        <v>0</v>
      </c>
      <c r="BH2730" s="3">
        <v>1</v>
      </c>
      <c r="BI2730" s="3">
        <v>1</v>
      </c>
      <c r="BJ2730" s="3">
        <v>0.2</v>
      </c>
      <c r="BK2730" s="3">
        <v>1</v>
      </c>
      <c r="BL2730" s="3">
        <v>60.52</v>
      </c>
      <c r="BM2730" s="3">
        <v>9.08</v>
      </c>
      <c r="BN2730" s="3">
        <v>69.599999999999994</v>
      </c>
      <c r="BO2730" s="3">
        <v>69.599999999999994</v>
      </c>
      <c r="BQ2730" s="3" t="s">
        <v>216</v>
      </c>
      <c r="BR2730" s="3" t="s">
        <v>308</v>
      </c>
      <c r="BS2730" s="4">
        <v>44566</v>
      </c>
      <c r="BT2730" s="5">
        <v>0.41666666666666669</v>
      </c>
      <c r="BU2730" s="3" t="s">
        <v>1801</v>
      </c>
      <c r="BV2730" s="3" t="s">
        <v>105</v>
      </c>
      <c r="BY2730" s="3">
        <v>1200</v>
      </c>
      <c r="BZ2730" s="3" t="s">
        <v>165</v>
      </c>
      <c r="CA2730" s="3" t="s">
        <v>759</v>
      </c>
      <c r="CC2730" s="3" t="s">
        <v>80</v>
      </c>
      <c r="CD2730" s="3">
        <v>84</v>
      </c>
      <c r="CE2730" s="3" t="s">
        <v>93</v>
      </c>
      <c r="CF2730" s="4">
        <v>44566</v>
      </c>
      <c r="CI2730" s="3">
        <v>1</v>
      </c>
      <c r="CJ2730" s="3">
        <v>1</v>
      </c>
      <c r="CK2730" s="3">
        <v>21</v>
      </c>
      <c r="CL2730" s="3" t="s">
        <v>87</v>
      </c>
    </row>
    <row r="2731" spans="1:90" x14ac:dyDescent="0.2">
      <c r="A2731" s="3" t="s">
        <v>72</v>
      </c>
      <c r="B2731" s="3" t="s">
        <v>73</v>
      </c>
      <c r="C2731" s="3" t="s">
        <v>74</v>
      </c>
      <c r="E2731" s="3" t="str">
        <f>"FES1162843455"</f>
        <v>FES1162843455</v>
      </c>
      <c r="F2731" s="4">
        <v>44565</v>
      </c>
      <c r="G2731" s="3">
        <v>202207</v>
      </c>
      <c r="H2731" s="3" t="s">
        <v>75</v>
      </c>
      <c r="I2731" s="3" t="s">
        <v>76</v>
      </c>
      <c r="J2731" s="3" t="s">
        <v>77</v>
      </c>
      <c r="K2731" s="3" t="s">
        <v>78</v>
      </c>
      <c r="L2731" s="3" t="s">
        <v>138</v>
      </c>
      <c r="M2731" s="3" t="s">
        <v>139</v>
      </c>
      <c r="N2731" s="3" t="s">
        <v>621</v>
      </c>
      <c r="O2731" s="3" t="s">
        <v>82</v>
      </c>
      <c r="P2731" s="3" t="str">
        <f>"2170813868                    "</f>
        <v xml:space="preserve">2170813868                    </v>
      </c>
      <c r="Q2731" s="3">
        <v>0</v>
      </c>
      <c r="R2731" s="3">
        <v>0</v>
      </c>
      <c r="S2731" s="3">
        <v>0</v>
      </c>
      <c r="T2731" s="3">
        <v>0</v>
      </c>
      <c r="U2731" s="3">
        <v>0</v>
      </c>
      <c r="V2731" s="3">
        <v>0</v>
      </c>
      <c r="W2731" s="3">
        <v>0</v>
      </c>
      <c r="X2731" s="3">
        <v>0</v>
      </c>
      <c r="Y2731" s="3">
        <v>0</v>
      </c>
      <c r="Z2731" s="3">
        <v>0</v>
      </c>
      <c r="AA2731" s="3">
        <v>0</v>
      </c>
      <c r="AB2731" s="3">
        <v>0</v>
      </c>
      <c r="AC2731" s="3">
        <v>0</v>
      </c>
      <c r="AD2731" s="3">
        <v>0</v>
      </c>
      <c r="AE2731" s="3">
        <v>0</v>
      </c>
      <c r="AF2731" s="3">
        <v>0</v>
      </c>
      <c r="AG2731" s="3">
        <v>0</v>
      </c>
      <c r="AH2731" s="3">
        <v>0</v>
      </c>
      <c r="AI2731" s="3">
        <v>0</v>
      </c>
      <c r="AJ2731" s="3">
        <v>0</v>
      </c>
      <c r="AK2731" s="3">
        <v>16.98</v>
      </c>
      <c r="AL2731" s="3">
        <v>0</v>
      </c>
      <c r="AM2731" s="3">
        <v>0</v>
      </c>
      <c r="AN2731" s="3">
        <v>0</v>
      </c>
      <c r="AO2731" s="3">
        <v>0</v>
      </c>
      <c r="AP2731" s="3">
        <v>0</v>
      </c>
      <c r="AQ2731" s="3">
        <v>0</v>
      </c>
      <c r="AR2731" s="3">
        <v>0</v>
      </c>
      <c r="AS2731" s="3">
        <v>0</v>
      </c>
      <c r="AT2731" s="3">
        <v>0</v>
      </c>
      <c r="AU2731" s="3">
        <v>0</v>
      </c>
      <c r="AV2731" s="3">
        <v>0</v>
      </c>
      <c r="AW2731" s="3">
        <v>0</v>
      </c>
      <c r="AX2731" s="3">
        <v>0</v>
      </c>
      <c r="AY2731" s="3">
        <v>0</v>
      </c>
      <c r="AZ2731" s="3">
        <v>0</v>
      </c>
      <c r="BA2731" s="3">
        <v>0</v>
      </c>
      <c r="BB2731" s="3">
        <v>0</v>
      </c>
      <c r="BC2731" s="3">
        <v>0</v>
      </c>
      <c r="BD2731" s="3">
        <v>0</v>
      </c>
      <c r="BE2731" s="3">
        <v>0</v>
      </c>
      <c r="BF2731" s="3">
        <v>0</v>
      </c>
      <c r="BG2731" s="3">
        <v>0</v>
      </c>
      <c r="BH2731" s="3">
        <v>1</v>
      </c>
      <c r="BI2731" s="3">
        <v>1</v>
      </c>
      <c r="BJ2731" s="3">
        <v>0.2</v>
      </c>
      <c r="BK2731" s="3">
        <v>1</v>
      </c>
      <c r="BL2731" s="3">
        <v>60.52</v>
      </c>
      <c r="BM2731" s="3">
        <v>9.08</v>
      </c>
      <c r="BN2731" s="3">
        <v>69.599999999999994</v>
      </c>
      <c r="BO2731" s="3">
        <v>69.599999999999994</v>
      </c>
      <c r="BQ2731" s="3" t="s">
        <v>83</v>
      </c>
      <c r="BR2731" s="3" t="s">
        <v>308</v>
      </c>
      <c r="BS2731" s="4">
        <v>44566</v>
      </c>
      <c r="BT2731" s="5">
        <v>0.50902777777777775</v>
      </c>
      <c r="BU2731" s="3" t="s">
        <v>2616</v>
      </c>
      <c r="BV2731" s="3" t="s">
        <v>105</v>
      </c>
      <c r="BY2731" s="3">
        <v>1200</v>
      </c>
      <c r="BZ2731" s="3" t="s">
        <v>165</v>
      </c>
      <c r="CA2731" s="3" t="s">
        <v>303</v>
      </c>
      <c r="CC2731" s="3" t="s">
        <v>139</v>
      </c>
      <c r="CD2731" s="3">
        <v>3610</v>
      </c>
      <c r="CE2731" s="3" t="s">
        <v>93</v>
      </c>
      <c r="CF2731" s="4">
        <v>44566</v>
      </c>
      <c r="CI2731" s="3">
        <v>1</v>
      </c>
      <c r="CJ2731" s="3">
        <v>1</v>
      </c>
      <c r="CK2731" s="3">
        <v>21</v>
      </c>
      <c r="CL2731" s="3" t="s">
        <v>87</v>
      </c>
    </row>
    <row r="2732" spans="1:90" x14ac:dyDescent="0.2">
      <c r="A2732" s="3" t="s">
        <v>72</v>
      </c>
      <c r="B2732" s="3" t="s">
        <v>73</v>
      </c>
      <c r="C2732" s="3" t="s">
        <v>74</v>
      </c>
      <c r="E2732" s="3" t="str">
        <f>"FES1162843501"</f>
        <v>FES1162843501</v>
      </c>
      <c r="F2732" s="4">
        <v>44565</v>
      </c>
      <c r="G2732" s="3">
        <v>202207</v>
      </c>
      <c r="H2732" s="3" t="s">
        <v>75</v>
      </c>
      <c r="I2732" s="3" t="s">
        <v>76</v>
      </c>
      <c r="J2732" s="3" t="s">
        <v>77</v>
      </c>
      <c r="K2732" s="3" t="s">
        <v>78</v>
      </c>
      <c r="L2732" s="3" t="s">
        <v>110</v>
      </c>
      <c r="M2732" s="3" t="s">
        <v>110</v>
      </c>
      <c r="N2732" s="3" t="s">
        <v>146</v>
      </c>
      <c r="O2732" s="3" t="s">
        <v>82</v>
      </c>
      <c r="P2732" s="3" t="str">
        <f>"2170815607                    "</f>
        <v xml:space="preserve">2170815607                    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  <c r="AE2732" s="3">
        <v>0</v>
      </c>
      <c r="AF2732" s="3">
        <v>0</v>
      </c>
      <c r="AG2732" s="3">
        <v>0</v>
      </c>
      <c r="AH2732" s="3">
        <v>0</v>
      </c>
      <c r="AI2732" s="3">
        <v>0</v>
      </c>
      <c r="AJ2732" s="3">
        <v>0</v>
      </c>
      <c r="AK2732" s="3">
        <v>32.9</v>
      </c>
      <c r="AL2732" s="3">
        <v>0</v>
      </c>
      <c r="AM2732" s="3">
        <v>0</v>
      </c>
      <c r="AN2732" s="3">
        <v>0</v>
      </c>
      <c r="AO2732" s="3">
        <v>0</v>
      </c>
      <c r="AP2732" s="3">
        <v>0</v>
      </c>
      <c r="AQ2732" s="3">
        <v>0</v>
      </c>
      <c r="AR2732" s="3">
        <v>0</v>
      </c>
      <c r="AS2732" s="3">
        <v>0</v>
      </c>
      <c r="AT2732" s="3">
        <v>0</v>
      </c>
      <c r="AU2732" s="3">
        <v>0</v>
      </c>
      <c r="AV2732" s="3">
        <v>0</v>
      </c>
      <c r="AW2732" s="3">
        <v>0</v>
      </c>
      <c r="AX2732" s="3">
        <v>0</v>
      </c>
      <c r="AY2732" s="3">
        <v>0</v>
      </c>
      <c r="AZ2732" s="3">
        <v>0</v>
      </c>
      <c r="BA2732" s="3">
        <v>0</v>
      </c>
      <c r="BB2732" s="3">
        <v>0</v>
      </c>
      <c r="BC2732" s="3">
        <v>0</v>
      </c>
      <c r="BD2732" s="3">
        <v>0</v>
      </c>
      <c r="BE2732" s="3">
        <v>0</v>
      </c>
      <c r="BF2732" s="3">
        <v>0</v>
      </c>
      <c r="BG2732" s="3">
        <v>0</v>
      </c>
      <c r="BH2732" s="3">
        <v>1</v>
      </c>
      <c r="BI2732" s="3">
        <v>1</v>
      </c>
      <c r="BJ2732" s="3">
        <v>0.2</v>
      </c>
      <c r="BK2732" s="3">
        <v>1</v>
      </c>
      <c r="BL2732" s="3">
        <v>117.26</v>
      </c>
      <c r="BM2732" s="3">
        <v>17.59</v>
      </c>
      <c r="BN2732" s="3">
        <v>134.85</v>
      </c>
      <c r="BO2732" s="3">
        <v>134.85</v>
      </c>
      <c r="BQ2732" s="3" t="s">
        <v>89</v>
      </c>
      <c r="BR2732" s="3" t="s">
        <v>308</v>
      </c>
      <c r="BS2732" s="4">
        <v>44566</v>
      </c>
      <c r="BT2732" s="5">
        <v>0.49236111111111108</v>
      </c>
      <c r="BU2732" s="3" t="s">
        <v>2560</v>
      </c>
      <c r="BV2732" s="3" t="s">
        <v>105</v>
      </c>
      <c r="BY2732" s="3">
        <v>1200</v>
      </c>
      <c r="BZ2732" s="3" t="s">
        <v>165</v>
      </c>
      <c r="CA2732" s="3" t="s">
        <v>360</v>
      </c>
      <c r="CC2732" s="3" t="s">
        <v>110</v>
      </c>
      <c r="CD2732" s="3">
        <v>7646</v>
      </c>
      <c r="CE2732" s="3" t="s">
        <v>93</v>
      </c>
      <c r="CF2732" s="4">
        <v>44567</v>
      </c>
      <c r="CI2732" s="3">
        <v>1</v>
      </c>
      <c r="CJ2732" s="3">
        <v>1</v>
      </c>
      <c r="CK2732" s="3">
        <v>23</v>
      </c>
      <c r="CL2732" s="3" t="s">
        <v>87</v>
      </c>
    </row>
    <row r="2733" spans="1:90" x14ac:dyDescent="0.2">
      <c r="A2733" s="3" t="s">
        <v>72</v>
      </c>
      <c r="B2733" s="3" t="s">
        <v>73</v>
      </c>
      <c r="C2733" s="3" t="s">
        <v>74</v>
      </c>
      <c r="E2733" s="3" t="str">
        <f>"FES1162843430"</f>
        <v>FES1162843430</v>
      </c>
      <c r="F2733" s="4">
        <v>44565</v>
      </c>
      <c r="G2733" s="3">
        <v>202207</v>
      </c>
      <c r="H2733" s="3" t="s">
        <v>75</v>
      </c>
      <c r="I2733" s="3" t="s">
        <v>76</v>
      </c>
      <c r="J2733" s="3" t="s">
        <v>77</v>
      </c>
      <c r="K2733" s="3" t="s">
        <v>78</v>
      </c>
      <c r="L2733" s="3" t="s">
        <v>142</v>
      </c>
      <c r="M2733" s="3" t="s">
        <v>143</v>
      </c>
      <c r="N2733" s="3" t="s">
        <v>337</v>
      </c>
      <c r="O2733" s="3" t="s">
        <v>82</v>
      </c>
      <c r="P2733" s="3" t="str">
        <f>"2170813529                    "</f>
        <v xml:space="preserve">2170813529                    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  <c r="W2733" s="3">
        <v>0</v>
      </c>
      <c r="X2733" s="3">
        <v>0</v>
      </c>
      <c r="Y2733" s="3">
        <v>0</v>
      </c>
      <c r="Z2733" s="3">
        <v>0</v>
      </c>
      <c r="AA2733" s="3">
        <v>0</v>
      </c>
      <c r="AB2733" s="3">
        <v>0</v>
      </c>
      <c r="AC2733" s="3">
        <v>0</v>
      </c>
      <c r="AD2733" s="3">
        <v>0</v>
      </c>
      <c r="AE2733" s="3">
        <v>0</v>
      </c>
      <c r="AF2733" s="3">
        <v>0</v>
      </c>
      <c r="AG2733" s="3">
        <v>0</v>
      </c>
      <c r="AH2733" s="3">
        <v>0</v>
      </c>
      <c r="AI2733" s="3">
        <v>0</v>
      </c>
      <c r="AJ2733" s="3">
        <v>0</v>
      </c>
      <c r="AK2733" s="3">
        <v>13.26</v>
      </c>
      <c r="AL2733" s="3">
        <v>0</v>
      </c>
      <c r="AM2733" s="3">
        <v>0</v>
      </c>
      <c r="AN2733" s="3">
        <v>0</v>
      </c>
      <c r="AO2733" s="3">
        <v>0</v>
      </c>
      <c r="AP2733" s="3">
        <v>0</v>
      </c>
      <c r="AQ2733" s="3">
        <v>0</v>
      </c>
      <c r="AR2733" s="3">
        <v>0</v>
      </c>
      <c r="AS2733" s="3">
        <v>0</v>
      </c>
      <c r="AT2733" s="3">
        <v>0</v>
      </c>
      <c r="AU2733" s="3">
        <v>0</v>
      </c>
      <c r="AV2733" s="3">
        <v>0</v>
      </c>
      <c r="AW2733" s="3">
        <v>0</v>
      </c>
      <c r="AX2733" s="3">
        <v>0</v>
      </c>
      <c r="AY2733" s="3">
        <v>0</v>
      </c>
      <c r="AZ2733" s="3">
        <v>0</v>
      </c>
      <c r="BA2733" s="3">
        <v>0</v>
      </c>
      <c r="BB2733" s="3">
        <v>0</v>
      </c>
      <c r="BC2733" s="3">
        <v>0</v>
      </c>
      <c r="BD2733" s="3">
        <v>0</v>
      </c>
      <c r="BE2733" s="3">
        <v>0</v>
      </c>
      <c r="BF2733" s="3">
        <v>0</v>
      </c>
      <c r="BG2733" s="3">
        <v>0</v>
      </c>
      <c r="BH2733" s="3">
        <v>1</v>
      </c>
      <c r="BI2733" s="3">
        <v>1</v>
      </c>
      <c r="BJ2733" s="3">
        <v>0.2</v>
      </c>
      <c r="BK2733" s="3">
        <v>1</v>
      </c>
      <c r="BL2733" s="3">
        <v>47.27</v>
      </c>
      <c r="BM2733" s="3">
        <v>7.09</v>
      </c>
      <c r="BN2733" s="3">
        <v>54.36</v>
      </c>
      <c r="BO2733" s="3">
        <v>54.36</v>
      </c>
      <c r="BQ2733" s="3" t="s">
        <v>89</v>
      </c>
      <c r="BR2733" s="3" t="s">
        <v>308</v>
      </c>
      <c r="BS2733" s="4">
        <v>44580</v>
      </c>
      <c r="BT2733" s="5">
        <v>0.4375</v>
      </c>
      <c r="BU2733" s="3" t="s">
        <v>2617</v>
      </c>
      <c r="BV2733" s="3" t="s">
        <v>87</v>
      </c>
      <c r="BW2733" s="3" t="s">
        <v>639</v>
      </c>
      <c r="BX2733" s="3" t="s">
        <v>377</v>
      </c>
      <c r="BY2733" s="3">
        <v>1200</v>
      </c>
      <c r="BZ2733" s="3" t="s">
        <v>165</v>
      </c>
      <c r="CA2733" s="3" t="s">
        <v>635</v>
      </c>
      <c r="CC2733" s="3" t="s">
        <v>143</v>
      </c>
      <c r="CD2733" s="3">
        <v>1451</v>
      </c>
      <c r="CE2733" s="3" t="s">
        <v>93</v>
      </c>
      <c r="CF2733" s="4">
        <v>44580</v>
      </c>
      <c r="CI2733" s="3">
        <v>1</v>
      </c>
      <c r="CJ2733" s="3">
        <v>11</v>
      </c>
      <c r="CK2733" s="3">
        <v>22</v>
      </c>
      <c r="CL2733" s="3" t="s">
        <v>87</v>
      </c>
    </row>
    <row r="2734" spans="1:90" x14ac:dyDescent="0.2">
      <c r="A2734" s="3" t="s">
        <v>72</v>
      </c>
      <c r="B2734" s="3" t="s">
        <v>73</v>
      </c>
      <c r="C2734" s="3" t="s">
        <v>74</v>
      </c>
      <c r="E2734" s="3" t="str">
        <f>"FES1162843442"</f>
        <v>FES1162843442</v>
      </c>
      <c r="F2734" s="4">
        <v>44565</v>
      </c>
      <c r="G2734" s="3">
        <v>202207</v>
      </c>
      <c r="H2734" s="3" t="s">
        <v>75</v>
      </c>
      <c r="I2734" s="3" t="s">
        <v>76</v>
      </c>
      <c r="J2734" s="3" t="s">
        <v>77</v>
      </c>
      <c r="K2734" s="3" t="s">
        <v>78</v>
      </c>
      <c r="L2734" s="3" t="s">
        <v>101</v>
      </c>
      <c r="M2734" s="3" t="s">
        <v>102</v>
      </c>
      <c r="N2734" s="3" t="s">
        <v>272</v>
      </c>
      <c r="O2734" s="3" t="s">
        <v>82</v>
      </c>
      <c r="P2734" s="3" t="str">
        <f>"2170813663                    "</f>
        <v xml:space="preserve">2170813663                    </v>
      </c>
      <c r="Q2734" s="3">
        <v>0</v>
      </c>
      <c r="R2734" s="3">
        <v>0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  <c r="AE2734" s="3">
        <v>0</v>
      </c>
      <c r="AF2734" s="3">
        <v>0</v>
      </c>
      <c r="AG2734" s="3">
        <v>0</v>
      </c>
      <c r="AH2734" s="3">
        <v>0</v>
      </c>
      <c r="AI2734" s="3">
        <v>0</v>
      </c>
      <c r="AJ2734" s="3">
        <v>0</v>
      </c>
      <c r="AK2734" s="3">
        <v>16.98</v>
      </c>
      <c r="AL2734" s="3">
        <v>0</v>
      </c>
      <c r="AM2734" s="3">
        <v>0</v>
      </c>
      <c r="AN2734" s="3">
        <v>0</v>
      </c>
      <c r="AO2734" s="3">
        <v>0</v>
      </c>
      <c r="AP2734" s="3">
        <v>0</v>
      </c>
      <c r="AQ2734" s="3">
        <v>0</v>
      </c>
      <c r="AR2734" s="3">
        <v>0</v>
      </c>
      <c r="AS2734" s="3">
        <v>0</v>
      </c>
      <c r="AT2734" s="3">
        <v>0</v>
      </c>
      <c r="AU2734" s="3">
        <v>0</v>
      </c>
      <c r="AV2734" s="3">
        <v>0</v>
      </c>
      <c r="AW2734" s="3">
        <v>0</v>
      </c>
      <c r="AX2734" s="3">
        <v>0</v>
      </c>
      <c r="AY2734" s="3">
        <v>0</v>
      </c>
      <c r="AZ2734" s="3">
        <v>0</v>
      </c>
      <c r="BA2734" s="3">
        <v>0</v>
      </c>
      <c r="BB2734" s="3">
        <v>0</v>
      </c>
      <c r="BC2734" s="3">
        <v>0</v>
      </c>
      <c r="BD2734" s="3">
        <v>0</v>
      </c>
      <c r="BE2734" s="3">
        <v>0</v>
      </c>
      <c r="BF2734" s="3">
        <v>0</v>
      </c>
      <c r="BG2734" s="3">
        <v>0</v>
      </c>
      <c r="BH2734" s="3">
        <v>1</v>
      </c>
      <c r="BI2734" s="3">
        <v>1</v>
      </c>
      <c r="BJ2734" s="3">
        <v>0.2</v>
      </c>
      <c r="BK2734" s="3">
        <v>1</v>
      </c>
      <c r="BL2734" s="3">
        <v>60.52</v>
      </c>
      <c r="BM2734" s="3">
        <v>9.08</v>
      </c>
      <c r="BN2734" s="3">
        <v>69.599999999999994</v>
      </c>
      <c r="BO2734" s="3">
        <v>69.599999999999994</v>
      </c>
      <c r="BQ2734" s="3" t="s">
        <v>273</v>
      </c>
      <c r="BR2734" s="3" t="s">
        <v>308</v>
      </c>
      <c r="BS2734" s="4">
        <v>44566</v>
      </c>
      <c r="BT2734" s="5">
        <v>0.4055555555555555</v>
      </c>
      <c r="BU2734" s="3" t="s">
        <v>274</v>
      </c>
      <c r="BV2734" s="3" t="s">
        <v>105</v>
      </c>
      <c r="BY2734" s="3">
        <v>1200</v>
      </c>
      <c r="BZ2734" s="3" t="s">
        <v>165</v>
      </c>
      <c r="CA2734" s="3" t="s">
        <v>275</v>
      </c>
      <c r="CC2734" s="3" t="s">
        <v>102</v>
      </c>
      <c r="CD2734" s="3">
        <v>4000</v>
      </c>
      <c r="CE2734" s="3" t="s">
        <v>93</v>
      </c>
      <c r="CF2734" s="4">
        <v>44566</v>
      </c>
      <c r="CI2734" s="3">
        <v>1</v>
      </c>
      <c r="CJ2734" s="3">
        <v>1</v>
      </c>
      <c r="CK2734" s="3">
        <v>21</v>
      </c>
      <c r="CL2734" s="3" t="s">
        <v>87</v>
      </c>
    </row>
    <row r="2735" spans="1:90" x14ac:dyDescent="0.2">
      <c r="A2735" s="3" t="s">
        <v>72</v>
      </c>
      <c r="B2735" s="3" t="s">
        <v>73</v>
      </c>
      <c r="C2735" s="3" t="s">
        <v>74</v>
      </c>
      <c r="E2735" s="3" t="str">
        <f>"FES1162843462"</f>
        <v>FES1162843462</v>
      </c>
      <c r="F2735" s="4">
        <v>44565</v>
      </c>
      <c r="G2735" s="3">
        <v>202207</v>
      </c>
      <c r="H2735" s="3" t="s">
        <v>75</v>
      </c>
      <c r="I2735" s="3" t="s">
        <v>76</v>
      </c>
      <c r="J2735" s="3" t="s">
        <v>77</v>
      </c>
      <c r="K2735" s="3" t="s">
        <v>78</v>
      </c>
      <c r="L2735" s="3" t="s">
        <v>75</v>
      </c>
      <c r="M2735" s="3" t="s">
        <v>76</v>
      </c>
      <c r="N2735" s="3" t="s">
        <v>153</v>
      </c>
      <c r="O2735" s="3" t="s">
        <v>82</v>
      </c>
      <c r="P2735" s="3" t="str">
        <f>"2170813947                    "</f>
        <v xml:space="preserve">2170813947                    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  <c r="W2735" s="3">
        <v>0</v>
      </c>
      <c r="X2735" s="3">
        <v>0</v>
      </c>
      <c r="Y2735" s="3">
        <v>0</v>
      </c>
      <c r="Z2735" s="3">
        <v>0</v>
      </c>
      <c r="AA2735" s="3">
        <v>0</v>
      </c>
      <c r="AB2735" s="3">
        <v>0</v>
      </c>
      <c r="AC2735" s="3">
        <v>0</v>
      </c>
      <c r="AD2735" s="3">
        <v>0</v>
      </c>
      <c r="AE2735" s="3">
        <v>0</v>
      </c>
      <c r="AF2735" s="3">
        <v>0</v>
      </c>
      <c r="AG2735" s="3">
        <v>0</v>
      </c>
      <c r="AH2735" s="3">
        <v>0</v>
      </c>
      <c r="AI2735" s="3">
        <v>0</v>
      </c>
      <c r="AJ2735" s="3">
        <v>0</v>
      </c>
      <c r="AK2735" s="3">
        <v>13.26</v>
      </c>
      <c r="AL2735" s="3">
        <v>0</v>
      </c>
      <c r="AM2735" s="3">
        <v>0</v>
      </c>
      <c r="AN2735" s="3">
        <v>0</v>
      </c>
      <c r="AO2735" s="3">
        <v>0</v>
      </c>
      <c r="AP2735" s="3">
        <v>0</v>
      </c>
      <c r="AQ2735" s="3">
        <v>0</v>
      </c>
      <c r="AR2735" s="3">
        <v>0</v>
      </c>
      <c r="AS2735" s="3">
        <v>0</v>
      </c>
      <c r="AT2735" s="3">
        <v>0</v>
      </c>
      <c r="AU2735" s="3">
        <v>0</v>
      </c>
      <c r="AV2735" s="3">
        <v>0</v>
      </c>
      <c r="AW2735" s="3">
        <v>0</v>
      </c>
      <c r="AX2735" s="3">
        <v>0</v>
      </c>
      <c r="AY2735" s="3">
        <v>0</v>
      </c>
      <c r="AZ2735" s="3">
        <v>0</v>
      </c>
      <c r="BA2735" s="3">
        <v>0</v>
      </c>
      <c r="BB2735" s="3">
        <v>0</v>
      </c>
      <c r="BC2735" s="3">
        <v>0</v>
      </c>
      <c r="BD2735" s="3">
        <v>0</v>
      </c>
      <c r="BE2735" s="3">
        <v>0</v>
      </c>
      <c r="BF2735" s="3">
        <v>0</v>
      </c>
      <c r="BG2735" s="3">
        <v>0</v>
      </c>
      <c r="BH2735" s="3">
        <v>1</v>
      </c>
      <c r="BI2735" s="3">
        <v>1</v>
      </c>
      <c r="BJ2735" s="3">
        <v>0.2</v>
      </c>
      <c r="BK2735" s="3">
        <v>1</v>
      </c>
      <c r="BL2735" s="3">
        <v>47.27</v>
      </c>
      <c r="BM2735" s="3">
        <v>7.09</v>
      </c>
      <c r="BN2735" s="3">
        <v>54.36</v>
      </c>
      <c r="BO2735" s="3">
        <v>54.36</v>
      </c>
      <c r="BR2735" s="3" t="s">
        <v>308</v>
      </c>
      <c r="BS2735" s="4">
        <v>44566</v>
      </c>
      <c r="BT2735" s="5">
        <v>0.3833333333333333</v>
      </c>
      <c r="BU2735" s="3" t="s">
        <v>2566</v>
      </c>
      <c r="BV2735" s="3" t="s">
        <v>105</v>
      </c>
      <c r="BY2735" s="3">
        <v>1200</v>
      </c>
      <c r="BZ2735" s="3" t="s">
        <v>165</v>
      </c>
      <c r="CA2735" s="3" t="s">
        <v>227</v>
      </c>
      <c r="CC2735" s="3" t="s">
        <v>76</v>
      </c>
      <c r="CD2735" s="3">
        <v>1600</v>
      </c>
      <c r="CE2735" s="3" t="s">
        <v>93</v>
      </c>
      <c r="CF2735" s="4">
        <v>44566</v>
      </c>
      <c r="CI2735" s="3">
        <v>1</v>
      </c>
      <c r="CJ2735" s="3">
        <v>1</v>
      </c>
      <c r="CK2735" s="3">
        <v>22</v>
      </c>
      <c r="CL2735" s="3" t="s">
        <v>87</v>
      </c>
    </row>
    <row r="2736" spans="1:90" x14ac:dyDescent="0.2">
      <c r="A2736" s="3" t="s">
        <v>72</v>
      </c>
      <c r="B2736" s="3" t="s">
        <v>73</v>
      </c>
      <c r="C2736" s="3" t="s">
        <v>74</v>
      </c>
      <c r="E2736" s="3" t="str">
        <f>"FES1162843492"</f>
        <v>FES1162843492</v>
      </c>
      <c r="F2736" s="4">
        <v>44565</v>
      </c>
      <c r="G2736" s="3">
        <v>202207</v>
      </c>
      <c r="H2736" s="3" t="s">
        <v>75</v>
      </c>
      <c r="I2736" s="3" t="s">
        <v>76</v>
      </c>
      <c r="J2736" s="3" t="s">
        <v>77</v>
      </c>
      <c r="K2736" s="3" t="s">
        <v>78</v>
      </c>
      <c r="L2736" s="3" t="s">
        <v>101</v>
      </c>
      <c r="M2736" s="3" t="s">
        <v>102</v>
      </c>
      <c r="N2736" s="3" t="s">
        <v>103</v>
      </c>
      <c r="O2736" s="3" t="s">
        <v>82</v>
      </c>
      <c r="P2736" s="3" t="str">
        <f>"2170815086                    "</f>
        <v xml:space="preserve">2170815086                    </v>
      </c>
      <c r="Q2736" s="3">
        <v>0</v>
      </c>
      <c r="R2736" s="3">
        <v>0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  <c r="AE2736" s="3">
        <v>0</v>
      </c>
      <c r="AF2736" s="3">
        <v>0</v>
      </c>
      <c r="AG2736" s="3">
        <v>0</v>
      </c>
      <c r="AH2736" s="3">
        <v>0</v>
      </c>
      <c r="AI2736" s="3">
        <v>0</v>
      </c>
      <c r="AJ2736" s="3">
        <v>0</v>
      </c>
      <c r="AK2736" s="3">
        <v>16.98</v>
      </c>
      <c r="AL2736" s="3">
        <v>0</v>
      </c>
      <c r="AM2736" s="3">
        <v>0</v>
      </c>
      <c r="AN2736" s="3">
        <v>0</v>
      </c>
      <c r="AO2736" s="3">
        <v>0</v>
      </c>
      <c r="AP2736" s="3">
        <v>0</v>
      </c>
      <c r="AQ2736" s="3">
        <v>0</v>
      </c>
      <c r="AR2736" s="3">
        <v>0</v>
      </c>
      <c r="AS2736" s="3">
        <v>0</v>
      </c>
      <c r="AT2736" s="3">
        <v>0</v>
      </c>
      <c r="AU2736" s="3">
        <v>0</v>
      </c>
      <c r="AV2736" s="3">
        <v>0</v>
      </c>
      <c r="AW2736" s="3">
        <v>0</v>
      </c>
      <c r="AX2736" s="3">
        <v>0</v>
      </c>
      <c r="AY2736" s="3">
        <v>0</v>
      </c>
      <c r="AZ2736" s="3">
        <v>0</v>
      </c>
      <c r="BA2736" s="3">
        <v>0</v>
      </c>
      <c r="BB2736" s="3">
        <v>0</v>
      </c>
      <c r="BC2736" s="3">
        <v>0</v>
      </c>
      <c r="BD2736" s="3">
        <v>0</v>
      </c>
      <c r="BE2736" s="3">
        <v>0</v>
      </c>
      <c r="BF2736" s="3">
        <v>0</v>
      </c>
      <c r="BG2736" s="3">
        <v>0</v>
      </c>
      <c r="BH2736" s="3">
        <v>1</v>
      </c>
      <c r="BI2736" s="3">
        <v>1</v>
      </c>
      <c r="BJ2736" s="3">
        <v>0.2</v>
      </c>
      <c r="BK2736" s="3">
        <v>1</v>
      </c>
      <c r="BL2736" s="3">
        <v>60.52</v>
      </c>
      <c r="BM2736" s="3">
        <v>9.08</v>
      </c>
      <c r="BN2736" s="3">
        <v>69.599999999999994</v>
      </c>
      <c r="BO2736" s="3">
        <v>69.599999999999994</v>
      </c>
      <c r="BQ2736" s="3" t="s">
        <v>83</v>
      </c>
      <c r="BR2736" s="3" t="s">
        <v>308</v>
      </c>
      <c r="BS2736" s="4">
        <v>44566</v>
      </c>
      <c r="BT2736" s="5">
        <v>0.34097222222222223</v>
      </c>
      <c r="BU2736" s="3" t="s">
        <v>2618</v>
      </c>
      <c r="BV2736" s="3" t="s">
        <v>105</v>
      </c>
      <c r="BY2736" s="3">
        <v>1200</v>
      </c>
      <c r="BZ2736" s="3" t="s">
        <v>165</v>
      </c>
      <c r="CA2736" s="3" t="s">
        <v>334</v>
      </c>
      <c r="CC2736" s="3" t="s">
        <v>102</v>
      </c>
      <c r="CD2736" s="3">
        <v>4001</v>
      </c>
      <c r="CE2736" s="3" t="s">
        <v>93</v>
      </c>
      <c r="CF2736" s="4">
        <v>44566</v>
      </c>
      <c r="CI2736" s="3">
        <v>1</v>
      </c>
      <c r="CJ2736" s="3">
        <v>1</v>
      </c>
      <c r="CK2736" s="3">
        <v>21</v>
      </c>
      <c r="CL2736" s="3" t="s">
        <v>87</v>
      </c>
    </row>
    <row r="2737" spans="1:90" x14ac:dyDescent="0.2">
      <c r="A2737" s="3" t="s">
        <v>72</v>
      </c>
      <c r="B2737" s="3" t="s">
        <v>73</v>
      </c>
      <c r="C2737" s="3" t="s">
        <v>74</v>
      </c>
      <c r="E2737" s="3" t="str">
        <f>"FES1162843351"</f>
        <v>FES1162843351</v>
      </c>
      <c r="F2737" s="4">
        <v>44565</v>
      </c>
      <c r="G2737" s="3">
        <v>202207</v>
      </c>
      <c r="H2737" s="3" t="s">
        <v>75</v>
      </c>
      <c r="I2737" s="3" t="s">
        <v>76</v>
      </c>
      <c r="J2737" s="3" t="s">
        <v>77</v>
      </c>
      <c r="K2737" s="3" t="s">
        <v>78</v>
      </c>
      <c r="L2737" s="3" t="s">
        <v>133</v>
      </c>
      <c r="M2737" s="3" t="s">
        <v>134</v>
      </c>
      <c r="N2737" s="3" t="s">
        <v>1115</v>
      </c>
      <c r="O2737" s="3" t="s">
        <v>82</v>
      </c>
      <c r="P2737" s="3" t="str">
        <f>"2170815457                    "</f>
        <v xml:space="preserve">2170815457                    </v>
      </c>
      <c r="Q2737" s="3">
        <v>0</v>
      </c>
      <c r="R2737" s="3">
        <v>0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  <c r="AE2737" s="3">
        <v>0</v>
      </c>
      <c r="AF2737" s="3">
        <v>0</v>
      </c>
      <c r="AG2737" s="3">
        <v>0</v>
      </c>
      <c r="AH2737" s="3">
        <v>0</v>
      </c>
      <c r="AI2737" s="3">
        <v>0</v>
      </c>
      <c r="AJ2737" s="3">
        <v>0</v>
      </c>
      <c r="AK2737" s="3">
        <v>23.88</v>
      </c>
      <c r="AL2737" s="3">
        <v>0</v>
      </c>
      <c r="AM2737" s="3">
        <v>0</v>
      </c>
      <c r="AN2737" s="3">
        <v>0</v>
      </c>
      <c r="AO2737" s="3">
        <v>0</v>
      </c>
      <c r="AP2737" s="3">
        <v>0</v>
      </c>
      <c r="AQ2737" s="3">
        <v>0</v>
      </c>
      <c r="AR2737" s="3">
        <v>0</v>
      </c>
      <c r="AS2737" s="3">
        <v>0</v>
      </c>
      <c r="AT2737" s="3">
        <v>0</v>
      </c>
      <c r="AU2737" s="3">
        <v>0</v>
      </c>
      <c r="AV2737" s="3">
        <v>0</v>
      </c>
      <c r="AW2737" s="3">
        <v>0</v>
      </c>
      <c r="AX2737" s="3">
        <v>0</v>
      </c>
      <c r="AY2737" s="3">
        <v>0</v>
      </c>
      <c r="AZ2737" s="3">
        <v>0</v>
      </c>
      <c r="BA2737" s="3">
        <v>0</v>
      </c>
      <c r="BB2737" s="3">
        <v>0</v>
      </c>
      <c r="BC2737" s="3">
        <v>0</v>
      </c>
      <c r="BD2737" s="3">
        <v>0</v>
      </c>
      <c r="BE2737" s="3">
        <v>0</v>
      </c>
      <c r="BF2737" s="3">
        <v>0</v>
      </c>
      <c r="BG2737" s="3">
        <v>0</v>
      </c>
      <c r="BH2737" s="3">
        <v>1</v>
      </c>
      <c r="BI2737" s="3">
        <v>2</v>
      </c>
      <c r="BJ2737" s="3">
        <v>1.7</v>
      </c>
      <c r="BK2737" s="3">
        <v>2</v>
      </c>
      <c r="BL2737" s="3">
        <v>85.12</v>
      </c>
      <c r="BM2737" s="3">
        <v>12.77</v>
      </c>
      <c r="BN2737" s="3">
        <v>97.89</v>
      </c>
      <c r="BO2737" s="3">
        <v>97.89</v>
      </c>
      <c r="BQ2737" s="3" t="s">
        <v>89</v>
      </c>
      <c r="BR2737" s="3" t="s">
        <v>308</v>
      </c>
      <c r="BS2737" s="4">
        <v>44566</v>
      </c>
      <c r="BT2737" s="5">
        <v>0.37291666666666662</v>
      </c>
      <c r="BU2737" s="3" t="s">
        <v>2619</v>
      </c>
      <c r="BV2737" s="3" t="s">
        <v>105</v>
      </c>
      <c r="BY2737" s="3">
        <v>8400</v>
      </c>
      <c r="BZ2737" s="3" t="s">
        <v>165</v>
      </c>
      <c r="CA2737" s="3" t="s">
        <v>673</v>
      </c>
      <c r="CC2737" s="3" t="s">
        <v>134</v>
      </c>
      <c r="CD2737" s="3">
        <v>1900</v>
      </c>
      <c r="CE2737" s="3" t="s">
        <v>86</v>
      </c>
      <c r="CF2737" s="4">
        <v>44567</v>
      </c>
      <c r="CI2737" s="3">
        <v>1</v>
      </c>
      <c r="CJ2737" s="3">
        <v>1</v>
      </c>
      <c r="CK2737" s="3">
        <v>24</v>
      </c>
      <c r="CL2737" s="3" t="s">
        <v>87</v>
      </c>
    </row>
    <row r="2738" spans="1:90" x14ac:dyDescent="0.2">
      <c r="A2738" s="3" t="s">
        <v>72</v>
      </c>
      <c r="B2738" s="3" t="s">
        <v>73</v>
      </c>
      <c r="C2738" s="3" t="s">
        <v>74</v>
      </c>
      <c r="E2738" s="3" t="str">
        <f>"FES1162843529"</f>
        <v>FES1162843529</v>
      </c>
      <c r="F2738" s="4">
        <v>44565</v>
      </c>
      <c r="G2738" s="3">
        <v>202207</v>
      </c>
      <c r="H2738" s="3" t="s">
        <v>75</v>
      </c>
      <c r="I2738" s="3" t="s">
        <v>76</v>
      </c>
      <c r="J2738" s="3" t="s">
        <v>77</v>
      </c>
      <c r="K2738" s="3" t="s">
        <v>78</v>
      </c>
      <c r="L2738" s="3" t="s">
        <v>167</v>
      </c>
      <c r="M2738" s="3" t="s">
        <v>168</v>
      </c>
      <c r="N2738" s="3" t="s">
        <v>1532</v>
      </c>
      <c r="O2738" s="3" t="s">
        <v>148</v>
      </c>
      <c r="P2738" s="3" t="str">
        <f>"2170813748                    "</f>
        <v xml:space="preserve">2170813748                    </v>
      </c>
      <c r="Q2738" s="3">
        <v>0</v>
      </c>
      <c r="R2738" s="3">
        <v>0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  <c r="AE2738" s="3">
        <v>0</v>
      </c>
      <c r="AF2738" s="3">
        <v>0</v>
      </c>
      <c r="AG2738" s="3">
        <v>0</v>
      </c>
      <c r="AH2738" s="3">
        <v>0</v>
      </c>
      <c r="AI2738" s="3">
        <v>0</v>
      </c>
      <c r="AJ2738" s="3">
        <v>0</v>
      </c>
      <c r="AK2738" s="3">
        <v>49.08</v>
      </c>
      <c r="AL2738" s="3">
        <v>0</v>
      </c>
      <c r="AM2738" s="3">
        <v>0</v>
      </c>
      <c r="AN2738" s="3">
        <v>0</v>
      </c>
      <c r="AO2738" s="3">
        <v>0</v>
      </c>
      <c r="AP2738" s="3">
        <v>0</v>
      </c>
      <c r="AQ2738" s="3">
        <v>0</v>
      </c>
      <c r="AR2738" s="3">
        <v>0</v>
      </c>
      <c r="AS2738" s="3">
        <v>0</v>
      </c>
      <c r="AT2738" s="3">
        <v>0</v>
      </c>
      <c r="AU2738" s="3">
        <v>0</v>
      </c>
      <c r="AV2738" s="3">
        <v>0</v>
      </c>
      <c r="AW2738" s="3">
        <v>0</v>
      </c>
      <c r="AX2738" s="3">
        <v>0</v>
      </c>
      <c r="AY2738" s="3">
        <v>0</v>
      </c>
      <c r="AZ2738" s="3">
        <v>0</v>
      </c>
      <c r="BA2738" s="3">
        <v>0</v>
      </c>
      <c r="BB2738" s="3">
        <v>0</v>
      </c>
      <c r="BC2738" s="3">
        <v>0</v>
      </c>
      <c r="BD2738" s="3">
        <v>0</v>
      </c>
      <c r="BE2738" s="3">
        <v>0</v>
      </c>
      <c r="BF2738" s="3">
        <v>0</v>
      </c>
      <c r="BG2738" s="3">
        <v>0</v>
      </c>
      <c r="BH2738" s="3">
        <v>1</v>
      </c>
      <c r="BI2738" s="3">
        <v>27</v>
      </c>
      <c r="BJ2738" s="3">
        <v>16</v>
      </c>
      <c r="BK2738" s="3">
        <v>27</v>
      </c>
      <c r="BL2738" s="3">
        <v>180.17</v>
      </c>
      <c r="BM2738" s="3">
        <v>27.03</v>
      </c>
      <c r="BN2738" s="3">
        <v>207.2</v>
      </c>
      <c r="BO2738" s="3">
        <v>207.2</v>
      </c>
      <c r="BQ2738" s="3" t="s">
        <v>126</v>
      </c>
      <c r="BR2738" s="3" t="s">
        <v>308</v>
      </c>
      <c r="BS2738" s="4">
        <v>44578</v>
      </c>
      <c r="BT2738" s="5">
        <v>0.42986111111111108</v>
      </c>
      <c r="BU2738" s="3" t="s">
        <v>2620</v>
      </c>
      <c r="BV2738" s="3" t="s">
        <v>87</v>
      </c>
      <c r="BW2738" s="3" t="s">
        <v>457</v>
      </c>
      <c r="BX2738" s="3" t="s">
        <v>458</v>
      </c>
      <c r="BY2738" s="3">
        <v>80000</v>
      </c>
      <c r="BZ2738" s="3" t="s">
        <v>327</v>
      </c>
      <c r="CA2738" s="3" t="s">
        <v>1196</v>
      </c>
      <c r="CC2738" s="3" t="s">
        <v>168</v>
      </c>
      <c r="CD2738" s="3">
        <v>6229</v>
      </c>
      <c r="CE2738" s="3" t="s">
        <v>86</v>
      </c>
      <c r="CF2738" s="4">
        <v>44579</v>
      </c>
      <c r="CI2738" s="3">
        <v>2</v>
      </c>
      <c r="CJ2738" s="3">
        <v>9</v>
      </c>
      <c r="CK2738" s="3">
        <v>41</v>
      </c>
      <c r="CL2738" s="3" t="s">
        <v>87</v>
      </c>
    </row>
    <row r="2739" spans="1:90" x14ac:dyDescent="0.2">
      <c r="A2739" s="3" t="s">
        <v>72</v>
      </c>
      <c r="B2739" s="3" t="s">
        <v>73</v>
      </c>
      <c r="C2739" s="3" t="s">
        <v>74</v>
      </c>
      <c r="E2739" s="3" t="str">
        <f>"FES1162843340"</f>
        <v>FES1162843340</v>
      </c>
      <c r="F2739" s="4">
        <v>44565</v>
      </c>
      <c r="G2739" s="3">
        <v>202207</v>
      </c>
      <c r="H2739" s="3" t="s">
        <v>75</v>
      </c>
      <c r="I2739" s="3" t="s">
        <v>76</v>
      </c>
      <c r="J2739" s="3" t="s">
        <v>77</v>
      </c>
      <c r="K2739" s="3" t="s">
        <v>78</v>
      </c>
      <c r="L2739" s="3" t="s">
        <v>138</v>
      </c>
      <c r="M2739" s="3" t="s">
        <v>139</v>
      </c>
      <c r="N2739" s="3" t="s">
        <v>152</v>
      </c>
      <c r="O2739" s="3" t="s">
        <v>82</v>
      </c>
      <c r="P2739" s="3" t="str">
        <f>"2170815062                    "</f>
        <v xml:space="preserve">2170815062                    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  <c r="AE2739" s="3">
        <v>0</v>
      </c>
      <c r="AF2739" s="3">
        <v>0</v>
      </c>
      <c r="AG2739" s="3">
        <v>0</v>
      </c>
      <c r="AH2739" s="3">
        <v>0</v>
      </c>
      <c r="AI2739" s="3">
        <v>0</v>
      </c>
      <c r="AJ2739" s="3">
        <v>0</v>
      </c>
      <c r="AK2739" s="3">
        <v>16.98</v>
      </c>
      <c r="AL2739" s="3">
        <v>0</v>
      </c>
      <c r="AM2739" s="3">
        <v>0</v>
      </c>
      <c r="AN2739" s="3">
        <v>0</v>
      </c>
      <c r="AO2739" s="3">
        <v>0</v>
      </c>
      <c r="AP2739" s="3">
        <v>0</v>
      </c>
      <c r="AQ2739" s="3">
        <v>0</v>
      </c>
      <c r="AR2739" s="3">
        <v>0</v>
      </c>
      <c r="AS2739" s="3">
        <v>0</v>
      </c>
      <c r="AT2739" s="3">
        <v>0</v>
      </c>
      <c r="AU2739" s="3">
        <v>0</v>
      </c>
      <c r="AV2739" s="3">
        <v>0</v>
      </c>
      <c r="AW2739" s="3">
        <v>0</v>
      </c>
      <c r="AX2739" s="3">
        <v>0</v>
      </c>
      <c r="AY2739" s="3">
        <v>0</v>
      </c>
      <c r="AZ2739" s="3">
        <v>0</v>
      </c>
      <c r="BA2739" s="3">
        <v>0</v>
      </c>
      <c r="BB2739" s="3">
        <v>0</v>
      </c>
      <c r="BC2739" s="3">
        <v>0</v>
      </c>
      <c r="BD2739" s="3">
        <v>0</v>
      </c>
      <c r="BE2739" s="3">
        <v>0</v>
      </c>
      <c r="BF2739" s="3">
        <v>0</v>
      </c>
      <c r="BG2739" s="3">
        <v>0</v>
      </c>
      <c r="BH2739" s="3">
        <v>1</v>
      </c>
      <c r="BI2739" s="3">
        <v>1</v>
      </c>
      <c r="BJ2739" s="3">
        <v>2</v>
      </c>
      <c r="BK2739" s="3">
        <v>2</v>
      </c>
      <c r="BL2739" s="3">
        <v>60.52</v>
      </c>
      <c r="BM2739" s="3">
        <v>9.08</v>
      </c>
      <c r="BN2739" s="3">
        <v>69.599999999999994</v>
      </c>
      <c r="BO2739" s="3">
        <v>69.599999999999994</v>
      </c>
      <c r="BQ2739" s="3" t="s">
        <v>83</v>
      </c>
      <c r="BR2739" s="3" t="s">
        <v>308</v>
      </c>
      <c r="BS2739" s="4">
        <v>44566</v>
      </c>
      <c r="BT2739" s="5">
        <v>0.36458333333333331</v>
      </c>
      <c r="BU2739" s="3" t="s">
        <v>2582</v>
      </c>
      <c r="BV2739" s="3" t="s">
        <v>105</v>
      </c>
      <c r="BY2739" s="3">
        <v>9900</v>
      </c>
      <c r="BZ2739" s="3" t="s">
        <v>165</v>
      </c>
      <c r="CA2739" s="3" t="s">
        <v>303</v>
      </c>
      <c r="CC2739" s="3" t="s">
        <v>139</v>
      </c>
      <c r="CD2739" s="3">
        <v>3610</v>
      </c>
      <c r="CE2739" s="3" t="s">
        <v>86</v>
      </c>
      <c r="CF2739" s="4">
        <v>44566</v>
      </c>
      <c r="CI2739" s="3">
        <v>1</v>
      </c>
      <c r="CJ2739" s="3">
        <v>1</v>
      </c>
      <c r="CK2739" s="3">
        <v>21</v>
      </c>
      <c r="CL2739" s="3" t="s">
        <v>87</v>
      </c>
    </row>
    <row r="2740" spans="1:90" x14ac:dyDescent="0.2">
      <c r="A2740" s="3" t="s">
        <v>72</v>
      </c>
      <c r="B2740" s="3" t="s">
        <v>73</v>
      </c>
      <c r="C2740" s="3" t="s">
        <v>74</v>
      </c>
      <c r="E2740" s="3" t="str">
        <f>"FES1162843507"</f>
        <v>FES1162843507</v>
      </c>
      <c r="F2740" s="4">
        <v>44565</v>
      </c>
      <c r="G2740" s="3">
        <v>202207</v>
      </c>
      <c r="H2740" s="3" t="s">
        <v>75</v>
      </c>
      <c r="I2740" s="3" t="s">
        <v>76</v>
      </c>
      <c r="J2740" s="3" t="s">
        <v>77</v>
      </c>
      <c r="K2740" s="3" t="s">
        <v>78</v>
      </c>
      <c r="L2740" s="3" t="s">
        <v>90</v>
      </c>
      <c r="M2740" s="3" t="s">
        <v>91</v>
      </c>
      <c r="N2740" s="3" t="s">
        <v>132</v>
      </c>
      <c r="O2740" s="3" t="s">
        <v>82</v>
      </c>
      <c r="P2740" s="3" t="str">
        <f>"2170815614                    "</f>
        <v xml:space="preserve">2170815614                    </v>
      </c>
      <c r="Q2740" s="3">
        <v>0</v>
      </c>
      <c r="R2740" s="3">
        <v>0</v>
      </c>
      <c r="S2740" s="3">
        <v>0</v>
      </c>
      <c r="T2740" s="3">
        <v>0</v>
      </c>
      <c r="U2740" s="3">
        <v>0</v>
      </c>
      <c r="V2740" s="3">
        <v>0</v>
      </c>
      <c r="W2740" s="3">
        <v>0</v>
      </c>
      <c r="X2740" s="3">
        <v>0</v>
      </c>
      <c r="Y2740" s="3">
        <v>0</v>
      </c>
      <c r="Z2740" s="3">
        <v>0</v>
      </c>
      <c r="AA2740" s="3">
        <v>0</v>
      </c>
      <c r="AB2740" s="3">
        <v>0</v>
      </c>
      <c r="AC2740" s="3">
        <v>0</v>
      </c>
      <c r="AD2740" s="3">
        <v>0</v>
      </c>
      <c r="AE2740" s="3">
        <v>0</v>
      </c>
      <c r="AF2740" s="3">
        <v>0</v>
      </c>
      <c r="AG2740" s="3">
        <v>0</v>
      </c>
      <c r="AH2740" s="3">
        <v>0</v>
      </c>
      <c r="AI2740" s="3">
        <v>0</v>
      </c>
      <c r="AJ2740" s="3">
        <v>0</v>
      </c>
      <c r="AK2740" s="3">
        <v>42.44</v>
      </c>
      <c r="AL2740" s="3">
        <v>0</v>
      </c>
      <c r="AM2740" s="3">
        <v>0</v>
      </c>
      <c r="AN2740" s="3">
        <v>0</v>
      </c>
      <c r="AO2740" s="3">
        <v>0</v>
      </c>
      <c r="AP2740" s="3">
        <v>0</v>
      </c>
      <c r="AQ2740" s="3">
        <v>0</v>
      </c>
      <c r="AR2740" s="3">
        <v>0</v>
      </c>
      <c r="AS2740" s="3">
        <v>0</v>
      </c>
      <c r="AT2740" s="3">
        <v>0</v>
      </c>
      <c r="AU2740" s="3">
        <v>0</v>
      </c>
      <c r="AV2740" s="3">
        <v>0</v>
      </c>
      <c r="AW2740" s="3">
        <v>0</v>
      </c>
      <c r="AX2740" s="3">
        <v>0</v>
      </c>
      <c r="AY2740" s="3">
        <v>0</v>
      </c>
      <c r="AZ2740" s="3">
        <v>0</v>
      </c>
      <c r="BA2740" s="3">
        <v>0</v>
      </c>
      <c r="BB2740" s="3">
        <v>0</v>
      </c>
      <c r="BC2740" s="3">
        <v>0</v>
      </c>
      <c r="BD2740" s="3">
        <v>0</v>
      </c>
      <c r="BE2740" s="3">
        <v>0</v>
      </c>
      <c r="BF2740" s="3">
        <v>0</v>
      </c>
      <c r="BG2740" s="3">
        <v>0</v>
      </c>
      <c r="BH2740" s="3">
        <v>1</v>
      </c>
      <c r="BI2740" s="3">
        <v>5</v>
      </c>
      <c r="BJ2740" s="3">
        <v>4.0999999999999996</v>
      </c>
      <c r="BK2740" s="3">
        <v>5</v>
      </c>
      <c r="BL2740" s="3">
        <v>151.26</v>
      </c>
      <c r="BM2740" s="3">
        <v>22.69</v>
      </c>
      <c r="BN2740" s="3">
        <v>173.95</v>
      </c>
      <c r="BO2740" s="3">
        <v>173.95</v>
      </c>
      <c r="BQ2740" s="3" t="s">
        <v>83</v>
      </c>
      <c r="BR2740" s="3" t="s">
        <v>308</v>
      </c>
      <c r="BS2740" s="4">
        <v>44566</v>
      </c>
      <c r="BT2740" s="5">
        <v>0.40138888888888885</v>
      </c>
      <c r="BU2740" s="3" t="s">
        <v>2621</v>
      </c>
      <c r="BV2740" s="3" t="s">
        <v>105</v>
      </c>
      <c r="BY2740" s="3">
        <v>20358</v>
      </c>
      <c r="BZ2740" s="3" t="s">
        <v>165</v>
      </c>
      <c r="CA2740" s="3" t="s">
        <v>641</v>
      </c>
      <c r="CC2740" s="3" t="s">
        <v>91</v>
      </c>
      <c r="CD2740" s="3">
        <v>7530</v>
      </c>
      <c r="CE2740" s="3" t="s">
        <v>86</v>
      </c>
      <c r="CF2740" s="4">
        <v>44567</v>
      </c>
      <c r="CI2740" s="3">
        <v>1</v>
      </c>
      <c r="CJ2740" s="3">
        <v>1</v>
      </c>
      <c r="CK2740" s="3">
        <v>21</v>
      </c>
      <c r="CL2740" s="3" t="s">
        <v>87</v>
      </c>
    </row>
    <row r="2741" spans="1:90" x14ac:dyDescent="0.2">
      <c r="A2741" s="3" t="s">
        <v>72</v>
      </c>
      <c r="B2741" s="3" t="s">
        <v>73</v>
      </c>
      <c r="C2741" s="3" t="s">
        <v>74</v>
      </c>
      <c r="E2741" s="3" t="str">
        <f>"FES1162843717"</f>
        <v>FES1162843717</v>
      </c>
      <c r="F2741" s="4">
        <v>44566</v>
      </c>
      <c r="G2741" s="3">
        <v>202207</v>
      </c>
      <c r="H2741" s="3" t="s">
        <v>75</v>
      </c>
      <c r="I2741" s="3" t="s">
        <v>76</v>
      </c>
      <c r="J2741" s="3" t="s">
        <v>77</v>
      </c>
      <c r="K2741" s="3" t="s">
        <v>78</v>
      </c>
      <c r="L2741" s="3" t="s">
        <v>158</v>
      </c>
      <c r="M2741" s="3" t="s">
        <v>159</v>
      </c>
      <c r="N2741" s="3" t="s">
        <v>768</v>
      </c>
      <c r="O2741" s="3" t="s">
        <v>82</v>
      </c>
      <c r="P2741" s="3" t="str">
        <f>"2170843717                    "</f>
        <v xml:space="preserve">2170843717                    </v>
      </c>
      <c r="Q2741" s="3">
        <v>0</v>
      </c>
      <c r="R2741" s="3">
        <v>0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  <c r="AE2741" s="3">
        <v>0</v>
      </c>
      <c r="AF2741" s="3">
        <v>0</v>
      </c>
      <c r="AG2741" s="3">
        <v>0</v>
      </c>
      <c r="AH2741" s="3">
        <v>0</v>
      </c>
      <c r="AI2741" s="3">
        <v>0</v>
      </c>
      <c r="AJ2741" s="3">
        <v>0</v>
      </c>
      <c r="AK2741" s="3">
        <v>12.07</v>
      </c>
      <c r="AL2741" s="3">
        <v>0</v>
      </c>
      <c r="AM2741" s="3">
        <v>0</v>
      </c>
      <c r="AN2741" s="3">
        <v>0</v>
      </c>
      <c r="AO2741" s="3">
        <v>0</v>
      </c>
      <c r="AP2741" s="3">
        <v>0</v>
      </c>
      <c r="AQ2741" s="3">
        <v>0</v>
      </c>
      <c r="AR2741" s="3">
        <v>0</v>
      </c>
      <c r="AS2741" s="3">
        <v>0</v>
      </c>
      <c r="AT2741" s="3">
        <v>0</v>
      </c>
      <c r="AU2741" s="3">
        <v>0</v>
      </c>
      <c r="AV2741" s="3">
        <v>0</v>
      </c>
      <c r="AW2741" s="3">
        <v>0</v>
      </c>
      <c r="AX2741" s="3">
        <v>0</v>
      </c>
      <c r="AY2741" s="3">
        <v>0</v>
      </c>
      <c r="AZ2741" s="3">
        <v>0</v>
      </c>
      <c r="BA2741" s="3">
        <v>0</v>
      </c>
      <c r="BB2741" s="3">
        <v>0</v>
      </c>
      <c r="BC2741" s="3">
        <v>0</v>
      </c>
      <c r="BD2741" s="3">
        <v>0</v>
      </c>
      <c r="BE2741" s="3">
        <v>0</v>
      </c>
      <c r="BF2741" s="3">
        <v>0</v>
      </c>
      <c r="BG2741" s="3">
        <v>0</v>
      </c>
      <c r="BH2741" s="3">
        <v>1</v>
      </c>
      <c r="BI2741" s="3">
        <v>1</v>
      </c>
      <c r="BJ2741" s="3">
        <v>0.2</v>
      </c>
      <c r="BK2741" s="3">
        <v>1</v>
      </c>
      <c r="BL2741" s="3">
        <v>46.08</v>
      </c>
      <c r="BM2741" s="3">
        <v>6.91</v>
      </c>
      <c r="BN2741" s="3">
        <v>52.99</v>
      </c>
      <c r="BO2741" s="3">
        <v>52.99</v>
      </c>
      <c r="BQ2741" s="3" t="s">
        <v>83</v>
      </c>
      <c r="BR2741" s="3" t="s">
        <v>364</v>
      </c>
      <c r="BS2741" s="4">
        <v>44567</v>
      </c>
      <c r="BT2741" s="5">
        <v>0.34236111111111112</v>
      </c>
      <c r="BU2741" s="3" t="s">
        <v>769</v>
      </c>
      <c r="BV2741" s="3" t="s">
        <v>105</v>
      </c>
      <c r="BY2741" s="3">
        <v>1200</v>
      </c>
      <c r="BZ2741" s="3" t="s">
        <v>165</v>
      </c>
      <c r="CA2741" s="3" t="s">
        <v>653</v>
      </c>
      <c r="CC2741" s="3" t="s">
        <v>159</v>
      </c>
      <c r="CD2741" s="3">
        <v>1459</v>
      </c>
      <c r="CE2741" s="3" t="s">
        <v>93</v>
      </c>
      <c r="CF2741" s="4">
        <v>44568</v>
      </c>
      <c r="CI2741" s="3">
        <v>1</v>
      </c>
      <c r="CJ2741" s="3">
        <v>1</v>
      </c>
      <c r="CK2741" s="3">
        <v>22</v>
      </c>
      <c r="CL2741" s="3" t="s">
        <v>87</v>
      </c>
    </row>
    <row r="2742" spans="1:90" x14ac:dyDescent="0.2">
      <c r="A2742" s="3" t="s">
        <v>72</v>
      </c>
      <c r="B2742" s="3" t="s">
        <v>73</v>
      </c>
      <c r="C2742" s="3" t="s">
        <v>74</v>
      </c>
      <c r="E2742" s="3" t="str">
        <f>"FES1162843309"</f>
        <v>FES1162843309</v>
      </c>
      <c r="F2742" s="4">
        <v>44564</v>
      </c>
      <c r="G2742" s="3">
        <v>202207</v>
      </c>
      <c r="H2742" s="3" t="s">
        <v>75</v>
      </c>
      <c r="I2742" s="3" t="s">
        <v>76</v>
      </c>
      <c r="J2742" s="3" t="s">
        <v>77</v>
      </c>
      <c r="K2742" s="3" t="s">
        <v>78</v>
      </c>
      <c r="L2742" s="3" t="s">
        <v>94</v>
      </c>
      <c r="M2742" s="3" t="s">
        <v>95</v>
      </c>
      <c r="N2742" s="3" t="s">
        <v>443</v>
      </c>
      <c r="O2742" s="3" t="s">
        <v>82</v>
      </c>
      <c r="P2742" s="3" t="str">
        <f>"21702815564                   "</f>
        <v xml:space="preserve">21702815564                   </v>
      </c>
      <c r="Q2742" s="3">
        <v>0</v>
      </c>
      <c r="R2742" s="3">
        <v>0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  <c r="AE2742" s="3">
        <v>0</v>
      </c>
      <c r="AF2742" s="3">
        <v>0</v>
      </c>
      <c r="AG2742" s="3">
        <v>0</v>
      </c>
      <c r="AH2742" s="3">
        <v>0</v>
      </c>
      <c r="AI2742" s="3">
        <v>0</v>
      </c>
      <c r="AJ2742" s="3">
        <v>0</v>
      </c>
      <c r="AK2742" s="3">
        <v>101.84</v>
      </c>
      <c r="AL2742" s="3">
        <v>0</v>
      </c>
      <c r="AM2742" s="3">
        <v>0</v>
      </c>
      <c r="AN2742" s="3">
        <v>0</v>
      </c>
      <c r="AO2742" s="3">
        <v>0</v>
      </c>
      <c r="AP2742" s="3">
        <v>0</v>
      </c>
      <c r="AQ2742" s="3">
        <v>0</v>
      </c>
      <c r="AR2742" s="3">
        <v>0</v>
      </c>
      <c r="AS2742" s="3">
        <v>0</v>
      </c>
      <c r="AT2742" s="3">
        <v>0</v>
      </c>
      <c r="AU2742" s="3">
        <v>0</v>
      </c>
      <c r="AV2742" s="3">
        <v>0</v>
      </c>
      <c r="AW2742" s="3">
        <v>0</v>
      </c>
      <c r="AX2742" s="3">
        <v>0</v>
      </c>
      <c r="AY2742" s="3">
        <v>0</v>
      </c>
      <c r="AZ2742" s="3">
        <v>0</v>
      </c>
      <c r="BA2742" s="3">
        <v>0</v>
      </c>
      <c r="BB2742" s="3">
        <v>0</v>
      </c>
      <c r="BC2742" s="3">
        <v>0</v>
      </c>
      <c r="BD2742" s="3">
        <v>0</v>
      </c>
      <c r="BE2742" s="3">
        <v>0</v>
      </c>
      <c r="BF2742" s="3">
        <v>0</v>
      </c>
      <c r="BG2742" s="3">
        <v>0</v>
      </c>
      <c r="BH2742" s="3">
        <v>1</v>
      </c>
      <c r="BI2742" s="3">
        <v>12</v>
      </c>
      <c r="BJ2742" s="3">
        <v>9.1</v>
      </c>
      <c r="BK2742" s="3">
        <v>12</v>
      </c>
      <c r="BL2742" s="3">
        <v>362.98</v>
      </c>
      <c r="BM2742" s="3">
        <v>54.45</v>
      </c>
      <c r="BN2742" s="3">
        <v>417.43</v>
      </c>
      <c r="BO2742" s="3">
        <v>417.43</v>
      </c>
      <c r="BQ2742" s="3" t="s">
        <v>83</v>
      </c>
      <c r="BR2742" s="3" t="s">
        <v>308</v>
      </c>
      <c r="BS2742" s="4">
        <v>44565</v>
      </c>
      <c r="BT2742" s="5">
        <v>0.44791666666666669</v>
      </c>
      <c r="BU2742" s="3" t="s">
        <v>2622</v>
      </c>
      <c r="BV2742" s="3" t="s">
        <v>105</v>
      </c>
      <c r="BY2742" s="3">
        <v>45632</v>
      </c>
      <c r="BZ2742" s="3" t="s">
        <v>165</v>
      </c>
      <c r="CA2742" s="3" t="s">
        <v>328</v>
      </c>
      <c r="CC2742" s="3" t="s">
        <v>95</v>
      </c>
      <c r="CD2742" s="3">
        <v>3212</v>
      </c>
      <c r="CE2742" s="3" t="s">
        <v>86</v>
      </c>
      <c r="CF2742" s="4">
        <v>44567</v>
      </c>
      <c r="CI2742" s="3">
        <v>1</v>
      </c>
      <c r="CJ2742" s="3">
        <v>1</v>
      </c>
      <c r="CK2742" s="3">
        <v>21</v>
      </c>
      <c r="CL2742" s="3" t="s">
        <v>87</v>
      </c>
    </row>
    <row r="2743" spans="1:90" x14ac:dyDescent="0.2">
      <c r="A2743" s="3" t="s">
        <v>72</v>
      </c>
      <c r="B2743" s="3" t="s">
        <v>73</v>
      </c>
      <c r="C2743" s="3" t="s">
        <v>74</v>
      </c>
      <c r="E2743" s="3" t="str">
        <f>"FES1162843338"</f>
        <v>FES1162843338</v>
      </c>
      <c r="F2743" s="4">
        <v>44565</v>
      </c>
      <c r="G2743" s="3">
        <v>202207</v>
      </c>
      <c r="H2743" s="3" t="s">
        <v>75</v>
      </c>
      <c r="I2743" s="3" t="s">
        <v>76</v>
      </c>
      <c r="J2743" s="3" t="s">
        <v>77</v>
      </c>
      <c r="K2743" s="3" t="s">
        <v>78</v>
      </c>
      <c r="L2743" s="3" t="s">
        <v>218</v>
      </c>
      <c r="M2743" s="3" t="s">
        <v>219</v>
      </c>
      <c r="N2743" s="3" t="s">
        <v>1247</v>
      </c>
      <c r="O2743" s="3" t="s">
        <v>148</v>
      </c>
      <c r="P2743" s="3" t="str">
        <f>"2170815018                    "</f>
        <v xml:space="preserve">2170815018                    </v>
      </c>
      <c r="Q2743" s="3">
        <v>0</v>
      </c>
      <c r="R2743" s="3">
        <v>0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  <c r="AE2743" s="3">
        <v>0</v>
      </c>
      <c r="AF2743" s="3">
        <v>0</v>
      </c>
      <c r="AG2743" s="3">
        <v>0</v>
      </c>
      <c r="AH2743" s="3">
        <v>0</v>
      </c>
      <c r="AI2743" s="3">
        <v>0</v>
      </c>
      <c r="AJ2743" s="3">
        <v>0</v>
      </c>
      <c r="AK2743" s="3">
        <v>38.25</v>
      </c>
      <c r="AL2743" s="3">
        <v>0</v>
      </c>
      <c r="AM2743" s="3">
        <v>0</v>
      </c>
      <c r="AN2743" s="3">
        <v>0</v>
      </c>
      <c r="AO2743" s="3">
        <v>0</v>
      </c>
      <c r="AP2743" s="3">
        <v>0</v>
      </c>
      <c r="AQ2743" s="3">
        <v>0</v>
      </c>
      <c r="AR2743" s="3">
        <v>0</v>
      </c>
      <c r="AS2743" s="3">
        <v>0</v>
      </c>
      <c r="AT2743" s="3">
        <v>0</v>
      </c>
      <c r="AU2743" s="3">
        <v>0</v>
      </c>
      <c r="AV2743" s="3">
        <v>0</v>
      </c>
      <c r="AW2743" s="3">
        <v>0</v>
      </c>
      <c r="AX2743" s="3">
        <v>0</v>
      </c>
      <c r="AY2743" s="3">
        <v>0</v>
      </c>
      <c r="AZ2743" s="3">
        <v>0</v>
      </c>
      <c r="BA2743" s="3">
        <v>0</v>
      </c>
      <c r="BB2743" s="3">
        <v>0</v>
      </c>
      <c r="BC2743" s="3">
        <v>0</v>
      </c>
      <c r="BD2743" s="3">
        <v>0</v>
      </c>
      <c r="BE2743" s="3">
        <v>0</v>
      </c>
      <c r="BF2743" s="3">
        <v>0</v>
      </c>
      <c r="BG2743" s="3">
        <v>0</v>
      </c>
      <c r="BH2743" s="3">
        <v>1</v>
      </c>
      <c r="BI2743" s="3">
        <v>6</v>
      </c>
      <c r="BJ2743" s="3">
        <v>18.3</v>
      </c>
      <c r="BK2743" s="3">
        <v>19</v>
      </c>
      <c r="BL2743" s="3">
        <v>141.58000000000001</v>
      </c>
      <c r="BM2743" s="3">
        <v>21.24</v>
      </c>
      <c r="BN2743" s="3">
        <v>162.82</v>
      </c>
      <c r="BO2743" s="3">
        <v>162.82</v>
      </c>
      <c r="BR2743" s="3" t="s">
        <v>308</v>
      </c>
      <c r="BS2743" s="4">
        <v>44572</v>
      </c>
      <c r="BT2743" s="5">
        <v>0.4694444444444445</v>
      </c>
      <c r="BU2743" s="3" t="s">
        <v>2623</v>
      </c>
      <c r="BV2743" s="3" t="s">
        <v>87</v>
      </c>
      <c r="BY2743" s="3">
        <v>91264</v>
      </c>
      <c r="BZ2743" s="3" t="s">
        <v>327</v>
      </c>
      <c r="CC2743" s="3" t="s">
        <v>219</v>
      </c>
      <c r="CD2743" s="3">
        <v>157</v>
      </c>
      <c r="CE2743" s="3" t="s">
        <v>86</v>
      </c>
      <c r="CF2743" s="4">
        <v>44572</v>
      </c>
      <c r="CI2743" s="3">
        <v>1</v>
      </c>
      <c r="CJ2743" s="3">
        <v>5</v>
      </c>
      <c r="CK2743" s="3">
        <v>41</v>
      </c>
      <c r="CL2743" s="3" t="s">
        <v>87</v>
      </c>
    </row>
    <row r="2744" spans="1:90" x14ac:dyDescent="0.2">
      <c r="A2744" s="3" t="s">
        <v>72</v>
      </c>
      <c r="B2744" s="3" t="s">
        <v>73</v>
      </c>
      <c r="C2744" s="3" t="s">
        <v>74</v>
      </c>
      <c r="E2744" s="3" t="str">
        <f>"FES1162843424"</f>
        <v>FES1162843424</v>
      </c>
      <c r="F2744" s="4">
        <v>44565</v>
      </c>
      <c r="G2744" s="3">
        <v>202207</v>
      </c>
      <c r="H2744" s="3" t="s">
        <v>75</v>
      </c>
      <c r="I2744" s="3" t="s">
        <v>76</v>
      </c>
      <c r="J2744" s="3" t="s">
        <v>77</v>
      </c>
      <c r="K2744" s="3" t="s">
        <v>78</v>
      </c>
      <c r="L2744" s="3" t="s">
        <v>97</v>
      </c>
      <c r="M2744" s="3" t="s">
        <v>98</v>
      </c>
      <c r="N2744" s="3" t="s">
        <v>644</v>
      </c>
      <c r="O2744" s="3" t="s">
        <v>82</v>
      </c>
      <c r="P2744" s="3" t="str">
        <f>"2170812875                    "</f>
        <v xml:space="preserve">2170812875                    </v>
      </c>
      <c r="Q2744" s="3">
        <v>0</v>
      </c>
      <c r="R2744" s="3">
        <v>0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  <c r="AE2744" s="3">
        <v>0</v>
      </c>
      <c r="AF2744" s="3">
        <v>0</v>
      </c>
      <c r="AG2744" s="3">
        <v>0</v>
      </c>
      <c r="AH2744" s="3">
        <v>0</v>
      </c>
      <c r="AI2744" s="3">
        <v>0</v>
      </c>
      <c r="AJ2744" s="3">
        <v>0</v>
      </c>
      <c r="AK2744" s="3">
        <v>13.26</v>
      </c>
      <c r="AL2744" s="3">
        <v>0</v>
      </c>
      <c r="AM2744" s="3">
        <v>0</v>
      </c>
      <c r="AN2744" s="3">
        <v>0</v>
      </c>
      <c r="AO2744" s="3">
        <v>0</v>
      </c>
      <c r="AP2744" s="3">
        <v>0</v>
      </c>
      <c r="AQ2744" s="3">
        <v>0</v>
      </c>
      <c r="AR2744" s="3">
        <v>0</v>
      </c>
      <c r="AS2744" s="3">
        <v>0</v>
      </c>
      <c r="AT2744" s="3">
        <v>0</v>
      </c>
      <c r="AU2744" s="3">
        <v>0</v>
      </c>
      <c r="AV2744" s="3">
        <v>0</v>
      </c>
      <c r="AW2744" s="3">
        <v>0</v>
      </c>
      <c r="AX2744" s="3">
        <v>0</v>
      </c>
      <c r="AY2744" s="3">
        <v>0</v>
      </c>
      <c r="AZ2744" s="3">
        <v>0</v>
      </c>
      <c r="BA2744" s="3">
        <v>0</v>
      </c>
      <c r="BB2744" s="3">
        <v>0</v>
      </c>
      <c r="BC2744" s="3">
        <v>0</v>
      </c>
      <c r="BD2744" s="3">
        <v>0</v>
      </c>
      <c r="BE2744" s="3">
        <v>0</v>
      </c>
      <c r="BF2744" s="3">
        <v>0</v>
      </c>
      <c r="BG2744" s="3">
        <v>0</v>
      </c>
      <c r="BH2744" s="3">
        <v>1</v>
      </c>
      <c r="BI2744" s="3">
        <v>1</v>
      </c>
      <c r="BJ2744" s="3">
        <v>0.2</v>
      </c>
      <c r="BK2744" s="3">
        <v>1</v>
      </c>
      <c r="BL2744" s="3">
        <v>47.27</v>
      </c>
      <c r="BM2744" s="3">
        <v>7.09</v>
      </c>
      <c r="BN2744" s="3">
        <v>54.36</v>
      </c>
      <c r="BO2744" s="3">
        <v>54.36</v>
      </c>
      <c r="BQ2744" s="3" t="s">
        <v>126</v>
      </c>
      <c r="BR2744" s="3" t="s">
        <v>308</v>
      </c>
      <c r="BS2744" s="4">
        <v>44566</v>
      </c>
      <c r="BT2744" s="5">
        <v>0.43055555555555558</v>
      </c>
      <c r="BU2744" s="3" t="s">
        <v>2624</v>
      </c>
      <c r="BV2744" s="3" t="s">
        <v>105</v>
      </c>
      <c r="BY2744" s="3">
        <v>1200</v>
      </c>
      <c r="BZ2744" s="3" t="s">
        <v>165</v>
      </c>
      <c r="CC2744" s="3" t="s">
        <v>98</v>
      </c>
      <c r="CD2744" s="3">
        <v>2013</v>
      </c>
      <c r="CE2744" s="3" t="s">
        <v>93</v>
      </c>
      <c r="CF2744" s="4">
        <v>44567</v>
      </c>
      <c r="CI2744" s="3">
        <v>1</v>
      </c>
      <c r="CJ2744" s="3">
        <v>1</v>
      </c>
      <c r="CK2744" s="3">
        <v>22</v>
      </c>
      <c r="CL2744" s="3" t="s">
        <v>87</v>
      </c>
    </row>
    <row r="2745" spans="1:90" x14ac:dyDescent="0.2">
      <c r="A2745" s="3" t="s">
        <v>72</v>
      </c>
      <c r="B2745" s="3" t="s">
        <v>73</v>
      </c>
      <c r="C2745" s="3" t="s">
        <v>74</v>
      </c>
      <c r="E2745" s="3" t="str">
        <f>"FES1162843473"</f>
        <v>FES1162843473</v>
      </c>
      <c r="F2745" s="4">
        <v>44565</v>
      </c>
      <c r="G2745" s="3">
        <v>202207</v>
      </c>
      <c r="H2745" s="3" t="s">
        <v>75</v>
      </c>
      <c r="I2745" s="3" t="s">
        <v>76</v>
      </c>
      <c r="J2745" s="3" t="s">
        <v>77</v>
      </c>
      <c r="K2745" s="3" t="s">
        <v>78</v>
      </c>
      <c r="L2745" s="3" t="s">
        <v>171</v>
      </c>
      <c r="M2745" s="3" t="s">
        <v>172</v>
      </c>
      <c r="N2745" s="3" t="s">
        <v>329</v>
      </c>
      <c r="O2745" s="3" t="s">
        <v>82</v>
      </c>
      <c r="P2745" s="3" t="str">
        <f>"23170814357                   "</f>
        <v xml:space="preserve">23170814357                   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  <c r="AE2745" s="3">
        <v>0</v>
      </c>
      <c r="AF2745" s="3">
        <v>0</v>
      </c>
      <c r="AG2745" s="3">
        <v>0</v>
      </c>
      <c r="AH2745" s="3">
        <v>0</v>
      </c>
      <c r="AI2745" s="3">
        <v>0</v>
      </c>
      <c r="AJ2745" s="3">
        <v>0</v>
      </c>
      <c r="AK2745" s="3">
        <v>16.98</v>
      </c>
      <c r="AL2745" s="3">
        <v>0</v>
      </c>
      <c r="AM2745" s="3">
        <v>0</v>
      </c>
      <c r="AN2745" s="3">
        <v>0</v>
      </c>
      <c r="AO2745" s="3">
        <v>0</v>
      </c>
      <c r="AP2745" s="3">
        <v>0</v>
      </c>
      <c r="AQ2745" s="3">
        <v>0</v>
      </c>
      <c r="AR2745" s="3">
        <v>0</v>
      </c>
      <c r="AS2745" s="3">
        <v>0</v>
      </c>
      <c r="AT2745" s="3">
        <v>0</v>
      </c>
      <c r="AU2745" s="3">
        <v>0</v>
      </c>
      <c r="AV2745" s="3">
        <v>0</v>
      </c>
      <c r="AW2745" s="3">
        <v>0</v>
      </c>
      <c r="AX2745" s="3">
        <v>0</v>
      </c>
      <c r="AY2745" s="3">
        <v>0</v>
      </c>
      <c r="AZ2745" s="3">
        <v>0</v>
      </c>
      <c r="BA2745" s="3">
        <v>0</v>
      </c>
      <c r="BB2745" s="3">
        <v>0</v>
      </c>
      <c r="BC2745" s="3">
        <v>0</v>
      </c>
      <c r="BD2745" s="3">
        <v>0</v>
      </c>
      <c r="BE2745" s="3">
        <v>0</v>
      </c>
      <c r="BF2745" s="3">
        <v>0</v>
      </c>
      <c r="BG2745" s="3">
        <v>0</v>
      </c>
      <c r="BH2745" s="3">
        <v>1</v>
      </c>
      <c r="BI2745" s="3">
        <v>1</v>
      </c>
      <c r="BJ2745" s="3">
        <v>0.2</v>
      </c>
      <c r="BK2745" s="3">
        <v>1</v>
      </c>
      <c r="BL2745" s="3">
        <v>60.52</v>
      </c>
      <c r="BM2745" s="3">
        <v>9.08</v>
      </c>
      <c r="BN2745" s="3">
        <v>69.599999999999994</v>
      </c>
      <c r="BO2745" s="3">
        <v>69.599999999999994</v>
      </c>
      <c r="BQ2745" s="3" t="s">
        <v>83</v>
      </c>
      <c r="BR2745" s="3" t="s">
        <v>308</v>
      </c>
      <c r="BS2745" s="4">
        <v>44566</v>
      </c>
      <c r="BT2745" s="5">
        <v>0.47847222222222219</v>
      </c>
      <c r="BU2745" s="3" t="s">
        <v>2625</v>
      </c>
      <c r="BV2745" s="3" t="s">
        <v>87</v>
      </c>
      <c r="BW2745" s="3" t="s">
        <v>457</v>
      </c>
      <c r="BX2745" s="3" t="s">
        <v>279</v>
      </c>
      <c r="BY2745" s="3">
        <v>1200</v>
      </c>
      <c r="BZ2745" s="3" t="s">
        <v>165</v>
      </c>
      <c r="CA2745" s="3" t="s">
        <v>509</v>
      </c>
      <c r="CC2745" s="3" t="s">
        <v>172</v>
      </c>
      <c r="CD2745" s="3">
        <v>6001</v>
      </c>
      <c r="CE2745" s="3" t="s">
        <v>93</v>
      </c>
      <c r="CF2745" s="4">
        <v>44566</v>
      </c>
      <c r="CI2745" s="3">
        <v>1</v>
      </c>
      <c r="CJ2745" s="3">
        <v>1</v>
      </c>
      <c r="CK2745" s="3">
        <v>21</v>
      </c>
      <c r="CL2745" s="3" t="s">
        <v>87</v>
      </c>
    </row>
    <row r="2746" spans="1:90" x14ac:dyDescent="0.2">
      <c r="A2746" s="3" t="s">
        <v>72</v>
      </c>
      <c r="B2746" s="3" t="s">
        <v>73</v>
      </c>
      <c r="C2746" s="3" t="s">
        <v>74</v>
      </c>
      <c r="E2746" s="3" t="str">
        <f>"FES1162843369"</f>
        <v>FES1162843369</v>
      </c>
      <c r="F2746" s="4">
        <v>44565</v>
      </c>
      <c r="G2746" s="3">
        <v>202207</v>
      </c>
      <c r="H2746" s="3" t="s">
        <v>75</v>
      </c>
      <c r="I2746" s="3" t="s">
        <v>76</v>
      </c>
      <c r="J2746" s="3" t="s">
        <v>77</v>
      </c>
      <c r="K2746" s="3" t="s">
        <v>78</v>
      </c>
      <c r="L2746" s="3" t="s">
        <v>510</v>
      </c>
      <c r="M2746" s="3" t="s">
        <v>511</v>
      </c>
      <c r="N2746" s="3" t="s">
        <v>2244</v>
      </c>
      <c r="O2746" s="3" t="s">
        <v>82</v>
      </c>
      <c r="P2746" s="3" t="str">
        <f>"2170811606                    "</f>
        <v xml:space="preserve">2170811606                    </v>
      </c>
      <c r="Q2746" s="3">
        <v>0</v>
      </c>
      <c r="R2746" s="3">
        <v>0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0</v>
      </c>
      <c r="AE2746" s="3">
        <v>0</v>
      </c>
      <c r="AF2746" s="3">
        <v>0</v>
      </c>
      <c r="AG2746" s="3">
        <v>0</v>
      </c>
      <c r="AH2746" s="3">
        <v>0</v>
      </c>
      <c r="AI2746" s="3">
        <v>0</v>
      </c>
      <c r="AJ2746" s="3">
        <v>0</v>
      </c>
      <c r="AK2746" s="3">
        <v>13.26</v>
      </c>
      <c r="AL2746" s="3">
        <v>0</v>
      </c>
      <c r="AM2746" s="3">
        <v>0</v>
      </c>
      <c r="AN2746" s="3">
        <v>0</v>
      </c>
      <c r="AO2746" s="3">
        <v>0</v>
      </c>
      <c r="AP2746" s="3">
        <v>0</v>
      </c>
      <c r="AQ2746" s="3">
        <v>0</v>
      </c>
      <c r="AR2746" s="3">
        <v>0</v>
      </c>
      <c r="AS2746" s="3">
        <v>0</v>
      </c>
      <c r="AT2746" s="3">
        <v>0</v>
      </c>
      <c r="AU2746" s="3">
        <v>0</v>
      </c>
      <c r="AV2746" s="3">
        <v>0</v>
      </c>
      <c r="AW2746" s="3">
        <v>0</v>
      </c>
      <c r="AX2746" s="3">
        <v>0</v>
      </c>
      <c r="AY2746" s="3">
        <v>0</v>
      </c>
      <c r="AZ2746" s="3">
        <v>0</v>
      </c>
      <c r="BA2746" s="3">
        <v>0</v>
      </c>
      <c r="BB2746" s="3">
        <v>0</v>
      </c>
      <c r="BC2746" s="3">
        <v>0</v>
      </c>
      <c r="BD2746" s="3">
        <v>0</v>
      </c>
      <c r="BE2746" s="3">
        <v>0</v>
      </c>
      <c r="BF2746" s="3">
        <v>0</v>
      </c>
      <c r="BG2746" s="3">
        <v>0</v>
      </c>
      <c r="BH2746" s="3">
        <v>1</v>
      </c>
      <c r="BI2746" s="3">
        <v>4</v>
      </c>
      <c r="BJ2746" s="3">
        <v>4.0999999999999996</v>
      </c>
      <c r="BK2746" s="3">
        <v>4.5</v>
      </c>
      <c r="BL2746" s="3">
        <v>47.27</v>
      </c>
      <c r="BM2746" s="3">
        <v>7.09</v>
      </c>
      <c r="BN2746" s="3">
        <v>54.36</v>
      </c>
      <c r="BO2746" s="3">
        <v>54.36</v>
      </c>
      <c r="BQ2746" s="3" t="s">
        <v>83</v>
      </c>
      <c r="BR2746" s="3" t="s">
        <v>308</v>
      </c>
      <c r="BS2746" s="4">
        <v>44566</v>
      </c>
      <c r="BT2746" s="5">
        <v>0.32847222222222222</v>
      </c>
      <c r="BU2746" s="3" t="s">
        <v>2626</v>
      </c>
      <c r="BV2746" s="3" t="s">
        <v>105</v>
      </c>
      <c r="BY2746" s="3">
        <v>20358</v>
      </c>
      <c r="BZ2746" s="3" t="s">
        <v>165</v>
      </c>
      <c r="CA2746" s="3" t="s">
        <v>1684</v>
      </c>
      <c r="CC2746" s="3" t="s">
        <v>511</v>
      </c>
      <c r="CD2746" s="3">
        <v>1540</v>
      </c>
      <c r="CE2746" s="3" t="s">
        <v>86</v>
      </c>
      <c r="CF2746" s="4">
        <v>44566</v>
      </c>
      <c r="CI2746" s="3">
        <v>1</v>
      </c>
      <c r="CJ2746" s="3">
        <v>1</v>
      </c>
      <c r="CK2746" s="3">
        <v>22</v>
      </c>
      <c r="CL2746" s="3" t="s">
        <v>87</v>
      </c>
    </row>
    <row r="2747" spans="1:90" x14ac:dyDescent="0.2">
      <c r="A2747" s="3" t="s">
        <v>72</v>
      </c>
      <c r="B2747" s="3" t="s">
        <v>73</v>
      </c>
      <c r="C2747" s="3" t="s">
        <v>74</v>
      </c>
      <c r="E2747" s="3" t="str">
        <f>"FES1162843564"</f>
        <v>FES1162843564</v>
      </c>
      <c r="F2747" s="4">
        <v>44565</v>
      </c>
      <c r="G2747" s="3">
        <v>202207</v>
      </c>
      <c r="H2747" s="3" t="s">
        <v>75</v>
      </c>
      <c r="I2747" s="3" t="s">
        <v>76</v>
      </c>
      <c r="J2747" s="3" t="s">
        <v>77</v>
      </c>
      <c r="K2747" s="3" t="s">
        <v>78</v>
      </c>
      <c r="L2747" s="3" t="s">
        <v>79</v>
      </c>
      <c r="M2747" s="3" t="s">
        <v>80</v>
      </c>
      <c r="N2747" s="3" t="s">
        <v>1783</v>
      </c>
      <c r="O2747" s="3" t="s">
        <v>82</v>
      </c>
      <c r="P2747" s="3" t="str">
        <f>"2170815660                    "</f>
        <v xml:space="preserve">2170815660                    </v>
      </c>
      <c r="Q2747" s="3">
        <v>0</v>
      </c>
      <c r="R2747" s="3">
        <v>0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  <c r="AE2747" s="3">
        <v>0</v>
      </c>
      <c r="AF2747" s="3">
        <v>0</v>
      </c>
      <c r="AG2747" s="3">
        <v>0</v>
      </c>
      <c r="AH2747" s="3">
        <v>0</v>
      </c>
      <c r="AI2747" s="3">
        <v>0</v>
      </c>
      <c r="AJ2747" s="3">
        <v>0</v>
      </c>
      <c r="AK2747" s="3">
        <v>16.98</v>
      </c>
      <c r="AL2747" s="3">
        <v>0</v>
      </c>
      <c r="AM2747" s="3">
        <v>0</v>
      </c>
      <c r="AN2747" s="3">
        <v>0</v>
      </c>
      <c r="AO2747" s="3">
        <v>0</v>
      </c>
      <c r="AP2747" s="3">
        <v>0</v>
      </c>
      <c r="AQ2747" s="3">
        <v>0</v>
      </c>
      <c r="AR2747" s="3">
        <v>0</v>
      </c>
      <c r="AS2747" s="3">
        <v>0</v>
      </c>
      <c r="AT2747" s="3">
        <v>0</v>
      </c>
      <c r="AU2747" s="3">
        <v>0</v>
      </c>
      <c r="AV2747" s="3">
        <v>0</v>
      </c>
      <c r="AW2747" s="3">
        <v>0</v>
      </c>
      <c r="AX2747" s="3">
        <v>0</v>
      </c>
      <c r="AY2747" s="3">
        <v>0</v>
      </c>
      <c r="AZ2747" s="3">
        <v>0</v>
      </c>
      <c r="BA2747" s="3">
        <v>0</v>
      </c>
      <c r="BB2747" s="3">
        <v>0</v>
      </c>
      <c r="BC2747" s="3">
        <v>0</v>
      </c>
      <c r="BD2747" s="3">
        <v>0</v>
      </c>
      <c r="BE2747" s="3">
        <v>0</v>
      </c>
      <c r="BF2747" s="3">
        <v>0</v>
      </c>
      <c r="BG2747" s="3">
        <v>0</v>
      </c>
      <c r="BH2747" s="3">
        <v>1</v>
      </c>
      <c r="BI2747" s="3">
        <v>1</v>
      </c>
      <c r="BJ2747" s="3">
        <v>0.2</v>
      </c>
      <c r="BK2747" s="3">
        <v>1</v>
      </c>
      <c r="BL2747" s="3">
        <v>60.52</v>
      </c>
      <c r="BM2747" s="3">
        <v>9.08</v>
      </c>
      <c r="BN2747" s="3">
        <v>69.599999999999994</v>
      </c>
      <c r="BO2747" s="3">
        <v>69.599999999999994</v>
      </c>
      <c r="BQ2747" s="3" t="s">
        <v>83</v>
      </c>
      <c r="BR2747" s="3" t="s">
        <v>308</v>
      </c>
      <c r="BS2747" s="4">
        <v>44567</v>
      </c>
      <c r="BT2747" s="5">
        <v>0.3888888888888889</v>
      </c>
      <c r="BU2747" s="3" t="s">
        <v>527</v>
      </c>
      <c r="BV2747" s="3" t="s">
        <v>87</v>
      </c>
      <c r="BY2747" s="3">
        <v>1200</v>
      </c>
      <c r="BZ2747" s="3" t="s">
        <v>165</v>
      </c>
      <c r="CA2747" s="3" t="s">
        <v>720</v>
      </c>
      <c r="CC2747" s="3" t="s">
        <v>80</v>
      </c>
      <c r="CD2747" s="3">
        <v>43</v>
      </c>
      <c r="CE2747" s="3" t="s">
        <v>93</v>
      </c>
      <c r="CF2747" s="4">
        <v>44567</v>
      </c>
      <c r="CI2747" s="3">
        <v>1</v>
      </c>
      <c r="CJ2747" s="3">
        <v>2</v>
      </c>
      <c r="CK2747" s="3">
        <v>21</v>
      </c>
      <c r="CL2747" s="3" t="s">
        <v>87</v>
      </c>
    </row>
    <row r="2748" spans="1:90" x14ac:dyDescent="0.2">
      <c r="A2748" s="3" t="s">
        <v>72</v>
      </c>
      <c r="B2748" s="3" t="s">
        <v>73</v>
      </c>
      <c r="C2748" s="3" t="s">
        <v>74</v>
      </c>
      <c r="E2748" s="3" t="str">
        <f>"FES1162843818"</f>
        <v>FES1162843818</v>
      </c>
      <c r="F2748" s="4">
        <v>44566</v>
      </c>
      <c r="G2748" s="3">
        <v>202207</v>
      </c>
      <c r="H2748" s="3" t="s">
        <v>75</v>
      </c>
      <c r="I2748" s="3" t="s">
        <v>76</v>
      </c>
      <c r="J2748" s="3" t="s">
        <v>77</v>
      </c>
      <c r="K2748" s="3" t="s">
        <v>78</v>
      </c>
      <c r="L2748" s="3" t="s">
        <v>171</v>
      </c>
      <c r="M2748" s="3" t="s">
        <v>172</v>
      </c>
      <c r="N2748" s="3" t="s">
        <v>2627</v>
      </c>
      <c r="O2748" s="3" t="s">
        <v>82</v>
      </c>
      <c r="P2748" s="3" t="str">
        <f>"2170815747                    "</f>
        <v xml:space="preserve">2170815747                    </v>
      </c>
      <c r="Q2748" s="3">
        <v>0</v>
      </c>
      <c r="R2748" s="3">
        <v>0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  <c r="AE2748" s="3">
        <v>0</v>
      </c>
      <c r="AF2748" s="3">
        <v>0</v>
      </c>
      <c r="AG2748" s="3">
        <v>0</v>
      </c>
      <c r="AH2748" s="3">
        <v>0</v>
      </c>
      <c r="AI2748" s="3">
        <v>0</v>
      </c>
      <c r="AJ2748" s="3">
        <v>0</v>
      </c>
      <c r="AK2748" s="3">
        <v>61.81</v>
      </c>
      <c r="AL2748" s="3">
        <v>0</v>
      </c>
      <c r="AM2748" s="3">
        <v>0</v>
      </c>
      <c r="AN2748" s="3">
        <v>0</v>
      </c>
      <c r="AO2748" s="3">
        <v>0</v>
      </c>
      <c r="AP2748" s="3">
        <v>0</v>
      </c>
      <c r="AQ2748" s="3">
        <v>0</v>
      </c>
      <c r="AR2748" s="3">
        <v>0</v>
      </c>
      <c r="AS2748" s="3">
        <v>0</v>
      </c>
      <c r="AT2748" s="3">
        <v>0</v>
      </c>
      <c r="AU2748" s="3">
        <v>0</v>
      </c>
      <c r="AV2748" s="3">
        <v>0</v>
      </c>
      <c r="AW2748" s="3">
        <v>0</v>
      </c>
      <c r="AX2748" s="3">
        <v>0</v>
      </c>
      <c r="AY2748" s="3">
        <v>0</v>
      </c>
      <c r="AZ2748" s="3">
        <v>0</v>
      </c>
      <c r="BA2748" s="3">
        <v>0</v>
      </c>
      <c r="BB2748" s="3">
        <v>0</v>
      </c>
      <c r="BC2748" s="3">
        <v>0</v>
      </c>
      <c r="BD2748" s="3">
        <v>0</v>
      </c>
      <c r="BE2748" s="3">
        <v>0</v>
      </c>
      <c r="BF2748" s="3">
        <v>0</v>
      </c>
      <c r="BG2748" s="3">
        <v>0</v>
      </c>
      <c r="BH2748" s="3">
        <v>1</v>
      </c>
      <c r="BI2748" s="3">
        <v>8</v>
      </c>
      <c r="BJ2748" s="3">
        <v>5.9</v>
      </c>
      <c r="BK2748" s="3">
        <v>8</v>
      </c>
      <c r="BL2748" s="3">
        <v>235.91</v>
      </c>
      <c r="BM2748" s="3">
        <v>35.39</v>
      </c>
      <c r="BN2748" s="3">
        <v>271.3</v>
      </c>
      <c r="BO2748" s="3">
        <v>271.3</v>
      </c>
      <c r="BQ2748" s="3" t="s">
        <v>83</v>
      </c>
      <c r="BR2748" s="3" t="s">
        <v>364</v>
      </c>
      <c r="BS2748" s="4">
        <v>44567</v>
      </c>
      <c r="BT2748" s="5">
        <v>0.44791666666666669</v>
      </c>
      <c r="BU2748" s="3" t="s">
        <v>2628</v>
      </c>
      <c r="BV2748" s="3" t="s">
        <v>87</v>
      </c>
      <c r="BW2748" s="3" t="s">
        <v>457</v>
      </c>
      <c r="BX2748" s="3" t="s">
        <v>279</v>
      </c>
      <c r="BY2748" s="3">
        <v>29250</v>
      </c>
      <c r="BZ2748" s="3" t="s">
        <v>165</v>
      </c>
      <c r="CC2748" s="3" t="s">
        <v>172</v>
      </c>
      <c r="CD2748" s="3">
        <v>6001</v>
      </c>
      <c r="CE2748" s="3" t="s">
        <v>86</v>
      </c>
      <c r="CF2748" s="4">
        <v>44567</v>
      </c>
      <c r="CI2748" s="3">
        <v>1</v>
      </c>
      <c r="CJ2748" s="3">
        <v>1</v>
      </c>
      <c r="CK2748" s="3">
        <v>21</v>
      </c>
      <c r="CL2748" s="3" t="s">
        <v>87</v>
      </c>
    </row>
    <row r="2749" spans="1:90" x14ac:dyDescent="0.2">
      <c r="A2749" s="3" t="s">
        <v>72</v>
      </c>
      <c r="B2749" s="3" t="s">
        <v>73</v>
      </c>
      <c r="C2749" s="3" t="s">
        <v>74</v>
      </c>
      <c r="E2749" s="3" t="str">
        <f>"FES1162843488"</f>
        <v>FES1162843488</v>
      </c>
      <c r="F2749" s="4">
        <v>44565</v>
      </c>
      <c r="G2749" s="3">
        <v>202207</v>
      </c>
      <c r="H2749" s="3" t="s">
        <v>75</v>
      </c>
      <c r="I2749" s="3" t="s">
        <v>76</v>
      </c>
      <c r="J2749" s="3" t="s">
        <v>77</v>
      </c>
      <c r="K2749" s="3" t="s">
        <v>78</v>
      </c>
      <c r="L2749" s="3" t="s">
        <v>529</v>
      </c>
      <c r="M2749" s="3" t="s">
        <v>530</v>
      </c>
      <c r="N2749" s="3" t="s">
        <v>531</v>
      </c>
      <c r="O2749" s="3" t="s">
        <v>82</v>
      </c>
      <c r="P2749" s="3" t="str">
        <f>"2170814552                    "</f>
        <v xml:space="preserve">2170814552                    </v>
      </c>
      <c r="Q2749" s="3">
        <v>0</v>
      </c>
      <c r="R2749" s="3">
        <v>0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  <c r="AE2749" s="3">
        <v>0</v>
      </c>
      <c r="AF2749" s="3">
        <v>0</v>
      </c>
      <c r="AG2749" s="3">
        <v>0</v>
      </c>
      <c r="AH2749" s="3">
        <v>0</v>
      </c>
      <c r="AI2749" s="3">
        <v>0</v>
      </c>
      <c r="AJ2749" s="3">
        <v>0</v>
      </c>
      <c r="AK2749" s="3">
        <v>47.76</v>
      </c>
      <c r="AL2749" s="3">
        <v>0</v>
      </c>
      <c r="AM2749" s="3">
        <v>0</v>
      </c>
      <c r="AN2749" s="3">
        <v>0</v>
      </c>
      <c r="AO2749" s="3">
        <v>0</v>
      </c>
      <c r="AP2749" s="3">
        <v>0</v>
      </c>
      <c r="AQ2749" s="3">
        <v>0</v>
      </c>
      <c r="AR2749" s="3">
        <v>0</v>
      </c>
      <c r="AS2749" s="3">
        <v>0</v>
      </c>
      <c r="AT2749" s="3">
        <v>0</v>
      </c>
      <c r="AU2749" s="3">
        <v>0</v>
      </c>
      <c r="AV2749" s="3">
        <v>0</v>
      </c>
      <c r="AW2749" s="3">
        <v>0</v>
      </c>
      <c r="AX2749" s="3">
        <v>0</v>
      </c>
      <c r="AY2749" s="3">
        <v>0</v>
      </c>
      <c r="AZ2749" s="3">
        <v>0</v>
      </c>
      <c r="BA2749" s="3">
        <v>0</v>
      </c>
      <c r="BB2749" s="3">
        <v>0</v>
      </c>
      <c r="BC2749" s="3">
        <v>0</v>
      </c>
      <c r="BD2749" s="3">
        <v>0</v>
      </c>
      <c r="BE2749" s="3">
        <v>0</v>
      </c>
      <c r="BF2749" s="3">
        <v>0</v>
      </c>
      <c r="BG2749" s="3">
        <v>0</v>
      </c>
      <c r="BH2749" s="3">
        <v>1</v>
      </c>
      <c r="BI2749" s="3">
        <v>1</v>
      </c>
      <c r="BJ2749" s="3">
        <v>2.7</v>
      </c>
      <c r="BK2749" s="3">
        <v>3</v>
      </c>
      <c r="BL2749" s="3">
        <v>170.22</v>
      </c>
      <c r="BM2749" s="3">
        <v>25.53</v>
      </c>
      <c r="BN2749" s="3">
        <v>195.75</v>
      </c>
      <c r="BO2749" s="3">
        <v>195.75</v>
      </c>
      <c r="BQ2749" s="3" t="s">
        <v>83</v>
      </c>
      <c r="BR2749" s="3" t="s">
        <v>308</v>
      </c>
      <c r="BS2749" s="4">
        <v>44566</v>
      </c>
      <c r="BT2749" s="5">
        <v>0.48194444444444445</v>
      </c>
      <c r="BU2749" s="3" t="s">
        <v>826</v>
      </c>
      <c r="BV2749" s="3" t="s">
        <v>105</v>
      </c>
      <c r="BY2749" s="3">
        <v>13312</v>
      </c>
      <c r="BZ2749" s="3" t="s">
        <v>165</v>
      </c>
      <c r="CA2749" s="3" t="s">
        <v>328</v>
      </c>
      <c r="CC2749" s="3" t="s">
        <v>530</v>
      </c>
      <c r="CD2749" s="3">
        <v>6500</v>
      </c>
      <c r="CE2749" s="3" t="s">
        <v>86</v>
      </c>
      <c r="CF2749" s="4">
        <v>44566</v>
      </c>
      <c r="CI2749" s="3">
        <v>1</v>
      </c>
      <c r="CJ2749" s="3">
        <v>1</v>
      </c>
      <c r="CK2749" s="3">
        <v>23</v>
      </c>
      <c r="CL2749" s="3" t="s">
        <v>87</v>
      </c>
    </row>
    <row r="2750" spans="1:90" x14ac:dyDescent="0.2">
      <c r="A2750" s="3" t="s">
        <v>72</v>
      </c>
      <c r="B2750" s="3" t="s">
        <v>73</v>
      </c>
      <c r="C2750" s="3" t="s">
        <v>74</v>
      </c>
      <c r="E2750" s="3" t="str">
        <f>"FES1162843295"</f>
        <v>FES1162843295</v>
      </c>
      <c r="F2750" s="4">
        <v>44564</v>
      </c>
      <c r="G2750" s="3">
        <v>202207</v>
      </c>
      <c r="H2750" s="3" t="s">
        <v>75</v>
      </c>
      <c r="I2750" s="3" t="s">
        <v>76</v>
      </c>
      <c r="J2750" s="3" t="s">
        <v>77</v>
      </c>
      <c r="K2750" s="3" t="s">
        <v>78</v>
      </c>
      <c r="L2750" s="3" t="s">
        <v>90</v>
      </c>
      <c r="M2750" s="3" t="s">
        <v>91</v>
      </c>
      <c r="N2750" s="3" t="s">
        <v>132</v>
      </c>
      <c r="O2750" s="3" t="s">
        <v>82</v>
      </c>
      <c r="P2750" s="3" t="str">
        <f>"2170815541                    "</f>
        <v xml:space="preserve">2170815541                    </v>
      </c>
      <c r="Q2750" s="3">
        <v>0</v>
      </c>
      <c r="R2750" s="3">
        <v>0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  <c r="AE2750" s="3">
        <v>0</v>
      </c>
      <c r="AF2750" s="3">
        <v>0</v>
      </c>
      <c r="AG2750" s="3">
        <v>0</v>
      </c>
      <c r="AH2750" s="3">
        <v>0</v>
      </c>
      <c r="AI2750" s="3">
        <v>0</v>
      </c>
      <c r="AJ2750" s="3">
        <v>0</v>
      </c>
      <c r="AK2750" s="3">
        <v>16.98</v>
      </c>
      <c r="AL2750" s="3">
        <v>0</v>
      </c>
      <c r="AM2750" s="3">
        <v>0</v>
      </c>
      <c r="AN2750" s="3">
        <v>0</v>
      </c>
      <c r="AO2750" s="3">
        <v>0</v>
      </c>
      <c r="AP2750" s="3">
        <v>0</v>
      </c>
      <c r="AQ2750" s="3">
        <v>0</v>
      </c>
      <c r="AR2750" s="3">
        <v>0</v>
      </c>
      <c r="AS2750" s="3">
        <v>0</v>
      </c>
      <c r="AT2750" s="3">
        <v>0</v>
      </c>
      <c r="AU2750" s="3">
        <v>0</v>
      </c>
      <c r="AV2750" s="3">
        <v>0</v>
      </c>
      <c r="AW2750" s="3">
        <v>0</v>
      </c>
      <c r="AX2750" s="3">
        <v>0</v>
      </c>
      <c r="AY2750" s="3">
        <v>0</v>
      </c>
      <c r="AZ2750" s="3">
        <v>0</v>
      </c>
      <c r="BA2750" s="3">
        <v>0</v>
      </c>
      <c r="BB2750" s="3">
        <v>0</v>
      </c>
      <c r="BC2750" s="3">
        <v>0</v>
      </c>
      <c r="BD2750" s="3">
        <v>0</v>
      </c>
      <c r="BE2750" s="3">
        <v>0</v>
      </c>
      <c r="BF2750" s="3">
        <v>0</v>
      </c>
      <c r="BG2750" s="3">
        <v>0</v>
      </c>
      <c r="BH2750" s="3">
        <v>1</v>
      </c>
      <c r="BI2750" s="3">
        <v>1</v>
      </c>
      <c r="BJ2750" s="3">
        <v>1.5</v>
      </c>
      <c r="BK2750" s="3">
        <v>1.5</v>
      </c>
      <c r="BL2750" s="3">
        <v>60.52</v>
      </c>
      <c r="BM2750" s="3">
        <v>9.08</v>
      </c>
      <c r="BN2750" s="3">
        <v>69.599999999999994</v>
      </c>
      <c r="BO2750" s="3">
        <v>69.599999999999994</v>
      </c>
      <c r="BQ2750" s="3" t="s">
        <v>83</v>
      </c>
      <c r="BR2750" s="3" t="s">
        <v>308</v>
      </c>
      <c r="BS2750" s="4">
        <v>44565</v>
      </c>
      <c r="BT2750" s="5">
        <v>0.39861111111111108</v>
      </c>
      <c r="BU2750" s="3" t="s">
        <v>2527</v>
      </c>
      <c r="BV2750" s="3" t="s">
        <v>105</v>
      </c>
      <c r="BY2750" s="3">
        <v>7540</v>
      </c>
      <c r="BZ2750" s="3" t="s">
        <v>165</v>
      </c>
      <c r="CA2750" s="3" t="s">
        <v>641</v>
      </c>
      <c r="CC2750" s="3" t="s">
        <v>91</v>
      </c>
      <c r="CD2750" s="3">
        <v>7530</v>
      </c>
      <c r="CE2750" s="3" t="s">
        <v>86</v>
      </c>
      <c r="CF2750" s="4">
        <v>44566</v>
      </c>
      <c r="CI2750" s="3">
        <v>1</v>
      </c>
      <c r="CJ2750" s="3">
        <v>1</v>
      </c>
      <c r="CK2750" s="3">
        <v>21</v>
      </c>
      <c r="CL2750" s="3" t="s">
        <v>87</v>
      </c>
    </row>
    <row r="2751" spans="1:90" x14ac:dyDescent="0.2">
      <c r="A2751" s="3" t="s">
        <v>72</v>
      </c>
      <c r="B2751" s="3" t="s">
        <v>73</v>
      </c>
      <c r="C2751" s="3" t="s">
        <v>74</v>
      </c>
      <c r="E2751" s="3" t="str">
        <f>"FES1162843443"</f>
        <v>FES1162843443</v>
      </c>
      <c r="F2751" s="4">
        <v>44565</v>
      </c>
      <c r="G2751" s="3">
        <v>202207</v>
      </c>
      <c r="H2751" s="3" t="s">
        <v>75</v>
      </c>
      <c r="I2751" s="3" t="s">
        <v>76</v>
      </c>
      <c r="J2751" s="3" t="s">
        <v>77</v>
      </c>
      <c r="K2751" s="3" t="s">
        <v>78</v>
      </c>
      <c r="L2751" s="3" t="s">
        <v>1491</v>
      </c>
      <c r="M2751" s="3" t="s">
        <v>1492</v>
      </c>
      <c r="N2751" s="3" t="s">
        <v>2629</v>
      </c>
      <c r="O2751" s="3" t="s">
        <v>82</v>
      </c>
      <c r="P2751" s="3" t="str">
        <f>"2170813672                    "</f>
        <v xml:space="preserve">2170813672                    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  <c r="AE2751" s="3">
        <v>0</v>
      </c>
      <c r="AF2751" s="3">
        <v>0</v>
      </c>
      <c r="AG2751" s="3">
        <v>0</v>
      </c>
      <c r="AH2751" s="3">
        <v>0</v>
      </c>
      <c r="AI2751" s="3">
        <v>0</v>
      </c>
      <c r="AJ2751" s="3">
        <v>0</v>
      </c>
      <c r="AK2751" s="3">
        <v>16.98</v>
      </c>
      <c r="AL2751" s="3">
        <v>0</v>
      </c>
      <c r="AM2751" s="3">
        <v>0</v>
      </c>
      <c r="AN2751" s="3">
        <v>0</v>
      </c>
      <c r="AO2751" s="3">
        <v>0</v>
      </c>
      <c r="AP2751" s="3">
        <v>0</v>
      </c>
      <c r="AQ2751" s="3">
        <v>0</v>
      </c>
      <c r="AR2751" s="3">
        <v>0</v>
      </c>
      <c r="AS2751" s="3">
        <v>0</v>
      </c>
      <c r="AT2751" s="3">
        <v>0</v>
      </c>
      <c r="AU2751" s="3">
        <v>0</v>
      </c>
      <c r="AV2751" s="3">
        <v>0</v>
      </c>
      <c r="AW2751" s="3">
        <v>0</v>
      </c>
      <c r="AX2751" s="3">
        <v>0</v>
      </c>
      <c r="AY2751" s="3">
        <v>0</v>
      </c>
      <c r="AZ2751" s="3">
        <v>0</v>
      </c>
      <c r="BA2751" s="3">
        <v>0</v>
      </c>
      <c r="BB2751" s="3">
        <v>0</v>
      </c>
      <c r="BC2751" s="3">
        <v>0</v>
      </c>
      <c r="BD2751" s="3">
        <v>0</v>
      </c>
      <c r="BE2751" s="3">
        <v>0</v>
      </c>
      <c r="BF2751" s="3">
        <v>0</v>
      </c>
      <c r="BG2751" s="3">
        <v>0</v>
      </c>
      <c r="BH2751" s="3">
        <v>1</v>
      </c>
      <c r="BI2751" s="3">
        <v>1</v>
      </c>
      <c r="BJ2751" s="3">
        <v>0.2</v>
      </c>
      <c r="BK2751" s="3">
        <v>1</v>
      </c>
      <c r="BL2751" s="3">
        <v>60.52</v>
      </c>
      <c r="BM2751" s="3">
        <v>9.08</v>
      </c>
      <c r="BN2751" s="3">
        <v>69.599999999999994</v>
      </c>
      <c r="BO2751" s="3">
        <v>69.599999999999994</v>
      </c>
      <c r="BQ2751" s="3" t="s">
        <v>83</v>
      </c>
      <c r="BR2751" s="3" t="s">
        <v>308</v>
      </c>
      <c r="BS2751" s="4">
        <v>44566</v>
      </c>
      <c r="BT2751" s="5">
        <v>0.40347222222222223</v>
      </c>
      <c r="BU2751" s="3" t="s">
        <v>2630</v>
      </c>
      <c r="BV2751" s="3" t="s">
        <v>105</v>
      </c>
      <c r="BY2751" s="3">
        <v>1200</v>
      </c>
      <c r="BZ2751" s="3" t="s">
        <v>165</v>
      </c>
      <c r="CA2751" s="3" t="s">
        <v>1496</v>
      </c>
      <c r="CC2751" s="3" t="s">
        <v>1492</v>
      </c>
      <c r="CD2751" s="3">
        <v>4120</v>
      </c>
      <c r="CE2751" s="3" t="s">
        <v>93</v>
      </c>
      <c r="CF2751" s="4">
        <v>44566</v>
      </c>
      <c r="CI2751" s="3">
        <v>1</v>
      </c>
      <c r="CJ2751" s="3">
        <v>1</v>
      </c>
      <c r="CK2751" s="3">
        <v>21</v>
      </c>
      <c r="CL2751" s="3" t="s">
        <v>87</v>
      </c>
    </row>
    <row r="2752" spans="1:90" x14ac:dyDescent="0.2">
      <c r="A2752" s="3" t="s">
        <v>72</v>
      </c>
      <c r="B2752" s="3" t="s">
        <v>73</v>
      </c>
      <c r="C2752" s="3" t="s">
        <v>74</v>
      </c>
      <c r="E2752" s="3" t="str">
        <f>"FES1162843479"</f>
        <v>FES1162843479</v>
      </c>
      <c r="F2752" s="4">
        <v>44565</v>
      </c>
      <c r="G2752" s="3">
        <v>202207</v>
      </c>
      <c r="H2752" s="3" t="s">
        <v>75</v>
      </c>
      <c r="I2752" s="3" t="s">
        <v>76</v>
      </c>
      <c r="J2752" s="3" t="s">
        <v>77</v>
      </c>
      <c r="K2752" s="3" t="s">
        <v>78</v>
      </c>
      <c r="L2752" s="3" t="s">
        <v>184</v>
      </c>
      <c r="M2752" s="3" t="s">
        <v>185</v>
      </c>
      <c r="N2752" s="3" t="s">
        <v>1539</v>
      </c>
      <c r="O2752" s="3" t="s">
        <v>82</v>
      </c>
      <c r="P2752" s="3" t="str">
        <f>"2170814399                    "</f>
        <v xml:space="preserve">2170814399                    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  <c r="AE2752" s="3">
        <v>0</v>
      </c>
      <c r="AF2752" s="3">
        <v>0</v>
      </c>
      <c r="AG2752" s="3">
        <v>0</v>
      </c>
      <c r="AH2752" s="3">
        <v>0</v>
      </c>
      <c r="AI2752" s="3">
        <v>0</v>
      </c>
      <c r="AJ2752" s="3">
        <v>0</v>
      </c>
      <c r="AK2752" s="3">
        <v>16.98</v>
      </c>
      <c r="AL2752" s="3">
        <v>0</v>
      </c>
      <c r="AM2752" s="3">
        <v>0</v>
      </c>
      <c r="AN2752" s="3">
        <v>0</v>
      </c>
      <c r="AO2752" s="3">
        <v>0</v>
      </c>
      <c r="AP2752" s="3">
        <v>0</v>
      </c>
      <c r="AQ2752" s="3">
        <v>0</v>
      </c>
      <c r="AR2752" s="3">
        <v>0</v>
      </c>
      <c r="AS2752" s="3">
        <v>0</v>
      </c>
      <c r="AT2752" s="3">
        <v>0</v>
      </c>
      <c r="AU2752" s="3">
        <v>0</v>
      </c>
      <c r="AV2752" s="3">
        <v>0</v>
      </c>
      <c r="AW2752" s="3">
        <v>0</v>
      </c>
      <c r="AX2752" s="3">
        <v>0</v>
      </c>
      <c r="AY2752" s="3">
        <v>0</v>
      </c>
      <c r="AZ2752" s="3">
        <v>0</v>
      </c>
      <c r="BA2752" s="3">
        <v>0</v>
      </c>
      <c r="BB2752" s="3">
        <v>0</v>
      </c>
      <c r="BC2752" s="3">
        <v>0</v>
      </c>
      <c r="BD2752" s="3">
        <v>0</v>
      </c>
      <c r="BE2752" s="3">
        <v>0</v>
      </c>
      <c r="BF2752" s="3">
        <v>0</v>
      </c>
      <c r="BG2752" s="3">
        <v>0</v>
      </c>
      <c r="BH2752" s="3">
        <v>1</v>
      </c>
      <c r="BI2752" s="3">
        <v>1</v>
      </c>
      <c r="BJ2752" s="3">
        <v>0.2</v>
      </c>
      <c r="BK2752" s="3">
        <v>1</v>
      </c>
      <c r="BL2752" s="3">
        <v>60.52</v>
      </c>
      <c r="BM2752" s="3">
        <v>9.08</v>
      </c>
      <c r="BN2752" s="3">
        <v>69.599999999999994</v>
      </c>
      <c r="BO2752" s="3">
        <v>69.599999999999994</v>
      </c>
      <c r="BQ2752" s="3" t="s">
        <v>83</v>
      </c>
      <c r="BR2752" s="3" t="s">
        <v>308</v>
      </c>
      <c r="BS2752" s="4">
        <v>44566</v>
      </c>
      <c r="BT2752" s="5">
        <v>0.41736111111111113</v>
      </c>
      <c r="BU2752" s="3" t="s">
        <v>2573</v>
      </c>
      <c r="BV2752" s="3" t="s">
        <v>105</v>
      </c>
      <c r="BY2752" s="3">
        <v>1200</v>
      </c>
      <c r="BZ2752" s="3" t="s">
        <v>165</v>
      </c>
      <c r="CA2752" s="3" t="s">
        <v>2534</v>
      </c>
      <c r="CC2752" s="3" t="s">
        <v>185</v>
      </c>
      <c r="CD2752" s="3">
        <v>5201</v>
      </c>
      <c r="CE2752" s="3" t="s">
        <v>93</v>
      </c>
      <c r="CF2752" s="4">
        <v>44566</v>
      </c>
      <c r="CI2752" s="3">
        <v>1</v>
      </c>
      <c r="CJ2752" s="3">
        <v>1</v>
      </c>
      <c r="CK2752" s="3">
        <v>21</v>
      </c>
      <c r="CL2752" s="3" t="s">
        <v>87</v>
      </c>
    </row>
    <row r="2753" spans="1:90" x14ac:dyDescent="0.2">
      <c r="A2753" s="3" t="s">
        <v>72</v>
      </c>
      <c r="B2753" s="3" t="s">
        <v>73</v>
      </c>
      <c r="C2753" s="3" t="s">
        <v>74</v>
      </c>
      <c r="E2753" s="3" t="str">
        <f>"FES1162843406"</f>
        <v>FES1162843406</v>
      </c>
      <c r="F2753" s="4">
        <v>44565</v>
      </c>
      <c r="G2753" s="3">
        <v>202207</v>
      </c>
      <c r="H2753" s="3" t="s">
        <v>75</v>
      </c>
      <c r="I2753" s="3" t="s">
        <v>76</v>
      </c>
      <c r="J2753" s="3" t="s">
        <v>77</v>
      </c>
      <c r="K2753" s="3" t="s">
        <v>78</v>
      </c>
      <c r="L2753" s="3" t="s">
        <v>420</v>
      </c>
      <c r="M2753" s="3" t="s">
        <v>421</v>
      </c>
      <c r="N2753" s="3" t="s">
        <v>422</v>
      </c>
      <c r="O2753" s="3" t="s">
        <v>82</v>
      </c>
      <c r="P2753" s="3" t="str">
        <f>"2170804992                    "</f>
        <v xml:space="preserve">2170804992                    </v>
      </c>
      <c r="Q2753" s="3">
        <v>0</v>
      </c>
      <c r="R2753" s="3">
        <v>0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  <c r="AE2753" s="3">
        <v>0</v>
      </c>
      <c r="AF2753" s="3">
        <v>0</v>
      </c>
      <c r="AG2753" s="3">
        <v>0</v>
      </c>
      <c r="AH2753" s="3">
        <v>0</v>
      </c>
      <c r="AI2753" s="3">
        <v>0</v>
      </c>
      <c r="AJ2753" s="3">
        <v>0</v>
      </c>
      <c r="AK2753" s="3">
        <v>32.9</v>
      </c>
      <c r="AL2753" s="3">
        <v>0</v>
      </c>
      <c r="AM2753" s="3">
        <v>0</v>
      </c>
      <c r="AN2753" s="3">
        <v>0</v>
      </c>
      <c r="AO2753" s="3">
        <v>0</v>
      </c>
      <c r="AP2753" s="3">
        <v>0</v>
      </c>
      <c r="AQ2753" s="3">
        <v>0</v>
      </c>
      <c r="AR2753" s="3">
        <v>0</v>
      </c>
      <c r="AS2753" s="3">
        <v>0</v>
      </c>
      <c r="AT2753" s="3">
        <v>0</v>
      </c>
      <c r="AU2753" s="3">
        <v>0</v>
      </c>
      <c r="AV2753" s="3">
        <v>0</v>
      </c>
      <c r="AW2753" s="3">
        <v>0</v>
      </c>
      <c r="AX2753" s="3">
        <v>0</v>
      </c>
      <c r="AY2753" s="3">
        <v>0</v>
      </c>
      <c r="AZ2753" s="3">
        <v>0</v>
      </c>
      <c r="BA2753" s="3">
        <v>0</v>
      </c>
      <c r="BB2753" s="3">
        <v>0</v>
      </c>
      <c r="BC2753" s="3">
        <v>0</v>
      </c>
      <c r="BD2753" s="3">
        <v>0</v>
      </c>
      <c r="BE2753" s="3">
        <v>0</v>
      </c>
      <c r="BF2753" s="3">
        <v>0</v>
      </c>
      <c r="BG2753" s="3">
        <v>0</v>
      </c>
      <c r="BH2753" s="3">
        <v>1</v>
      </c>
      <c r="BI2753" s="3">
        <v>1</v>
      </c>
      <c r="BJ2753" s="3">
        <v>0.2</v>
      </c>
      <c r="BK2753" s="3">
        <v>1</v>
      </c>
      <c r="BL2753" s="3">
        <v>117.26</v>
      </c>
      <c r="BM2753" s="3">
        <v>17.59</v>
      </c>
      <c r="BN2753" s="3">
        <v>134.85</v>
      </c>
      <c r="BO2753" s="3">
        <v>134.85</v>
      </c>
      <c r="BR2753" s="3" t="s">
        <v>308</v>
      </c>
      <c r="BS2753" s="4">
        <v>44571</v>
      </c>
      <c r="BT2753" s="5">
        <v>0.40208333333333335</v>
      </c>
      <c r="BU2753" s="3" t="s">
        <v>2631</v>
      </c>
      <c r="BV2753" s="3" t="s">
        <v>87</v>
      </c>
      <c r="BY2753" s="3">
        <v>1200</v>
      </c>
      <c r="BZ2753" s="3" t="s">
        <v>165</v>
      </c>
      <c r="CA2753" s="3" t="s">
        <v>328</v>
      </c>
      <c r="CC2753" s="3" t="s">
        <v>421</v>
      </c>
      <c r="CD2753" s="3">
        <v>6742</v>
      </c>
      <c r="CE2753" s="3" t="s">
        <v>93</v>
      </c>
      <c r="CF2753" s="4">
        <v>44580</v>
      </c>
      <c r="CI2753" s="3">
        <v>2</v>
      </c>
      <c r="CJ2753" s="3">
        <v>4</v>
      </c>
      <c r="CK2753" s="3">
        <v>23</v>
      </c>
      <c r="CL2753" s="3" t="s">
        <v>87</v>
      </c>
    </row>
    <row r="2754" spans="1:90" x14ac:dyDescent="0.2">
      <c r="A2754" s="3" t="s">
        <v>72</v>
      </c>
      <c r="B2754" s="3" t="s">
        <v>73</v>
      </c>
      <c r="C2754" s="3" t="s">
        <v>74</v>
      </c>
      <c r="E2754" s="3" t="str">
        <f>"FES1162843552"</f>
        <v>FES1162843552</v>
      </c>
      <c r="F2754" s="4">
        <v>44565</v>
      </c>
      <c r="G2754" s="3">
        <v>202207</v>
      </c>
      <c r="H2754" s="3" t="s">
        <v>75</v>
      </c>
      <c r="I2754" s="3" t="s">
        <v>76</v>
      </c>
      <c r="J2754" s="3" t="s">
        <v>77</v>
      </c>
      <c r="K2754" s="3" t="s">
        <v>78</v>
      </c>
      <c r="L2754" s="3" t="s">
        <v>138</v>
      </c>
      <c r="M2754" s="3" t="s">
        <v>139</v>
      </c>
      <c r="N2754" s="3" t="s">
        <v>140</v>
      </c>
      <c r="O2754" s="3" t="s">
        <v>82</v>
      </c>
      <c r="P2754" s="3" t="str">
        <f>"2170815640                    "</f>
        <v xml:space="preserve">2170815640                    </v>
      </c>
      <c r="Q2754" s="3">
        <v>0</v>
      </c>
      <c r="R2754" s="3">
        <v>0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  <c r="AE2754" s="3">
        <v>0</v>
      </c>
      <c r="AF2754" s="3">
        <v>0</v>
      </c>
      <c r="AG2754" s="3">
        <v>0</v>
      </c>
      <c r="AH2754" s="3">
        <v>0</v>
      </c>
      <c r="AI2754" s="3">
        <v>0</v>
      </c>
      <c r="AJ2754" s="3">
        <v>0</v>
      </c>
      <c r="AK2754" s="3">
        <v>50.93</v>
      </c>
      <c r="AL2754" s="3">
        <v>0</v>
      </c>
      <c r="AM2754" s="3">
        <v>0</v>
      </c>
      <c r="AN2754" s="3">
        <v>0</v>
      </c>
      <c r="AO2754" s="3">
        <v>0</v>
      </c>
      <c r="AP2754" s="3">
        <v>0</v>
      </c>
      <c r="AQ2754" s="3">
        <v>0</v>
      </c>
      <c r="AR2754" s="3">
        <v>0</v>
      </c>
      <c r="AS2754" s="3">
        <v>0</v>
      </c>
      <c r="AT2754" s="3">
        <v>0</v>
      </c>
      <c r="AU2754" s="3">
        <v>0</v>
      </c>
      <c r="AV2754" s="3">
        <v>0</v>
      </c>
      <c r="AW2754" s="3">
        <v>0</v>
      </c>
      <c r="AX2754" s="3">
        <v>0</v>
      </c>
      <c r="AY2754" s="3">
        <v>0</v>
      </c>
      <c r="AZ2754" s="3">
        <v>0</v>
      </c>
      <c r="BA2754" s="3">
        <v>0</v>
      </c>
      <c r="BB2754" s="3">
        <v>0</v>
      </c>
      <c r="BC2754" s="3">
        <v>0</v>
      </c>
      <c r="BD2754" s="3">
        <v>0</v>
      </c>
      <c r="BE2754" s="3">
        <v>0</v>
      </c>
      <c r="BF2754" s="3">
        <v>0</v>
      </c>
      <c r="BG2754" s="3">
        <v>0</v>
      </c>
      <c r="BH2754" s="3">
        <v>1</v>
      </c>
      <c r="BI2754" s="3">
        <v>6</v>
      </c>
      <c r="BJ2754" s="3">
        <v>4.0999999999999996</v>
      </c>
      <c r="BK2754" s="3">
        <v>6</v>
      </c>
      <c r="BL2754" s="3">
        <v>181.51</v>
      </c>
      <c r="BM2754" s="3">
        <v>27.23</v>
      </c>
      <c r="BN2754" s="3">
        <v>208.74</v>
      </c>
      <c r="BO2754" s="3">
        <v>208.74</v>
      </c>
      <c r="BQ2754" s="3" t="s">
        <v>126</v>
      </c>
      <c r="BR2754" s="3" t="s">
        <v>308</v>
      </c>
      <c r="BS2754" s="4">
        <v>44566</v>
      </c>
      <c r="BT2754" s="5">
        <v>0.33402777777777781</v>
      </c>
      <c r="BU2754" s="3" t="s">
        <v>819</v>
      </c>
      <c r="BV2754" s="3" t="s">
        <v>105</v>
      </c>
      <c r="BY2754" s="3">
        <v>20358</v>
      </c>
      <c r="BZ2754" s="3" t="s">
        <v>165</v>
      </c>
      <c r="CA2754" s="3" t="s">
        <v>334</v>
      </c>
      <c r="CC2754" s="3" t="s">
        <v>139</v>
      </c>
      <c r="CD2754" s="3">
        <v>3610</v>
      </c>
      <c r="CE2754" s="3" t="s">
        <v>86</v>
      </c>
      <c r="CF2754" s="4">
        <v>44566</v>
      </c>
      <c r="CI2754" s="3">
        <v>1</v>
      </c>
      <c r="CJ2754" s="3">
        <v>1</v>
      </c>
      <c r="CK2754" s="3">
        <v>21</v>
      </c>
      <c r="CL2754" s="3" t="s">
        <v>87</v>
      </c>
    </row>
    <row r="2755" spans="1:90" x14ac:dyDescent="0.2">
      <c r="A2755" s="3" t="s">
        <v>72</v>
      </c>
      <c r="B2755" s="3" t="s">
        <v>73</v>
      </c>
      <c r="C2755" s="3" t="s">
        <v>74</v>
      </c>
      <c r="E2755" s="3" t="str">
        <f>"FES1162843449"</f>
        <v>FES1162843449</v>
      </c>
      <c r="F2755" s="4">
        <v>44565</v>
      </c>
      <c r="G2755" s="3">
        <v>202207</v>
      </c>
      <c r="H2755" s="3" t="s">
        <v>75</v>
      </c>
      <c r="I2755" s="3" t="s">
        <v>76</v>
      </c>
      <c r="J2755" s="3" t="s">
        <v>77</v>
      </c>
      <c r="K2755" s="3" t="s">
        <v>78</v>
      </c>
      <c r="L2755" s="3" t="s">
        <v>184</v>
      </c>
      <c r="M2755" s="3" t="s">
        <v>185</v>
      </c>
      <c r="N2755" s="3" t="s">
        <v>610</v>
      </c>
      <c r="O2755" s="3" t="s">
        <v>82</v>
      </c>
      <c r="P2755" s="3" t="str">
        <f>"2170813763                    "</f>
        <v xml:space="preserve">2170813763                    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0</v>
      </c>
      <c r="W2755" s="3">
        <v>0</v>
      </c>
      <c r="X2755" s="3">
        <v>0</v>
      </c>
      <c r="Y2755" s="3">
        <v>0</v>
      </c>
      <c r="Z2755" s="3">
        <v>0</v>
      </c>
      <c r="AA2755" s="3">
        <v>0</v>
      </c>
      <c r="AB2755" s="3">
        <v>0</v>
      </c>
      <c r="AC2755" s="3">
        <v>0</v>
      </c>
      <c r="AD2755" s="3">
        <v>0</v>
      </c>
      <c r="AE2755" s="3">
        <v>0</v>
      </c>
      <c r="AF2755" s="3">
        <v>0</v>
      </c>
      <c r="AG2755" s="3">
        <v>0</v>
      </c>
      <c r="AH2755" s="3">
        <v>0</v>
      </c>
      <c r="AI2755" s="3">
        <v>0</v>
      </c>
      <c r="AJ2755" s="3">
        <v>0</v>
      </c>
      <c r="AK2755" s="3">
        <v>16.98</v>
      </c>
      <c r="AL2755" s="3">
        <v>0</v>
      </c>
      <c r="AM2755" s="3">
        <v>0</v>
      </c>
      <c r="AN2755" s="3">
        <v>0</v>
      </c>
      <c r="AO2755" s="3">
        <v>0</v>
      </c>
      <c r="AP2755" s="3">
        <v>0</v>
      </c>
      <c r="AQ2755" s="3">
        <v>0</v>
      </c>
      <c r="AR2755" s="3">
        <v>0</v>
      </c>
      <c r="AS2755" s="3">
        <v>0</v>
      </c>
      <c r="AT2755" s="3">
        <v>0</v>
      </c>
      <c r="AU2755" s="3">
        <v>0</v>
      </c>
      <c r="AV2755" s="3">
        <v>0</v>
      </c>
      <c r="AW2755" s="3">
        <v>0</v>
      </c>
      <c r="AX2755" s="3">
        <v>0</v>
      </c>
      <c r="AY2755" s="3">
        <v>0</v>
      </c>
      <c r="AZ2755" s="3">
        <v>0</v>
      </c>
      <c r="BA2755" s="3">
        <v>0</v>
      </c>
      <c r="BB2755" s="3">
        <v>0</v>
      </c>
      <c r="BC2755" s="3">
        <v>0</v>
      </c>
      <c r="BD2755" s="3">
        <v>0</v>
      </c>
      <c r="BE2755" s="3">
        <v>0</v>
      </c>
      <c r="BF2755" s="3">
        <v>0</v>
      </c>
      <c r="BG2755" s="3">
        <v>0</v>
      </c>
      <c r="BH2755" s="3">
        <v>1</v>
      </c>
      <c r="BI2755" s="3">
        <v>1</v>
      </c>
      <c r="BJ2755" s="3">
        <v>0.2</v>
      </c>
      <c r="BK2755" s="3">
        <v>1</v>
      </c>
      <c r="BL2755" s="3">
        <v>60.52</v>
      </c>
      <c r="BM2755" s="3">
        <v>9.08</v>
      </c>
      <c r="BN2755" s="3">
        <v>69.599999999999994</v>
      </c>
      <c r="BO2755" s="3">
        <v>69.599999999999994</v>
      </c>
      <c r="BQ2755" s="3" t="s">
        <v>89</v>
      </c>
      <c r="BR2755" s="3" t="s">
        <v>308</v>
      </c>
      <c r="BS2755" s="4">
        <v>44566</v>
      </c>
      <c r="BT2755" s="5">
        <v>0.41875000000000001</v>
      </c>
      <c r="BU2755" s="3" t="s">
        <v>2632</v>
      </c>
      <c r="BV2755" s="3" t="s">
        <v>105</v>
      </c>
      <c r="BY2755" s="3">
        <v>1200</v>
      </c>
      <c r="BZ2755" s="3" t="s">
        <v>165</v>
      </c>
      <c r="CA2755" s="3" t="s">
        <v>2534</v>
      </c>
      <c r="CC2755" s="3" t="s">
        <v>185</v>
      </c>
      <c r="CD2755" s="3">
        <v>5201</v>
      </c>
      <c r="CE2755" s="3" t="s">
        <v>93</v>
      </c>
      <c r="CF2755" s="4">
        <v>44566</v>
      </c>
      <c r="CI2755" s="3">
        <v>1</v>
      </c>
      <c r="CJ2755" s="3">
        <v>1</v>
      </c>
      <c r="CK2755" s="3">
        <v>21</v>
      </c>
      <c r="CL2755" s="3" t="s">
        <v>87</v>
      </c>
    </row>
    <row r="2756" spans="1:90" x14ac:dyDescent="0.2">
      <c r="A2756" s="3" t="s">
        <v>72</v>
      </c>
      <c r="B2756" s="3" t="s">
        <v>73</v>
      </c>
      <c r="C2756" s="3" t="s">
        <v>74</v>
      </c>
      <c r="E2756" s="3" t="str">
        <f>"FES11628435689"</f>
        <v>FES11628435689</v>
      </c>
      <c r="F2756" s="4">
        <v>44566</v>
      </c>
      <c r="G2756" s="3">
        <v>202207</v>
      </c>
      <c r="H2756" s="3" t="s">
        <v>75</v>
      </c>
      <c r="I2756" s="3" t="s">
        <v>76</v>
      </c>
      <c r="J2756" s="3" t="s">
        <v>77</v>
      </c>
      <c r="K2756" s="3" t="s">
        <v>78</v>
      </c>
      <c r="L2756" s="3" t="s">
        <v>176</v>
      </c>
      <c r="M2756" s="3" t="s">
        <v>177</v>
      </c>
      <c r="N2756" s="3" t="s">
        <v>178</v>
      </c>
      <c r="O2756" s="3" t="s">
        <v>82</v>
      </c>
      <c r="P2756" s="3" t="str">
        <f>"2170815661                    "</f>
        <v xml:space="preserve">2170815661                    </v>
      </c>
      <c r="Q2756" s="3">
        <v>0</v>
      </c>
      <c r="R2756" s="3">
        <v>0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  <c r="AE2756" s="3">
        <v>0</v>
      </c>
      <c r="AF2756" s="3">
        <v>0</v>
      </c>
      <c r="AG2756" s="3">
        <v>0</v>
      </c>
      <c r="AH2756" s="3">
        <v>0</v>
      </c>
      <c r="AI2756" s="3">
        <v>0</v>
      </c>
      <c r="AJ2756" s="3">
        <v>0</v>
      </c>
      <c r="AK2756" s="3">
        <v>15.46</v>
      </c>
      <c r="AL2756" s="3">
        <v>0</v>
      </c>
      <c r="AM2756" s="3">
        <v>0</v>
      </c>
      <c r="AN2756" s="3">
        <v>0</v>
      </c>
      <c r="AO2756" s="3">
        <v>0</v>
      </c>
      <c r="AP2756" s="3">
        <v>0</v>
      </c>
      <c r="AQ2756" s="3">
        <v>0</v>
      </c>
      <c r="AR2756" s="3">
        <v>0</v>
      </c>
      <c r="AS2756" s="3">
        <v>0</v>
      </c>
      <c r="AT2756" s="3">
        <v>0</v>
      </c>
      <c r="AU2756" s="3">
        <v>0</v>
      </c>
      <c r="AV2756" s="3">
        <v>0</v>
      </c>
      <c r="AW2756" s="3">
        <v>0</v>
      </c>
      <c r="AX2756" s="3">
        <v>0</v>
      </c>
      <c r="AY2756" s="3">
        <v>0</v>
      </c>
      <c r="AZ2756" s="3">
        <v>0</v>
      </c>
      <c r="BA2756" s="3">
        <v>0</v>
      </c>
      <c r="BB2756" s="3">
        <v>0</v>
      </c>
      <c r="BC2756" s="3">
        <v>0</v>
      </c>
      <c r="BD2756" s="3">
        <v>0</v>
      </c>
      <c r="BE2756" s="3">
        <v>0</v>
      </c>
      <c r="BF2756" s="3">
        <v>0</v>
      </c>
      <c r="BG2756" s="3">
        <v>0</v>
      </c>
      <c r="BH2756" s="3">
        <v>1</v>
      </c>
      <c r="BI2756" s="3">
        <v>1</v>
      </c>
      <c r="BJ2756" s="3">
        <v>0.2</v>
      </c>
      <c r="BK2756" s="3">
        <v>1</v>
      </c>
      <c r="BL2756" s="3">
        <v>59</v>
      </c>
      <c r="BM2756" s="3">
        <v>8.85</v>
      </c>
      <c r="BN2756" s="3">
        <v>67.849999999999994</v>
      </c>
      <c r="BO2756" s="3">
        <v>67.849999999999994</v>
      </c>
      <c r="BQ2756" s="3" t="s">
        <v>83</v>
      </c>
      <c r="BR2756" s="3" t="s">
        <v>364</v>
      </c>
      <c r="BS2756" s="4">
        <v>44567</v>
      </c>
      <c r="BT2756" s="5">
        <v>0.38055555555555554</v>
      </c>
      <c r="BU2756" s="3" t="s">
        <v>551</v>
      </c>
      <c r="BV2756" s="3" t="s">
        <v>105</v>
      </c>
      <c r="BY2756" s="3">
        <v>1200</v>
      </c>
      <c r="BZ2756" s="3" t="s">
        <v>165</v>
      </c>
      <c r="CA2756" s="3" t="s">
        <v>528</v>
      </c>
      <c r="CC2756" s="3" t="s">
        <v>177</v>
      </c>
      <c r="CD2756" s="3">
        <v>4026</v>
      </c>
      <c r="CE2756" s="3" t="s">
        <v>93</v>
      </c>
      <c r="CF2756" s="4">
        <v>44573</v>
      </c>
      <c r="CI2756" s="3">
        <v>1</v>
      </c>
      <c r="CJ2756" s="3">
        <v>1</v>
      </c>
      <c r="CK2756" s="3">
        <v>21</v>
      </c>
      <c r="CL2756" s="3" t="s">
        <v>87</v>
      </c>
    </row>
    <row r="2757" spans="1:90" x14ac:dyDescent="0.2">
      <c r="A2757" s="3" t="s">
        <v>72</v>
      </c>
      <c r="B2757" s="3" t="s">
        <v>73</v>
      </c>
      <c r="C2757" s="3" t="s">
        <v>74</v>
      </c>
      <c r="E2757" s="3" t="str">
        <f>"FES1162843472"</f>
        <v>FES1162843472</v>
      </c>
      <c r="F2757" s="4">
        <v>44565</v>
      </c>
      <c r="G2757" s="3">
        <v>202207</v>
      </c>
      <c r="H2757" s="3" t="s">
        <v>75</v>
      </c>
      <c r="I2757" s="3" t="s">
        <v>76</v>
      </c>
      <c r="J2757" s="3" t="s">
        <v>77</v>
      </c>
      <c r="K2757" s="3" t="s">
        <v>78</v>
      </c>
      <c r="L2757" s="3" t="s">
        <v>187</v>
      </c>
      <c r="M2757" s="3" t="s">
        <v>188</v>
      </c>
      <c r="N2757" s="3" t="s">
        <v>189</v>
      </c>
      <c r="O2757" s="3" t="s">
        <v>82</v>
      </c>
      <c r="P2757" s="3" t="str">
        <f>"2170814292                    "</f>
        <v xml:space="preserve">2170814292                    </v>
      </c>
      <c r="Q2757" s="3">
        <v>0</v>
      </c>
      <c r="R2757" s="3">
        <v>0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  <c r="AE2757" s="3">
        <v>0</v>
      </c>
      <c r="AF2757" s="3">
        <v>0</v>
      </c>
      <c r="AG2757" s="3">
        <v>0</v>
      </c>
      <c r="AH2757" s="3">
        <v>0</v>
      </c>
      <c r="AI2757" s="3">
        <v>0</v>
      </c>
      <c r="AJ2757" s="3">
        <v>0</v>
      </c>
      <c r="AK2757" s="3">
        <v>32.9</v>
      </c>
      <c r="AL2757" s="3">
        <v>0</v>
      </c>
      <c r="AM2757" s="3">
        <v>0</v>
      </c>
      <c r="AN2757" s="3">
        <v>0</v>
      </c>
      <c r="AO2757" s="3">
        <v>0</v>
      </c>
      <c r="AP2757" s="3">
        <v>0</v>
      </c>
      <c r="AQ2757" s="3">
        <v>0</v>
      </c>
      <c r="AR2757" s="3">
        <v>0</v>
      </c>
      <c r="AS2757" s="3">
        <v>0</v>
      </c>
      <c r="AT2757" s="3">
        <v>0</v>
      </c>
      <c r="AU2757" s="3">
        <v>0</v>
      </c>
      <c r="AV2757" s="3">
        <v>0</v>
      </c>
      <c r="AW2757" s="3">
        <v>0</v>
      </c>
      <c r="AX2757" s="3">
        <v>0</v>
      </c>
      <c r="AY2757" s="3">
        <v>0</v>
      </c>
      <c r="AZ2757" s="3">
        <v>0</v>
      </c>
      <c r="BA2757" s="3">
        <v>0</v>
      </c>
      <c r="BB2757" s="3">
        <v>0</v>
      </c>
      <c r="BC2757" s="3">
        <v>0</v>
      </c>
      <c r="BD2757" s="3">
        <v>0</v>
      </c>
      <c r="BE2757" s="3">
        <v>0</v>
      </c>
      <c r="BF2757" s="3">
        <v>0</v>
      </c>
      <c r="BG2757" s="3">
        <v>0</v>
      </c>
      <c r="BH2757" s="3">
        <v>1</v>
      </c>
      <c r="BI2757" s="3">
        <v>1</v>
      </c>
      <c r="BJ2757" s="3">
        <v>0.2</v>
      </c>
      <c r="BK2757" s="3">
        <v>1</v>
      </c>
      <c r="BL2757" s="3">
        <v>117.26</v>
      </c>
      <c r="BM2757" s="3">
        <v>17.59</v>
      </c>
      <c r="BN2757" s="3">
        <v>134.85</v>
      </c>
      <c r="BO2757" s="3">
        <v>134.85</v>
      </c>
      <c r="BQ2757" s="3" t="s">
        <v>83</v>
      </c>
      <c r="BR2757" s="3" t="s">
        <v>308</v>
      </c>
      <c r="BS2757" s="4">
        <v>44566</v>
      </c>
      <c r="BT2757" s="5">
        <v>0.4597222222222222</v>
      </c>
      <c r="BU2757" s="3" t="s">
        <v>267</v>
      </c>
      <c r="BV2757" s="3" t="s">
        <v>105</v>
      </c>
      <c r="BY2757" s="3">
        <v>1200</v>
      </c>
      <c r="BZ2757" s="3" t="s">
        <v>165</v>
      </c>
      <c r="CA2757" s="3" t="s">
        <v>268</v>
      </c>
      <c r="CC2757" s="3" t="s">
        <v>188</v>
      </c>
      <c r="CD2757" s="3">
        <v>7300</v>
      </c>
      <c r="CE2757" s="3" t="s">
        <v>93</v>
      </c>
      <c r="CF2757" s="4">
        <v>44567</v>
      </c>
      <c r="CI2757" s="3">
        <v>1</v>
      </c>
      <c r="CJ2757" s="3">
        <v>1</v>
      </c>
      <c r="CK2757" s="3">
        <v>23</v>
      </c>
      <c r="CL2757" s="3" t="s">
        <v>87</v>
      </c>
    </row>
    <row r="2758" spans="1:90" x14ac:dyDescent="0.2">
      <c r="A2758" s="3" t="s">
        <v>72</v>
      </c>
      <c r="B2758" s="3" t="s">
        <v>73</v>
      </c>
      <c r="C2758" s="3" t="s">
        <v>74</v>
      </c>
      <c r="E2758" s="3" t="str">
        <f>"FES1162843304"</f>
        <v>FES1162843304</v>
      </c>
      <c r="F2758" s="4">
        <v>44564</v>
      </c>
      <c r="G2758" s="3">
        <v>202207</v>
      </c>
      <c r="H2758" s="3" t="s">
        <v>75</v>
      </c>
      <c r="I2758" s="3" t="s">
        <v>76</v>
      </c>
      <c r="J2758" s="3" t="s">
        <v>77</v>
      </c>
      <c r="K2758" s="3" t="s">
        <v>78</v>
      </c>
      <c r="L2758" s="3" t="s">
        <v>90</v>
      </c>
      <c r="M2758" s="3" t="s">
        <v>91</v>
      </c>
      <c r="N2758" s="3" t="s">
        <v>157</v>
      </c>
      <c r="O2758" s="3" t="s">
        <v>82</v>
      </c>
      <c r="P2758" s="3" t="str">
        <f>"2170815553                    "</f>
        <v xml:space="preserve">2170815553                    </v>
      </c>
      <c r="Q2758" s="3">
        <v>0</v>
      </c>
      <c r="R2758" s="3">
        <v>0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  <c r="AE2758" s="3">
        <v>0</v>
      </c>
      <c r="AF2758" s="3">
        <v>0</v>
      </c>
      <c r="AG2758" s="3">
        <v>0</v>
      </c>
      <c r="AH2758" s="3">
        <v>0</v>
      </c>
      <c r="AI2758" s="3">
        <v>0</v>
      </c>
      <c r="AJ2758" s="3">
        <v>0</v>
      </c>
      <c r="AK2758" s="3">
        <v>16.98</v>
      </c>
      <c r="AL2758" s="3">
        <v>0</v>
      </c>
      <c r="AM2758" s="3">
        <v>0</v>
      </c>
      <c r="AN2758" s="3">
        <v>0</v>
      </c>
      <c r="AO2758" s="3">
        <v>0</v>
      </c>
      <c r="AP2758" s="3">
        <v>0</v>
      </c>
      <c r="AQ2758" s="3">
        <v>0</v>
      </c>
      <c r="AR2758" s="3">
        <v>0</v>
      </c>
      <c r="AS2758" s="3">
        <v>0</v>
      </c>
      <c r="AT2758" s="3">
        <v>0</v>
      </c>
      <c r="AU2758" s="3">
        <v>0</v>
      </c>
      <c r="AV2758" s="3">
        <v>0</v>
      </c>
      <c r="AW2758" s="3">
        <v>0</v>
      </c>
      <c r="AX2758" s="3">
        <v>0</v>
      </c>
      <c r="AY2758" s="3">
        <v>0</v>
      </c>
      <c r="AZ2758" s="3">
        <v>0</v>
      </c>
      <c r="BA2758" s="3">
        <v>0</v>
      </c>
      <c r="BB2758" s="3">
        <v>0</v>
      </c>
      <c r="BC2758" s="3">
        <v>0</v>
      </c>
      <c r="BD2758" s="3">
        <v>0</v>
      </c>
      <c r="BE2758" s="3">
        <v>0</v>
      </c>
      <c r="BF2758" s="3">
        <v>0</v>
      </c>
      <c r="BG2758" s="3">
        <v>0</v>
      </c>
      <c r="BH2758" s="3">
        <v>1</v>
      </c>
      <c r="BI2758" s="3">
        <v>1</v>
      </c>
      <c r="BJ2758" s="3">
        <v>0.2</v>
      </c>
      <c r="BK2758" s="3">
        <v>1</v>
      </c>
      <c r="BL2758" s="3">
        <v>60.52</v>
      </c>
      <c r="BM2758" s="3">
        <v>9.08</v>
      </c>
      <c r="BN2758" s="3">
        <v>69.599999999999994</v>
      </c>
      <c r="BO2758" s="3">
        <v>69.599999999999994</v>
      </c>
      <c r="BQ2758" s="3" t="s">
        <v>89</v>
      </c>
      <c r="BR2758" s="3" t="s">
        <v>308</v>
      </c>
      <c r="BS2758" s="4">
        <v>44565</v>
      </c>
      <c r="BT2758" s="5">
        <v>0.36180555555555555</v>
      </c>
      <c r="BU2758" s="3" t="s">
        <v>1825</v>
      </c>
      <c r="BV2758" s="3" t="s">
        <v>105</v>
      </c>
      <c r="BY2758" s="3">
        <v>1200</v>
      </c>
      <c r="BZ2758" s="3" t="s">
        <v>165</v>
      </c>
      <c r="CA2758" s="3" t="s">
        <v>289</v>
      </c>
      <c r="CC2758" s="3" t="s">
        <v>91</v>
      </c>
      <c r="CD2758" s="3">
        <v>7441</v>
      </c>
      <c r="CE2758" s="3" t="s">
        <v>93</v>
      </c>
      <c r="CF2758" s="4">
        <v>44566</v>
      </c>
      <c r="CI2758" s="3">
        <v>1</v>
      </c>
      <c r="CJ2758" s="3">
        <v>1</v>
      </c>
      <c r="CK2758" s="3">
        <v>21</v>
      </c>
      <c r="CL2758" s="3" t="s">
        <v>87</v>
      </c>
    </row>
    <row r="2759" spans="1:90" x14ac:dyDescent="0.2">
      <c r="A2759" s="3" t="s">
        <v>72</v>
      </c>
      <c r="B2759" s="3" t="s">
        <v>73</v>
      </c>
      <c r="C2759" s="3" t="s">
        <v>74</v>
      </c>
      <c r="E2759" s="3" t="str">
        <f>"FES1162843550"</f>
        <v>FES1162843550</v>
      </c>
      <c r="F2759" s="4">
        <v>44565</v>
      </c>
      <c r="G2759" s="3">
        <v>202207</v>
      </c>
      <c r="H2759" s="3" t="s">
        <v>75</v>
      </c>
      <c r="I2759" s="3" t="s">
        <v>76</v>
      </c>
      <c r="J2759" s="3" t="s">
        <v>77</v>
      </c>
      <c r="K2759" s="3" t="s">
        <v>78</v>
      </c>
      <c r="L2759" s="3" t="s">
        <v>115</v>
      </c>
      <c r="M2759" s="3" t="s">
        <v>116</v>
      </c>
      <c r="N2759" s="3" t="s">
        <v>117</v>
      </c>
      <c r="O2759" s="3" t="s">
        <v>82</v>
      </c>
      <c r="P2759" s="3" t="str">
        <f>"2170815635                    "</f>
        <v xml:space="preserve">2170815635                    </v>
      </c>
      <c r="Q2759" s="3">
        <v>0</v>
      </c>
      <c r="R2759" s="3">
        <v>0</v>
      </c>
      <c r="S2759" s="3">
        <v>0</v>
      </c>
      <c r="T2759" s="3">
        <v>0</v>
      </c>
      <c r="U2759" s="3">
        <v>0</v>
      </c>
      <c r="V2759" s="3">
        <v>0</v>
      </c>
      <c r="W2759" s="3">
        <v>0</v>
      </c>
      <c r="X2759" s="3">
        <v>0</v>
      </c>
      <c r="Y2759" s="3">
        <v>0</v>
      </c>
      <c r="Z2759" s="3">
        <v>0</v>
      </c>
      <c r="AA2759" s="3">
        <v>0</v>
      </c>
      <c r="AB2759" s="3">
        <v>0</v>
      </c>
      <c r="AC2759" s="3">
        <v>0</v>
      </c>
      <c r="AD2759" s="3">
        <v>0</v>
      </c>
      <c r="AE2759" s="3">
        <v>0</v>
      </c>
      <c r="AF2759" s="3">
        <v>0</v>
      </c>
      <c r="AG2759" s="3">
        <v>0</v>
      </c>
      <c r="AH2759" s="3">
        <v>0</v>
      </c>
      <c r="AI2759" s="3">
        <v>0</v>
      </c>
      <c r="AJ2759" s="3">
        <v>0</v>
      </c>
      <c r="AK2759" s="3">
        <v>13.26</v>
      </c>
      <c r="AL2759" s="3">
        <v>0</v>
      </c>
      <c r="AM2759" s="3">
        <v>0</v>
      </c>
      <c r="AN2759" s="3">
        <v>0</v>
      </c>
      <c r="AO2759" s="3">
        <v>0</v>
      </c>
      <c r="AP2759" s="3">
        <v>0</v>
      </c>
      <c r="AQ2759" s="3">
        <v>0</v>
      </c>
      <c r="AR2759" s="3">
        <v>0</v>
      </c>
      <c r="AS2759" s="3">
        <v>0</v>
      </c>
      <c r="AT2759" s="3">
        <v>0</v>
      </c>
      <c r="AU2759" s="3">
        <v>0</v>
      </c>
      <c r="AV2759" s="3">
        <v>0</v>
      </c>
      <c r="AW2759" s="3">
        <v>0</v>
      </c>
      <c r="AX2759" s="3">
        <v>0</v>
      </c>
      <c r="AY2759" s="3">
        <v>0</v>
      </c>
      <c r="AZ2759" s="3">
        <v>0</v>
      </c>
      <c r="BA2759" s="3">
        <v>0</v>
      </c>
      <c r="BB2759" s="3">
        <v>0</v>
      </c>
      <c r="BC2759" s="3">
        <v>0</v>
      </c>
      <c r="BD2759" s="3">
        <v>0</v>
      </c>
      <c r="BE2759" s="3">
        <v>0</v>
      </c>
      <c r="BF2759" s="3">
        <v>0</v>
      </c>
      <c r="BG2759" s="3">
        <v>0</v>
      </c>
      <c r="BH2759" s="3">
        <v>1</v>
      </c>
      <c r="BI2759" s="3">
        <v>1</v>
      </c>
      <c r="BJ2759" s="3">
        <v>0.2</v>
      </c>
      <c r="BK2759" s="3">
        <v>1</v>
      </c>
      <c r="BL2759" s="3">
        <v>47.27</v>
      </c>
      <c r="BM2759" s="3">
        <v>7.09</v>
      </c>
      <c r="BN2759" s="3">
        <v>54.36</v>
      </c>
      <c r="BO2759" s="3">
        <v>54.36</v>
      </c>
      <c r="BQ2759" s="3" t="s">
        <v>89</v>
      </c>
      <c r="BR2759" s="3" t="s">
        <v>308</v>
      </c>
      <c r="BS2759" s="4">
        <v>44566</v>
      </c>
      <c r="BT2759" s="5">
        <v>0.49236111111111108</v>
      </c>
      <c r="BU2759" s="3" t="s">
        <v>2633</v>
      </c>
      <c r="BV2759" s="3" t="s">
        <v>87</v>
      </c>
      <c r="BW2759" s="3" t="s">
        <v>353</v>
      </c>
      <c r="BX2759" s="3" t="s">
        <v>618</v>
      </c>
      <c r="BY2759" s="3">
        <v>1200</v>
      </c>
      <c r="BZ2759" s="3" t="s">
        <v>165</v>
      </c>
      <c r="CA2759" s="3" t="s">
        <v>1350</v>
      </c>
      <c r="CC2759" s="3" t="s">
        <v>116</v>
      </c>
      <c r="CD2759" s="3">
        <v>1559</v>
      </c>
      <c r="CE2759" s="3" t="s">
        <v>93</v>
      </c>
      <c r="CF2759" s="4">
        <v>44566</v>
      </c>
      <c r="CI2759" s="3">
        <v>1</v>
      </c>
      <c r="CJ2759" s="3">
        <v>1</v>
      </c>
      <c r="CK2759" s="3">
        <v>22</v>
      </c>
      <c r="CL2759" s="3" t="s">
        <v>87</v>
      </c>
    </row>
    <row r="2760" spans="1:90" x14ac:dyDescent="0.2">
      <c r="A2760" s="3" t="s">
        <v>72</v>
      </c>
      <c r="B2760" s="3" t="s">
        <v>73</v>
      </c>
      <c r="C2760" s="3" t="s">
        <v>74</v>
      </c>
      <c r="E2760" s="3" t="str">
        <f>"FES1162843445"</f>
        <v>FES1162843445</v>
      </c>
      <c r="F2760" s="4">
        <v>44565</v>
      </c>
      <c r="G2760" s="3">
        <v>202207</v>
      </c>
      <c r="H2760" s="3" t="s">
        <v>75</v>
      </c>
      <c r="I2760" s="3" t="s">
        <v>76</v>
      </c>
      <c r="J2760" s="3" t="s">
        <v>77</v>
      </c>
      <c r="K2760" s="3" t="s">
        <v>78</v>
      </c>
      <c r="L2760" s="3" t="s">
        <v>90</v>
      </c>
      <c r="M2760" s="3" t="s">
        <v>91</v>
      </c>
      <c r="N2760" s="3" t="s">
        <v>132</v>
      </c>
      <c r="O2760" s="3" t="s">
        <v>82</v>
      </c>
      <c r="P2760" s="3" t="str">
        <f>"2170813694                    "</f>
        <v xml:space="preserve">2170813694                    </v>
      </c>
      <c r="Q2760" s="3">
        <v>0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  <c r="AE2760" s="3">
        <v>0</v>
      </c>
      <c r="AF2760" s="3">
        <v>0</v>
      </c>
      <c r="AG2760" s="3">
        <v>0</v>
      </c>
      <c r="AH2760" s="3">
        <v>0</v>
      </c>
      <c r="AI2760" s="3">
        <v>0</v>
      </c>
      <c r="AJ2760" s="3">
        <v>0</v>
      </c>
      <c r="AK2760" s="3">
        <v>16.98</v>
      </c>
      <c r="AL2760" s="3">
        <v>0</v>
      </c>
      <c r="AM2760" s="3">
        <v>0</v>
      </c>
      <c r="AN2760" s="3">
        <v>0</v>
      </c>
      <c r="AO2760" s="3">
        <v>0</v>
      </c>
      <c r="AP2760" s="3">
        <v>0</v>
      </c>
      <c r="AQ2760" s="3">
        <v>0</v>
      </c>
      <c r="AR2760" s="3">
        <v>0</v>
      </c>
      <c r="AS2760" s="3">
        <v>0</v>
      </c>
      <c r="AT2760" s="3">
        <v>0</v>
      </c>
      <c r="AU2760" s="3">
        <v>0</v>
      </c>
      <c r="AV2760" s="3">
        <v>0</v>
      </c>
      <c r="AW2760" s="3">
        <v>0</v>
      </c>
      <c r="AX2760" s="3">
        <v>0</v>
      </c>
      <c r="AY2760" s="3">
        <v>0</v>
      </c>
      <c r="AZ2760" s="3">
        <v>0</v>
      </c>
      <c r="BA2760" s="3">
        <v>0</v>
      </c>
      <c r="BB2760" s="3">
        <v>0</v>
      </c>
      <c r="BC2760" s="3">
        <v>0</v>
      </c>
      <c r="BD2760" s="3">
        <v>0</v>
      </c>
      <c r="BE2760" s="3">
        <v>0</v>
      </c>
      <c r="BF2760" s="3">
        <v>0</v>
      </c>
      <c r="BG2760" s="3">
        <v>0</v>
      </c>
      <c r="BH2760" s="3">
        <v>1</v>
      </c>
      <c r="BI2760" s="3">
        <v>1</v>
      </c>
      <c r="BJ2760" s="3">
        <v>0.2</v>
      </c>
      <c r="BK2760" s="3">
        <v>1</v>
      </c>
      <c r="BL2760" s="3">
        <v>60.52</v>
      </c>
      <c r="BM2760" s="3">
        <v>9.08</v>
      </c>
      <c r="BN2760" s="3">
        <v>69.599999999999994</v>
      </c>
      <c r="BO2760" s="3">
        <v>69.599999999999994</v>
      </c>
      <c r="BQ2760" s="3" t="s">
        <v>83</v>
      </c>
      <c r="BR2760" s="3" t="s">
        <v>308</v>
      </c>
      <c r="BS2760" s="4">
        <v>44566</v>
      </c>
      <c r="BT2760" s="5">
        <v>0.40138888888888885</v>
      </c>
      <c r="BU2760" s="3" t="s">
        <v>2621</v>
      </c>
      <c r="BV2760" s="3" t="s">
        <v>105</v>
      </c>
      <c r="BY2760" s="3">
        <v>1200</v>
      </c>
      <c r="BZ2760" s="3" t="s">
        <v>165</v>
      </c>
      <c r="CA2760" s="3" t="s">
        <v>641</v>
      </c>
      <c r="CC2760" s="3" t="s">
        <v>91</v>
      </c>
      <c r="CD2760" s="3">
        <v>7530</v>
      </c>
      <c r="CE2760" s="3" t="s">
        <v>93</v>
      </c>
      <c r="CF2760" s="4">
        <v>44567</v>
      </c>
      <c r="CI2760" s="3">
        <v>1</v>
      </c>
      <c r="CJ2760" s="3">
        <v>1</v>
      </c>
      <c r="CK2760" s="3">
        <v>21</v>
      </c>
      <c r="CL2760" s="3" t="s">
        <v>87</v>
      </c>
    </row>
    <row r="2761" spans="1:90" x14ac:dyDescent="0.2">
      <c r="A2761" s="3" t="s">
        <v>72</v>
      </c>
      <c r="B2761" s="3" t="s">
        <v>73</v>
      </c>
      <c r="C2761" s="3" t="s">
        <v>74</v>
      </c>
      <c r="E2761" s="3" t="str">
        <f>"FES1162843553"</f>
        <v>FES1162843553</v>
      </c>
      <c r="F2761" s="4">
        <v>44565</v>
      </c>
      <c r="G2761" s="3">
        <v>202207</v>
      </c>
      <c r="H2761" s="3" t="s">
        <v>75</v>
      </c>
      <c r="I2761" s="3" t="s">
        <v>76</v>
      </c>
      <c r="J2761" s="3" t="s">
        <v>77</v>
      </c>
      <c r="K2761" s="3" t="s">
        <v>78</v>
      </c>
      <c r="L2761" s="3" t="s">
        <v>464</v>
      </c>
      <c r="M2761" s="3" t="s">
        <v>465</v>
      </c>
      <c r="N2761" s="3" t="s">
        <v>2364</v>
      </c>
      <c r="O2761" s="3" t="s">
        <v>82</v>
      </c>
      <c r="P2761" s="3" t="str">
        <f>"2170815641                    "</f>
        <v xml:space="preserve">2170815641                    </v>
      </c>
      <c r="Q2761" s="3">
        <v>0</v>
      </c>
      <c r="R2761" s="3">
        <v>0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  <c r="AE2761" s="3">
        <v>0</v>
      </c>
      <c r="AF2761" s="3">
        <v>0</v>
      </c>
      <c r="AG2761" s="3">
        <v>0</v>
      </c>
      <c r="AH2761" s="3">
        <v>0</v>
      </c>
      <c r="AI2761" s="3">
        <v>0</v>
      </c>
      <c r="AJ2761" s="3">
        <v>0</v>
      </c>
      <c r="AK2761" s="3">
        <v>13.26</v>
      </c>
      <c r="AL2761" s="3">
        <v>0</v>
      </c>
      <c r="AM2761" s="3">
        <v>0</v>
      </c>
      <c r="AN2761" s="3">
        <v>0</v>
      </c>
      <c r="AO2761" s="3">
        <v>0</v>
      </c>
      <c r="AP2761" s="3">
        <v>0</v>
      </c>
      <c r="AQ2761" s="3">
        <v>0</v>
      </c>
      <c r="AR2761" s="3">
        <v>0</v>
      </c>
      <c r="AS2761" s="3">
        <v>0</v>
      </c>
      <c r="AT2761" s="3">
        <v>0</v>
      </c>
      <c r="AU2761" s="3">
        <v>0</v>
      </c>
      <c r="AV2761" s="3">
        <v>0</v>
      </c>
      <c r="AW2761" s="3">
        <v>0</v>
      </c>
      <c r="AX2761" s="3">
        <v>0</v>
      </c>
      <c r="AY2761" s="3">
        <v>0</v>
      </c>
      <c r="AZ2761" s="3">
        <v>0</v>
      </c>
      <c r="BA2761" s="3">
        <v>0</v>
      </c>
      <c r="BB2761" s="3">
        <v>0</v>
      </c>
      <c r="BC2761" s="3">
        <v>0</v>
      </c>
      <c r="BD2761" s="3">
        <v>0</v>
      </c>
      <c r="BE2761" s="3">
        <v>0</v>
      </c>
      <c r="BF2761" s="3">
        <v>0</v>
      </c>
      <c r="BG2761" s="3">
        <v>0</v>
      </c>
      <c r="BH2761" s="3">
        <v>1</v>
      </c>
      <c r="BI2761" s="3">
        <v>1</v>
      </c>
      <c r="BJ2761" s="3">
        <v>0.2</v>
      </c>
      <c r="BK2761" s="3">
        <v>1</v>
      </c>
      <c r="BL2761" s="3">
        <v>47.27</v>
      </c>
      <c r="BM2761" s="3">
        <v>7.09</v>
      </c>
      <c r="BN2761" s="3">
        <v>54.36</v>
      </c>
      <c r="BO2761" s="3">
        <v>54.36</v>
      </c>
      <c r="BR2761" s="3" t="s">
        <v>308</v>
      </c>
      <c r="BS2761" s="4">
        <v>44566</v>
      </c>
      <c r="BT2761" s="5">
        <v>0.34166666666666662</v>
      </c>
      <c r="BU2761" s="3" t="s">
        <v>2634</v>
      </c>
      <c r="BV2761" s="3" t="s">
        <v>105</v>
      </c>
      <c r="BY2761" s="3">
        <v>1200</v>
      </c>
      <c r="BZ2761" s="3" t="s">
        <v>165</v>
      </c>
      <c r="CA2761" s="3" t="s">
        <v>1684</v>
      </c>
      <c r="CC2761" s="3" t="s">
        <v>465</v>
      </c>
      <c r="CD2761" s="3">
        <v>1501</v>
      </c>
      <c r="CE2761" s="3" t="s">
        <v>93</v>
      </c>
      <c r="CF2761" s="4">
        <v>44566</v>
      </c>
      <c r="CI2761" s="3">
        <v>1</v>
      </c>
      <c r="CJ2761" s="3">
        <v>1</v>
      </c>
      <c r="CK2761" s="3">
        <v>22</v>
      </c>
      <c r="CL2761" s="3" t="s">
        <v>87</v>
      </c>
    </row>
    <row r="2762" spans="1:90" x14ac:dyDescent="0.2">
      <c r="A2762" s="3" t="s">
        <v>72</v>
      </c>
      <c r="B2762" s="3" t="s">
        <v>73</v>
      </c>
      <c r="C2762" s="3" t="s">
        <v>74</v>
      </c>
      <c r="E2762" s="3" t="str">
        <f>"FES1162843391"</f>
        <v>FES1162843391</v>
      </c>
      <c r="F2762" s="4">
        <v>44565</v>
      </c>
      <c r="G2762" s="3">
        <v>202207</v>
      </c>
      <c r="H2762" s="3" t="s">
        <v>75</v>
      </c>
      <c r="I2762" s="3" t="s">
        <v>76</v>
      </c>
      <c r="J2762" s="3" t="s">
        <v>77</v>
      </c>
      <c r="K2762" s="3" t="s">
        <v>78</v>
      </c>
      <c r="L2762" s="3" t="s">
        <v>171</v>
      </c>
      <c r="M2762" s="3" t="s">
        <v>172</v>
      </c>
      <c r="N2762" s="3" t="s">
        <v>329</v>
      </c>
      <c r="O2762" s="3" t="s">
        <v>148</v>
      </c>
      <c r="P2762" s="3" t="str">
        <f>"2170807937                    "</f>
        <v xml:space="preserve">2170807937                    </v>
      </c>
      <c r="Q2762" s="3">
        <v>0</v>
      </c>
      <c r="R2762" s="3">
        <v>0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  <c r="AE2762" s="3">
        <v>0</v>
      </c>
      <c r="AF2762" s="3">
        <v>0</v>
      </c>
      <c r="AG2762" s="3">
        <v>0</v>
      </c>
      <c r="AH2762" s="3">
        <v>0</v>
      </c>
      <c r="AI2762" s="3">
        <v>0</v>
      </c>
      <c r="AJ2762" s="3">
        <v>0</v>
      </c>
      <c r="AK2762" s="3">
        <v>32.840000000000003</v>
      </c>
      <c r="AL2762" s="3">
        <v>0</v>
      </c>
      <c r="AM2762" s="3">
        <v>0</v>
      </c>
      <c r="AN2762" s="3">
        <v>0</v>
      </c>
      <c r="AO2762" s="3">
        <v>0</v>
      </c>
      <c r="AP2762" s="3">
        <v>0</v>
      </c>
      <c r="AQ2762" s="3">
        <v>0</v>
      </c>
      <c r="AR2762" s="3">
        <v>0</v>
      </c>
      <c r="AS2762" s="3">
        <v>0</v>
      </c>
      <c r="AT2762" s="3">
        <v>0</v>
      </c>
      <c r="AU2762" s="3">
        <v>0</v>
      </c>
      <c r="AV2762" s="3">
        <v>0</v>
      </c>
      <c r="AW2762" s="3">
        <v>0</v>
      </c>
      <c r="AX2762" s="3">
        <v>0</v>
      </c>
      <c r="AY2762" s="3">
        <v>0</v>
      </c>
      <c r="AZ2762" s="3">
        <v>0</v>
      </c>
      <c r="BA2762" s="3">
        <v>0</v>
      </c>
      <c r="BB2762" s="3">
        <v>0</v>
      </c>
      <c r="BC2762" s="3">
        <v>0</v>
      </c>
      <c r="BD2762" s="3">
        <v>0</v>
      </c>
      <c r="BE2762" s="3">
        <v>0</v>
      </c>
      <c r="BF2762" s="3">
        <v>0</v>
      </c>
      <c r="BG2762" s="3">
        <v>0</v>
      </c>
      <c r="BH2762" s="3">
        <v>1</v>
      </c>
      <c r="BI2762" s="3">
        <v>2</v>
      </c>
      <c r="BJ2762" s="3">
        <v>3.1</v>
      </c>
      <c r="BK2762" s="3">
        <v>4</v>
      </c>
      <c r="BL2762" s="3">
        <v>122.29</v>
      </c>
      <c r="BM2762" s="3">
        <v>18.34</v>
      </c>
      <c r="BN2762" s="3">
        <v>140.63</v>
      </c>
      <c r="BO2762" s="3">
        <v>140.63</v>
      </c>
      <c r="BQ2762" s="3" t="s">
        <v>83</v>
      </c>
      <c r="BR2762" s="3" t="s">
        <v>308</v>
      </c>
      <c r="BS2762" s="4">
        <v>44567</v>
      </c>
      <c r="BT2762" s="5">
        <v>0.41250000000000003</v>
      </c>
      <c r="BU2762" s="3" t="s">
        <v>2635</v>
      </c>
      <c r="BV2762" s="3" t="s">
        <v>105</v>
      </c>
      <c r="BY2762" s="3">
        <v>15300</v>
      </c>
      <c r="BZ2762" s="3" t="s">
        <v>327</v>
      </c>
      <c r="CA2762" s="3" t="s">
        <v>331</v>
      </c>
      <c r="CC2762" s="3" t="s">
        <v>172</v>
      </c>
      <c r="CD2762" s="3">
        <v>6001</v>
      </c>
      <c r="CE2762" s="3" t="s">
        <v>86</v>
      </c>
      <c r="CF2762" s="4">
        <v>44567</v>
      </c>
      <c r="CI2762" s="3">
        <v>2</v>
      </c>
      <c r="CJ2762" s="3">
        <v>2</v>
      </c>
      <c r="CK2762" s="3">
        <v>41</v>
      </c>
      <c r="CL2762" s="3" t="s">
        <v>87</v>
      </c>
    </row>
    <row r="2763" spans="1:90" x14ac:dyDescent="0.2">
      <c r="A2763" s="3" t="s">
        <v>72</v>
      </c>
      <c r="B2763" s="3" t="s">
        <v>73</v>
      </c>
      <c r="C2763" s="3" t="s">
        <v>74</v>
      </c>
      <c r="E2763" s="3" t="str">
        <f>"FES1162843555"</f>
        <v>FES1162843555</v>
      </c>
      <c r="F2763" s="4">
        <v>44565</v>
      </c>
      <c r="G2763" s="3">
        <v>202207</v>
      </c>
      <c r="H2763" s="3" t="s">
        <v>75</v>
      </c>
      <c r="I2763" s="3" t="s">
        <v>76</v>
      </c>
      <c r="J2763" s="3" t="s">
        <v>77</v>
      </c>
      <c r="K2763" s="3" t="s">
        <v>78</v>
      </c>
      <c r="L2763" s="3" t="s">
        <v>176</v>
      </c>
      <c r="M2763" s="3" t="s">
        <v>177</v>
      </c>
      <c r="N2763" s="3" t="s">
        <v>2636</v>
      </c>
      <c r="O2763" s="3" t="s">
        <v>82</v>
      </c>
      <c r="P2763" s="3" t="str">
        <f>"2170815645                    "</f>
        <v xml:space="preserve">2170815645                    </v>
      </c>
      <c r="Q2763" s="3">
        <v>0</v>
      </c>
      <c r="R2763" s="3">
        <v>0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  <c r="AE2763" s="3">
        <v>0</v>
      </c>
      <c r="AF2763" s="3">
        <v>0</v>
      </c>
      <c r="AG2763" s="3">
        <v>0</v>
      </c>
      <c r="AH2763" s="3">
        <v>0</v>
      </c>
      <c r="AI2763" s="3">
        <v>0</v>
      </c>
      <c r="AJ2763" s="3">
        <v>0</v>
      </c>
      <c r="AK2763" s="3">
        <v>16.98</v>
      </c>
      <c r="AL2763" s="3">
        <v>0</v>
      </c>
      <c r="AM2763" s="3">
        <v>0</v>
      </c>
      <c r="AN2763" s="3">
        <v>0</v>
      </c>
      <c r="AO2763" s="3">
        <v>0</v>
      </c>
      <c r="AP2763" s="3">
        <v>0</v>
      </c>
      <c r="AQ2763" s="3">
        <v>0</v>
      </c>
      <c r="AR2763" s="3">
        <v>0</v>
      </c>
      <c r="AS2763" s="3">
        <v>0</v>
      </c>
      <c r="AT2763" s="3">
        <v>0</v>
      </c>
      <c r="AU2763" s="3">
        <v>0</v>
      </c>
      <c r="AV2763" s="3">
        <v>0</v>
      </c>
      <c r="AW2763" s="3">
        <v>0</v>
      </c>
      <c r="AX2763" s="3">
        <v>0</v>
      </c>
      <c r="AY2763" s="3">
        <v>0</v>
      </c>
      <c r="AZ2763" s="3">
        <v>0</v>
      </c>
      <c r="BA2763" s="3">
        <v>0</v>
      </c>
      <c r="BB2763" s="3">
        <v>0</v>
      </c>
      <c r="BC2763" s="3">
        <v>0</v>
      </c>
      <c r="BD2763" s="3">
        <v>0</v>
      </c>
      <c r="BE2763" s="3">
        <v>0</v>
      </c>
      <c r="BF2763" s="3">
        <v>0</v>
      </c>
      <c r="BG2763" s="3">
        <v>0</v>
      </c>
      <c r="BH2763" s="3">
        <v>1</v>
      </c>
      <c r="BI2763" s="3">
        <v>1</v>
      </c>
      <c r="BJ2763" s="3">
        <v>0.2</v>
      </c>
      <c r="BK2763" s="3">
        <v>1</v>
      </c>
      <c r="BL2763" s="3">
        <v>60.52</v>
      </c>
      <c r="BM2763" s="3">
        <v>9.08</v>
      </c>
      <c r="BN2763" s="3">
        <v>69.599999999999994</v>
      </c>
      <c r="BO2763" s="3">
        <v>69.599999999999994</v>
      </c>
      <c r="BQ2763" s="3" t="s">
        <v>2637</v>
      </c>
      <c r="BR2763" s="3" t="s">
        <v>308</v>
      </c>
      <c r="BS2763" s="4">
        <v>44566</v>
      </c>
      <c r="BT2763" s="5">
        <v>0.37638888888888888</v>
      </c>
      <c r="BU2763" s="3" t="s">
        <v>2638</v>
      </c>
      <c r="BV2763" s="3" t="s">
        <v>105</v>
      </c>
      <c r="BY2763" s="3">
        <v>1200</v>
      </c>
      <c r="BZ2763" s="3" t="s">
        <v>165</v>
      </c>
      <c r="CA2763" s="3" t="s">
        <v>615</v>
      </c>
      <c r="CC2763" s="3" t="s">
        <v>177</v>
      </c>
      <c r="CD2763" s="3">
        <v>4026</v>
      </c>
      <c r="CE2763" s="3" t="s">
        <v>93</v>
      </c>
      <c r="CF2763" s="4">
        <v>44573</v>
      </c>
      <c r="CI2763" s="3">
        <v>1</v>
      </c>
      <c r="CJ2763" s="3">
        <v>1</v>
      </c>
      <c r="CK2763" s="3">
        <v>21</v>
      </c>
      <c r="CL2763" s="3" t="s">
        <v>87</v>
      </c>
    </row>
    <row r="2764" spans="1:90" x14ac:dyDescent="0.2">
      <c r="A2764" s="3" t="s">
        <v>72</v>
      </c>
      <c r="B2764" s="3" t="s">
        <v>73</v>
      </c>
      <c r="C2764" s="3" t="s">
        <v>74</v>
      </c>
      <c r="E2764" s="3" t="str">
        <f>"FES1162843613"</f>
        <v>FES1162843613</v>
      </c>
      <c r="F2764" s="4">
        <v>44566</v>
      </c>
      <c r="G2764" s="3">
        <v>202207</v>
      </c>
      <c r="H2764" s="3" t="s">
        <v>75</v>
      </c>
      <c r="I2764" s="3" t="s">
        <v>76</v>
      </c>
      <c r="J2764" s="3" t="s">
        <v>77</v>
      </c>
      <c r="K2764" s="3" t="s">
        <v>78</v>
      </c>
      <c r="L2764" s="3" t="s">
        <v>162</v>
      </c>
      <c r="M2764" s="3" t="s">
        <v>163</v>
      </c>
      <c r="N2764" s="3" t="s">
        <v>589</v>
      </c>
      <c r="O2764" s="3" t="s">
        <v>82</v>
      </c>
      <c r="P2764" s="3" t="str">
        <f>"2170815687                    "</f>
        <v xml:space="preserve">2170815687                    </v>
      </c>
      <c r="Q2764" s="3">
        <v>0</v>
      </c>
      <c r="R2764" s="3">
        <v>0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  <c r="AE2764" s="3">
        <v>0</v>
      </c>
      <c r="AF2764" s="3">
        <v>0</v>
      </c>
      <c r="AG2764" s="3">
        <v>0</v>
      </c>
      <c r="AH2764" s="3">
        <v>0</v>
      </c>
      <c r="AI2764" s="3">
        <v>0</v>
      </c>
      <c r="AJ2764" s="3">
        <v>0</v>
      </c>
      <c r="AK2764" s="3">
        <v>12.07</v>
      </c>
      <c r="AL2764" s="3">
        <v>0</v>
      </c>
      <c r="AM2764" s="3">
        <v>0</v>
      </c>
      <c r="AN2764" s="3">
        <v>0</v>
      </c>
      <c r="AO2764" s="3">
        <v>0</v>
      </c>
      <c r="AP2764" s="3">
        <v>0</v>
      </c>
      <c r="AQ2764" s="3">
        <v>0</v>
      </c>
      <c r="AR2764" s="3">
        <v>0</v>
      </c>
      <c r="AS2764" s="3">
        <v>0</v>
      </c>
      <c r="AT2764" s="3">
        <v>0</v>
      </c>
      <c r="AU2764" s="3">
        <v>0</v>
      </c>
      <c r="AV2764" s="3">
        <v>0</v>
      </c>
      <c r="AW2764" s="3">
        <v>0</v>
      </c>
      <c r="AX2764" s="3">
        <v>0</v>
      </c>
      <c r="AY2764" s="3">
        <v>0</v>
      </c>
      <c r="AZ2764" s="3">
        <v>0</v>
      </c>
      <c r="BA2764" s="3">
        <v>0</v>
      </c>
      <c r="BB2764" s="3">
        <v>0</v>
      </c>
      <c r="BC2764" s="3">
        <v>0</v>
      </c>
      <c r="BD2764" s="3">
        <v>0</v>
      </c>
      <c r="BE2764" s="3">
        <v>0</v>
      </c>
      <c r="BF2764" s="3">
        <v>0</v>
      </c>
      <c r="BG2764" s="3">
        <v>0</v>
      </c>
      <c r="BH2764" s="3">
        <v>1</v>
      </c>
      <c r="BI2764" s="3">
        <v>1</v>
      </c>
      <c r="BJ2764" s="3">
        <v>0.2</v>
      </c>
      <c r="BK2764" s="3">
        <v>1</v>
      </c>
      <c r="BL2764" s="3">
        <v>46.08</v>
      </c>
      <c r="BM2764" s="3">
        <v>6.91</v>
      </c>
      <c r="BN2764" s="3">
        <v>52.99</v>
      </c>
      <c r="BO2764" s="3">
        <v>52.99</v>
      </c>
      <c r="BR2764" s="3" t="s">
        <v>364</v>
      </c>
      <c r="BS2764" s="4">
        <v>44567</v>
      </c>
      <c r="BT2764" s="5">
        <v>0.39583333333333331</v>
      </c>
      <c r="BU2764" s="3" t="s">
        <v>2639</v>
      </c>
      <c r="BV2764" s="3" t="s">
        <v>105</v>
      </c>
      <c r="BY2764" s="3">
        <v>1200</v>
      </c>
      <c r="BZ2764" s="3" t="s">
        <v>165</v>
      </c>
      <c r="CA2764" s="3" t="s">
        <v>2597</v>
      </c>
      <c r="CC2764" s="3" t="s">
        <v>163</v>
      </c>
      <c r="CD2764" s="3">
        <v>1422</v>
      </c>
      <c r="CE2764" s="3" t="s">
        <v>93</v>
      </c>
      <c r="CF2764" s="4">
        <v>44567</v>
      </c>
      <c r="CI2764" s="3">
        <v>1</v>
      </c>
      <c r="CJ2764" s="3">
        <v>1</v>
      </c>
      <c r="CK2764" s="3">
        <v>22</v>
      </c>
      <c r="CL2764" s="3" t="s">
        <v>87</v>
      </c>
    </row>
    <row r="2765" spans="1:90" x14ac:dyDescent="0.2">
      <c r="A2765" s="3" t="s">
        <v>72</v>
      </c>
      <c r="B2765" s="3" t="s">
        <v>73</v>
      </c>
      <c r="C2765" s="3" t="s">
        <v>74</v>
      </c>
      <c r="E2765" s="3" t="str">
        <f>"FES1162843537"</f>
        <v>FES1162843537</v>
      </c>
      <c r="F2765" s="4">
        <v>44565</v>
      </c>
      <c r="G2765" s="3">
        <v>202207</v>
      </c>
      <c r="H2765" s="3" t="s">
        <v>75</v>
      </c>
      <c r="I2765" s="3" t="s">
        <v>76</v>
      </c>
      <c r="J2765" s="3" t="s">
        <v>77</v>
      </c>
      <c r="K2765" s="3" t="s">
        <v>78</v>
      </c>
      <c r="L2765" s="3" t="s">
        <v>120</v>
      </c>
      <c r="M2765" s="3" t="s">
        <v>121</v>
      </c>
      <c r="N2765" s="3" t="s">
        <v>122</v>
      </c>
      <c r="O2765" s="3" t="s">
        <v>82</v>
      </c>
      <c r="P2765" s="3" t="str">
        <f>"2170815619                    "</f>
        <v xml:space="preserve">2170815619                    </v>
      </c>
      <c r="Q2765" s="3">
        <v>0</v>
      </c>
      <c r="R2765" s="3">
        <v>0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  <c r="AE2765" s="3">
        <v>0</v>
      </c>
      <c r="AF2765" s="3">
        <v>0</v>
      </c>
      <c r="AG2765" s="3">
        <v>0</v>
      </c>
      <c r="AH2765" s="3">
        <v>0</v>
      </c>
      <c r="AI2765" s="3">
        <v>0</v>
      </c>
      <c r="AJ2765" s="3">
        <v>0</v>
      </c>
      <c r="AK2765" s="3">
        <v>16.98</v>
      </c>
      <c r="AL2765" s="3">
        <v>0</v>
      </c>
      <c r="AM2765" s="3">
        <v>0</v>
      </c>
      <c r="AN2765" s="3">
        <v>0</v>
      </c>
      <c r="AO2765" s="3">
        <v>0</v>
      </c>
      <c r="AP2765" s="3">
        <v>0</v>
      </c>
      <c r="AQ2765" s="3">
        <v>0</v>
      </c>
      <c r="AR2765" s="3">
        <v>0</v>
      </c>
      <c r="AS2765" s="3">
        <v>0</v>
      </c>
      <c r="AT2765" s="3">
        <v>0</v>
      </c>
      <c r="AU2765" s="3">
        <v>0</v>
      </c>
      <c r="AV2765" s="3">
        <v>0</v>
      </c>
      <c r="AW2765" s="3">
        <v>0</v>
      </c>
      <c r="AX2765" s="3">
        <v>0</v>
      </c>
      <c r="AY2765" s="3">
        <v>0</v>
      </c>
      <c r="AZ2765" s="3">
        <v>0</v>
      </c>
      <c r="BA2765" s="3">
        <v>0</v>
      </c>
      <c r="BB2765" s="3">
        <v>0</v>
      </c>
      <c r="BC2765" s="3">
        <v>0</v>
      </c>
      <c r="BD2765" s="3">
        <v>0</v>
      </c>
      <c r="BE2765" s="3">
        <v>0</v>
      </c>
      <c r="BF2765" s="3">
        <v>0</v>
      </c>
      <c r="BG2765" s="3">
        <v>0</v>
      </c>
      <c r="BH2765" s="3">
        <v>1</v>
      </c>
      <c r="BI2765" s="3">
        <v>1</v>
      </c>
      <c r="BJ2765" s="3">
        <v>0.2</v>
      </c>
      <c r="BK2765" s="3">
        <v>1</v>
      </c>
      <c r="BL2765" s="3">
        <v>60.52</v>
      </c>
      <c r="BM2765" s="3">
        <v>9.08</v>
      </c>
      <c r="BN2765" s="3">
        <v>69.599999999999994</v>
      </c>
      <c r="BO2765" s="3">
        <v>69.599999999999994</v>
      </c>
      <c r="BQ2765" s="3" t="s">
        <v>89</v>
      </c>
      <c r="BR2765" s="3" t="s">
        <v>308</v>
      </c>
      <c r="BS2765" s="4">
        <v>44566</v>
      </c>
      <c r="BT2765" s="5">
        <v>0.5625</v>
      </c>
      <c r="BU2765" s="3" t="s">
        <v>2640</v>
      </c>
      <c r="BV2765" s="3" t="s">
        <v>87</v>
      </c>
      <c r="BW2765" s="3" t="s">
        <v>457</v>
      </c>
      <c r="BX2765" s="3" t="s">
        <v>279</v>
      </c>
      <c r="BY2765" s="3">
        <v>1200</v>
      </c>
      <c r="BZ2765" s="3" t="s">
        <v>165</v>
      </c>
      <c r="CC2765" s="3" t="s">
        <v>121</v>
      </c>
      <c r="CD2765" s="3">
        <v>6230</v>
      </c>
      <c r="CE2765" s="3" t="s">
        <v>93</v>
      </c>
      <c r="CF2765" s="4">
        <v>44566</v>
      </c>
      <c r="CI2765" s="3">
        <v>1</v>
      </c>
      <c r="CJ2765" s="3">
        <v>1</v>
      </c>
      <c r="CK2765" s="3">
        <v>21</v>
      </c>
      <c r="CL2765" s="3" t="s">
        <v>87</v>
      </c>
    </row>
    <row r="2766" spans="1:90" x14ac:dyDescent="0.2">
      <c r="A2766" s="3" t="s">
        <v>72</v>
      </c>
      <c r="B2766" s="3" t="s">
        <v>73</v>
      </c>
      <c r="C2766" s="3" t="s">
        <v>74</v>
      </c>
      <c r="E2766" s="3" t="str">
        <f>"FES1162843288"</f>
        <v>FES1162843288</v>
      </c>
      <c r="F2766" s="4">
        <v>44564</v>
      </c>
      <c r="G2766" s="3">
        <v>202207</v>
      </c>
      <c r="H2766" s="3" t="s">
        <v>75</v>
      </c>
      <c r="I2766" s="3" t="s">
        <v>76</v>
      </c>
      <c r="J2766" s="3" t="s">
        <v>77</v>
      </c>
      <c r="K2766" s="3" t="s">
        <v>78</v>
      </c>
      <c r="L2766" s="3" t="s">
        <v>184</v>
      </c>
      <c r="M2766" s="3" t="s">
        <v>185</v>
      </c>
      <c r="N2766" s="3" t="s">
        <v>503</v>
      </c>
      <c r="O2766" s="3" t="s">
        <v>82</v>
      </c>
      <c r="P2766" s="3" t="str">
        <f>"21170815534                   "</f>
        <v xml:space="preserve">21170815534                   </v>
      </c>
      <c r="Q2766" s="3">
        <v>0</v>
      </c>
      <c r="R2766" s="3">
        <v>0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  <c r="AE2766" s="3">
        <v>0</v>
      </c>
      <c r="AF2766" s="3">
        <v>0</v>
      </c>
      <c r="AG2766" s="3">
        <v>0</v>
      </c>
      <c r="AH2766" s="3">
        <v>0</v>
      </c>
      <c r="AI2766" s="3">
        <v>0</v>
      </c>
      <c r="AJ2766" s="3">
        <v>0</v>
      </c>
      <c r="AK2766" s="3">
        <v>16.98</v>
      </c>
      <c r="AL2766" s="3">
        <v>0</v>
      </c>
      <c r="AM2766" s="3">
        <v>0</v>
      </c>
      <c r="AN2766" s="3">
        <v>0</v>
      </c>
      <c r="AO2766" s="3">
        <v>0</v>
      </c>
      <c r="AP2766" s="3">
        <v>0</v>
      </c>
      <c r="AQ2766" s="3">
        <v>0</v>
      </c>
      <c r="AR2766" s="3">
        <v>0</v>
      </c>
      <c r="AS2766" s="3">
        <v>0</v>
      </c>
      <c r="AT2766" s="3">
        <v>0</v>
      </c>
      <c r="AU2766" s="3">
        <v>0</v>
      </c>
      <c r="AV2766" s="3">
        <v>0</v>
      </c>
      <c r="AW2766" s="3">
        <v>0</v>
      </c>
      <c r="AX2766" s="3">
        <v>0</v>
      </c>
      <c r="AY2766" s="3">
        <v>0</v>
      </c>
      <c r="AZ2766" s="3">
        <v>0</v>
      </c>
      <c r="BA2766" s="3">
        <v>0</v>
      </c>
      <c r="BB2766" s="3">
        <v>0</v>
      </c>
      <c r="BC2766" s="3">
        <v>0</v>
      </c>
      <c r="BD2766" s="3">
        <v>0</v>
      </c>
      <c r="BE2766" s="3">
        <v>0</v>
      </c>
      <c r="BF2766" s="3">
        <v>0</v>
      </c>
      <c r="BG2766" s="3">
        <v>0</v>
      </c>
      <c r="BH2766" s="3">
        <v>1</v>
      </c>
      <c r="BI2766" s="3">
        <v>1</v>
      </c>
      <c r="BJ2766" s="3">
        <v>0.2</v>
      </c>
      <c r="BK2766" s="3">
        <v>1</v>
      </c>
      <c r="BL2766" s="3">
        <v>60.52</v>
      </c>
      <c r="BM2766" s="3">
        <v>9.08</v>
      </c>
      <c r="BN2766" s="3">
        <v>69.599999999999994</v>
      </c>
      <c r="BO2766" s="3">
        <v>69.599999999999994</v>
      </c>
      <c r="BQ2766" s="3" t="s">
        <v>89</v>
      </c>
      <c r="BR2766" s="3" t="s">
        <v>308</v>
      </c>
      <c r="BS2766" s="4">
        <v>44565</v>
      </c>
      <c r="BT2766" s="5">
        <v>0.39374999999999999</v>
      </c>
      <c r="BU2766" s="3" t="s">
        <v>2641</v>
      </c>
      <c r="BV2766" s="3" t="s">
        <v>105</v>
      </c>
      <c r="BY2766" s="3">
        <v>1200</v>
      </c>
      <c r="BZ2766" s="3" t="s">
        <v>165</v>
      </c>
      <c r="CA2766" s="3" t="s">
        <v>612</v>
      </c>
      <c r="CC2766" s="3" t="s">
        <v>185</v>
      </c>
      <c r="CD2766" s="3">
        <v>5201</v>
      </c>
      <c r="CE2766" s="3" t="s">
        <v>93</v>
      </c>
      <c r="CF2766" s="4">
        <v>44565</v>
      </c>
      <c r="CI2766" s="3">
        <v>1</v>
      </c>
      <c r="CJ2766" s="3">
        <v>1</v>
      </c>
      <c r="CK2766" s="3">
        <v>21</v>
      </c>
      <c r="CL2766" s="3" t="s">
        <v>87</v>
      </c>
    </row>
    <row r="2767" spans="1:90" x14ac:dyDescent="0.2">
      <c r="A2767" s="3" t="s">
        <v>72</v>
      </c>
      <c r="B2767" s="3" t="s">
        <v>73</v>
      </c>
      <c r="C2767" s="3" t="s">
        <v>74</v>
      </c>
      <c r="E2767" s="3" t="str">
        <f>"FES1162843547"</f>
        <v>FES1162843547</v>
      </c>
      <c r="F2767" s="4">
        <v>44565</v>
      </c>
      <c r="G2767" s="3">
        <v>202207</v>
      </c>
      <c r="H2767" s="3" t="s">
        <v>75</v>
      </c>
      <c r="I2767" s="3" t="s">
        <v>76</v>
      </c>
      <c r="J2767" s="3" t="s">
        <v>77</v>
      </c>
      <c r="K2767" s="3" t="s">
        <v>78</v>
      </c>
      <c r="L2767" s="3" t="s">
        <v>171</v>
      </c>
      <c r="M2767" s="3" t="s">
        <v>172</v>
      </c>
      <c r="N2767" s="3" t="s">
        <v>454</v>
      </c>
      <c r="O2767" s="3" t="s">
        <v>148</v>
      </c>
      <c r="P2767" s="3" t="str">
        <f>"2170815632                    "</f>
        <v xml:space="preserve">2170815632                    </v>
      </c>
      <c r="Q2767" s="3">
        <v>0</v>
      </c>
      <c r="R2767" s="3">
        <v>0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  <c r="AE2767" s="3">
        <v>0</v>
      </c>
      <c r="AF2767" s="3">
        <v>0</v>
      </c>
      <c r="AG2767" s="3">
        <v>0</v>
      </c>
      <c r="AH2767" s="3">
        <v>0</v>
      </c>
      <c r="AI2767" s="3">
        <v>0</v>
      </c>
      <c r="AJ2767" s="3">
        <v>0</v>
      </c>
      <c r="AK2767" s="3">
        <v>32.840000000000003</v>
      </c>
      <c r="AL2767" s="3">
        <v>0</v>
      </c>
      <c r="AM2767" s="3">
        <v>0</v>
      </c>
      <c r="AN2767" s="3">
        <v>0</v>
      </c>
      <c r="AO2767" s="3">
        <v>0</v>
      </c>
      <c r="AP2767" s="3">
        <v>0</v>
      </c>
      <c r="AQ2767" s="3">
        <v>0</v>
      </c>
      <c r="AR2767" s="3">
        <v>0</v>
      </c>
      <c r="AS2767" s="3">
        <v>0</v>
      </c>
      <c r="AT2767" s="3">
        <v>0</v>
      </c>
      <c r="AU2767" s="3">
        <v>0</v>
      </c>
      <c r="AV2767" s="3">
        <v>0</v>
      </c>
      <c r="AW2767" s="3">
        <v>0</v>
      </c>
      <c r="AX2767" s="3">
        <v>0</v>
      </c>
      <c r="AY2767" s="3">
        <v>0</v>
      </c>
      <c r="AZ2767" s="3">
        <v>0</v>
      </c>
      <c r="BA2767" s="3">
        <v>0</v>
      </c>
      <c r="BB2767" s="3">
        <v>0</v>
      </c>
      <c r="BC2767" s="3">
        <v>0</v>
      </c>
      <c r="BD2767" s="3">
        <v>0</v>
      </c>
      <c r="BE2767" s="3">
        <v>0</v>
      </c>
      <c r="BF2767" s="3">
        <v>0</v>
      </c>
      <c r="BG2767" s="3">
        <v>0</v>
      </c>
      <c r="BH2767" s="3">
        <v>1</v>
      </c>
      <c r="BI2767" s="3">
        <v>1</v>
      </c>
      <c r="BJ2767" s="3">
        <v>1.2</v>
      </c>
      <c r="BK2767" s="3">
        <v>2</v>
      </c>
      <c r="BL2767" s="3">
        <v>122.29</v>
      </c>
      <c r="BM2767" s="3">
        <v>18.34</v>
      </c>
      <c r="BN2767" s="3">
        <v>140.63</v>
      </c>
      <c r="BO2767" s="3">
        <v>140.63</v>
      </c>
      <c r="BQ2767" s="3" t="s">
        <v>89</v>
      </c>
      <c r="BR2767" s="3" t="s">
        <v>308</v>
      </c>
      <c r="BS2767" s="4">
        <v>44567</v>
      </c>
      <c r="BT2767" s="5">
        <v>0.4375</v>
      </c>
      <c r="BU2767" s="3" t="s">
        <v>2642</v>
      </c>
      <c r="BV2767" s="3" t="s">
        <v>105</v>
      </c>
      <c r="BY2767" s="3">
        <v>6000</v>
      </c>
      <c r="BZ2767" s="3" t="s">
        <v>327</v>
      </c>
      <c r="CC2767" s="3" t="s">
        <v>172</v>
      </c>
      <c r="CD2767" s="3">
        <v>6001</v>
      </c>
      <c r="CE2767" s="3" t="s">
        <v>86</v>
      </c>
      <c r="CF2767" s="4">
        <v>44567</v>
      </c>
      <c r="CI2767" s="3">
        <v>2</v>
      </c>
      <c r="CJ2767" s="3">
        <v>2</v>
      </c>
      <c r="CK2767" s="3">
        <v>41</v>
      </c>
      <c r="CL2767" s="3" t="s">
        <v>87</v>
      </c>
    </row>
    <row r="2768" spans="1:90" x14ac:dyDescent="0.2">
      <c r="A2768" s="3" t="s">
        <v>72</v>
      </c>
      <c r="B2768" s="3" t="s">
        <v>73</v>
      </c>
      <c r="C2768" s="3" t="s">
        <v>74</v>
      </c>
      <c r="E2768" s="3" t="str">
        <f>"FES1162843395"</f>
        <v>FES1162843395</v>
      </c>
      <c r="F2768" s="4">
        <v>44565</v>
      </c>
      <c r="G2768" s="3">
        <v>202207</v>
      </c>
      <c r="H2768" s="3" t="s">
        <v>75</v>
      </c>
      <c r="I2768" s="3" t="s">
        <v>76</v>
      </c>
      <c r="J2768" s="3" t="s">
        <v>77</v>
      </c>
      <c r="K2768" s="3" t="s">
        <v>78</v>
      </c>
      <c r="L2768" s="3" t="s">
        <v>464</v>
      </c>
      <c r="M2768" s="3" t="s">
        <v>465</v>
      </c>
      <c r="N2768" s="3" t="s">
        <v>2364</v>
      </c>
      <c r="O2768" s="3" t="s">
        <v>148</v>
      </c>
      <c r="P2768" s="3" t="str">
        <f>"2170813630                    "</f>
        <v xml:space="preserve">2170813630                    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  <c r="AE2768" s="3">
        <v>0</v>
      </c>
      <c r="AF2768" s="3">
        <v>0</v>
      </c>
      <c r="AG2768" s="3">
        <v>0</v>
      </c>
      <c r="AH2768" s="3">
        <v>0</v>
      </c>
      <c r="AI2768" s="3">
        <v>0</v>
      </c>
      <c r="AJ2768" s="3">
        <v>0</v>
      </c>
      <c r="AK2768" s="3">
        <v>39.42</v>
      </c>
      <c r="AL2768" s="3">
        <v>0</v>
      </c>
      <c r="AM2768" s="3">
        <v>0</v>
      </c>
      <c r="AN2768" s="3">
        <v>0</v>
      </c>
      <c r="AO2768" s="3">
        <v>0</v>
      </c>
      <c r="AP2768" s="3">
        <v>0</v>
      </c>
      <c r="AQ2768" s="3">
        <v>0</v>
      </c>
      <c r="AR2768" s="3">
        <v>0</v>
      </c>
      <c r="AS2768" s="3">
        <v>0</v>
      </c>
      <c r="AT2768" s="3">
        <v>0</v>
      </c>
      <c r="AU2768" s="3">
        <v>0</v>
      </c>
      <c r="AV2768" s="3">
        <v>0</v>
      </c>
      <c r="AW2768" s="3">
        <v>0</v>
      </c>
      <c r="AX2768" s="3">
        <v>0</v>
      </c>
      <c r="AY2768" s="3">
        <v>0</v>
      </c>
      <c r="AZ2768" s="3">
        <v>0</v>
      </c>
      <c r="BA2768" s="3">
        <v>0</v>
      </c>
      <c r="BB2768" s="3">
        <v>0</v>
      </c>
      <c r="BC2768" s="3">
        <v>0</v>
      </c>
      <c r="BD2768" s="3">
        <v>0</v>
      </c>
      <c r="BE2768" s="3">
        <v>0</v>
      </c>
      <c r="BF2768" s="3">
        <v>0</v>
      </c>
      <c r="BG2768" s="3">
        <v>0</v>
      </c>
      <c r="BH2768" s="3">
        <v>2</v>
      </c>
      <c r="BI2768" s="3">
        <v>34</v>
      </c>
      <c r="BJ2768" s="3">
        <v>30.3</v>
      </c>
      <c r="BK2768" s="3">
        <v>34</v>
      </c>
      <c r="BL2768" s="3">
        <v>145.74</v>
      </c>
      <c r="BM2768" s="3">
        <v>21.86</v>
      </c>
      <c r="BN2768" s="3">
        <v>167.6</v>
      </c>
      <c r="BO2768" s="3">
        <v>167.6</v>
      </c>
      <c r="BR2768" s="3" t="s">
        <v>308</v>
      </c>
      <c r="BS2768" s="4">
        <v>44566</v>
      </c>
      <c r="BT2768" s="5">
        <v>0.34166666666666662</v>
      </c>
      <c r="BU2768" s="3" t="s">
        <v>2634</v>
      </c>
      <c r="BV2768" s="3" t="s">
        <v>105</v>
      </c>
      <c r="BY2768" s="3">
        <v>75625</v>
      </c>
      <c r="BZ2768" s="3" t="s">
        <v>327</v>
      </c>
      <c r="CA2768" s="3" t="s">
        <v>1684</v>
      </c>
      <c r="CC2768" s="3" t="s">
        <v>465</v>
      </c>
      <c r="CD2768" s="3">
        <v>1501</v>
      </c>
      <c r="CE2768" s="3" t="s">
        <v>221</v>
      </c>
      <c r="CF2768" s="4">
        <v>44566</v>
      </c>
      <c r="CI2768" s="3">
        <v>1</v>
      </c>
      <c r="CJ2768" s="3">
        <v>1</v>
      </c>
      <c r="CK2768" s="3">
        <v>42</v>
      </c>
      <c r="CL2768" s="3" t="s">
        <v>87</v>
      </c>
    </row>
    <row r="2769" spans="1:90" x14ac:dyDescent="0.2">
      <c r="A2769" s="3" t="s">
        <v>72</v>
      </c>
      <c r="B2769" s="3" t="s">
        <v>73</v>
      </c>
      <c r="C2769" s="3" t="s">
        <v>74</v>
      </c>
      <c r="E2769" s="3" t="str">
        <f>"FES1162843626"</f>
        <v>FES1162843626</v>
      </c>
      <c r="F2769" s="4">
        <v>44566</v>
      </c>
      <c r="G2769" s="3">
        <v>202207</v>
      </c>
      <c r="H2769" s="3" t="s">
        <v>75</v>
      </c>
      <c r="I2769" s="3" t="s">
        <v>76</v>
      </c>
      <c r="J2769" s="3" t="s">
        <v>77</v>
      </c>
      <c r="K2769" s="3" t="s">
        <v>78</v>
      </c>
      <c r="L2769" s="3" t="s">
        <v>184</v>
      </c>
      <c r="M2769" s="3" t="s">
        <v>185</v>
      </c>
      <c r="N2769" s="3" t="s">
        <v>186</v>
      </c>
      <c r="O2769" s="3" t="s">
        <v>82</v>
      </c>
      <c r="P2769" s="3" t="str">
        <f>"2170815704                    "</f>
        <v xml:space="preserve">2170815704                    </v>
      </c>
      <c r="Q2769" s="3">
        <v>0</v>
      </c>
      <c r="R2769" s="3">
        <v>0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  <c r="AE2769" s="3">
        <v>0</v>
      </c>
      <c r="AF2769" s="3">
        <v>0</v>
      </c>
      <c r="AG2769" s="3">
        <v>0</v>
      </c>
      <c r="AH2769" s="3">
        <v>0</v>
      </c>
      <c r="AI2769" s="3">
        <v>0</v>
      </c>
      <c r="AJ2769" s="3">
        <v>0</v>
      </c>
      <c r="AK2769" s="3">
        <v>30.91</v>
      </c>
      <c r="AL2769" s="3">
        <v>0</v>
      </c>
      <c r="AM2769" s="3">
        <v>0</v>
      </c>
      <c r="AN2769" s="3">
        <v>0</v>
      </c>
      <c r="AO2769" s="3">
        <v>0</v>
      </c>
      <c r="AP2769" s="3">
        <v>0</v>
      </c>
      <c r="AQ2769" s="3">
        <v>0</v>
      </c>
      <c r="AR2769" s="3">
        <v>0</v>
      </c>
      <c r="AS2769" s="3">
        <v>0</v>
      </c>
      <c r="AT2769" s="3">
        <v>0</v>
      </c>
      <c r="AU2769" s="3">
        <v>0</v>
      </c>
      <c r="AV2769" s="3">
        <v>0</v>
      </c>
      <c r="AW2769" s="3">
        <v>0</v>
      </c>
      <c r="AX2769" s="3">
        <v>0</v>
      </c>
      <c r="AY2769" s="3">
        <v>0</v>
      </c>
      <c r="AZ2769" s="3">
        <v>0</v>
      </c>
      <c r="BA2769" s="3">
        <v>0</v>
      </c>
      <c r="BB2769" s="3">
        <v>0</v>
      </c>
      <c r="BC2769" s="3">
        <v>0</v>
      </c>
      <c r="BD2769" s="3">
        <v>0</v>
      </c>
      <c r="BE2769" s="3">
        <v>0</v>
      </c>
      <c r="BF2769" s="3">
        <v>0</v>
      </c>
      <c r="BG2769" s="3">
        <v>0</v>
      </c>
      <c r="BH2769" s="3">
        <v>1</v>
      </c>
      <c r="BI2769" s="3">
        <v>4</v>
      </c>
      <c r="BJ2769" s="3">
        <v>1.5</v>
      </c>
      <c r="BK2769" s="3">
        <v>4</v>
      </c>
      <c r="BL2769" s="3">
        <v>117.97</v>
      </c>
      <c r="BM2769" s="3">
        <v>17.7</v>
      </c>
      <c r="BN2769" s="3">
        <v>135.66999999999999</v>
      </c>
      <c r="BO2769" s="3">
        <v>135.66999999999999</v>
      </c>
      <c r="BQ2769" s="3" t="s">
        <v>83</v>
      </c>
      <c r="BR2769" s="3" t="s">
        <v>364</v>
      </c>
      <c r="BS2769" s="4">
        <v>44567</v>
      </c>
      <c r="BT2769" s="5">
        <v>0.44375000000000003</v>
      </c>
      <c r="BU2769" s="3" t="s">
        <v>1542</v>
      </c>
      <c r="BV2769" s="3" t="s">
        <v>87</v>
      </c>
      <c r="BW2769" s="3" t="s">
        <v>353</v>
      </c>
      <c r="BX2769" s="3" t="s">
        <v>605</v>
      </c>
      <c r="BY2769" s="3">
        <v>7436</v>
      </c>
      <c r="BZ2769" s="3" t="s">
        <v>165</v>
      </c>
      <c r="CA2769" s="3" t="s">
        <v>357</v>
      </c>
      <c r="CC2769" s="3" t="s">
        <v>185</v>
      </c>
      <c r="CD2769" s="3">
        <v>5201</v>
      </c>
      <c r="CE2769" s="3" t="s">
        <v>86</v>
      </c>
      <c r="CF2769" s="4">
        <v>44567</v>
      </c>
      <c r="CI2769" s="3">
        <v>1</v>
      </c>
      <c r="CJ2769" s="3">
        <v>1</v>
      </c>
      <c r="CK2769" s="3">
        <v>21</v>
      </c>
      <c r="CL2769" s="3" t="s">
        <v>87</v>
      </c>
    </row>
    <row r="2770" spans="1:90" x14ac:dyDescent="0.2">
      <c r="A2770" s="3" t="s">
        <v>72</v>
      </c>
      <c r="B2770" s="3" t="s">
        <v>73</v>
      </c>
      <c r="C2770" s="3" t="s">
        <v>74</v>
      </c>
      <c r="E2770" s="3" t="str">
        <f>"FES1162843604"</f>
        <v>FES1162843604</v>
      </c>
      <c r="F2770" s="4">
        <v>44566</v>
      </c>
      <c r="G2770" s="3">
        <v>202207</v>
      </c>
      <c r="H2770" s="3" t="s">
        <v>75</v>
      </c>
      <c r="I2770" s="3" t="s">
        <v>76</v>
      </c>
      <c r="J2770" s="3" t="s">
        <v>77</v>
      </c>
      <c r="K2770" s="3" t="s">
        <v>78</v>
      </c>
      <c r="L2770" s="3" t="s">
        <v>171</v>
      </c>
      <c r="M2770" s="3" t="s">
        <v>172</v>
      </c>
      <c r="N2770" s="3" t="s">
        <v>200</v>
      </c>
      <c r="O2770" s="3" t="s">
        <v>82</v>
      </c>
      <c r="P2770" s="3" t="str">
        <f>"2170815677                    "</f>
        <v xml:space="preserve">2170815677                    </v>
      </c>
      <c r="Q2770" s="3">
        <v>0</v>
      </c>
      <c r="R2770" s="3">
        <v>0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  <c r="AE2770" s="3">
        <v>0</v>
      </c>
      <c r="AF2770" s="3">
        <v>0</v>
      </c>
      <c r="AG2770" s="3">
        <v>0</v>
      </c>
      <c r="AH2770" s="3">
        <v>0</v>
      </c>
      <c r="AI2770" s="3">
        <v>0</v>
      </c>
      <c r="AJ2770" s="3">
        <v>0</v>
      </c>
      <c r="AK2770" s="3">
        <v>73.39</v>
      </c>
      <c r="AL2770" s="3">
        <v>0</v>
      </c>
      <c r="AM2770" s="3">
        <v>0</v>
      </c>
      <c r="AN2770" s="3">
        <v>0</v>
      </c>
      <c r="AO2770" s="3">
        <v>0</v>
      </c>
      <c r="AP2770" s="3">
        <v>0</v>
      </c>
      <c r="AQ2770" s="3">
        <v>0</v>
      </c>
      <c r="AR2770" s="3">
        <v>0</v>
      </c>
      <c r="AS2770" s="3">
        <v>0</v>
      </c>
      <c r="AT2770" s="3">
        <v>0</v>
      </c>
      <c r="AU2770" s="3">
        <v>0</v>
      </c>
      <c r="AV2770" s="3">
        <v>0</v>
      </c>
      <c r="AW2770" s="3">
        <v>0</v>
      </c>
      <c r="AX2770" s="3">
        <v>0</v>
      </c>
      <c r="AY2770" s="3">
        <v>0</v>
      </c>
      <c r="AZ2770" s="3">
        <v>0</v>
      </c>
      <c r="BA2770" s="3">
        <v>0</v>
      </c>
      <c r="BB2770" s="3">
        <v>0</v>
      </c>
      <c r="BC2770" s="3">
        <v>0</v>
      </c>
      <c r="BD2770" s="3">
        <v>0</v>
      </c>
      <c r="BE2770" s="3">
        <v>0</v>
      </c>
      <c r="BF2770" s="3">
        <v>0</v>
      </c>
      <c r="BG2770" s="3">
        <v>0</v>
      </c>
      <c r="BH2770" s="3">
        <v>1</v>
      </c>
      <c r="BI2770" s="3">
        <v>3</v>
      </c>
      <c r="BJ2770" s="3">
        <v>9.1</v>
      </c>
      <c r="BK2770" s="3">
        <v>9.5</v>
      </c>
      <c r="BL2770" s="3">
        <v>280.13</v>
      </c>
      <c r="BM2770" s="3">
        <v>42.02</v>
      </c>
      <c r="BN2770" s="3">
        <v>322.14999999999998</v>
      </c>
      <c r="BO2770" s="3">
        <v>322.14999999999998</v>
      </c>
      <c r="BQ2770" s="3" t="s">
        <v>89</v>
      </c>
      <c r="BR2770" s="3" t="s">
        <v>364</v>
      </c>
      <c r="BS2770" s="4">
        <v>44567</v>
      </c>
      <c r="BT2770" s="5">
        <v>0.41805555555555557</v>
      </c>
      <c r="BU2770" s="3" t="s">
        <v>908</v>
      </c>
      <c r="BV2770" s="3" t="s">
        <v>105</v>
      </c>
      <c r="BY2770" s="3">
        <v>45632</v>
      </c>
      <c r="BZ2770" s="3" t="s">
        <v>165</v>
      </c>
      <c r="CA2770" s="3" t="s">
        <v>814</v>
      </c>
      <c r="CC2770" s="3" t="s">
        <v>172</v>
      </c>
      <c r="CD2770" s="3">
        <v>6001</v>
      </c>
      <c r="CE2770" s="3" t="s">
        <v>86</v>
      </c>
      <c r="CF2770" s="4">
        <v>44567</v>
      </c>
      <c r="CI2770" s="3">
        <v>1</v>
      </c>
      <c r="CJ2770" s="3">
        <v>1</v>
      </c>
      <c r="CK2770" s="3">
        <v>21</v>
      </c>
      <c r="CL2770" s="3" t="s">
        <v>87</v>
      </c>
    </row>
    <row r="2771" spans="1:90" x14ac:dyDescent="0.2">
      <c r="A2771" s="3" t="s">
        <v>72</v>
      </c>
      <c r="B2771" s="3" t="s">
        <v>73</v>
      </c>
      <c r="C2771" s="3" t="s">
        <v>74</v>
      </c>
      <c r="E2771" s="3" t="str">
        <f>"FES1162843588"</f>
        <v>FES1162843588</v>
      </c>
      <c r="F2771" s="4">
        <v>44566</v>
      </c>
      <c r="G2771" s="3">
        <v>202207</v>
      </c>
      <c r="H2771" s="3" t="s">
        <v>75</v>
      </c>
      <c r="I2771" s="3" t="s">
        <v>76</v>
      </c>
      <c r="J2771" s="3" t="s">
        <v>77</v>
      </c>
      <c r="K2771" s="3" t="s">
        <v>78</v>
      </c>
      <c r="L2771" s="3" t="s">
        <v>75</v>
      </c>
      <c r="M2771" s="3" t="s">
        <v>76</v>
      </c>
      <c r="N2771" s="3" t="s">
        <v>2373</v>
      </c>
      <c r="O2771" s="3" t="s">
        <v>82</v>
      </c>
      <c r="P2771" s="3" t="str">
        <f>"2170814454                    "</f>
        <v xml:space="preserve">2170814454                    </v>
      </c>
      <c r="Q2771" s="3">
        <v>0</v>
      </c>
      <c r="R2771" s="3">
        <v>0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  <c r="AE2771" s="3">
        <v>0</v>
      </c>
      <c r="AF2771" s="3">
        <v>0</v>
      </c>
      <c r="AG2771" s="3">
        <v>0</v>
      </c>
      <c r="AH2771" s="3">
        <v>0</v>
      </c>
      <c r="AI2771" s="3">
        <v>0</v>
      </c>
      <c r="AJ2771" s="3">
        <v>0</v>
      </c>
      <c r="AK2771" s="3">
        <v>12.07</v>
      </c>
      <c r="AL2771" s="3">
        <v>0</v>
      </c>
      <c r="AM2771" s="3">
        <v>0</v>
      </c>
      <c r="AN2771" s="3">
        <v>0</v>
      </c>
      <c r="AO2771" s="3">
        <v>0</v>
      </c>
      <c r="AP2771" s="3">
        <v>0</v>
      </c>
      <c r="AQ2771" s="3">
        <v>0</v>
      </c>
      <c r="AR2771" s="3">
        <v>0</v>
      </c>
      <c r="AS2771" s="3">
        <v>0</v>
      </c>
      <c r="AT2771" s="3">
        <v>0</v>
      </c>
      <c r="AU2771" s="3">
        <v>0</v>
      </c>
      <c r="AV2771" s="3">
        <v>0</v>
      </c>
      <c r="AW2771" s="3">
        <v>0</v>
      </c>
      <c r="AX2771" s="3">
        <v>0</v>
      </c>
      <c r="AY2771" s="3">
        <v>0</v>
      </c>
      <c r="AZ2771" s="3">
        <v>0</v>
      </c>
      <c r="BA2771" s="3">
        <v>0</v>
      </c>
      <c r="BB2771" s="3">
        <v>0</v>
      </c>
      <c r="BC2771" s="3">
        <v>0</v>
      </c>
      <c r="BD2771" s="3">
        <v>0</v>
      </c>
      <c r="BE2771" s="3">
        <v>0</v>
      </c>
      <c r="BF2771" s="3">
        <v>0</v>
      </c>
      <c r="BG2771" s="3">
        <v>0</v>
      </c>
      <c r="BH2771" s="3">
        <v>1</v>
      </c>
      <c r="BI2771" s="3">
        <v>1</v>
      </c>
      <c r="BJ2771" s="3">
        <v>0.2</v>
      </c>
      <c r="BK2771" s="3">
        <v>1</v>
      </c>
      <c r="BL2771" s="3">
        <v>46.08</v>
      </c>
      <c r="BM2771" s="3">
        <v>6.91</v>
      </c>
      <c r="BN2771" s="3">
        <v>52.99</v>
      </c>
      <c r="BO2771" s="3">
        <v>52.99</v>
      </c>
      <c r="BQ2771" s="3" t="s">
        <v>145</v>
      </c>
      <c r="BR2771" s="3" t="s">
        <v>364</v>
      </c>
      <c r="BS2771" s="4">
        <v>44567</v>
      </c>
      <c r="BT2771" s="5">
        <v>0.35000000000000003</v>
      </c>
      <c r="BU2771" s="3" t="s">
        <v>2643</v>
      </c>
      <c r="BV2771" s="3" t="s">
        <v>105</v>
      </c>
      <c r="BY2771" s="3">
        <v>1200</v>
      </c>
      <c r="BZ2771" s="3" t="s">
        <v>165</v>
      </c>
      <c r="CA2771" s="3" t="s">
        <v>523</v>
      </c>
      <c r="CC2771" s="3" t="s">
        <v>76</v>
      </c>
      <c r="CD2771" s="3">
        <v>1614</v>
      </c>
      <c r="CE2771" s="3" t="s">
        <v>93</v>
      </c>
      <c r="CF2771" s="4">
        <v>44568</v>
      </c>
      <c r="CI2771" s="3">
        <v>1</v>
      </c>
      <c r="CJ2771" s="3">
        <v>1</v>
      </c>
      <c r="CK2771" s="3">
        <v>22</v>
      </c>
      <c r="CL2771" s="3" t="s">
        <v>87</v>
      </c>
    </row>
    <row r="2772" spans="1:90" x14ac:dyDescent="0.2">
      <c r="A2772" s="3" t="s">
        <v>72</v>
      </c>
      <c r="B2772" s="3" t="s">
        <v>73</v>
      </c>
      <c r="C2772" s="3" t="s">
        <v>74</v>
      </c>
      <c r="E2772" s="3" t="str">
        <f>"FES1162843681"</f>
        <v>FES1162843681</v>
      </c>
      <c r="F2772" s="4">
        <v>44566</v>
      </c>
      <c r="G2772" s="3">
        <v>202207</v>
      </c>
      <c r="H2772" s="3" t="s">
        <v>75</v>
      </c>
      <c r="I2772" s="3" t="s">
        <v>76</v>
      </c>
      <c r="J2772" s="3" t="s">
        <v>77</v>
      </c>
      <c r="K2772" s="3" t="s">
        <v>78</v>
      </c>
      <c r="L2772" s="3" t="s">
        <v>75</v>
      </c>
      <c r="M2772" s="3" t="s">
        <v>76</v>
      </c>
      <c r="N2772" s="3" t="s">
        <v>147</v>
      </c>
      <c r="O2772" s="3" t="s">
        <v>82</v>
      </c>
      <c r="P2772" s="3" t="str">
        <f>"2170814350                    "</f>
        <v xml:space="preserve">2170814350                    </v>
      </c>
      <c r="Q2772" s="3">
        <v>0</v>
      </c>
      <c r="R2772" s="3">
        <v>0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  <c r="AE2772" s="3">
        <v>0</v>
      </c>
      <c r="AF2772" s="3">
        <v>0</v>
      </c>
      <c r="AG2772" s="3">
        <v>0</v>
      </c>
      <c r="AH2772" s="3">
        <v>0</v>
      </c>
      <c r="AI2772" s="3">
        <v>0</v>
      </c>
      <c r="AJ2772" s="3">
        <v>0</v>
      </c>
      <c r="AK2772" s="3">
        <v>12.07</v>
      </c>
      <c r="AL2772" s="3">
        <v>0</v>
      </c>
      <c r="AM2772" s="3">
        <v>0</v>
      </c>
      <c r="AN2772" s="3">
        <v>0</v>
      </c>
      <c r="AO2772" s="3">
        <v>0</v>
      </c>
      <c r="AP2772" s="3">
        <v>0</v>
      </c>
      <c r="AQ2772" s="3">
        <v>0</v>
      </c>
      <c r="AR2772" s="3">
        <v>0</v>
      </c>
      <c r="AS2772" s="3">
        <v>0</v>
      </c>
      <c r="AT2772" s="3">
        <v>0</v>
      </c>
      <c r="AU2772" s="3">
        <v>0</v>
      </c>
      <c r="AV2772" s="3">
        <v>0</v>
      </c>
      <c r="AW2772" s="3">
        <v>0</v>
      </c>
      <c r="AX2772" s="3">
        <v>0</v>
      </c>
      <c r="AY2772" s="3">
        <v>0</v>
      </c>
      <c r="AZ2772" s="3">
        <v>0</v>
      </c>
      <c r="BA2772" s="3">
        <v>0</v>
      </c>
      <c r="BB2772" s="3">
        <v>0</v>
      </c>
      <c r="BC2772" s="3">
        <v>0</v>
      </c>
      <c r="BD2772" s="3">
        <v>0</v>
      </c>
      <c r="BE2772" s="3">
        <v>0</v>
      </c>
      <c r="BF2772" s="3">
        <v>0</v>
      </c>
      <c r="BG2772" s="3">
        <v>0</v>
      </c>
      <c r="BH2772" s="3">
        <v>1</v>
      </c>
      <c r="BI2772" s="3">
        <v>1</v>
      </c>
      <c r="BJ2772" s="3">
        <v>0.2</v>
      </c>
      <c r="BK2772" s="3">
        <v>1</v>
      </c>
      <c r="BL2772" s="3">
        <v>46.08</v>
      </c>
      <c r="BM2772" s="3">
        <v>6.91</v>
      </c>
      <c r="BN2772" s="3">
        <v>52.99</v>
      </c>
      <c r="BO2772" s="3">
        <v>52.99</v>
      </c>
      <c r="BQ2772" s="3" t="s">
        <v>89</v>
      </c>
      <c r="BR2772" s="3" t="s">
        <v>364</v>
      </c>
      <c r="BS2772" s="4">
        <v>44567</v>
      </c>
      <c r="BT2772" s="5">
        <v>0.3520833333333333</v>
      </c>
      <c r="BU2772" s="3" t="s">
        <v>849</v>
      </c>
      <c r="BV2772" s="3" t="s">
        <v>105</v>
      </c>
      <c r="BY2772" s="3">
        <v>1200</v>
      </c>
      <c r="BZ2772" s="3" t="s">
        <v>165</v>
      </c>
      <c r="CA2772" s="3" t="s">
        <v>477</v>
      </c>
      <c r="CC2772" s="3" t="s">
        <v>76</v>
      </c>
      <c r="CD2772" s="3">
        <v>1645</v>
      </c>
      <c r="CE2772" s="3" t="s">
        <v>93</v>
      </c>
      <c r="CF2772" s="4">
        <v>44568</v>
      </c>
      <c r="CI2772" s="3">
        <v>1</v>
      </c>
      <c r="CJ2772" s="3">
        <v>1</v>
      </c>
      <c r="CK2772" s="3">
        <v>22</v>
      </c>
      <c r="CL2772" s="3" t="s">
        <v>87</v>
      </c>
    </row>
    <row r="2773" spans="1:90" x14ac:dyDescent="0.2">
      <c r="A2773" s="3" t="s">
        <v>72</v>
      </c>
      <c r="B2773" s="3" t="s">
        <v>73</v>
      </c>
      <c r="C2773" s="3" t="s">
        <v>74</v>
      </c>
      <c r="E2773" s="3" t="str">
        <f>"FES1162843718"</f>
        <v>FES1162843718</v>
      </c>
      <c r="F2773" s="4">
        <v>44566</v>
      </c>
      <c r="G2773" s="3">
        <v>202207</v>
      </c>
      <c r="H2773" s="3" t="s">
        <v>75</v>
      </c>
      <c r="I2773" s="3" t="s">
        <v>76</v>
      </c>
      <c r="J2773" s="3" t="s">
        <v>77</v>
      </c>
      <c r="K2773" s="3" t="s">
        <v>78</v>
      </c>
      <c r="L2773" s="3" t="s">
        <v>167</v>
      </c>
      <c r="M2773" s="3" t="s">
        <v>168</v>
      </c>
      <c r="N2773" s="3" t="s">
        <v>247</v>
      </c>
      <c r="O2773" s="3" t="s">
        <v>82</v>
      </c>
      <c r="P2773" s="3" t="str">
        <f>"2170809755                    "</f>
        <v xml:space="preserve">2170809755                    </v>
      </c>
      <c r="Q2773" s="3">
        <v>0</v>
      </c>
      <c r="R2773" s="3">
        <v>0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  <c r="AE2773" s="3">
        <v>0</v>
      </c>
      <c r="AF2773" s="3">
        <v>0</v>
      </c>
      <c r="AG2773" s="3">
        <v>0</v>
      </c>
      <c r="AH2773" s="3">
        <v>0</v>
      </c>
      <c r="AI2773" s="3">
        <v>0</v>
      </c>
      <c r="AJ2773" s="3">
        <v>0</v>
      </c>
      <c r="AK2773" s="3">
        <v>15.46</v>
      </c>
      <c r="AL2773" s="3">
        <v>0</v>
      </c>
      <c r="AM2773" s="3">
        <v>0</v>
      </c>
      <c r="AN2773" s="3">
        <v>0</v>
      </c>
      <c r="AO2773" s="3">
        <v>0</v>
      </c>
      <c r="AP2773" s="3">
        <v>0</v>
      </c>
      <c r="AQ2773" s="3">
        <v>0</v>
      </c>
      <c r="AR2773" s="3">
        <v>0</v>
      </c>
      <c r="AS2773" s="3">
        <v>0</v>
      </c>
      <c r="AT2773" s="3">
        <v>0</v>
      </c>
      <c r="AU2773" s="3">
        <v>0</v>
      </c>
      <c r="AV2773" s="3">
        <v>0</v>
      </c>
      <c r="AW2773" s="3">
        <v>0</v>
      </c>
      <c r="AX2773" s="3">
        <v>0</v>
      </c>
      <c r="AY2773" s="3">
        <v>0</v>
      </c>
      <c r="AZ2773" s="3">
        <v>0</v>
      </c>
      <c r="BA2773" s="3">
        <v>0</v>
      </c>
      <c r="BB2773" s="3">
        <v>0</v>
      </c>
      <c r="BC2773" s="3">
        <v>0</v>
      </c>
      <c r="BD2773" s="3">
        <v>0</v>
      </c>
      <c r="BE2773" s="3">
        <v>0</v>
      </c>
      <c r="BF2773" s="3">
        <v>0</v>
      </c>
      <c r="BG2773" s="3">
        <v>0</v>
      </c>
      <c r="BH2773" s="3">
        <v>1</v>
      </c>
      <c r="BI2773" s="3">
        <v>1</v>
      </c>
      <c r="BJ2773" s="3">
        <v>0.2</v>
      </c>
      <c r="BK2773" s="3">
        <v>1</v>
      </c>
      <c r="BL2773" s="3">
        <v>59</v>
      </c>
      <c r="BM2773" s="3">
        <v>8.85</v>
      </c>
      <c r="BN2773" s="3">
        <v>67.849999999999994</v>
      </c>
      <c r="BO2773" s="3">
        <v>67.849999999999994</v>
      </c>
      <c r="BQ2773" s="3" t="s">
        <v>89</v>
      </c>
      <c r="BR2773" s="3" t="s">
        <v>364</v>
      </c>
      <c r="BS2773" s="4">
        <v>44567</v>
      </c>
      <c r="BT2773" s="5">
        <v>0.45833333333333331</v>
      </c>
      <c r="BU2773" s="3" t="s">
        <v>2644</v>
      </c>
      <c r="BV2773" s="3" t="s">
        <v>87</v>
      </c>
      <c r="BW2773" s="3" t="s">
        <v>457</v>
      </c>
      <c r="BX2773" s="3" t="s">
        <v>279</v>
      </c>
      <c r="BY2773" s="3">
        <v>1200</v>
      </c>
      <c r="BZ2773" s="3" t="s">
        <v>165</v>
      </c>
      <c r="CA2773" s="3" t="s">
        <v>553</v>
      </c>
      <c r="CC2773" s="3" t="s">
        <v>168</v>
      </c>
      <c r="CD2773" s="3">
        <v>6229</v>
      </c>
      <c r="CE2773" s="3" t="s">
        <v>93</v>
      </c>
      <c r="CF2773" s="4">
        <v>44567</v>
      </c>
      <c r="CI2773" s="3">
        <v>1</v>
      </c>
      <c r="CJ2773" s="3">
        <v>1</v>
      </c>
      <c r="CK2773" s="3">
        <v>21</v>
      </c>
      <c r="CL2773" s="3" t="s">
        <v>87</v>
      </c>
    </row>
    <row r="2774" spans="1:90" x14ac:dyDescent="0.2">
      <c r="A2774" s="3" t="s">
        <v>72</v>
      </c>
      <c r="B2774" s="3" t="s">
        <v>73</v>
      </c>
      <c r="C2774" s="3" t="s">
        <v>74</v>
      </c>
      <c r="E2774" s="3" t="str">
        <f>"FES1162843655"</f>
        <v>FES1162843655</v>
      </c>
      <c r="F2774" s="4">
        <v>44566</v>
      </c>
      <c r="G2774" s="3">
        <v>202207</v>
      </c>
      <c r="H2774" s="3" t="s">
        <v>75</v>
      </c>
      <c r="I2774" s="3" t="s">
        <v>76</v>
      </c>
      <c r="J2774" s="3" t="s">
        <v>77</v>
      </c>
      <c r="K2774" s="3" t="s">
        <v>78</v>
      </c>
      <c r="L2774" s="3" t="s">
        <v>79</v>
      </c>
      <c r="M2774" s="3" t="s">
        <v>80</v>
      </c>
      <c r="N2774" s="3" t="s">
        <v>771</v>
      </c>
      <c r="O2774" s="3" t="s">
        <v>82</v>
      </c>
      <c r="P2774" s="3" t="str">
        <f>"2170813224                    "</f>
        <v xml:space="preserve">2170813224                    </v>
      </c>
      <c r="Q2774" s="3">
        <v>0</v>
      </c>
      <c r="R2774" s="3">
        <v>0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  <c r="AE2774" s="3">
        <v>0</v>
      </c>
      <c r="AF2774" s="3">
        <v>0</v>
      </c>
      <c r="AG2774" s="3">
        <v>0</v>
      </c>
      <c r="AH2774" s="3">
        <v>0</v>
      </c>
      <c r="AI2774" s="3">
        <v>0</v>
      </c>
      <c r="AJ2774" s="3">
        <v>0</v>
      </c>
      <c r="AK2774" s="3">
        <v>15.46</v>
      </c>
      <c r="AL2774" s="3">
        <v>0</v>
      </c>
      <c r="AM2774" s="3">
        <v>0</v>
      </c>
      <c r="AN2774" s="3">
        <v>0</v>
      </c>
      <c r="AO2774" s="3">
        <v>0</v>
      </c>
      <c r="AP2774" s="3">
        <v>0</v>
      </c>
      <c r="AQ2774" s="3">
        <v>0</v>
      </c>
      <c r="AR2774" s="3">
        <v>0</v>
      </c>
      <c r="AS2774" s="3">
        <v>0</v>
      </c>
      <c r="AT2774" s="3">
        <v>0</v>
      </c>
      <c r="AU2774" s="3">
        <v>0</v>
      </c>
      <c r="AV2774" s="3">
        <v>0</v>
      </c>
      <c r="AW2774" s="3">
        <v>0</v>
      </c>
      <c r="AX2774" s="3">
        <v>0</v>
      </c>
      <c r="AY2774" s="3">
        <v>0</v>
      </c>
      <c r="AZ2774" s="3">
        <v>0</v>
      </c>
      <c r="BA2774" s="3">
        <v>0</v>
      </c>
      <c r="BB2774" s="3">
        <v>0</v>
      </c>
      <c r="BC2774" s="3">
        <v>0</v>
      </c>
      <c r="BD2774" s="3">
        <v>0</v>
      </c>
      <c r="BE2774" s="3">
        <v>0</v>
      </c>
      <c r="BF2774" s="3">
        <v>0</v>
      </c>
      <c r="BG2774" s="3">
        <v>0</v>
      </c>
      <c r="BH2774" s="3">
        <v>1</v>
      </c>
      <c r="BI2774" s="3">
        <v>1</v>
      </c>
      <c r="BJ2774" s="3">
        <v>0.2</v>
      </c>
      <c r="BK2774" s="3">
        <v>1</v>
      </c>
      <c r="BL2774" s="3">
        <v>59</v>
      </c>
      <c r="BM2774" s="3">
        <v>8.85</v>
      </c>
      <c r="BN2774" s="3">
        <v>67.849999999999994</v>
      </c>
      <c r="BO2774" s="3">
        <v>67.849999999999994</v>
      </c>
      <c r="BQ2774" s="3" t="s">
        <v>89</v>
      </c>
      <c r="BR2774" s="3" t="s">
        <v>364</v>
      </c>
      <c r="BS2774" s="4">
        <v>44567</v>
      </c>
      <c r="BT2774" s="5">
        <v>0.3756944444444445</v>
      </c>
      <c r="BU2774" s="3" t="s">
        <v>1367</v>
      </c>
      <c r="BV2774" s="3" t="s">
        <v>105</v>
      </c>
      <c r="BY2774" s="3">
        <v>1200</v>
      </c>
      <c r="BZ2774" s="3" t="s">
        <v>165</v>
      </c>
      <c r="CA2774" s="3" t="s">
        <v>1358</v>
      </c>
      <c r="CC2774" s="3" t="s">
        <v>80</v>
      </c>
      <c r="CD2774" s="3">
        <v>1</v>
      </c>
      <c r="CE2774" s="3" t="s">
        <v>93</v>
      </c>
      <c r="CF2774" s="4">
        <v>44568</v>
      </c>
      <c r="CI2774" s="3">
        <v>1</v>
      </c>
      <c r="CJ2774" s="3">
        <v>1</v>
      </c>
      <c r="CK2774" s="3">
        <v>21</v>
      </c>
      <c r="CL2774" s="3" t="s">
        <v>87</v>
      </c>
    </row>
    <row r="2775" spans="1:90" x14ac:dyDescent="0.2">
      <c r="A2775" s="3" t="s">
        <v>72</v>
      </c>
      <c r="B2775" s="3" t="s">
        <v>73</v>
      </c>
      <c r="C2775" s="3" t="s">
        <v>74</v>
      </c>
      <c r="E2775" s="3" t="str">
        <f>"FES1162843625"</f>
        <v>FES1162843625</v>
      </c>
      <c r="F2775" s="4">
        <v>44566</v>
      </c>
      <c r="G2775" s="3">
        <v>202207</v>
      </c>
      <c r="H2775" s="3" t="s">
        <v>75</v>
      </c>
      <c r="I2775" s="3" t="s">
        <v>76</v>
      </c>
      <c r="J2775" s="3" t="s">
        <v>77</v>
      </c>
      <c r="K2775" s="3" t="s">
        <v>78</v>
      </c>
      <c r="L2775" s="3" t="s">
        <v>171</v>
      </c>
      <c r="M2775" s="3" t="s">
        <v>172</v>
      </c>
      <c r="N2775" s="3" t="s">
        <v>249</v>
      </c>
      <c r="O2775" s="3" t="s">
        <v>82</v>
      </c>
      <c r="P2775" s="3" t="str">
        <f>"2170815703                    "</f>
        <v xml:space="preserve">2170815703                    </v>
      </c>
      <c r="Q2775" s="3">
        <v>0</v>
      </c>
      <c r="R2775" s="3">
        <v>0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  <c r="AE2775" s="3">
        <v>0</v>
      </c>
      <c r="AF2775" s="3">
        <v>0</v>
      </c>
      <c r="AG2775" s="3">
        <v>0</v>
      </c>
      <c r="AH2775" s="3">
        <v>0</v>
      </c>
      <c r="AI2775" s="3">
        <v>0</v>
      </c>
      <c r="AJ2775" s="3">
        <v>0</v>
      </c>
      <c r="AK2775" s="3">
        <v>15.46</v>
      </c>
      <c r="AL2775" s="3">
        <v>0</v>
      </c>
      <c r="AM2775" s="3">
        <v>0</v>
      </c>
      <c r="AN2775" s="3">
        <v>0</v>
      </c>
      <c r="AO2775" s="3">
        <v>0</v>
      </c>
      <c r="AP2775" s="3">
        <v>0</v>
      </c>
      <c r="AQ2775" s="3">
        <v>0</v>
      </c>
      <c r="AR2775" s="3">
        <v>0</v>
      </c>
      <c r="AS2775" s="3">
        <v>0</v>
      </c>
      <c r="AT2775" s="3">
        <v>0</v>
      </c>
      <c r="AU2775" s="3">
        <v>0</v>
      </c>
      <c r="AV2775" s="3">
        <v>0</v>
      </c>
      <c r="AW2775" s="3">
        <v>0</v>
      </c>
      <c r="AX2775" s="3">
        <v>0</v>
      </c>
      <c r="AY2775" s="3">
        <v>0</v>
      </c>
      <c r="AZ2775" s="3">
        <v>0</v>
      </c>
      <c r="BA2775" s="3">
        <v>0</v>
      </c>
      <c r="BB2775" s="3">
        <v>0</v>
      </c>
      <c r="BC2775" s="3">
        <v>0</v>
      </c>
      <c r="BD2775" s="3">
        <v>0</v>
      </c>
      <c r="BE2775" s="3">
        <v>0</v>
      </c>
      <c r="BF2775" s="3">
        <v>0</v>
      </c>
      <c r="BG2775" s="3">
        <v>0</v>
      </c>
      <c r="BH2775" s="3">
        <v>1</v>
      </c>
      <c r="BI2775" s="3">
        <v>1</v>
      </c>
      <c r="BJ2775" s="3">
        <v>0.2</v>
      </c>
      <c r="BK2775" s="3">
        <v>1</v>
      </c>
      <c r="BL2775" s="3">
        <v>59</v>
      </c>
      <c r="BM2775" s="3">
        <v>8.85</v>
      </c>
      <c r="BN2775" s="3">
        <v>67.849999999999994</v>
      </c>
      <c r="BO2775" s="3">
        <v>67.849999999999994</v>
      </c>
      <c r="BQ2775" s="3" t="s">
        <v>89</v>
      </c>
      <c r="BR2775" s="3" t="s">
        <v>364</v>
      </c>
      <c r="BS2775" s="4">
        <v>44567</v>
      </c>
      <c r="BT2775" s="5">
        <v>0.44375000000000003</v>
      </c>
      <c r="BU2775" s="3" t="s">
        <v>2559</v>
      </c>
      <c r="BV2775" s="3" t="s">
        <v>87</v>
      </c>
      <c r="BW2775" s="3" t="s">
        <v>457</v>
      </c>
      <c r="BX2775" s="3" t="s">
        <v>279</v>
      </c>
      <c r="BY2775" s="3">
        <v>1200</v>
      </c>
      <c r="BZ2775" s="3" t="s">
        <v>165</v>
      </c>
      <c r="CC2775" s="3" t="s">
        <v>172</v>
      </c>
      <c r="CD2775" s="3">
        <v>6001</v>
      </c>
      <c r="CE2775" s="3" t="s">
        <v>93</v>
      </c>
      <c r="CF2775" s="4">
        <v>44567</v>
      </c>
      <c r="CI2775" s="3">
        <v>1</v>
      </c>
      <c r="CJ2775" s="3">
        <v>1</v>
      </c>
      <c r="CK2775" s="3">
        <v>21</v>
      </c>
      <c r="CL2775" s="3" t="s">
        <v>87</v>
      </c>
    </row>
    <row r="2776" spans="1:90" x14ac:dyDescent="0.2">
      <c r="A2776" s="3" t="s">
        <v>72</v>
      </c>
      <c r="B2776" s="3" t="s">
        <v>73</v>
      </c>
      <c r="C2776" s="3" t="s">
        <v>74</v>
      </c>
      <c r="E2776" s="3" t="str">
        <f>"FES1162843544"</f>
        <v>FES1162843544</v>
      </c>
      <c r="F2776" s="4">
        <v>44566</v>
      </c>
      <c r="G2776" s="3">
        <v>202207</v>
      </c>
      <c r="H2776" s="3" t="s">
        <v>75</v>
      </c>
      <c r="I2776" s="3" t="s">
        <v>76</v>
      </c>
      <c r="J2776" s="3" t="s">
        <v>77</v>
      </c>
      <c r="K2776" s="3" t="s">
        <v>78</v>
      </c>
      <c r="L2776" s="3" t="s">
        <v>79</v>
      </c>
      <c r="M2776" s="3" t="s">
        <v>80</v>
      </c>
      <c r="N2776" s="3" t="s">
        <v>1290</v>
      </c>
      <c r="O2776" s="3" t="s">
        <v>82</v>
      </c>
      <c r="P2776" s="3" t="str">
        <f>"2170815629                    "</f>
        <v xml:space="preserve">2170815629                    </v>
      </c>
      <c r="Q2776" s="3">
        <v>0</v>
      </c>
      <c r="R2776" s="3">
        <v>0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  <c r="AE2776" s="3">
        <v>0</v>
      </c>
      <c r="AF2776" s="3">
        <v>0</v>
      </c>
      <c r="AG2776" s="3">
        <v>0</v>
      </c>
      <c r="AH2776" s="3">
        <v>0</v>
      </c>
      <c r="AI2776" s="3">
        <v>0</v>
      </c>
      <c r="AJ2776" s="3">
        <v>0</v>
      </c>
      <c r="AK2776" s="3">
        <v>15.46</v>
      </c>
      <c r="AL2776" s="3">
        <v>0</v>
      </c>
      <c r="AM2776" s="3">
        <v>0</v>
      </c>
      <c r="AN2776" s="3">
        <v>0</v>
      </c>
      <c r="AO2776" s="3">
        <v>0</v>
      </c>
      <c r="AP2776" s="3">
        <v>0</v>
      </c>
      <c r="AQ2776" s="3">
        <v>0</v>
      </c>
      <c r="AR2776" s="3">
        <v>0</v>
      </c>
      <c r="AS2776" s="3">
        <v>0</v>
      </c>
      <c r="AT2776" s="3">
        <v>0</v>
      </c>
      <c r="AU2776" s="3">
        <v>0</v>
      </c>
      <c r="AV2776" s="3">
        <v>0</v>
      </c>
      <c r="AW2776" s="3">
        <v>0</v>
      </c>
      <c r="AX2776" s="3">
        <v>0</v>
      </c>
      <c r="AY2776" s="3">
        <v>0</v>
      </c>
      <c r="AZ2776" s="3">
        <v>0</v>
      </c>
      <c r="BA2776" s="3">
        <v>0</v>
      </c>
      <c r="BB2776" s="3">
        <v>0</v>
      </c>
      <c r="BC2776" s="3">
        <v>0</v>
      </c>
      <c r="BD2776" s="3">
        <v>0</v>
      </c>
      <c r="BE2776" s="3">
        <v>0</v>
      </c>
      <c r="BF2776" s="3">
        <v>0</v>
      </c>
      <c r="BG2776" s="3">
        <v>0</v>
      </c>
      <c r="BH2776" s="3">
        <v>1</v>
      </c>
      <c r="BI2776" s="3">
        <v>1</v>
      </c>
      <c r="BJ2776" s="3">
        <v>0.2</v>
      </c>
      <c r="BK2776" s="3">
        <v>1</v>
      </c>
      <c r="BL2776" s="3">
        <v>59</v>
      </c>
      <c r="BM2776" s="3">
        <v>8.85</v>
      </c>
      <c r="BN2776" s="3">
        <v>67.849999999999994</v>
      </c>
      <c r="BO2776" s="3">
        <v>67.849999999999994</v>
      </c>
      <c r="BQ2776" s="3" t="s">
        <v>89</v>
      </c>
      <c r="BR2776" s="3" t="s">
        <v>364</v>
      </c>
      <c r="BS2776" s="4">
        <v>44567</v>
      </c>
      <c r="BT2776" s="5">
        <v>0.38194444444444442</v>
      </c>
      <c r="BU2776" s="3" t="s">
        <v>1291</v>
      </c>
      <c r="BV2776" s="3" t="s">
        <v>105</v>
      </c>
      <c r="BY2776" s="3">
        <v>1200</v>
      </c>
      <c r="BZ2776" s="3" t="s">
        <v>165</v>
      </c>
      <c r="CA2776" s="3" t="s">
        <v>366</v>
      </c>
      <c r="CC2776" s="3" t="s">
        <v>80</v>
      </c>
      <c r="CD2776" s="3">
        <v>200</v>
      </c>
      <c r="CE2776" s="3" t="s">
        <v>93</v>
      </c>
      <c r="CF2776" s="4">
        <v>44567</v>
      </c>
      <c r="CI2776" s="3">
        <v>1</v>
      </c>
      <c r="CJ2776" s="3">
        <v>1</v>
      </c>
      <c r="CK2776" s="3">
        <v>21</v>
      </c>
      <c r="CL2776" s="3" t="s">
        <v>87</v>
      </c>
    </row>
    <row r="2777" spans="1:90" x14ac:dyDescent="0.2">
      <c r="A2777" s="3" t="s">
        <v>72</v>
      </c>
      <c r="B2777" s="3" t="s">
        <v>73</v>
      </c>
      <c r="C2777" s="3" t="s">
        <v>74</v>
      </c>
      <c r="E2777" s="3" t="str">
        <f>"FES1162843600"</f>
        <v>FES1162843600</v>
      </c>
      <c r="F2777" s="4">
        <v>44566</v>
      </c>
      <c r="G2777" s="3">
        <v>202207</v>
      </c>
      <c r="H2777" s="3" t="s">
        <v>75</v>
      </c>
      <c r="I2777" s="3" t="s">
        <v>76</v>
      </c>
      <c r="J2777" s="3" t="s">
        <v>77</v>
      </c>
      <c r="K2777" s="3" t="s">
        <v>78</v>
      </c>
      <c r="L2777" s="3" t="s">
        <v>184</v>
      </c>
      <c r="M2777" s="3" t="s">
        <v>185</v>
      </c>
      <c r="N2777" s="3" t="s">
        <v>186</v>
      </c>
      <c r="O2777" s="3" t="s">
        <v>82</v>
      </c>
      <c r="P2777" s="3" t="str">
        <f>"2170815674                    "</f>
        <v xml:space="preserve">2170815674                    </v>
      </c>
      <c r="Q2777" s="3">
        <v>0</v>
      </c>
      <c r="R2777" s="3">
        <v>0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  <c r="AE2777" s="3">
        <v>0</v>
      </c>
      <c r="AF2777" s="3">
        <v>0</v>
      </c>
      <c r="AG2777" s="3">
        <v>0</v>
      </c>
      <c r="AH2777" s="3">
        <v>0</v>
      </c>
      <c r="AI2777" s="3">
        <v>0</v>
      </c>
      <c r="AJ2777" s="3">
        <v>0</v>
      </c>
      <c r="AK2777" s="3">
        <v>15.46</v>
      </c>
      <c r="AL2777" s="3">
        <v>0</v>
      </c>
      <c r="AM2777" s="3">
        <v>0</v>
      </c>
      <c r="AN2777" s="3">
        <v>0</v>
      </c>
      <c r="AO2777" s="3">
        <v>0</v>
      </c>
      <c r="AP2777" s="3">
        <v>0</v>
      </c>
      <c r="AQ2777" s="3">
        <v>0</v>
      </c>
      <c r="AR2777" s="3">
        <v>0</v>
      </c>
      <c r="AS2777" s="3">
        <v>0</v>
      </c>
      <c r="AT2777" s="3">
        <v>0</v>
      </c>
      <c r="AU2777" s="3">
        <v>0</v>
      </c>
      <c r="AV2777" s="3">
        <v>0</v>
      </c>
      <c r="AW2777" s="3">
        <v>0</v>
      </c>
      <c r="AX2777" s="3">
        <v>0</v>
      </c>
      <c r="AY2777" s="3">
        <v>0</v>
      </c>
      <c r="AZ2777" s="3">
        <v>0</v>
      </c>
      <c r="BA2777" s="3">
        <v>0</v>
      </c>
      <c r="BB2777" s="3">
        <v>0</v>
      </c>
      <c r="BC2777" s="3">
        <v>0</v>
      </c>
      <c r="BD2777" s="3">
        <v>0</v>
      </c>
      <c r="BE2777" s="3">
        <v>0</v>
      </c>
      <c r="BF2777" s="3">
        <v>0</v>
      </c>
      <c r="BG2777" s="3">
        <v>0</v>
      </c>
      <c r="BH2777" s="3">
        <v>1</v>
      </c>
      <c r="BI2777" s="3">
        <v>1</v>
      </c>
      <c r="BJ2777" s="3">
        <v>0.2</v>
      </c>
      <c r="BK2777" s="3">
        <v>1</v>
      </c>
      <c r="BL2777" s="3">
        <v>59</v>
      </c>
      <c r="BM2777" s="3">
        <v>8.85</v>
      </c>
      <c r="BN2777" s="3">
        <v>67.849999999999994</v>
      </c>
      <c r="BO2777" s="3">
        <v>67.849999999999994</v>
      </c>
      <c r="BQ2777" s="3" t="s">
        <v>83</v>
      </c>
      <c r="BR2777" s="3" t="s">
        <v>364</v>
      </c>
      <c r="BS2777" s="4">
        <v>44567</v>
      </c>
      <c r="BT2777" s="5">
        <v>0.44375000000000003</v>
      </c>
      <c r="BU2777" s="3" t="s">
        <v>2645</v>
      </c>
      <c r="BV2777" s="3" t="s">
        <v>87</v>
      </c>
      <c r="BW2777" s="3" t="s">
        <v>353</v>
      </c>
      <c r="BX2777" s="3" t="s">
        <v>605</v>
      </c>
      <c r="BY2777" s="3">
        <v>1200</v>
      </c>
      <c r="BZ2777" s="3" t="s">
        <v>165</v>
      </c>
      <c r="CA2777" s="3" t="s">
        <v>357</v>
      </c>
      <c r="CC2777" s="3" t="s">
        <v>185</v>
      </c>
      <c r="CD2777" s="3">
        <v>5201</v>
      </c>
      <c r="CE2777" s="3" t="s">
        <v>93</v>
      </c>
      <c r="CF2777" s="4">
        <v>44567</v>
      </c>
      <c r="CI2777" s="3">
        <v>1</v>
      </c>
      <c r="CJ2777" s="3">
        <v>1</v>
      </c>
      <c r="CK2777" s="3">
        <v>21</v>
      </c>
      <c r="CL2777" s="3" t="s">
        <v>87</v>
      </c>
    </row>
    <row r="2778" spans="1:90" x14ac:dyDescent="0.2">
      <c r="A2778" s="3" t="s">
        <v>72</v>
      </c>
      <c r="B2778" s="3" t="s">
        <v>73</v>
      </c>
      <c r="C2778" s="3" t="s">
        <v>74</v>
      </c>
      <c r="E2778" s="3" t="str">
        <f>"FES1162843578"</f>
        <v>FES1162843578</v>
      </c>
      <c r="F2778" s="4">
        <v>44566</v>
      </c>
      <c r="G2778" s="3">
        <v>202207</v>
      </c>
      <c r="H2778" s="3" t="s">
        <v>75</v>
      </c>
      <c r="I2778" s="3" t="s">
        <v>76</v>
      </c>
      <c r="J2778" s="3" t="s">
        <v>77</v>
      </c>
      <c r="K2778" s="3" t="s">
        <v>78</v>
      </c>
      <c r="L2778" s="3" t="s">
        <v>107</v>
      </c>
      <c r="M2778" s="3" t="s">
        <v>108</v>
      </c>
      <c r="N2778" s="3" t="s">
        <v>392</v>
      </c>
      <c r="O2778" s="3" t="s">
        <v>82</v>
      </c>
      <c r="P2778" s="3" t="str">
        <f>"2170810796                    "</f>
        <v xml:space="preserve">2170810796                    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  <c r="AE2778" s="3">
        <v>0</v>
      </c>
      <c r="AF2778" s="3">
        <v>0</v>
      </c>
      <c r="AG2778" s="3">
        <v>0</v>
      </c>
      <c r="AH2778" s="3">
        <v>0</v>
      </c>
      <c r="AI2778" s="3">
        <v>0</v>
      </c>
      <c r="AJ2778" s="3">
        <v>0</v>
      </c>
      <c r="AK2778" s="3">
        <v>29.95</v>
      </c>
      <c r="AL2778" s="3">
        <v>0</v>
      </c>
      <c r="AM2778" s="3">
        <v>0</v>
      </c>
      <c r="AN2778" s="3">
        <v>0</v>
      </c>
      <c r="AO2778" s="3">
        <v>0</v>
      </c>
      <c r="AP2778" s="3">
        <v>0</v>
      </c>
      <c r="AQ2778" s="3">
        <v>0</v>
      </c>
      <c r="AR2778" s="3">
        <v>0</v>
      </c>
      <c r="AS2778" s="3">
        <v>0</v>
      </c>
      <c r="AT2778" s="3">
        <v>0</v>
      </c>
      <c r="AU2778" s="3">
        <v>0</v>
      </c>
      <c r="AV2778" s="3">
        <v>0</v>
      </c>
      <c r="AW2778" s="3">
        <v>0</v>
      </c>
      <c r="AX2778" s="3">
        <v>0</v>
      </c>
      <c r="AY2778" s="3">
        <v>0</v>
      </c>
      <c r="AZ2778" s="3">
        <v>0</v>
      </c>
      <c r="BA2778" s="3">
        <v>0</v>
      </c>
      <c r="BB2778" s="3">
        <v>0</v>
      </c>
      <c r="BC2778" s="3">
        <v>0</v>
      </c>
      <c r="BD2778" s="3">
        <v>0</v>
      </c>
      <c r="BE2778" s="3">
        <v>0</v>
      </c>
      <c r="BF2778" s="3">
        <v>0</v>
      </c>
      <c r="BG2778" s="3">
        <v>0</v>
      </c>
      <c r="BH2778" s="3">
        <v>1</v>
      </c>
      <c r="BI2778" s="3">
        <v>1</v>
      </c>
      <c r="BJ2778" s="3">
        <v>0.2</v>
      </c>
      <c r="BK2778" s="3">
        <v>1</v>
      </c>
      <c r="BL2778" s="3">
        <v>114.31</v>
      </c>
      <c r="BM2778" s="3">
        <v>17.149999999999999</v>
      </c>
      <c r="BN2778" s="3">
        <v>131.46</v>
      </c>
      <c r="BO2778" s="3">
        <v>131.46</v>
      </c>
      <c r="BQ2778" s="3" t="s">
        <v>83</v>
      </c>
      <c r="BR2778" s="3" t="s">
        <v>364</v>
      </c>
      <c r="BS2778" s="4">
        <v>44571</v>
      </c>
      <c r="BT2778" s="5">
        <v>0.41666666666666669</v>
      </c>
      <c r="BU2778" s="3" t="s">
        <v>2334</v>
      </c>
      <c r="BV2778" s="3" t="s">
        <v>87</v>
      </c>
      <c r="BW2778" s="3" t="s">
        <v>493</v>
      </c>
      <c r="BX2778" s="3" t="s">
        <v>354</v>
      </c>
      <c r="BY2778" s="3">
        <v>1200</v>
      </c>
      <c r="BZ2778" s="3" t="s">
        <v>165</v>
      </c>
      <c r="CC2778" s="3" t="s">
        <v>108</v>
      </c>
      <c r="CD2778" s="3">
        <v>6849</v>
      </c>
      <c r="CE2778" s="3" t="s">
        <v>93</v>
      </c>
      <c r="CF2778" s="4">
        <v>44572</v>
      </c>
      <c r="CI2778" s="3">
        <v>2</v>
      </c>
      <c r="CJ2778" s="3">
        <v>3</v>
      </c>
      <c r="CK2778" s="3">
        <v>23</v>
      </c>
      <c r="CL2778" s="3" t="s">
        <v>87</v>
      </c>
    </row>
    <row r="2779" spans="1:90" x14ac:dyDescent="0.2">
      <c r="A2779" s="3" t="s">
        <v>72</v>
      </c>
      <c r="B2779" s="3" t="s">
        <v>73</v>
      </c>
      <c r="C2779" s="3" t="s">
        <v>74</v>
      </c>
      <c r="E2779" s="3" t="str">
        <f>"FES1162843586"</f>
        <v>FES1162843586</v>
      </c>
      <c r="F2779" s="4">
        <v>44566</v>
      </c>
      <c r="G2779" s="3">
        <v>202207</v>
      </c>
      <c r="H2779" s="3" t="s">
        <v>75</v>
      </c>
      <c r="I2779" s="3" t="s">
        <v>76</v>
      </c>
      <c r="J2779" s="3" t="s">
        <v>77</v>
      </c>
      <c r="K2779" s="3" t="s">
        <v>78</v>
      </c>
      <c r="L2779" s="3" t="s">
        <v>138</v>
      </c>
      <c r="M2779" s="3" t="s">
        <v>139</v>
      </c>
      <c r="N2779" s="3" t="s">
        <v>140</v>
      </c>
      <c r="O2779" s="3" t="s">
        <v>82</v>
      </c>
      <c r="P2779" s="3" t="str">
        <f>"2170813318                    "</f>
        <v xml:space="preserve">2170813318                    </v>
      </c>
      <c r="Q2779" s="3">
        <v>0</v>
      </c>
      <c r="R2779" s="3">
        <v>0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  <c r="AE2779" s="3">
        <v>0</v>
      </c>
      <c r="AF2779" s="3">
        <v>0</v>
      </c>
      <c r="AG2779" s="3">
        <v>0</v>
      </c>
      <c r="AH2779" s="3">
        <v>0</v>
      </c>
      <c r="AI2779" s="3">
        <v>0</v>
      </c>
      <c r="AJ2779" s="3">
        <v>0</v>
      </c>
      <c r="AK2779" s="3">
        <v>15.46</v>
      </c>
      <c r="AL2779" s="3">
        <v>0</v>
      </c>
      <c r="AM2779" s="3">
        <v>0</v>
      </c>
      <c r="AN2779" s="3">
        <v>0</v>
      </c>
      <c r="AO2779" s="3">
        <v>0</v>
      </c>
      <c r="AP2779" s="3">
        <v>0</v>
      </c>
      <c r="AQ2779" s="3">
        <v>0</v>
      </c>
      <c r="AR2779" s="3">
        <v>0</v>
      </c>
      <c r="AS2779" s="3">
        <v>0</v>
      </c>
      <c r="AT2779" s="3">
        <v>0</v>
      </c>
      <c r="AU2779" s="3">
        <v>0</v>
      </c>
      <c r="AV2779" s="3">
        <v>0</v>
      </c>
      <c r="AW2779" s="3">
        <v>0</v>
      </c>
      <c r="AX2779" s="3">
        <v>0</v>
      </c>
      <c r="AY2779" s="3">
        <v>0</v>
      </c>
      <c r="AZ2779" s="3">
        <v>0</v>
      </c>
      <c r="BA2779" s="3">
        <v>0</v>
      </c>
      <c r="BB2779" s="3">
        <v>0</v>
      </c>
      <c r="BC2779" s="3">
        <v>0</v>
      </c>
      <c r="BD2779" s="3">
        <v>0</v>
      </c>
      <c r="BE2779" s="3">
        <v>0</v>
      </c>
      <c r="BF2779" s="3">
        <v>0</v>
      </c>
      <c r="BG2779" s="3">
        <v>0</v>
      </c>
      <c r="BH2779" s="3">
        <v>1</v>
      </c>
      <c r="BI2779" s="3">
        <v>1</v>
      </c>
      <c r="BJ2779" s="3">
        <v>0.2</v>
      </c>
      <c r="BK2779" s="3">
        <v>1</v>
      </c>
      <c r="BL2779" s="3">
        <v>59</v>
      </c>
      <c r="BM2779" s="3">
        <v>8.85</v>
      </c>
      <c r="BN2779" s="3">
        <v>67.849999999999994</v>
      </c>
      <c r="BO2779" s="3">
        <v>67.849999999999994</v>
      </c>
      <c r="BQ2779" s="3" t="s">
        <v>126</v>
      </c>
      <c r="BR2779" s="3" t="s">
        <v>364</v>
      </c>
      <c r="BS2779" s="4">
        <v>44567</v>
      </c>
      <c r="BT2779" s="5">
        <v>0.36180555555555555</v>
      </c>
      <c r="BU2779" s="3" t="s">
        <v>819</v>
      </c>
      <c r="BV2779" s="3" t="s">
        <v>105</v>
      </c>
      <c r="BY2779" s="3">
        <v>1200</v>
      </c>
      <c r="BZ2779" s="3" t="s">
        <v>165</v>
      </c>
      <c r="CA2779" s="3" t="s">
        <v>334</v>
      </c>
      <c r="CC2779" s="3" t="s">
        <v>139</v>
      </c>
      <c r="CD2779" s="3">
        <v>3610</v>
      </c>
      <c r="CE2779" s="3" t="s">
        <v>93</v>
      </c>
      <c r="CF2779" s="4">
        <v>44567</v>
      </c>
      <c r="CI2779" s="3">
        <v>1</v>
      </c>
      <c r="CJ2779" s="3">
        <v>1</v>
      </c>
      <c r="CK2779" s="3">
        <v>21</v>
      </c>
      <c r="CL2779" s="3" t="s">
        <v>87</v>
      </c>
    </row>
    <row r="2780" spans="1:90" x14ac:dyDescent="0.2">
      <c r="A2780" s="3" t="s">
        <v>72</v>
      </c>
      <c r="B2780" s="3" t="s">
        <v>73</v>
      </c>
      <c r="C2780" s="3" t="s">
        <v>74</v>
      </c>
      <c r="E2780" s="3" t="str">
        <f>"FES1162843620"</f>
        <v>FES1162843620</v>
      </c>
      <c r="F2780" s="4">
        <v>44566</v>
      </c>
      <c r="G2780" s="3">
        <v>202207</v>
      </c>
      <c r="H2780" s="3" t="s">
        <v>75</v>
      </c>
      <c r="I2780" s="3" t="s">
        <v>76</v>
      </c>
      <c r="J2780" s="3" t="s">
        <v>77</v>
      </c>
      <c r="K2780" s="3" t="s">
        <v>78</v>
      </c>
      <c r="L2780" s="3" t="s">
        <v>123</v>
      </c>
      <c r="M2780" s="3" t="s">
        <v>124</v>
      </c>
      <c r="N2780" s="3" t="s">
        <v>193</v>
      </c>
      <c r="O2780" s="3" t="s">
        <v>82</v>
      </c>
      <c r="P2780" s="3" t="str">
        <f>"2170815696                    "</f>
        <v xml:space="preserve">2170815696                    </v>
      </c>
      <c r="Q2780" s="3">
        <v>0</v>
      </c>
      <c r="R2780" s="3">
        <v>0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  <c r="AE2780" s="3">
        <v>0</v>
      </c>
      <c r="AF2780" s="3">
        <v>0</v>
      </c>
      <c r="AG2780" s="3">
        <v>0</v>
      </c>
      <c r="AH2780" s="3">
        <v>0</v>
      </c>
      <c r="AI2780" s="3">
        <v>0</v>
      </c>
      <c r="AJ2780" s="3">
        <v>0</v>
      </c>
      <c r="AK2780" s="3">
        <v>12.07</v>
      </c>
      <c r="AL2780" s="3">
        <v>0</v>
      </c>
      <c r="AM2780" s="3">
        <v>0</v>
      </c>
      <c r="AN2780" s="3">
        <v>0</v>
      </c>
      <c r="AO2780" s="3">
        <v>0</v>
      </c>
      <c r="AP2780" s="3">
        <v>0</v>
      </c>
      <c r="AQ2780" s="3">
        <v>0</v>
      </c>
      <c r="AR2780" s="3">
        <v>0</v>
      </c>
      <c r="AS2780" s="3">
        <v>0</v>
      </c>
      <c r="AT2780" s="3">
        <v>0</v>
      </c>
      <c r="AU2780" s="3">
        <v>0</v>
      </c>
      <c r="AV2780" s="3">
        <v>0</v>
      </c>
      <c r="AW2780" s="3">
        <v>0</v>
      </c>
      <c r="AX2780" s="3">
        <v>0</v>
      </c>
      <c r="AY2780" s="3">
        <v>0</v>
      </c>
      <c r="AZ2780" s="3">
        <v>0</v>
      </c>
      <c r="BA2780" s="3">
        <v>0</v>
      </c>
      <c r="BB2780" s="3">
        <v>0</v>
      </c>
      <c r="BC2780" s="3">
        <v>0</v>
      </c>
      <c r="BD2780" s="3">
        <v>0</v>
      </c>
      <c r="BE2780" s="3">
        <v>0</v>
      </c>
      <c r="BF2780" s="3">
        <v>0</v>
      </c>
      <c r="BG2780" s="3">
        <v>0</v>
      </c>
      <c r="BH2780" s="3">
        <v>1</v>
      </c>
      <c r="BI2780" s="3">
        <v>1</v>
      </c>
      <c r="BJ2780" s="3">
        <v>0.2</v>
      </c>
      <c r="BK2780" s="3">
        <v>1</v>
      </c>
      <c r="BL2780" s="3">
        <v>46.08</v>
      </c>
      <c r="BM2780" s="3">
        <v>6.91</v>
      </c>
      <c r="BN2780" s="3">
        <v>52.99</v>
      </c>
      <c r="BO2780" s="3">
        <v>52.99</v>
      </c>
      <c r="BQ2780" s="3" t="s">
        <v>83</v>
      </c>
      <c r="BR2780" s="3" t="s">
        <v>364</v>
      </c>
      <c r="BS2780" s="4">
        <v>44567</v>
      </c>
      <c r="BT2780" s="5">
        <v>0.36041666666666666</v>
      </c>
      <c r="BU2780" s="3" t="s">
        <v>2646</v>
      </c>
      <c r="BV2780" s="3" t="s">
        <v>105</v>
      </c>
      <c r="BY2780" s="3">
        <v>1200</v>
      </c>
      <c r="BZ2780" s="3" t="s">
        <v>165</v>
      </c>
      <c r="CA2780" s="3" t="s">
        <v>320</v>
      </c>
      <c r="CC2780" s="3" t="s">
        <v>124</v>
      </c>
      <c r="CD2780" s="3">
        <v>1709</v>
      </c>
      <c r="CE2780" s="3" t="s">
        <v>93</v>
      </c>
      <c r="CF2780" s="4">
        <v>44568</v>
      </c>
      <c r="CI2780" s="3">
        <v>1</v>
      </c>
      <c r="CJ2780" s="3">
        <v>1</v>
      </c>
      <c r="CK2780" s="3">
        <v>22</v>
      </c>
      <c r="CL2780" s="3" t="s">
        <v>87</v>
      </c>
    </row>
    <row r="2781" spans="1:90" x14ac:dyDescent="0.2">
      <c r="A2781" s="3" t="s">
        <v>72</v>
      </c>
      <c r="B2781" s="3" t="s">
        <v>73</v>
      </c>
      <c r="C2781" s="3" t="s">
        <v>74</v>
      </c>
      <c r="E2781" s="3" t="str">
        <f>"FES1162843590"</f>
        <v>FES1162843590</v>
      </c>
      <c r="F2781" s="4">
        <v>44566</v>
      </c>
      <c r="G2781" s="3">
        <v>202207</v>
      </c>
      <c r="H2781" s="3" t="s">
        <v>75</v>
      </c>
      <c r="I2781" s="3" t="s">
        <v>76</v>
      </c>
      <c r="J2781" s="3" t="s">
        <v>77</v>
      </c>
      <c r="K2781" s="3" t="s">
        <v>78</v>
      </c>
      <c r="L2781" s="3" t="s">
        <v>427</v>
      </c>
      <c r="M2781" s="3" t="s">
        <v>428</v>
      </c>
      <c r="N2781" s="3" t="s">
        <v>447</v>
      </c>
      <c r="O2781" s="3" t="s">
        <v>82</v>
      </c>
      <c r="P2781" s="3" t="str">
        <f>"2170814693                    "</f>
        <v xml:space="preserve">2170814693                    </v>
      </c>
      <c r="Q2781" s="3">
        <v>0</v>
      </c>
      <c r="R2781" s="3">
        <v>0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  <c r="AE2781" s="3">
        <v>0</v>
      </c>
      <c r="AF2781" s="3">
        <v>0</v>
      </c>
      <c r="AG2781" s="3">
        <v>0</v>
      </c>
      <c r="AH2781" s="3">
        <v>0</v>
      </c>
      <c r="AI2781" s="3">
        <v>0</v>
      </c>
      <c r="AJ2781" s="3">
        <v>0</v>
      </c>
      <c r="AK2781" s="3">
        <v>29.95</v>
      </c>
      <c r="AL2781" s="3">
        <v>0</v>
      </c>
      <c r="AM2781" s="3">
        <v>0</v>
      </c>
      <c r="AN2781" s="3">
        <v>0</v>
      </c>
      <c r="AO2781" s="3">
        <v>0</v>
      </c>
      <c r="AP2781" s="3">
        <v>0</v>
      </c>
      <c r="AQ2781" s="3">
        <v>0</v>
      </c>
      <c r="AR2781" s="3">
        <v>0</v>
      </c>
      <c r="AS2781" s="3">
        <v>0</v>
      </c>
      <c r="AT2781" s="3">
        <v>0</v>
      </c>
      <c r="AU2781" s="3">
        <v>0</v>
      </c>
      <c r="AV2781" s="3">
        <v>0</v>
      </c>
      <c r="AW2781" s="3">
        <v>0</v>
      </c>
      <c r="AX2781" s="3">
        <v>0</v>
      </c>
      <c r="AY2781" s="3">
        <v>0</v>
      </c>
      <c r="AZ2781" s="3">
        <v>0</v>
      </c>
      <c r="BA2781" s="3">
        <v>0</v>
      </c>
      <c r="BB2781" s="3">
        <v>0</v>
      </c>
      <c r="BC2781" s="3">
        <v>0</v>
      </c>
      <c r="BD2781" s="3">
        <v>0</v>
      </c>
      <c r="BE2781" s="3">
        <v>0</v>
      </c>
      <c r="BF2781" s="3">
        <v>0</v>
      </c>
      <c r="BG2781" s="3">
        <v>0</v>
      </c>
      <c r="BH2781" s="3">
        <v>1</v>
      </c>
      <c r="BI2781" s="3">
        <v>1</v>
      </c>
      <c r="BJ2781" s="3">
        <v>0.2</v>
      </c>
      <c r="BK2781" s="3">
        <v>1</v>
      </c>
      <c r="BL2781" s="3">
        <v>114.31</v>
      </c>
      <c r="BM2781" s="3">
        <v>17.149999999999999</v>
      </c>
      <c r="BN2781" s="3">
        <v>131.46</v>
      </c>
      <c r="BO2781" s="3">
        <v>131.46</v>
      </c>
      <c r="BQ2781" s="3" t="s">
        <v>89</v>
      </c>
      <c r="BR2781" s="3" t="s">
        <v>364</v>
      </c>
      <c r="BS2781" s="4">
        <v>44567</v>
      </c>
      <c r="BT2781" s="5">
        <v>0.53541666666666665</v>
      </c>
      <c r="BU2781" s="3" t="s">
        <v>1695</v>
      </c>
      <c r="BV2781" s="3" t="s">
        <v>105</v>
      </c>
      <c r="BY2781" s="3">
        <v>1200</v>
      </c>
      <c r="BZ2781" s="3" t="s">
        <v>165</v>
      </c>
      <c r="CA2781" s="3" t="s">
        <v>2516</v>
      </c>
      <c r="CC2781" s="3" t="s">
        <v>428</v>
      </c>
      <c r="CD2781" s="3">
        <v>7130</v>
      </c>
      <c r="CE2781" s="3" t="s">
        <v>93</v>
      </c>
      <c r="CF2781" s="4">
        <v>44568</v>
      </c>
      <c r="CI2781" s="3">
        <v>1</v>
      </c>
      <c r="CJ2781" s="3">
        <v>1</v>
      </c>
      <c r="CK2781" s="3">
        <v>23</v>
      </c>
      <c r="CL2781" s="3" t="s">
        <v>87</v>
      </c>
    </row>
    <row r="2782" spans="1:90" x14ac:dyDescent="0.2">
      <c r="A2782" s="3" t="s">
        <v>72</v>
      </c>
      <c r="B2782" s="3" t="s">
        <v>73</v>
      </c>
      <c r="C2782" s="3" t="s">
        <v>74</v>
      </c>
      <c r="E2782" s="3" t="str">
        <f>"FES1162843597"</f>
        <v>FES1162843597</v>
      </c>
      <c r="F2782" s="4">
        <v>44566</v>
      </c>
      <c r="G2782" s="3">
        <v>202207</v>
      </c>
      <c r="H2782" s="3" t="s">
        <v>75</v>
      </c>
      <c r="I2782" s="3" t="s">
        <v>76</v>
      </c>
      <c r="J2782" s="3" t="s">
        <v>77</v>
      </c>
      <c r="K2782" s="3" t="s">
        <v>78</v>
      </c>
      <c r="L2782" s="3" t="s">
        <v>90</v>
      </c>
      <c r="M2782" s="3" t="s">
        <v>91</v>
      </c>
      <c r="N2782" s="3" t="s">
        <v>132</v>
      </c>
      <c r="O2782" s="3" t="s">
        <v>82</v>
      </c>
      <c r="P2782" s="3" t="str">
        <f>"2170815670                    "</f>
        <v xml:space="preserve">2170815670                    </v>
      </c>
      <c r="Q2782" s="3">
        <v>0</v>
      </c>
      <c r="R2782" s="3">
        <v>0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  <c r="AE2782" s="3">
        <v>0</v>
      </c>
      <c r="AF2782" s="3">
        <v>0</v>
      </c>
      <c r="AG2782" s="3">
        <v>0</v>
      </c>
      <c r="AH2782" s="3">
        <v>0</v>
      </c>
      <c r="AI2782" s="3">
        <v>0</v>
      </c>
      <c r="AJ2782" s="3">
        <v>0</v>
      </c>
      <c r="AK2782" s="3">
        <v>15.46</v>
      </c>
      <c r="AL2782" s="3">
        <v>0</v>
      </c>
      <c r="AM2782" s="3">
        <v>0</v>
      </c>
      <c r="AN2782" s="3">
        <v>0</v>
      </c>
      <c r="AO2782" s="3">
        <v>0</v>
      </c>
      <c r="AP2782" s="3">
        <v>0</v>
      </c>
      <c r="AQ2782" s="3">
        <v>0</v>
      </c>
      <c r="AR2782" s="3">
        <v>0</v>
      </c>
      <c r="AS2782" s="3">
        <v>0</v>
      </c>
      <c r="AT2782" s="3">
        <v>0</v>
      </c>
      <c r="AU2782" s="3">
        <v>0</v>
      </c>
      <c r="AV2782" s="3">
        <v>0</v>
      </c>
      <c r="AW2782" s="3">
        <v>0</v>
      </c>
      <c r="AX2782" s="3">
        <v>0</v>
      </c>
      <c r="AY2782" s="3">
        <v>0</v>
      </c>
      <c r="AZ2782" s="3">
        <v>0</v>
      </c>
      <c r="BA2782" s="3">
        <v>0</v>
      </c>
      <c r="BB2782" s="3">
        <v>0</v>
      </c>
      <c r="BC2782" s="3">
        <v>0</v>
      </c>
      <c r="BD2782" s="3">
        <v>0</v>
      </c>
      <c r="BE2782" s="3">
        <v>0</v>
      </c>
      <c r="BF2782" s="3">
        <v>0</v>
      </c>
      <c r="BG2782" s="3">
        <v>0</v>
      </c>
      <c r="BH2782" s="3">
        <v>1</v>
      </c>
      <c r="BI2782" s="3">
        <v>1</v>
      </c>
      <c r="BJ2782" s="3">
        <v>0.2</v>
      </c>
      <c r="BK2782" s="3">
        <v>1</v>
      </c>
      <c r="BL2782" s="3">
        <v>59</v>
      </c>
      <c r="BM2782" s="3">
        <v>8.85</v>
      </c>
      <c r="BN2782" s="3">
        <v>67.849999999999994</v>
      </c>
      <c r="BO2782" s="3">
        <v>67.849999999999994</v>
      </c>
      <c r="BQ2782" s="3" t="s">
        <v>83</v>
      </c>
      <c r="BR2782" s="3" t="s">
        <v>364</v>
      </c>
      <c r="BS2782" s="4">
        <v>44567</v>
      </c>
      <c r="BT2782" s="5">
        <v>0.40972222222222227</v>
      </c>
      <c r="BU2782" s="3" t="s">
        <v>2647</v>
      </c>
      <c r="BV2782" s="3" t="s">
        <v>105</v>
      </c>
      <c r="BY2782" s="3">
        <v>1200</v>
      </c>
      <c r="BZ2782" s="3" t="s">
        <v>165</v>
      </c>
      <c r="CA2782" s="3" t="s">
        <v>641</v>
      </c>
      <c r="CC2782" s="3" t="s">
        <v>91</v>
      </c>
      <c r="CD2782" s="3">
        <v>7530</v>
      </c>
      <c r="CE2782" s="3" t="s">
        <v>93</v>
      </c>
      <c r="CF2782" s="4">
        <v>44568</v>
      </c>
      <c r="CI2782" s="3">
        <v>1</v>
      </c>
      <c r="CJ2782" s="3">
        <v>1</v>
      </c>
      <c r="CK2782" s="3">
        <v>21</v>
      </c>
      <c r="CL2782" s="3" t="s">
        <v>87</v>
      </c>
    </row>
    <row r="2783" spans="1:90" x14ac:dyDescent="0.2">
      <c r="A2783" s="3" t="s">
        <v>72</v>
      </c>
      <c r="B2783" s="3" t="s">
        <v>73</v>
      </c>
      <c r="C2783" s="3" t="s">
        <v>74</v>
      </c>
      <c r="E2783" s="3" t="str">
        <f>"FES1162843601"</f>
        <v>FES1162843601</v>
      </c>
      <c r="F2783" s="4">
        <v>44566</v>
      </c>
      <c r="G2783" s="3">
        <v>202207</v>
      </c>
      <c r="H2783" s="3" t="s">
        <v>75</v>
      </c>
      <c r="I2783" s="3" t="s">
        <v>76</v>
      </c>
      <c r="J2783" s="3" t="s">
        <v>77</v>
      </c>
      <c r="K2783" s="3" t="s">
        <v>78</v>
      </c>
      <c r="L2783" s="3" t="s">
        <v>94</v>
      </c>
      <c r="M2783" s="3" t="s">
        <v>95</v>
      </c>
      <c r="N2783" s="3" t="s">
        <v>179</v>
      </c>
      <c r="O2783" s="3" t="s">
        <v>82</v>
      </c>
      <c r="P2783" s="3" t="str">
        <f>"2170815675                    "</f>
        <v xml:space="preserve">2170815675                    </v>
      </c>
      <c r="Q2783" s="3">
        <v>0</v>
      </c>
      <c r="R2783" s="3">
        <v>0</v>
      </c>
      <c r="S2783" s="3">
        <v>0</v>
      </c>
      <c r="T2783" s="3">
        <v>0</v>
      </c>
      <c r="U2783" s="3">
        <v>0</v>
      </c>
      <c r="V2783" s="3">
        <v>0</v>
      </c>
      <c r="W2783" s="3">
        <v>0</v>
      </c>
      <c r="X2783" s="3">
        <v>0</v>
      </c>
      <c r="Y2783" s="3">
        <v>0</v>
      </c>
      <c r="Z2783" s="3">
        <v>0</v>
      </c>
      <c r="AA2783" s="3">
        <v>0</v>
      </c>
      <c r="AB2783" s="3">
        <v>0</v>
      </c>
      <c r="AC2783" s="3">
        <v>0</v>
      </c>
      <c r="AD2783" s="3">
        <v>0</v>
      </c>
      <c r="AE2783" s="3">
        <v>0</v>
      </c>
      <c r="AF2783" s="3">
        <v>0</v>
      </c>
      <c r="AG2783" s="3">
        <v>0</v>
      </c>
      <c r="AH2783" s="3">
        <v>0</v>
      </c>
      <c r="AI2783" s="3">
        <v>0</v>
      </c>
      <c r="AJ2783" s="3">
        <v>0</v>
      </c>
      <c r="AK2783" s="3">
        <v>30.91</v>
      </c>
      <c r="AL2783" s="3">
        <v>0</v>
      </c>
      <c r="AM2783" s="3">
        <v>0</v>
      </c>
      <c r="AN2783" s="3">
        <v>0</v>
      </c>
      <c r="AO2783" s="3">
        <v>0</v>
      </c>
      <c r="AP2783" s="3">
        <v>0</v>
      </c>
      <c r="AQ2783" s="3">
        <v>0</v>
      </c>
      <c r="AR2783" s="3">
        <v>0</v>
      </c>
      <c r="AS2783" s="3">
        <v>0</v>
      </c>
      <c r="AT2783" s="3">
        <v>0</v>
      </c>
      <c r="AU2783" s="3">
        <v>0</v>
      </c>
      <c r="AV2783" s="3">
        <v>0</v>
      </c>
      <c r="AW2783" s="3">
        <v>0</v>
      </c>
      <c r="AX2783" s="3">
        <v>0</v>
      </c>
      <c r="AY2783" s="3">
        <v>0</v>
      </c>
      <c r="AZ2783" s="3">
        <v>0</v>
      </c>
      <c r="BA2783" s="3">
        <v>0</v>
      </c>
      <c r="BB2783" s="3">
        <v>0</v>
      </c>
      <c r="BC2783" s="3">
        <v>0</v>
      </c>
      <c r="BD2783" s="3">
        <v>0</v>
      </c>
      <c r="BE2783" s="3">
        <v>0</v>
      </c>
      <c r="BF2783" s="3">
        <v>0</v>
      </c>
      <c r="BG2783" s="3">
        <v>0</v>
      </c>
      <c r="BH2783" s="3">
        <v>1</v>
      </c>
      <c r="BI2783" s="3">
        <v>4</v>
      </c>
      <c r="BJ2783" s="3">
        <v>1.8</v>
      </c>
      <c r="BK2783" s="3">
        <v>4</v>
      </c>
      <c r="BL2783" s="3">
        <v>117.97</v>
      </c>
      <c r="BM2783" s="3">
        <v>17.7</v>
      </c>
      <c r="BN2783" s="3">
        <v>135.66999999999999</v>
      </c>
      <c r="BO2783" s="3">
        <v>135.66999999999999</v>
      </c>
      <c r="BQ2783" s="3" t="s">
        <v>83</v>
      </c>
      <c r="BR2783" s="3" t="s">
        <v>364</v>
      </c>
      <c r="BS2783" s="4">
        <v>44567</v>
      </c>
      <c r="BT2783" s="5">
        <v>0.40625</v>
      </c>
      <c r="BU2783" s="3" t="s">
        <v>2648</v>
      </c>
      <c r="BV2783" s="3" t="s">
        <v>105</v>
      </c>
      <c r="BY2783" s="3">
        <v>9000</v>
      </c>
      <c r="BZ2783" s="3" t="s">
        <v>165</v>
      </c>
      <c r="CA2783" s="3" t="s">
        <v>328</v>
      </c>
      <c r="CC2783" s="3" t="s">
        <v>95</v>
      </c>
      <c r="CD2783" s="3">
        <v>3201</v>
      </c>
      <c r="CE2783" s="3" t="s">
        <v>86</v>
      </c>
      <c r="CF2783" s="4">
        <v>44568</v>
      </c>
      <c r="CI2783" s="3">
        <v>1</v>
      </c>
      <c r="CJ2783" s="3">
        <v>1</v>
      </c>
      <c r="CK2783" s="3">
        <v>21</v>
      </c>
      <c r="CL2783" s="3" t="s">
        <v>87</v>
      </c>
    </row>
    <row r="2784" spans="1:90" x14ac:dyDescent="0.2">
      <c r="A2784" s="3" t="s">
        <v>72</v>
      </c>
      <c r="B2784" s="3" t="s">
        <v>73</v>
      </c>
      <c r="C2784" s="3" t="s">
        <v>74</v>
      </c>
      <c r="E2784" s="3" t="str">
        <f>"FES1162843790"</f>
        <v>FES1162843790</v>
      </c>
      <c r="F2784" s="4">
        <v>44566</v>
      </c>
      <c r="G2784" s="3">
        <v>202207</v>
      </c>
      <c r="H2784" s="3" t="s">
        <v>75</v>
      </c>
      <c r="I2784" s="3" t="s">
        <v>76</v>
      </c>
      <c r="J2784" s="3" t="s">
        <v>77</v>
      </c>
      <c r="K2784" s="3" t="s">
        <v>78</v>
      </c>
      <c r="L2784" s="3" t="s">
        <v>75</v>
      </c>
      <c r="M2784" s="3" t="s">
        <v>76</v>
      </c>
      <c r="N2784" s="3" t="s">
        <v>2649</v>
      </c>
      <c r="O2784" s="3" t="s">
        <v>82</v>
      </c>
      <c r="P2784" s="3" t="str">
        <f>"2170815725                    "</f>
        <v xml:space="preserve">2170815725                    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0</v>
      </c>
      <c r="W2784" s="3">
        <v>0</v>
      </c>
      <c r="X2784" s="3">
        <v>0</v>
      </c>
      <c r="Y2784" s="3">
        <v>0</v>
      </c>
      <c r="Z2784" s="3">
        <v>0</v>
      </c>
      <c r="AA2784" s="3">
        <v>0</v>
      </c>
      <c r="AB2784" s="3">
        <v>0</v>
      </c>
      <c r="AC2784" s="3">
        <v>0</v>
      </c>
      <c r="AD2784" s="3">
        <v>0</v>
      </c>
      <c r="AE2784" s="3">
        <v>0</v>
      </c>
      <c r="AF2784" s="3">
        <v>0</v>
      </c>
      <c r="AG2784" s="3">
        <v>0</v>
      </c>
      <c r="AH2784" s="3">
        <v>0</v>
      </c>
      <c r="AI2784" s="3">
        <v>0</v>
      </c>
      <c r="AJ2784" s="3">
        <v>0</v>
      </c>
      <c r="AK2784" s="3">
        <v>12.07</v>
      </c>
      <c r="AL2784" s="3">
        <v>0</v>
      </c>
      <c r="AM2784" s="3">
        <v>0</v>
      </c>
      <c r="AN2784" s="3">
        <v>0</v>
      </c>
      <c r="AO2784" s="3">
        <v>0</v>
      </c>
      <c r="AP2784" s="3">
        <v>0</v>
      </c>
      <c r="AQ2784" s="3">
        <v>0</v>
      </c>
      <c r="AR2784" s="3">
        <v>0</v>
      </c>
      <c r="AS2784" s="3">
        <v>0</v>
      </c>
      <c r="AT2784" s="3">
        <v>0</v>
      </c>
      <c r="AU2784" s="3">
        <v>0</v>
      </c>
      <c r="AV2784" s="3">
        <v>0</v>
      </c>
      <c r="AW2784" s="3">
        <v>0</v>
      </c>
      <c r="AX2784" s="3">
        <v>0</v>
      </c>
      <c r="AY2784" s="3">
        <v>0</v>
      </c>
      <c r="AZ2784" s="3">
        <v>0</v>
      </c>
      <c r="BA2784" s="3">
        <v>0</v>
      </c>
      <c r="BB2784" s="3">
        <v>0</v>
      </c>
      <c r="BC2784" s="3">
        <v>0</v>
      </c>
      <c r="BD2784" s="3">
        <v>0</v>
      </c>
      <c r="BE2784" s="3">
        <v>0</v>
      </c>
      <c r="BF2784" s="3">
        <v>0</v>
      </c>
      <c r="BG2784" s="3">
        <v>0</v>
      </c>
      <c r="BH2784" s="3">
        <v>1</v>
      </c>
      <c r="BI2784" s="3">
        <v>1</v>
      </c>
      <c r="BJ2784" s="3">
        <v>2.7</v>
      </c>
      <c r="BK2784" s="3">
        <v>3</v>
      </c>
      <c r="BL2784" s="3">
        <v>46.08</v>
      </c>
      <c r="BM2784" s="3">
        <v>6.91</v>
      </c>
      <c r="BN2784" s="3">
        <v>52.99</v>
      </c>
      <c r="BO2784" s="3">
        <v>52.99</v>
      </c>
      <c r="BR2784" s="3" t="s">
        <v>364</v>
      </c>
      <c r="BS2784" s="4">
        <v>44567</v>
      </c>
      <c r="BT2784" s="5">
        <v>0.43611111111111112</v>
      </c>
      <c r="BU2784" s="3" t="s">
        <v>2650</v>
      </c>
      <c r="BV2784" s="3" t="s">
        <v>105</v>
      </c>
      <c r="BY2784" s="3">
        <v>13312</v>
      </c>
      <c r="BZ2784" s="3" t="s">
        <v>165</v>
      </c>
      <c r="CA2784" s="3" t="s">
        <v>227</v>
      </c>
      <c r="CC2784" s="3" t="s">
        <v>76</v>
      </c>
      <c r="CD2784" s="3">
        <v>1619</v>
      </c>
      <c r="CE2784" s="3" t="s">
        <v>86</v>
      </c>
      <c r="CF2784" s="4">
        <v>44567</v>
      </c>
      <c r="CI2784" s="3">
        <v>1</v>
      </c>
      <c r="CJ2784" s="3">
        <v>1</v>
      </c>
      <c r="CK2784" s="3">
        <v>22</v>
      </c>
      <c r="CL2784" s="3" t="s">
        <v>87</v>
      </c>
    </row>
    <row r="2785" spans="1:90" x14ac:dyDescent="0.2">
      <c r="A2785" s="3" t="s">
        <v>72</v>
      </c>
      <c r="B2785" s="3" t="s">
        <v>73</v>
      </c>
      <c r="C2785" s="3" t="s">
        <v>74</v>
      </c>
      <c r="E2785" s="3" t="str">
        <f>"FES1162843410"</f>
        <v>FES1162843410</v>
      </c>
      <c r="F2785" s="4">
        <v>44565</v>
      </c>
      <c r="G2785" s="3">
        <v>202207</v>
      </c>
      <c r="H2785" s="3" t="s">
        <v>75</v>
      </c>
      <c r="I2785" s="3" t="s">
        <v>76</v>
      </c>
      <c r="J2785" s="3" t="s">
        <v>77</v>
      </c>
      <c r="K2785" s="3" t="s">
        <v>78</v>
      </c>
      <c r="L2785" s="3" t="s">
        <v>90</v>
      </c>
      <c r="M2785" s="3" t="s">
        <v>91</v>
      </c>
      <c r="N2785" s="3" t="s">
        <v>541</v>
      </c>
      <c r="O2785" s="3" t="s">
        <v>82</v>
      </c>
      <c r="P2785" s="3" t="str">
        <f>"2170808078                    "</f>
        <v xml:space="preserve">2170808078                    </v>
      </c>
      <c r="Q2785" s="3">
        <v>0</v>
      </c>
      <c r="R2785" s="3">
        <v>0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  <c r="AE2785" s="3">
        <v>0</v>
      </c>
      <c r="AF2785" s="3">
        <v>0</v>
      </c>
      <c r="AG2785" s="3">
        <v>0</v>
      </c>
      <c r="AH2785" s="3">
        <v>0</v>
      </c>
      <c r="AI2785" s="3">
        <v>0</v>
      </c>
      <c r="AJ2785" s="3">
        <v>0</v>
      </c>
      <c r="AK2785" s="3">
        <v>16.98</v>
      </c>
      <c r="AL2785" s="3">
        <v>0</v>
      </c>
      <c r="AM2785" s="3">
        <v>0</v>
      </c>
      <c r="AN2785" s="3">
        <v>0</v>
      </c>
      <c r="AO2785" s="3">
        <v>0</v>
      </c>
      <c r="AP2785" s="3">
        <v>0</v>
      </c>
      <c r="AQ2785" s="3">
        <v>0</v>
      </c>
      <c r="AR2785" s="3">
        <v>0</v>
      </c>
      <c r="AS2785" s="3">
        <v>0</v>
      </c>
      <c r="AT2785" s="3">
        <v>0</v>
      </c>
      <c r="AU2785" s="3">
        <v>0</v>
      </c>
      <c r="AV2785" s="3">
        <v>0</v>
      </c>
      <c r="AW2785" s="3">
        <v>0</v>
      </c>
      <c r="AX2785" s="3">
        <v>0</v>
      </c>
      <c r="AY2785" s="3">
        <v>0</v>
      </c>
      <c r="AZ2785" s="3">
        <v>0</v>
      </c>
      <c r="BA2785" s="3">
        <v>0</v>
      </c>
      <c r="BB2785" s="3">
        <v>0</v>
      </c>
      <c r="BC2785" s="3">
        <v>0</v>
      </c>
      <c r="BD2785" s="3">
        <v>0</v>
      </c>
      <c r="BE2785" s="3">
        <v>0</v>
      </c>
      <c r="BF2785" s="3">
        <v>0</v>
      </c>
      <c r="BG2785" s="3">
        <v>0</v>
      </c>
      <c r="BH2785" s="3">
        <v>1</v>
      </c>
      <c r="BI2785" s="3">
        <v>1</v>
      </c>
      <c r="BJ2785" s="3">
        <v>0.2</v>
      </c>
      <c r="BK2785" s="3">
        <v>1</v>
      </c>
      <c r="BL2785" s="3">
        <v>60.52</v>
      </c>
      <c r="BM2785" s="3">
        <v>9.08</v>
      </c>
      <c r="BN2785" s="3">
        <v>69.599999999999994</v>
      </c>
      <c r="BO2785" s="3">
        <v>69.599999999999994</v>
      </c>
      <c r="BQ2785" s="3" t="s">
        <v>89</v>
      </c>
      <c r="BR2785" s="3" t="s">
        <v>308</v>
      </c>
      <c r="BS2785" s="4">
        <v>44566</v>
      </c>
      <c r="BT2785" s="5">
        <v>0.37847222222222227</v>
      </c>
      <c r="BU2785" s="3" t="s">
        <v>2651</v>
      </c>
      <c r="BV2785" s="3" t="s">
        <v>105</v>
      </c>
      <c r="BY2785" s="3">
        <v>1200</v>
      </c>
      <c r="BZ2785" s="3" t="s">
        <v>165</v>
      </c>
      <c r="CA2785" s="3" t="s">
        <v>543</v>
      </c>
      <c r="CC2785" s="3" t="s">
        <v>91</v>
      </c>
      <c r="CD2785" s="3">
        <v>7561</v>
      </c>
      <c r="CE2785" s="3" t="s">
        <v>93</v>
      </c>
      <c r="CF2785" s="4">
        <v>44567</v>
      </c>
      <c r="CI2785" s="3">
        <v>1</v>
      </c>
      <c r="CJ2785" s="3">
        <v>1</v>
      </c>
      <c r="CK2785" s="3">
        <v>21</v>
      </c>
      <c r="CL2785" s="3" t="s">
        <v>87</v>
      </c>
    </row>
    <row r="2786" spans="1:90" x14ac:dyDescent="0.2">
      <c r="A2786" s="3" t="s">
        <v>72</v>
      </c>
      <c r="B2786" s="3" t="s">
        <v>73</v>
      </c>
      <c r="C2786" s="3" t="s">
        <v>74</v>
      </c>
      <c r="E2786" s="3" t="str">
        <f>"FES1162843474"</f>
        <v>FES1162843474</v>
      </c>
      <c r="F2786" s="4">
        <v>44565</v>
      </c>
      <c r="G2786" s="3">
        <v>202207</v>
      </c>
      <c r="H2786" s="3" t="s">
        <v>75</v>
      </c>
      <c r="I2786" s="3" t="s">
        <v>76</v>
      </c>
      <c r="J2786" s="3" t="s">
        <v>77</v>
      </c>
      <c r="K2786" s="3" t="s">
        <v>78</v>
      </c>
      <c r="L2786" s="3" t="s">
        <v>335</v>
      </c>
      <c r="M2786" s="3" t="s">
        <v>336</v>
      </c>
      <c r="N2786" s="3" t="s">
        <v>337</v>
      </c>
      <c r="O2786" s="3" t="s">
        <v>82</v>
      </c>
      <c r="P2786" s="3" t="str">
        <f>"2170814371                    "</f>
        <v xml:space="preserve">2170814371                    </v>
      </c>
      <c r="Q2786" s="3">
        <v>0</v>
      </c>
      <c r="R2786" s="3">
        <v>0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  <c r="AE2786" s="3">
        <v>0</v>
      </c>
      <c r="AF2786" s="3">
        <v>0</v>
      </c>
      <c r="AG2786" s="3">
        <v>0</v>
      </c>
      <c r="AH2786" s="3">
        <v>0</v>
      </c>
      <c r="AI2786" s="3">
        <v>0</v>
      </c>
      <c r="AJ2786" s="3">
        <v>0</v>
      </c>
      <c r="AK2786" s="3">
        <v>16.98</v>
      </c>
      <c r="AL2786" s="3">
        <v>0</v>
      </c>
      <c r="AM2786" s="3">
        <v>0</v>
      </c>
      <c r="AN2786" s="3">
        <v>0</v>
      </c>
      <c r="AO2786" s="3">
        <v>0</v>
      </c>
      <c r="AP2786" s="3">
        <v>0</v>
      </c>
      <c r="AQ2786" s="3">
        <v>0</v>
      </c>
      <c r="AR2786" s="3">
        <v>0</v>
      </c>
      <c r="AS2786" s="3">
        <v>0</v>
      </c>
      <c r="AT2786" s="3">
        <v>0</v>
      </c>
      <c r="AU2786" s="3">
        <v>0</v>
      </c>
      <c r="AV2786" s="3">
        <v>0</v>
      </c>
      <c r="AW2786" s="3">
        <v>0</v>
      </c>
      <c r="AX2786" s="3">
        <v>0</v>
      </c>
      <c r="AY2786" s="3">
        <v>0</v>
      </c>
      <c r="AZ2786" s="3">
        <v>0</v>
      </c>
      <c r="BA2786" s="3">
        <v>0</v>
      </c>
      <c r="BB2786" s="3">
        <v>0</v>
      </c>
      <c r="BC2786" s="3">
        <v>0</v>
      </c>
      <c r="BD2786" s="3">
        <v>0</v>
      </c>
      <c r="BE2786" s="3">
        <v>0</v>
      </c>
      <c r="BF2786" s="3">
        <v>0</v>
      </c>
      <c r="BG2786" s="3">
        <v>0</v>
      </c>
      <c r="BH2786" s="3">
        <v>1</v>
      </c>
      <c r="BI2786" s="3">
        <v>1</v>
      </c>
      <c r="BJ2786" s="3">
        <v>0.2</v>
      </c>
      <c r="BK2786" s="3">
        <v>1</v>
      </c>
      <c r="BL2786" s="3">
        <v>60.52</v>
      </c>
      <c r="BM2786" s="3">
        <v>9.08</v>
      </c>
      <c r="BN2786" s="3">
        <v>69.599999999999994</v>
      </c>
      <c r="BO2786" s="3">
        <v>69.599999999999994</v>
      </c>
      <c r="BQ2786" s="3" t="s">
        <v>89</v>
      </c>
      <c r="BR2786" s="3" t="s">
        <v>308</v>
      </c>
      <c r="BS2786" s="4">
        <v>44566</v>
      </c>
      <c r="BT2786" s="5">
        <v>0.41319444444444442</v>
      </c>
      <c r="BU2786" s="3" t="s">
        <v>1031</v>
      </c>
      <c r="BV2786" s="3" t="s">
        <v>105</v>
      </c>
      <c r="BY2786" s="3">
        <v>1200</v>
      </c>
      <c r="BZ2786" s="3" t="s">
        <v>165</v>
      </c>
      <c r="CA2786" s="3" t="s">
        <v>528</v>
      </c>
      <c r="CC2786" s="3" t="s">
        <v>336</v>
      </c>
      <c r="CD2786" s="3">
        <v>4133</v>
      </c>
      <c r="CE2786" s="3" t="s">
        <v>93</v>
      </c>
      <c r="CF2786" s="4">
        <v>44566</v>
      </c>
      <c r="CI2786" s="3">
        <v>1</v>
      </c>
      <c r="CJ2786" s="3">
        <v>1</v>
      </c>
      <c r="CK2786" s="3">
        <v>21</v>
      </c>
      <c r="CL2786" s="3" t="s">
        <v>87</v>
      </c>
    </row>
    <row r="2787" spans="1:90" x14ac:dyDescent="0.2">
      <c r="A2787" s="3" t="s">
        <v>72</v>
      </c>
      <c r="B2787" s="3" t="s">
        <v>73</v>
      </c>
      <c r="C2787" s="3" t="s">
        <v>74</v>
      </c>
      <c r="E2787" s="3" t="str">
        <f>"FES1162843453"</f>
        <v>FES1162843453</v>
      </c>
      <c r="F2787" s="4">
        <v>44565</v>
      </c>
      <c r="G2787" s="3">
        <v>202207</v>
      </c>
      <c r="H2787" s="3" t="s">
        <v>75</v>
      </c>
      <c r="I2787" s="3" t="s">
        <v>76</v>
      </c>
      <c r="J2787" s="3" t="s">
        <v>77</v>
      </c>
      <c r="K2787" s="3" t="s">
        <v>78</v>
      </c>
      <c r="L2787" s="3" t="s">
        <v>167</v>
      </c>
      <c r="M2787" s="3" t="s">
        <v>168</v>
      </c>
      <c r="N2787" s="3" t="s">
        <v>862</v>
      </c>
      <c r="O2787" s="3" t="s">
        <v>82</v>
      </c>
      <c r="P2787" s="3" t="str">
        <f>"2170813829                    "</f>
        <v xml:space="preserve">2170813829                    </v>
      </c>
      <c r="Q2787" s="3">
        <v>0</v>
      </c>
      <c r="R2787" s="3">
        <v>0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  <c r="AE2787" s="3">
        <v>0</v>
      </c>
      <c r="AF2787" s="3">
        <v>0</v>
      </c>
      <c r="AG2787" s="3">
        <v>0</v>
      </c>
      <c r="AH2787" s="3">
        <v>0</v>
      </c>
      <c r="AI2787" s="3">
        <v>0</v>
      </c>
      <c r="AJ2787" s="3">
        <v>0</v>
      </c>
      <c r="AK2787" s="3">
        <v>16.98</v>
      </c>
      <c r="AL2787" s="3">
        <v>0</v>
      </c>
      <c r="AM2787" s="3">
        <v>0</v>
      </c>
      <c r="AN2787" s="3">
        <v>0</v>
      </c>
      <c r="AO2787" s="3">
        <v>0</v>
      </c>
      <c r="AP2787" s="3">
        <v>0</v>
      </c>
      <c r="AQ2787" s="3">
        <v>0</v>
      </c>
      <c r="AR2787" s="3">
        <v>0</v>
      </c>
      <c r="AS2787" s="3">
        <v>0</v>
      </c>
      <c r="AT2787" s="3">
        <v>0</v>
      </c>
      <c r="AU2787" s="3">
        <v>0</v>
      </c>
      <c r="AV2787" s="3">
        <v>0</v>
      </c>
      <c r="AW2787" s="3">
        <v>0</v>
      </c>
      <c r="AX2787" s="3">
        <v>0</v>
      </c>
      <c r="AY2787" s="3">
        <v>0</v>
      </c>
      <c r="AZ2787" s="3">
        <v>0</v>
      </c>
      <c r="BA2787" s="3">
        <v>0</v>
      </c>
      <c r="BB2787" s="3">
        <v>0</v>
      </c>
      <c r="BC2787" s="3">
        <v>0</v>
      </c>
      <c r="BD2787" s="3">
        <v>0</v>
      </c>
      <c r="BE2787" s="3">
        <v>0</v>
      </c>
      <c r="BF2787" s="3">
        <v>0</v>
      </c>
      <c r="BG2787" s="3">
        <v>0</v>
      </c>
      <c r="BH2787" s="3">
        <v>1</v>
      </c>
      <c r="BI2787" s="3">
        <v>1</v>
      </c>
      <c r="BJ2787" s="3">
        <v>0.2</v>
      </c>
      <c r="BK2787" s="3">
        <v>1</v>
      </c>
      <c r="BL2787" s="3">
        <v>60.52</v>
      </c>
      <c r="BM2787" s="3">
        <v>9.08</v>
      </c>
      <c r="BN2787" s="3">
        <v>69.599999999999994</v>
      </c>
      <c r="BO2787" s="3">
        <v>69.599999999999994</v>
      </c>
      <c r="BQ2787" s="3" t="s">
        <v>863</v>
      </c>
      <c r="BR2787" s="3" t="s">
        <v>308</v>
      </c>
      <c r="BS2787" s="4">
        <v>44566</v>
      </c>
      <c r="BT2787" s="5">
        <v>0.58472222222222225</v>
      </c>
      <c r="BU2787" s="3" t="s">
        <v>2652</v>
      </c>
      <c r="BV2787" s="3" t="s">
        <v>87</v>
      </c>
      <c r="BW2787" s="3" t="s">
        <v>457</v>
      </c>
      <c r="BX2787" s="3" t="s">
        <v>279</v>
      </c>
      <c r="BY2787" s="3">
        <v>1200</v>
      </c>
      <c r="BZ2787" s="3" t="s">
        <v>165</v>
      </c>
      <c r="CA2787" s="3" t="s">
        <v>553</v>
      </c>
      <c r="CC2787" s="3" t="s">
        <v>168</v>
      </c>
      <c r="CD2787" s="3">
        <v>6229</v>
      </c>
      <c r="CE2787" s="3" t="s">
        <v>93</v>
      </c>
      <c r="CF2787" s="4">
        <v>44566</v>
      </c>
      <c r="CI2787" s="3">
        <v>1</v>
      </c>
      <c r="CJ2787" s="3">
        <v>1</v>
      </c>
      <c r="CK2787" s="3">
        <v>21</v>
      </c>
      <c r="CL2787" s="3" t="s">
        <v>87</v>
      </c>
    </row>
    <row r="2788" spans="1:90" x14ac:dyDescent="0.2">
      <c r="A2788" s="3" t="s">
        <v>72</v>
      </c>
      <c r="B2788" s="3" t="s">
        <v>73</v>
      </c>
      <c r="C2788" s="3" t="s">
        <v>74</v>
      </c>
      <c r="E2788" s="3" t="str">
        <f>"FES1162843533"</f>
        <v>FES1162843533</v>
      </c>
      <c r="F2788" s="4">
        <v>44565</v>
      </c>
      <c r="G2788" s="3">
        <v>202207</v>
      </c>
      <c r="H2788" s="3" t="s">
        <v>75</v>
      </c>
      <c r="I2788" s="3" t="s">
        <v>76</v>
      </c>
      <c r="J2788" s="3" t="s">
        <v>77</v>
      </c>
      <c r="K2788" s="3" t="s">
        <v>78</v>
      </c>
      <c r="L2788" s="3" t="s">
        <v>171</v>
      </c>
      <c r="M2788" s="3" t="s">
        <v>172</v>
      </c>
      <c r="N2788" s="3" t="s">
        <v>454</v>
      </c>
      <c r="O2788" s="3" t="s">
        <v>82</v>
      </c>
      <c r="P2788" s="3" t="str">
        <f>"2170814051                    "</f>
        <v xml:space="preserve">2170814051                    </v>
      </c>
      <c r="Q2788" s="3">
        <v>0</v>
      </c>
      <c r="R2788" s="3">
        <v>0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  <c r="AE2788" s="3">
        <v>0</v>
      </c>
      <c r="AF2788" s="3">
        <v>0</v>
      </c>
      <c r="AG2788" s="3">
        <v>0</v>
      </c>
      <c r="AH2788" s="3">
        <v>0</v>
      </c>
      <c r="AI2788" s="3">
        <v>0</v>
      </c>
      <c r="AJ2788" s="3">
        <v>0</v>
      </c>
      <c r="AK2788" s="3">
        <v>16.98</v>
      </c>
      <c r="AL2788" s="3">
        <v>0</v>
      </c>
      <c r="AM2788" s="3">
        <v>0</v>
      </c>
      <c r="AN2788" s="3">
        <v>0</v>
      </c>
      <c r="AO2788" s="3">
        <v>0</v>
      </c>
      <c r="AP2788" s="3">
        <v>0</v>
      </c>
      <c r="AQ2788" s="3">
        <v>0</v>
      </c>
      <c r="AR2788" s="3">
        <v>0</v>
      </c>
      <c r="AS2788" s="3">
        <v>0</v>
      </c>
      <c r="AT2788" s="3">
        <v>0</v>
      </c>
      <c r="AU2788" s="3">
        <v>0</v>
      </c>
      <c r="AV2788" s="3">
        <v>0</v>
      </c>
      <c r="AW2788" s="3">
        <v>0</v>
      </c>
      <c r="AX2788" s="3">
        <v>0</v>
      </c>
      <c r="AY2788" s="3">
        <v>0</v>
      </c>
      <c r="AZ2788" s="3">
        <v>0</v>
      </c>
      <c r="BA2788" s="3">
        <v>0</v>
      </c>
      <c r="BB2788" s="3">
        <v>0</v>
      </c>
      <c r="BC2788" s="3">
        <v>0</v>
      </c>
      <c r="BD2788" s="3">
        <v>0</v>
      </c>
      <c r="BE2788" s="3">
        <v>0</v>
      </c>
      <c r="BF2788" s="3">
        <v>0</v>
      </c>
      <c r="BG2788" s="3">
        <v>0</v>
      </c>
      <c r="BH2788" s="3">
        <v>1</v>
      </c>
      <c r="BI2788" s="3">
        <v>1</v>
      </c>
      <c r="BJ2788" s="3">
        <v>0.2</v>
      </c>
      <c r="BK2788" s="3">
        <v>1</v>
      </c>
      <c r="BL2788" s="3">
        <v>60.52</v>
      </c>
      <c r="BM2788" s="3">
        <v>9.08</v>
      </c>
      <c r="BN2788" s="3">
        <v>69.599999999999994</v>
      </c>
      <c r="BO2788" s="3">
        <v>69.599999999999994</v>
      </c>
      <c r="BQ2788" s="3" t="s">
        <v>89</v>
      </c>
      <c r="BR2788" s="3" t="s">
        <v>308</v>
      </c>
      <c r="BS2788" s="4">
        <v>44566</v>
      </c>
      <c r="BT2788" s="5">
        <v>0.43472222222222223</v>
      </c>
      <c r="BU2788" s="3" t="s">
        <v>1989</v>
      </c>
      <c r="BV2788" s="3" t="s">
        <v>105</v>
      </c>
      <c r="BY2788" s="3">
        <v>1200</v>
      </c>
      <c r="BZ2788" s="3" t="s">
        <v>165</v>
      </c>
      <c r="CA2788" s="3" t="s">
        <v>509</v>
      </c>
      <c r="CC2788" s="3" t="s">
        <v>172</v>
      </c>
      <c r="CD2788" s="3">
        <v>6001</v>
      </c>
      <c r="CE2788" s="3" t="s">
        <v>93</v>
      </c>
      <c r="CF2788" s="4">
        <v>44566</v>
      </c>
      <c r="CI2788" s="3">
        <v>1</v>
      </c>
      <c r="CJ2788" s="3">
        <v>1</v>
      </c>
      <c r="CK2788" s="3">
        <v>21</v>
      </c>
      <c r="CL2788" s="3" t="s">
        <v>87</v>
      </c>
    </row>
    <row r="2789" spans="1:90" x14ac:dyDescent="0.2">
      <c r="A2789" s="3" t="s">
        <v>72</v>
      </c>
      <c r="B2789" s="3" t="s">
        <v>73</v>
      </c>
      <c r="C2789" s="3" t="s">
        <v>74</v>
      </c>
      <c r="E2789" s="3" t="str">
        <f>"FES1162843394"</f>
        <v>FES1162843394</v>
      </c>
      <c r="F2789" s="4">
        <v>44565</v>
      </c>
      <c r="G2789" s="3">
        <v>202207</v>
      </c>
      <c r="H2789" s="3" t="s">
        <v>75</v>
      </c>
      <c r="I2789" s="3" t="s">
        <v>76</v>
      </c>
      <c r="J2789" s="3" t="s">
        <v>77</v>
      </c>
      <c r="K2789" s="3" t="s">
        <v>78</v>
      </c>
      <c r="L2789" s="3" t="s">
        <v>529</v>
      </c>
      <c r="M2789" s="3" t="s">
        <v>530</v>
      </c>
      <c r="N2789" s="3" t="s">
        <v>531</v>
      </c>
      <c r="O2789" s="3" t="s">
        <v>82</v>
      </c>
      <c r="P2789" s="3" t="str">
        <f>"2170813618                    "</f>
        <v xml:space="preserve">2170813618                    </v>
      </c>
      <c r="Q2789" s="3">
        <v>0</v>
      </c>
      <c r="R2789" s="3">
        <v>0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  <c r="AE2789" s="3">
        <v>0</v>
      </c>
      <c r="AF2789" s="3">
        <v>0</v>
      </c>
      <c r="AG2789" s="3">
        <v>0</v>
      </c>
      <c r="AH2789" s="3">
        <v>0</v>
      </c>
      <c r="AI2789" s="3">
        <v>0</v>
      </c>
      <c r="AJ2789" s="3">
        <v>0</v>
      </c>
      <c r="AK2789" s="3">
        <v>99.77</v>
      </c>
      <c r="AL2789" s="3">
        <v>0</v>
      </c>
      <c r="AM2789" s="3">
        <v>0</v>
      </c>
      <c r="AN2789" s="3">
        <v>0</v>
      </c>
      <c r="AO2789" s="3">
        <v>0</v>
      </c>
      <c r="AP2789" s="3">
        <v>0</v>
      </c>
      <c r="AQ2789" s="3">
        <v>0</v>
      </c>
      <c r="AR2789" s="3">
        <v>0</v>
      </c>
      <c r="AS2789" s="3">
        <v>0</v>
      </c>
      <c r="AT2789" s="3">
        <v>0</v>
      </c>
      <c r="AU2789" s="3">
        <v>0</v>
      </c>
      <c r="AV2789" s="3">
        <v>0</v>
      </c>
      <c r="AW2789" s="3">
        <v>0</v>
      </c>
      <c r="AX2789" s="3">
        <v>0</v>
      </c>
      <c r="AY2789" s="3">
        <v>0</v>
      </c>
      <c r="AZ2789" s="3">
        <v>0</v>
      </c>
      <c r="BA2789" s="3">
        <v>0</v>
      </c>
      <c r="BB2789" s="3">
        <v>0</v>
      </c>
      <c r="BC2789" s="3">
        <v>0</v>
      </c>
      <c r="BD2789" s="3">
        <v>0</v>
      </c>
      <c r="BE2789" s="3">
        <v>0</v>
      </c>
      <c r="BF2789" s="3">
        <v>0</v>
      </c>
      <c r="BG2789" s="3">
        <v>0</v>
      </c>
      <c r="BH2789" s="3">
        <v>1</v>
      </c>
      <c r="BI2789" s="3">
        <v>2</v>
      </c>
      <c r="BJ2789" s="3">
        <v>6.2</v>
      </c>
      <c r="BK2789" s="3">
        <v>6.5</v>
      </c>
      <c r="BL2789" s="3">
        <v>355.58</v>
      </c>
      <c r="BM2789" s="3">
        <v>53.34</v>
      </c>
      <c r="BN2789" s="3">
        <v>408.92</v>
      </c>
      <c r="BO2789" s="3">
        <v>408.92</v>
      </c>
      <c r="BQ2789" s="3" t="s">
        <v>83</v>
      </c>
      <c r="BR2789" s="3" t="s">
        <v>308</v>
      </c>
      <c r="BS2789" s="4">
        <v>44566</v>
      </c>
      <c r="BT2789" s="5">
        <v>0.48194444444444445</v>
      </c>
      <c r="BU2789" s="3" t="s">
        <v>826</v>
      </c>
      <c r="BV2789" s="3" t="s">
        <v>105</v>
      </c>
      <c r="BY2789" s="3">
        <v>31213</v>
      </c>
      <c r="BZ2789" s="3" t="s">
        <v>165</v>
      </c>
      <c r="CA2789" s="3" t="s">
        <v>328</v>
      </c>
      <c r="CC2789" s="3" t="s">
        <v>530</v>
      </c>
      <c r="CD2789" s="3">
        <v>6500</v>
      </c>
      <c r="CE2789" s="3" t="s">
        <v>86</v>
      </c>
      <c r="CF2789" s="4">
        <v>44566</v>
      </c>
      <c r="CI2789" s="3">
        <v>1</v>
      </c>
      <c r="CJ2789" s="3">
        <v>1</v>
      </c>
      <c r="CK2789" s="3">
        <v>23</v>
      </c>
      <c r="CL2789" s="3" t="s">
        <v>87</v>
      </c>
    </row>
    <row r="2790" spans="1:90" x14ac:dyDescent="0.2">
      <c r="A2790" s="3" t="s">
        <v>72</v>
      </c>
      <c r="B2790" s="3" t="s">
        <v>73</v>
      </c>
      <c r="C2790" s="3" t="s">
        <v>74</v>
      </c>
      <c r="E2790" s="3" t="str">
        <f>"FES1162843374"</f>
        <v>FES1162843374</v>
      </c>
      <c r="F2790" s="4">
        <v>44565</v>
      </c>
      <c r="G2790" s="3">
        <v>202207</v>
      </c>
      <c r="H2790" s="3" t="s">
        <v>75</v>
      </c>
      <c r="I2790" s="3" t="s">
        <v>76</v>
      </c>
      <c r="J2790" s="3" t="s">
        <v>77</v>
      </c>
      <c r="K2790" s="3" t="s">
        <v>78</v>
      </c>
      <c r="L2790" s="3" t="s">
        <v>427</v>
      </c>
      <c r="M2790" s="3" t="s">
        <v>428</v>
      </c>
      <c r="N2790" s="3" t="s">
        <v>429</v>
      </c>
      <c r="O2790" s="3" t="s">
        <v>82</v>
      </c>
      <c r="P2790" s="3" t="str">
        <f>"2170813309                    "</f>
        <v xml:space="preserve">2170813309                    </v>
      </c>
      <c r="Q2790" s="3">
        <v>0</v>
      </c>
      <c r="R2790" s="3">
        <v>0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  <c r="AE2790" s="3">
        <v>0</v>
      </c>
      <c r="AF2790" s="3">
        <v>0</v>
      </c>
      <c r="AG2790" s="3">
        <v>0</v>
      </c>
      <c r="AH2790" s="3">
        <v>0</v>
      </c>
      <c r="AI2790" s="3">
        <v>0</v>
      </c>
      <c r="AJ2790" s="3">
        <v>0</v>
      </c>
      <c r="AK2790" s="3">
        <v>62.62</v>
      </c>
      <c r="AL2790" s="3">
        <v>0</v>
      </c>
      <c r="AM2790" s="3">
        <v>0</v>
      </c>
      <c r="AN2790" s="3">
        <v>0</v>
      </c>
      <c r="AO2790" s="3">
        <v>0</v>
      </c>
      <c r="AP2790" s="3">
        <v>0</v>
      </c>
      <c r="AQ2790" s="3">
        <v>0</v>
      </c>
      <c r="AR2790" s="3">
        <v>0</v>
      </c>
      <c r="AS2790" s="3">
        <v>0</v>
      </c>
      <c r="AT2790" s="3">
        <v>0</v>
      </c>
      <c r="AU2790" s="3">
        <v>0</v>
      </c>
      <c r="AV2790" s="3">
        <v>0</v>
      </c>
      <c r="AW2790" s="3">
        <v>0</v>
      </c>
      <c r="AX2790" s="3">
        <v>0</v>
      </c>
      <c r="AY2790" s="3">
        <v>0</v>
      </c>
      <c r="AZ2790" s="3">
        <v>0</v>
      </c>
      <c r="BA2790" s="3">
        <v>0</v>
      </c>
      <c r="BB2790" s="3">
        <v>0</v>
      </c>
      <c r="BC2790" s="3">
        <v>0</v>
      </c>
      <c r="BD2790" s="3">
        <v>0</v>
      </c>
      <c r="BE2790" s="3">
        <v>0</v>
      </c>
      <c r="BF2790" s="3">
        <v>0</v>
      </c>
      <c r="BG2790" s="3">
        <v>0</v>
      </c>
      <c r="BH2790" s="3">
        <v>1</v>
      </c>
      <c r="BI2790" s="3">
        <v>4</v>
      </c>
      <c r="BJ2790" s="3">
        <v>2</v>
      </c>
      <c r="BK2790" s="3">
        <v>4</v>
      </c>
      <c r="BL2790" s="3">
        <v>223.18</v>
      </c>
      <c r="BM2790" s="3">
        <v>33.479999999999997</v>
      </c>
      <c r="BN2790" s="3">
        <v>256.66000000000003</v>
      </c>
      <c r="BO2790" s="3">
        <v>256.66000000000003</v>
      </c>
      <c r="BQ2790" s="3" t="s">
        <v>83</v>
      </c>
      <c r="BR2790" s="3" t="s">
        <v>308</v>
      </c>
      <c r="BS2790" s="4">
        <v>44571</v>
      </c>
      <c r="BT2790" s="5">
        <v>0.62013888888888891</v>
      </c>
      <c r="BU2790" s="3" t="s">
        <v>2653</v>
      </c>
      <c r="BV2790" s="3" t="s">
        <v>87</v>
      </c>
      <c r="BW2790" s="3" t="s">
        <v>353</v>
      </c>
      <c r="BX2790" s="3" t="s">
        <v>354</v>
      </c>
      <c r="BY2790" s="3">
        <v>9918</v>
      </c>
      <c r="BZ2790" s="3" t="s">
        <v>165</v>
      </c>
      <c r="CA2790" s="3" t="s">
        <v>2136</v>
      </c>
      <c r="CC2790" s="3" t="s">
        <v>428</v>
      </c>
      <c r="CD2790" s="3">
        <v>7130</v>
      </c>
      <c r="CE2790" s="3" t="s">
        <v>86</v>
      </c>
      <c r="CF2790" s="4">
        <v>44572</v>
      </c>
      <c r="CI2790" s="3">
        <v>1</v>
      </c>
      <c r="CJ2790" s="3">
        <v>4</v>
      </c>
      <c r="CK2790" s="3">
        <v>23</v>
      </c>
      <c r="CL2790" s="3" t="s">
        <v>87</v>
      </c>
    </row>
    <row r="2791" spans="1:90" x14ac:dyDescent="0.2">
      <c r="A2791" s="3" t="s">
        <v>72</v>
      </c>
      <c r="B2791" s="3" t="s">
        <v>73</v>
      </c>
      <c r="C2791" s="3" t="s">
        <v>74</v>
      </c>
      <c r="E2791" s="3" t="str">
        <f>"FES1162843366"</f>
        <v>FES1162843366</v>
      </c>
      <c r="F2791" s="4">
        <v>44565</v>
      </c>
      <c r="G2791" s="3">
        <v>202207</v>
      </c>
      <c r="H2791" s="3" t="s">
        <v>75</v>
      </c>
      <c r="I2791" s="3" t="s">
        <v>76</v>
      </c>
      <c r="J2791" s="3" t="s">
        <v>77</v>
      </c>
      <c r="K2791" s="3" t="s">
        <v>78</v>
      </c>
      <c r="L2791" s="3" t="s">
        <v>101</v>
      </c>
      <c r="M2791" s="3" t="s">
        <v>102</v>
      </c>
      <c r="N2791" s="3" t="s">
        <v>340</v>
      </c>
      <c r="O2791" s="3" t="s">
        <v>82</v>
      </c>
      <c r="P2791" s="3" t="str">
        <f>"2170811208                    "</f>
        <v xml:space="preserve">2170811208                    </v>
      </c>
      <c r="Q2791" s="3">
        <v>0</v>
      </c>
      <c r="R2791" s="3">
        <v>0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  <c r="AE2791" s="3">
        <v>0</v>
      </c>
      <c r="AF2791" s="3">
        <v>0</v>
      </c>
      <c r="AG2791" s="3">
        <v>0</v>
      </c>
      <c r="AH2791" s="3">
        <v>0</v>
      </c>
      <c r="AI2791" s="3">
        <v>0</v>
      </c>
      <c r="AJ2791" s="3">
        <v>0</v>
      </c>
      <c r="AK2791" s="3">
        <v>16.98</v>
      </c>
      <c r="AL2791" s="3">
        <v>0</v>
      </c>
      <c r="AM2791" s="3">
        <v>0</v>
      </c>
      <c r="AN2791" s="3">
        <v>0</v>
      </c>
      <c r="AO2791" s="3">
        <v>0</v>
      </c>
      <c r="AP2791" s="3">
        <v>0</v>
      </c>
      <c r="AQ2791" s="3">
        <v>0</v>
      </c>
      <c r="AR2791" s="3">
        <v>0</v>
      </c>
      <c r="AS2791" s="3">
        <v>0</v>
      </c>
      <c r="AT2791" s="3">
        <v>0</v>
      </c>
      <c r="AU2791" s="3">
        <v>0</v>
      </c>
      <c r="AV2791" s="3">
        <v>0</v>
      </c>
      <c r="AW2791" s="3">
        <v>0</v>
      </c>
      <c r="AX2791" s="3">
        <v>0</v>
      </c>
      <c r="AY2791" s="3">
        <v>0</v>
      </c>
      <c r="AZ2791" s="3">
        <v>0</v>
      </c>
      <c r="BA2791" s="3">
        <v>0</v>
      </c>
      <c r="BB2791" s="3">
        <v>0</v>
      </c>
      <c r="BC2791" s="3">
        <v>0</v>
      </c>
      <c r="BD2791" s="3">
        <v>0</v>
      </c>
      <c r="BE2791" s="3">
        <v>0</v>
      </c>
      <c r="BF2791" s="3">
        <v>0</v>
      </c>
      <c r="BG2791" s="3">
        <v>0</v>
      </c>
      <c r="BH2791" s="3">
        <v>1</v>
      </c>
      <c r="BI2791" s="3">
        <v>1</v>
      </c>
      <c r="BJ2791" s="3">
        <v>1.1000000000000001</v>
      </c>
      <c r="BK2791" s="3">
        <v>1.5</v>
      </c>
      <c r="BL2791" s="3">
        <v>60.52</v>
      </c>
      <c r="BM2791" s="3">
        <v>9.08</v>
      </c>
      <c r="BN2791" s="3">
        <v>69.599999999999994</v>
      </c>
      <c r="BO2791" s="3">
        <v>69.599999999999994</v>
      </c>
      <c r="BQ2791" s="3" t="s">
        <v>341</v>
      </c>
      <c r="BR2791" s="3" t="s">
        <v>308</v>
      </c>
      <c r="BS2791" s="4">
        <v>44566</v>
      </c>
      <c r="BT2791" s="5">
        <v>0.35138888888888892</v>
      </c>
      <c r="BU2791" s="3" t="s">
        <v>2654</v>
      </c>
      <c r="BV2791" s="3" t="s">
        <v>105</v>
      </c>
      <c r="BY2791" s="3">
        <v>5320</v>
      </c>
      <c r="BZ2791" s="3" t="s">
        <v>165</v>
      </c>
      <c r="CA2791" s="3" t="s">
        <v>2655</v>
      </c>
      <c r="CC2791" s="3" t="s">
        <v>102</v>
      </c>
      <c r="CD2791" s="3">
        <v>4001</v>
      </c>
      <c r="CE2791" s="3" t="s">
        <v>86</v>
      </c>
      <c r="CF2791" s="4">
        <v>44568</v>
      </c>
      <c r="CI2791" s="3">
        <v>1</v>
      </c>
      <c r="CJ2791" s="3">
        <v>1</v>
      </c>
      <c r="CK2791" s="3">
        <v>21</v>
      </c>
      <c r="CL2791" s="3" t="s">
        <v>87</v>
      </c>
    </row>
    <row r="2792" spans="1:90" x14ac:dyDescent="0.2">
      <c r="A2792" s="3" t="s">
        <v>72</v>
      </c>
      <c r="B2792" s="3" t="s">
        <v>73</v>
      </c>
      <c r="C2792" s="3" t="s">
        <v>74</v>
      </c>
      <c r="E2792" s="3" t="str">
        <f>"FES1162843182"</f>
        <v>FES1162843182</v>
      </c>
      <c r="F2792" s="4">
        <v>44564</v>
      </c>
      <c r="G2792" s="3">
        <v>202207</v>
      </c>
      <c r="H2792" s="3" t="s">
        <v>75</v>
      </c>
      <c r="I2792" s="3" t="s">
        <v>76</v>
      </c>
      <c r="J2792" s="3" t="s">
        <v>77</v>
      </c>
      <c r="K2792" s="3" t="s">
        <v>78</v>
      </c>
      <c r="L2792" s="3" t="s">
        <v>335</v>
      </c>
      <c r="M2792" s="3" t="s">
        <v>336</v>
      </c>
      <c r="N2792" s="3" t="s">
        <v>2656</v>
      </c>
      <c r="O2792" s="3" t="s">
        <v>82</v>
      </c>
      <c r="P2792" s="3" t="str">
        <f>"2170812907                    "</f>
        <v xml:space="preserve">2170812907                    </v>
      </c>
      <c r="Q2792" s="3">
        <v>0</v>
      </c>
      <c r="R2792" s="3">
        <v>0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  <c r="AE2792" s="3">
        <v>0</v>
      </c>
      <c r="AF2792" s="3">
        <v>0</v>
      </c>
      <c r="AG2792" s="3">
        <v>0</v>
      </c>
      <c r="AH2792" s="3">
        <v>0</v>
      </c>
      <c r="AI2792" s="3">
        <v>0</v>
      </c>
      <c r="AJ2792" s="3">
        <v>0</v>
      </c>
      <c r="AK2792" s="3">
        <v>33.950000000000003</v>
      </c>
      <c r="AL2792" s="3">
        <v>0</v>
      </c>
      <c r="AM2792" s="3">
        <v>0</v>
      </c>
      <c r="AN2792" s="3">
        <v>0</v>
      </c>
      <c r="AO2792" s="3">
        <v>0</v>
      </c>
      <c r="AP2792" s="3">
        <v>0</v>
      </c>
      <c r="AQ2792" s="3">
        <v>0</v>
      </c>
      <c r="AR2792" s="3">
        <v>0</v>
      </c>
      <c r="AS2792" s="3">
        <v>0</v>
      </c>
      <c r="AT2792" s="3">
        <v>0</v>
      </c>
      <c r="AU2792" s="3">
        <v>0</v>
      </c>
      <c r="AV2792" s="3">
        <v>0</v>
      </c>
      <c r="AW2792" s="3">
        <v>0</v>
      </c>
      <c r="AX2792" s="3">
        <v>0</v>
      </c>
      <c r="AY2792" s="3">
        <v>0</v>
      </c>
      <c r="AZ2792" s="3">
        <v>0</v>
      </c>
      <c r="BA2792" s="3">
        <v>0</v>
      </c>
      <c r="BB2792" s="3">
        <v>0</v>
      </c>
      <c r="BC2792" s="3">
        <v>0</v>
      </c>
      <c r="BD2792" s="3">
        <v>0</v>
      </c>
      <c r="BE2792" s="3">
        <v>0</v>
      </c>
      <c r="BF2792" s="3">
        <v>0</v>
      </c>
      <c r="BG2792" s="3">
        <v>0</v>
      </c>
      <c r="BH2792" s="3">
        <v>1</v>
      </c>
      <c r="BI2792" s="3">
        <v>3</v>
      </c>
      <c r="BJ2792" s="3">
        <v>3.8</v>
      </c>
      <c r="BK2792" s="3">
        <v>4</v>
      </c>
      <c r="BL2792" s="3">
        <v>121.01</v>
      </c>
      <c r="BM2792" s="3">
        <v>18.149999999999999</v>
      </c>
      <c r="BN2792" s="3">
        <v>139.16</v>
      </c>
      <c r="BO2792" s="3">
        <v>139.16</v>
      </c>
      <c r="BQ2792" s="3" t="s">
        <v>89</v>
      </c>
      <c r="BR2792" s="3" t="s">
        <v>308</v>
      </c>
      <c r="BS2792" s="4">
        <v>44565</v>
      </c>
      <c r="BT2792" s="5">
        <v>0.4375</v>
      </c>
      <c r="BU2792" s="3" t="s">
        <v>2657</v>
      </c>
      <c r="BV2792" s="3" t="s">
        <v>105</v>
      </c>
      <c r="BY2792" s="3">
        <v>19166</v>
      </c>
      <c r="BZ2792" s="3" t="s">
        <v>165</v>
      </c>
      <c r="CC2792" s="3" t="s">
        <v>336</v>
      </c>
      <c r="CD2792" s="3">
        <v>4113</v>
      </c>
      <c r="CE2792" s="3" t="s">
        <v>86</v>
      </c>
      <c r="CF2792" s="4">
        <v>44565</v>
      </c>
      <c r="CI2792" s="3">
        <v>1</v>
      </c>
      <c r="CJ2792" s="3">
        <v>1</v>
      </c>
      <c r="CK2792" s="3">
        <v>21</v>
      </c>
      <c r="CL2792" s="3" t="s">
        <v>87</v>
      </c>
    </row>
    <row r="2793" spans="1:90" x14ac:dyDescent="0.2">
      <c r="A2793" s="3" t="s">
        <v>72</v>
      </c>
      <c r="B2793" s="3" t="s">
        <v>73</v>
      </c>
      <c r="C2793" s="3" t="s">
        <v>74</v>
      </c>
      <c r="E2793" s="3" t="str">
        <f>"FES1162843224"</f>
        <v>FES1162843224</v>
      </c>
      <c r="F2793" s="4">
        <v>44564</v>
      </c>
      <c r="G2793" s="3">
        <v>202207</v>
      </c>
      <c r="H2793" s="3" t="s">
        <v>75</v>
      </c>
      <c r="I2793" s="3" t="s">
        <v>76</v>
      </c>
      <c r="J2793" s="3" t="s">
        <v>77</v>
      </c>
      <c r="K2793" s="3" t="s">
        <v>78</v>
      </c>
      <c r="L2793" s="3" t="s">
        <v>90</v>
      </c>
      <c r="M2793" s="3" t="s">
        <v>91</v>
      </c>
      <c r="N2793" s="3" t="s">
        <v>1142</v>
      </c>
      <c r="O2793" s="3" t="s">
        <v>82</v>
      </c>
      <c r="P2793" s="3" t="str">
        <f>"2170813609                    "</f>
        <v xml:space="preserve">2170813609                    </v>
      </c>
      <c r="Q2793" s="3">
        <v>0</v>
      </c>
      <c r="R2793" s="3">
        <v>0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  <c r="AE2793" s="3">
        <v>0</v>
      </c>
      <c r="AF2793" s="3">
        <v>0</v>
      </c>
      <c r="AG2793" s="3">
        <v>0</v>
      </c>
      <c r="AH2793" s="3">
        <v>0</v>
      </c>
      <c r="AI2793" s="3">
        <v>0</v>
      </c>
      <c r="AJ2793" s="3">
        <v>0</v>
      </c>
      <c r="AK2793" s="3">
        <v>16.98</v>
      </c>
      <c r="AL2793" s="3">
        <v>0</v>
      </c>
      <c r="AM2793" s="3">
        <v>0</v>
      </c>
      <c r="AN2793" s="3">
        <v>0</v>
      </c>
      <c r="AO2793" s="3">
        <v>0</v>
      </c>
      <c r="AP2793" s="3">
        <v>0</v>
      </c>
      <c r="AQ2793" s="3">
        <v>0</v>
      </c>
      <c r="AR2793" s="3">
        <v>0</v>
      </c>
      <c r="AS2793" s="3">
        <v>0</v>
      </c>
      <c r="AT2793" s="3">
        <v>0</v>
      </c>
      <c r="AU2793" s="3">
        <v>0</v>
      </c>
      <c r="AV2793" s="3">
        <v>0</v>
      </c>
      <c r="AW2793" s="3">
        <v>0</v>
      </c>
      <c r="AX2793" s="3">
        <v>0</v>
      </c>
      <c r="AY2793" s="3">
        <v>0</v>
      </c>
      <c r="AZ2793" s="3">
        <v>0</v>
      </c>
      <c r="BA2793" s="3">
        <v>0</v>
      </c>
      <c r="BB2793" s="3">
        <v>0</v>
      </c>
      <c r="BC2793" s="3">
        <v>0</v>
      </c>
      <c r="BD2793" s="3">
        <v>0</v>
      </c>
      <c r="BE2793" s="3">
        <v>0</v>
      </c>
      <c r="BF2793" s="3">
        <v>0</v>
      </c>
      <c r="BG2793" s="3">
        <v>0</v>
      </c>
      <c r="BH2793" s="3">
        <v>1</v>
      </c>
      <c r="BI2793" s="3">
        <v>1</v>
      </c>
      <c r="BJ2793" s="3">
        <v>0.2</v>
      </c>
      <c r="BK2793" s="3">
        <v>1</v>
      </c>
      <c r="BL2793" s="3">
        <v>60.52</v>
      </c>
      <c r="BM2793" s="3">
        <v>9.08</v>
      </c>
      <c r="BN2793" s="3">
        <v>69.599999999999994</v>
      </c>
      <c r="BO2793" s="3">
        <v>69.599999999999994</v>
      </c>
      <c r="BQ2793" s="3" t="s">
        <v>83</v>
      </c>
      <c r="BR2793" s="3" t="s">
        <v>308</v>
      </c>
      <c r="BS2793" s="4">
        <v>44565</v>
      </c>
      <c r="BT2793" s="5">
        <v>0.37638888888888888</v>
      </c>
      <c r="BU2793" s="3" t="s">
        <v>2658</v>
      </c>
      <c r="BV2793" s="3" t="s">
        <v>105</v>
      </c>
      <c r="BY2793" s="3">
        <v>1200</v>
      </c>
      <c r="BZ2793" s="3" t="s">
        <v>165</v>
      </c>
      <c r="CA2793" s="3" t="s">
        <v>2659</v>
      </c>
      <c r="CC2793" s="3" t="s">
        <v>91</v>
      </c>
      <c r="CD2793" s="3">
        <v>7490</v>
      </c>
      <c r="CE2793" s="3" t="s">
        <v>93</v>
      </c>
      <c r="CF2793" s="4">
        <v>44566</v>
      </c>
      <c r="CI2793" s="3">
        <v>1</v>
      </c>
      <c r="CJ2793" s="3">
        <v>1</v>
      </c>
      <c r="CK2793" s="3">
        <v>21</v>
      </c>
      <c r="CL2793" s="3" t="s">
        <v>87</v>
      </c>
    </row>
    <row r="2794" spans="1:90" x14ac:dyDescent="0.2">
      <c r="A2794" s="3" t="s">
        <v>72</v>
      </c>
      <c r="B2794" s="3" t="s">
        <v>73</v>
      </c>
      <c r="C2794" s="3" t="s">
        <v>74</v>
      </c>
      <c r="E2794" s="3" t="str">
        <f>"FES1162843056"</f>
        <v>FES1162843056</v>
      </c>
      <c r="F2794" s="4">
        <v>44564</v>
      </c>
      <c r="G2794" s="3">
        <v>202207</v>
      </c>
      <c r="H2794" s="3" t="s">
        <v>75</v>
      </c>
      <c r="I2794" s="3" t="s">
        <v>76</v>
      </c>
      <c r="J2794" s="3" t="s">
        <v>77</v>
      </c>
      <c r="K2794" s="3" t="s">
        <v>78</v>
      </c>
      <c r="L2794" s="3" t="s">
        <v>171</v>
      </c>
      <c r="M2794" s="3" t="s">
        <v>172</v>
      </c>
      <c r="N2794" s="3" t="s">
        <v>838</v>
      </c>
      <c r="O2794" s="3" t="s">
        <v>148</v>
      </c>
      <c r="P2794" s="3" t="str">
        <f>"2170814329                    "</f>
        <v xml:space="preserve">2170814329                    </v>
      </c>
      <c r="Q2794" s="3">
        <v>0</v>
      </c>
      <c r="R2794" s="3">
        <v>0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  <c r="AE2794" s="3">
        <v>0</v>
      </c>
      <c r="AF2794" s="3">
        <v>0</v>
      </c>
      <c r="AG2794" s="3">
        <v>0</v>
      </c>
      <c r="AH2794" s="3">
        <v>0</v>
      </c>
      <c r="AI2794" s="3">
        <v>0</v>
      </c>
      <c r="AJ2794" s="3">
        <v>0</v>
      </c>
      <c r="AK2794" s="3">
        <v>38.25</v>
      </c>
      <c r="AL2794" s="3">
        <v>0</v>
      </c>
      <c r="AM2794" s="3">
        <v>0</v>
      </c>
      <c r="AN2794" s="3">
        <v>0</v>
      </c>
      <c r="AO2794" s="3">
        <v>0</v>
      </c>
      <c r="AP2794" s="3">
        <v>0</v>
      </c>
      <c r="AQ2794" s="3">
        <v>0</v>
      </c>
      <c r="AR2794" s="3">
        <v>0</v>
      </c>
      <c r="AS2794" s="3">
        <v>0</v>
      </c>
      <c r="AT2794" s="3">
        <v>0</v>
      </c>
      <c r="AU2794" s="3">
        <v>0</v>
      </c>
      <c r="AV2794" s="3">
        <v>0</v>
      </c>
      <c r="AW2794" s="3">
        <v>0</v>
      </c>
      <c r="AX2794" s="3">
        <v>0</v>
      </c>
      <c r="AY2794" s="3">
        <v>0</v>
      </c>
      <c r="AZ2794" s="3">
        <v>0</v>
      </c>
      <c r="BA2794" s="3">
        <v>0</v>
      </c>
      <c r="BB2794" s="3">
        <v>0</v>
      </c>
      <c r="BC2794" s="3">
        <v>0</v>
      </c>
      <c r="BD2794" s="3">
        <v>0</v>
      </c>
      <c r="BE2794" s="3">
        <v>0</v>
      </c>
      <c r="BF2794" s="3">
        <v>0</v>
      </c>
      <c r="BG2794" s="3">
        <v>0</v>
      </c>
      <c r="BH2794" s="3">
        <v>1</v>
      </c>
      <c r="BI2794" s="3">
        <v>7</v>
      </c>
      <c r="BJ2794" s="3">
        <v>18.3</v>
      </c>
      <c r="BK2794" s="3">
        <v>19</v>
      </c>
      <c r="BL2794" s="3">
        <v>141.58000000000001</v>
      </c>
      <c r="BM2794" s="3">
        <v>21.24</v>
      </c>
      <c r="BN2794" s="3">
        <v>162.82</v>
      </c>
      <c r="BO2794" s="3">
        <v>162.82</v>
      </c>
      <c r="BQ2794" s="3" t="s">
        <v>83</v>
      </c>
      <c r="BR2794" s="3" t="s">
        <v>308</v>
      </c>
      <c r="BS2794" s="4">
        <v>44566</v>
      </c>
      <c r="BT2794" s="5">
        <v>0.44444444444444442</v>
      </c>
      <c r="BU2794" s="3" t="s">
        <v>1161</v>
      </c>
      <c r="BV2794" s="3" t="s">
        <v>105</v>
      </c>
      <c r="BY2794" s="3">
        <v>91264</v>
      </c>
      <c r="BZ2794" s="3" t="s">
        <v>327</v>
      </c>
      <c r="CA2794" s="3" t="s">
        <v>509</v>
      </c>
      <c r="CC2794" s="3" t="s">
        <v>172</v>
      </c>
      <c r="CD2794" s="3">
        <v>6001</v>
      </c>
      <c r="CE2794" s="3" t="s">
        <v>86</v>
      </c>
      <c r="CF2794" s="4">
        <v>44566</v>
      </c>
      <c r="CI2794" s="3">
        <v>2</v>
      </c>
      <c r="CJ2794" s="3">
        <v>2</v>
      </c>
      <c r="CK2794" s="3">
        <v>41</v>
      </c>
      <c r="CL2794" s="3" t="s">
        <v>87</v>
      </c>
    </row>
    <row r="2795" spans="1:90" x14ac:dyDescent="0.2">
      <c r="A2795" s="3" t="s">
        <v>72</v>
      </c>
      <c r="B2795" s="3" t="s">
        <v>73</v>
      </c>
      <c r="C2795" s="3" t="s">
        <v>74</v>
      </c>
      <c r="E2795" s="3" t="str">
        <f>"FES1162843116"</f>
        <v>FES1162843116</v>
      </c>
      <c r="F2795" s="4">
        <v>44564</v>
      </c>
      <c r="G2795" s="3">
        <v>202207</v>
      </c>
      <c r="H2795" s="3" t="s">
        <v>75</v>
      </c>
      <c r="I2795" s="3" t="s">
        <v>76</v>
      </c>
      <c r="J2795" s="3" t="s">
        <v>77</v>
      </c>
      <c r="K2795" s="3" t="s">
        <v>78</v>
      </c>
      <c r="L2795" s="3" t="s">
        <v>171</v>
      </c>
      <c r="M2795" s="3" t="s">
        <v>172</v>
      </c>
      <c r="N2795" s="3" t="s">
        <v>249</v>
      </c>
      <c r="O2795" s="3" t="s">
        <v>82</v>
      </c>
      <c r="P2795" s="3" t="str">
        <f>"2170813859                    "</f>
        <v xml:space="preserve">2170813859                    </v>
      </c>
      <c r="Q2795" s="3">
        <v>0</v>
      </c>
      <c r="R2795" s="3">
        <v>0</v>
      </c>
      <c r="S2795" s="3">
        <v>0</v>
      </c>
      <c r="T2795" s="3">
        <v>0</v>
      </c>
      <c r="U2795" s="3">
        <v>0</v>
      </c>
      <c r="V2795" s="3">
        <v>0</v>
      </c>
      <c r="W2795" s="3">
        <v>0</v>
      </c>
      <c r="X2795" s="3">
        <v>0</v>
      </c>
      <c r="Y2795" s="3">
        <v>0</v>
      </c>
      <c r="Z2795" s="3">
        <v>0</v>
      </c>
      <c r="AA2795" s="3">
        <v>0</v>
      </c>
      <c r="AB2795" s="3">
        <v>0</v>
      </c>
      <c r="AC2795" s="3">
        <v>0</v>
      </c>
      <c r="AD2795" s="3">
        <v>0</v>
      </c>
      <c r="AE2795" s="3">
        <v>0</v>
      </c>
      <c r="AF2795" s="3">
        <v>0</v>
      </c>
      <c r="AG2795" s="3">
        <v>0</v>
      </c>
      <c r="AH2795" s="3">
        <v>0</v>
      </c>
      <c r="AI2795" s="3">
        <v>0</v>
      </c>
      <c r="AJ2795" s="3">
        <v>0</v>
      </c>
      <c r="AK2795" s="3">
        <v>33.950000000000003</v>
      </c>
      <c r="AL2795" s="3">
        <v>0</v>
      </c>
      <c r="AM2795" s="3">
        <v>0</v>
      </c>
      <c r="AN2795" s="3">
        <v>0</v>
      </c>
      <c r="AO2795" s="3">
        <v>0</v>
      </c>
      <c r="AP2795" s="3">
        <v>0</v>
      </c>
      <c r="AQ2795" s="3">
        <v>0</v>
      </c>
      <c r="AR2795" s="3">
        <v>0</v>
      </c>
      <c r="AS2795" s="3">
        <v>0</v>
      </c>
      <c r="AT2795" s="3">
        <v>0</v>
      </c>
      <c r="AU2795" s="3">
        <v>0</v>
      </c>
      <c r="AV2795" s="3">
        <v>0</v>
      </c>
      <c r="AW2795" s="3">
        <v>0</v>
      </c>
      <c r="AX2795" s="3">
        <v>0</v>
      </c>
      <c r="AY2795" s="3">
        <v>0</v>
      </c>
      <c r="AZ2795" s="3">
        <v>0</v>
      </c>
      <c r="BA2795" s="3">
        <v>0</v>
      </c>
      <c r="BB2795" s="3">
        <v>0</v>
      </c>
      <c r="BC2795" s="3">
        <v>0</v>
      </c>
      <c r="BD2795" s="3">
        <v>0</v>
      </c>
      <c r="BE2795" s="3">
        <v>0</v>
      </c>
      <c r="BF2795" s="3">
        <v>0</v>
      </c>
      <c r="BG2795" s="3">
        <v>0</v>
      </c>
      <c r="BH2795" s="3">
        <v>1</v>
      </c>
      <c r="BI2795" s="3">
        <v>4</v>
      </c>
      <c r="BJ2795" s="3">
        <v>1.5</v>
      </c>
      <c r="BK2795" s="3">
        <v>4</v>
      </c>
      <c r="BL2795" s="3">
        <v>121.01</v>
      </c>
      <c r="BM2795" s="3">
        <v>18.149999999999999</v>
      </c>
      <c r="BN2795" s="3">
        <v>139.16</v>
      </c>
      <c r="BO2795" s="3">
        <v>139.16</v>
      </c>
      <c r="BQ2795" s="3" t="s">
        <v>89</v>
      </c>
      <c r="BR2795" s="3" t="s">
        <v>308</v>
      </c>
      <c r="BS2795" s="4">
        <v>44565</v>
      </c>
      <c r="BT2795" s="5">
        <v>0.3520833333333333</v>
      </c>
      <c r="BU2795" s="3" t="s">
        <v>2243</v>
      </c>
      <c r="BV2795" s="3" t="s">
        <v>105</v>
      </c>
      <c r="BY2795" s="3">
        <v>7540</v>
      </c>
      <c r="BZ2795" s="3" t="s">
        <v>165</v>
      </c>
      <c r="CA2795" s="3" t="s">
        <v>509</v>
      </c>
      <c r="CC2795" s="3" t="s">
        <v>172</v>
      </c>
      <c r="CD2795" s="3">
        <v>6001</v>
      </c>
      <c r="CE2795" s="3" t="s">
        <v>86</v>
      </c>
      <c r="CF2795" s="4">
        <v>44565</v>
      </c>
      <c r="CI2795" s="3">
        <v>1</v>
      </c>
      <c r="CJ2795" s="3">
        <v>1</v>
      </c>
      <c r="CK2795" s="3">
        <v>21</v>
      </c>
      <c r="CL2795" s="3" t="s">
        <v>87</v>
      </c>
    </row>
    <row r="2796" spans="1:90" x14ac:dyDescent="0.2">
      <c r="A2796" s="3" t="s">
        <v>72</v>
      </c>
      <c r="B2796" s="3" t="s">
        <v>73</v>
      </c>
      <c r="C2796" s="3" t="s">
        <v>74</v>
      </c>
      <c r="E2796" s="3" t="str">
        <f>"FES1162843097"</f>
        <v>FES1162843097</v>
      </c>
      <c r="F2796" s="4">
        <v>44564</v>
      </c>
      <c r="G2796" s="3">
        <v>202207</v>
      </c>
      <c r="H2796" s="3" t="s">
        <v>75</v>
      </c>
      <c r="I2796" s="3" t="s">
        <v>76</v>
      </c>
      <c r="J2796" s="3" t="s">
        <v>77</v>
      </c>
      <c r="K2796" s="3" t="s">
        <v>78</v>
      </c>
      <c r="L2796" s="3" t="s">
        <v>97</v>
      </c>
      <c r="M2796" s="3" t="s">
        <v>98</v>
      </c>
      <c r="N2796" s="3" t="s">
        <v>295</v>
      </c>
      <c r="O2796" s="3" t="s">
        <v>82</v>
      </c>
      <c r="P2796" s="3" t="str">
        <f>"2170812209                    "</f>
        <v xml:space="preserve">2170812209                    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  <c r="AE2796" s="3">
        <v>0</v>
      </c>
      <c r="AF2796" s="3">
        <v>0</v>
      </c>
      <c r="AG2796" s="3">
        <v>0</v>
      </c>
      <c r="AH2796" s="3">
        <v>0</v>
      </c>
      <c r="AI2796" s="3">
        <v>0</v>
      </c>
      <c r="AJ2796" s="3">
        <v>0</v>
      </c>
      <c r="AK2796" s="3">
        <v>13.26</v>
      </c>
      <c r="AL2796" s="3">
        <v>0</v>
      </c>
      <c r="AM2796" s="3">
        <v>0</v>
      </c>
      <c r="AN2796" s="3">
        <v>0</v>
      </c>
      <c r="AO2796" s="3">
        <v>0</v>
      </c>
      <c r="AP2796" s="3">
        <v>0</v>
      </c>
      <c r="AQ2796" s="3">
        <v>0</v>
      </c>
      <c r="AR2796" s="3">
        <v>0</v>
      </c>
      <c r="AS2796" s="3">
        <v>0</v>
      </c>
      <c r="AT2796" s="3">
        <v>0</v>
      </c>
      <c r="AU2796" s="3">
        <v>0</v>
      </c>
      <c r="AV2796" s="3">
        <v>0</v>
      </c>
      <c r="AW2796" s="3">
        <v>0</v>
      </c>
      <c r="AX2796" s="3">
        <v>0</v>
      </c>
      <c r="AY2796" s="3">
        <v>0</v>
      </c>
      <c r="AZ2796" s="3">
        <v>0</v>
      </c>
      <c r="BA2796" s="3">
        <v>0</v>
      </c>
      <c r="BB2796" s="3">
        <v>0</v>
      </c>
      <c r="BC2796" s="3">
        <v>0</v>
      </c>
      <c r="BD2796" s="3">
        <v>0</v>
      </c>
      <c r="BE2796" s="3">
        <v>0</v>
      </c>
      <c r="BF2796" s="3">
        <v>0</v>
      </c>
      <c r="BG2796" s="3">
        <v>0</v>
      </c>
      <c r="BH2796" s="3">
        <v>1</v>
      </c>
      <c r="BI2796" s="3">
        <v>2</v>
      </c>
      <c r="BJ2796" s="3">
        <v>2</v>
      </c>
      <c r="BK2796" s="3">
        <v>2</v>
      </c>
      <c r="BL2796" s="3">
        <v>47.27</v>
      </c>
      <c r="BM2796" s="3">
        <v>7.09</v>
      </c>
      <c r="BN2796" s="3">
        <v>54.36</v>
      </c>
      <c r="BO2796" s="3">
        <v>54.36</v>
      </c>
      <c r="BR2796" s="3" t="s">
        <v>308</v>
      </c>
      <c r="BS2796" s="4">
        <v>44565</v>
      </c>
      <c r="BT2796" s="5">
        <v>0.5854166666666667</v>
      </c>
      <c r="BU2796" s="3" t="s">
        <v>296</v>
      </c>
      <c r="BV2796" s="3" t="s">
        <v>87</v>
      </c>
      <c r="BW2796" s="3" t="s">
        <v>353</v>
      </c>
      <c r="BX2796" s="3" t="s">
        <v>618</v>
      </c>
      <c r="BY2796" s="3">
        <v>9900</v>
      </c>
      <c r="BZ2796" s="3" t="s">
        <v>165</v>
      </c>
      <c r="CA2796" s="3" t="s">
        <v>952</v>
      </c>
      <c r="CC2796" s="3" t="s">
        <v>98</v>
      </c>
      <c r="CD2796" s="3">
        <v>2013</v>
      </c>
      <c r="CE2796" s="3" t="s">
        <v>86</v>
      </c>
      <c r="CF2796" s="4">
        <v>44565</v>
      </c>
      <c r="CI2796" s="3">
        <v>1</v>
      </c>
      <c r="CJ2796" s="3">
        <v>1</v>
      </c>
      <c r="CK2796" s="3">
        <v>22</v>
      </c>
      <c r="CL2796" s="3" t="s">
        <v>87</v>
      </c>
    </row>
    <row r="2797" spans="1:90" x14ac:dyDescent="0.2">
      <c r="A2797" s="3" t="s">
        <v>72</v>
      </c>
      <c r="B2797" s="3" t="s">
        <v>73</v>
      </c>
      <c r="C2797" s="3" t="s">
        <v>74</v>
      </c>
      <c r="E2797" s="3" t="str">
        <f>"FES1162843105"</f>
        <v>FES1162843105</v>
      </c>
      <c r="F2797" s="4">
        <v>44564</v>
      </c>
      <c r="G2797" s="3">
        <v>202207</v>
      </c>
      <c r="H2797" s="3" t="s">
        <v>75</v>
      </c>
      <c r="I2797" s="3" t="s">
        <v>76</v>
      </c>
      <c r="J2797" s="3" t="s">
        <v>77</v>
      </c>
      <c r="K2797" s="3" t="s">
        <v>78</v>
      </c>
      <c r="L2797" s="3" t="s">
        <v>171</v>
      </c>
      <c r="M2797" s="3" t="s">
        <v>172</v>
      </c>
      <c r="N2797" s="3" t="s">
        <v>454</v>
      </c>
      <c r="O2797" s="3" t="s">
        <v>82</v>
      </c>
      <c r="P2797" s="3" t="str">
        <f>"2170812004                    "</f>
        <v xml:space="preserve">2170812004                    </v>
      </c>
      <c r="Q2797" s="3">
        <v>0</v>
      </c>
      <c r="R2797" s="3">
        <v>0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  <c r="AE2797" s="3">
        <v>0</v>
      </c>
      <c r="AF2797" s="3">
        <v>0</v>
      </c>
      <c r="AG2797" s="3">
        <v>0</v>
      </c>
      <c r="AH2797" s="3">
        <v>0</v>
      </c>
      <c r="AI2797" s="3">
        <v>0</v>
      </c>
      <c r="AJ2797" s="3">
        <v>0</v>
      </c>
      <c r="AK2797" s="3">
        <v>16.98</v>
      </c>
      <c r="AL2797" s="3">
        <v>0</v>
      </c>
      <c r="AM2797" s="3">
        <v>0</v>
      </c>
      <c r="AN2797" s="3">
        <v>0</v>
      </c>
      <c r="AO2797" s="3">
        <v>0</v>
      </c>
      <c r="AP2797" s="3">
        <v>0</v>
      </c>
      <c r="AQ2797" s="3">
        <v>0</v>
      </c>
      <c r="AR2797" s="3">
        <v>0</v>
      </c>
      <c r="AS2797" s="3">
        <v>0</v>
      </c>
      <c r="AT2797" s="3">
        <v>0</v>
      </c>
      <c r="AU2797" s="3">
        <v>0</v>
      </c>
      <c r="AV2797" s="3">
        <v>0</v>
      </c>
      <c r="AW2797" s="3">
        <v>0</v>
      </c>
      <c r="AX2797" s="3">
        <v>0</v>
      </c>
      <c r="AY2797" s="3">
        <v>0</v>
      </c>
      <c r="AZ2797" s="3">
        <v>0</v>
      </c>
      <c r="BA2797" s="3">
        <v>0</v>
      </c>
      <c r="BB2797" s="3">
        <v>0</v>
      </c>
      <c r="BC2797" s="3">
        <v>0</v>
      </c>
      <c r="BD2797" s="3">
        <v>0</v>
      </c>
      <c r="BE2797" s="3">
        <v>0</v>
      </c>
      <c r="BF2797" s="3">
        <v>0</v>
      </c>
      <c r="BG2797" s="3">
        <v>0</v>
      </c>
      <c r="BH2797" s="3">
        <v>1</v>
      </c>
      <c r="BI2797" s="3">
        <v>2</v>
      </c>
      <c r="BJ2797" s="3">
        <v>1</v>
      </c>
      <c r="BK2797" s="3">
        <v>2</v>
      </c>
      <c r="BL2797" s="3">
        <v>60.52</v>
      </c>
      <c r="BM2797" s="3">
        <v>9.08</v>
      </c>
      <c r="BN2797" s="3">
        <v>69.599999999999994</v>
      </c>
      <c r="BO2797" s="3">
        <v>69.599999999999994</v>
      </c>
      <c r="BQ2797" s="3" t="s">
        <v>89</v>
      </c>
      <c r="BR2797" s="3" t="s">
        <v>308</v>
      </c>
      <c r="BS2797" s="4">
        <v>44565</v>
      </c>
      <c r="BT2797" s="5">
        <v>0.42222222222222222</v>
      </c>
      <c r="BU2797" s="3" t="s">
        <v>1989</v>
      </c>
      <c r="BV2797" s="3" t="s">
        <v>105</v>
      </c>
      <c r="BY2797" s="3">
        <v>5130</v>
      </c>
      <c r="BZ2797" s="3" t="s">
        <v>165</v>
      </c>
      <c r="CA2797" s="3" t="s">
        <v>509</v>
      </c>
      <c r="CC2797" s="3" t="s">
        <v>172</v>
      </c>
      <c r="CD2797" s="3">
        <v>6001</v>
      </c>
      <c r="CE2797" s="3" t="s">
        <v>86</v>
      </c>
      <c r="CF2797" s="4">
        <v>44565</v>
      </c>
      <c r="CI2797" s="3">
        <v>1</v>
      </c>
      <c r="CJ2797" s="3">
        <v>1</v>
      </c>
      <c r="CK2797" s="3">
        <v>21</v>
      </c>
      <c r="CL2797" s="3" t="s">
        <v>87</v>
      </c>
    </row>
    <row r="2798" spans="1:90" x14ac:dyDescent="0.2">
      <c r="A2798" s="3" t="s">
        <v>72</v>
      </c>
      <c r="B2798" s="3" t="s">
        <v>73</v>
      </c>
      <c r="C2798" s="3" t="s">
        <v>74</v>
      </c>
      <c r="E2798" s="3" t="str">
        <f>"FES1162843228"</f>
        <v>FES1162843228</v>
      </c>
      <c r="F2798" s="4">
        <v>44564</v>
      </c>
      <c r="G2798" s="3">
        <v>202207</v>
      </c>
      <c r="H2798" s="3" t="s">
        <v>75</v>
      </c>
      <c r="I2798" s="3" t="s">
        <v>76</v>
      </c>
      <c r="J2798" s="3" t="s">
        <v>77</v>
      </c>
      <c r="K2798" s="3" t="s">
        <v>78</v>
      </c>
      <c r="L2798" s="3" t="s">
        <v>94</v>
      </c>
      <c r="M2798" s="3" t="s">
        <v>95</v>
      </c>
      <c r="N2798" s="3" t="s">
        <v>443</v>
      </c>
      <c r="O2798" s="3" t="s">
        <v>82</v>
      </c>
      <c r="P2798" s="3" t="str">
        <f>"2170814302                    "</f>
        <v xml:space="preserve">2170814302                    </v>
      </c>
      <c r="Q2798" s="3">
        <v>0</v>
      </c>
      <c r="R2798" s="3">
        <v>0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  <c r="AE2798" s="3">
        <v>0</v>
      </c>
      <c r="AF2798" s="3">
        <v>0</v>
      </c>
      <c r="AG2798" s="3">
        <v>0</v>
      </c>
      <c r="AH2798" s="3">
        <v>0</v>
      </c>
      <c r="AI2798" s="3">
        <v>0</v>
      </c>
      <c r="AJ2798" s="3">
        <v>0</v>
      </c>
      <c r="AK2798" s="3">
        <v>16.98</v>
      </c>
      <c r="AL2798" s="3">
        <v>0</v>
      </c>
      <c r="AM2798" s="3">
        <v>0</v>
      </c>
      <c r="AN2798" s="3">
        <v>0</v>
      </c>
      <c r="AO2798" s="3">
        <v>0</v>
      </c>
      <c r="AP2798" s="3">
        <v>0</v>
      </c>
      <c r="AQ2798" s="3">
        <v>0</v>
      </c>
      <c r="AR2798" s="3">
        <v>0</v>
      </c>
      <c r="AS2798" s="3">
        <v>0</v>
      </c>
      <c r="AT2798" s="3">
        <v>0</v>
      </c>
      <c r="AU2798" s="3">
        <v>0</v>
      </c>
      <c r="AV2798" s="3">
        <v>0</v>
      </c>
      <c r="AW2798" s="3">
        <v>0</v>
      </c>
      <c r="AX2798" s="3">
        <v>0</v>
      </c>
      <c r="AY2798" s="3">
        <v>0</v>
      </c>
      <c r="AZ2798" s="3">
        <v>0</v>
      </c>
      <c r="BA2798" s="3">
        <v>0</v>
      </c>
      <c r="BB2798" s="3">
        <v>0</v>
      </c>
      <c r="BC2798" s="3">
        <v>0</v>
      </c>
      <c r="BD2798" s="3">
        <v>0</v>
      </c>
      <c r="BE2798" s="3">
        <v>0</v>
      </c>
      <c r="BF2798" s="3">
        <v>0</v>
      </c>
      <c r="BG2798" s="3">
        <v>0</v>
      </c>
      <c r="BH2798" s="3">
        <v>1</v>
      </c>
      <c r="BI2798" s="3">
        <v>1</v>
      </c>
      <c r="BJ2798" s="3">
        <v>0.2</v>
      </c>
      <c r="BK2798" s="3">
        <v>1</v>
      </c>
      <c r="BL2798" s="3">
        <v>60.52</v>
      </c>
      <c r="BM2798" s="3">
        <v>9.08</v>
      </c>
      <c r="BN2798" s="3">
        <v>69.599999999999994</v>
      </c>
      <c r="BO2798" s="3">
        <v>69.599999999999994</v>
      </c>
      <c r="BQ2798" s="3" t="s">
        <v>83</v>
      </c>
      <c r="BR2798" s="3" t="s">
        <v>308</v>
      </c>
      <c r="BS2798" s="4">
        <v>44565</v>
      </c>
      <c r="BT2798" s="5">
        <v>0.44791666666666669</v>
      </c>
      <c r="BU2798" s="3" t="s">
        <v>2660</v>
      </c>
      <c r="BV2798" s="3" t="s">
        <v>105</v>
      </c>
      <c r="BY2798" s="3">
        <v>1200</v>
      </c>
      <c r="BZ2798" s="3" t="s">
        <v>165</v>
      </c>
      <c r="CA2798" s="3" t="s">
        <v>328</v>
      </c>
      <c r="CC2798" s="3" t="s">
        <v>95</v>
      </c>
      <c r="CD2798" s="3">
        <v>3212</v>
      </c>
      <c r="CE2798" s="3" t="s">
        <v>93</v>
      </c>
      <c r="CF2798" s="4">
        <v>44567</v>
      </c>
      <c r="CI2798" s="3">
        <v>1</v>
      </c>
      <c r="CJ2798" s="3">
        <v>1</v>
      </c>
      <c r="CK2798" s="3">
        <v>21</v>
      </c>
      <c r="CL2798" s="3" t="s">
        <v>87</v>
      </c>
    </row>
    <row r="2799" spans="1:90" x14ac:dyDescent="0.2">
      <c r="A2799" s="3" t="s">
        <v>72</v>
      </c>
      <c r="B2799" s="3" t="s">
        <v>73</v>
      </c>
      <c r="C2799" s="3" t="s">
        <v>74</v>
      </c>
      <c r="E2799" s="3" t="str">
        <f>"FES1162843142"</f>
        <v>FES1162843142</v>
      </c>
      <c r="F2799" s="4">
        <v>44564</v>
      </c>
      <c r="G2799" s="3">
        <v>202207</v>
      </c>
      <c r="H2799" s="3" t="s">
        <v>75</v>
      </c>
      <c r="I2799" s="3" t="s">
        <v>76</v>
      </c>
      <c r="J2799" s="3" t="s">
        <v>77</v>
      </c>
      <c r="K2799" s="3" t="s">
        <v>78</v>
      </c>
      <c r="L2799" s="3" t="s">
        <v>195</v>
      </c>
      <c r="M2799" s="3" t="s">
        <v>196</v>
      </c>
      <c r="N2799" s="3" t="s">
        <v>197</v>
      </c>
      <c r="O2799" s="3" t="s">
        <v>82</v>
      </c>
      <c r="P2799" s="3" t="str">
        <f>"2170812326                    "</f>
        <v xml:space="preserve">2170812326                    </v>
      </c>
      <c r="Q2799" s="3">
        <v>0</v>
      </c>
      <c r="R2799" s="3">
        <v>0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  <c r="AE2799" s="3">
        <v>0</v>
      </c>
      <c r="AF2799" s="3">
        <v>0</v>
      </c>
      <c r="AG2799" s="3">
        <v>0</v>
      </c>
      <c r="AH2799" s="3">
        <v>0</v>
      </c>
      <c r="AI2799" s="3">
        <v>0</v>
      </c>
      <c r="AJ2799" s="3">
        <v>0</v>
      </c>
      <c r="AK2799" s="3">
        <v>16.98</v>
      </c>
      <c r="AL2799" s="3">
        <v>0</v>
      </c>
      <c r="AM2799" s="3">
        <v>0</v>
      </c>
      <c r="AN2799" s="3">
        <v>0</v>
      </c>
      <c r="AO2799" s="3">
        <v>0</v>
      </c>
      <c r="AP2799" s="3">
        <v>0</v>
      </c>
      <c r="AQ2799" s="3">
        <v>0</v>
      </c>
      <c r="AR2799" s="3">
        <v>0</v>
      </c>
      <c r="AS2799" s="3">
        <v>0</v>
      </c>
      <c r="AT2799" s="3">
        <v>0</v>
      </c>
      <c r="AU2799" s="3">
        <v>0</v>
      </c>
      <c r="AV2799" s="3">
        <v>0</v>
      </c>
      <c r="AW2799" s="3">
        <v>0</v>
      </c>
      <c r="AX2799" s="3">
        <v>0</v>
      </c>
      <c r="AY2799" s="3">
        <v>0</v>
      </c>
      <c r="AZ2799" s="3">
        <v>0</v>
      </c>
      <c r="BA2799" s="3">
        <v>0</v>
      </c>
      <c r="BB2799" s="3">
        <v>0</v>
      </c>
      <c r="BC2799" s="3">
        <v>0</v>
      </c>
      <c r="BD2799" s="3">
        <v>0</v>
      </c>
      <c r="BE2799" s="3">
        <v>0</v>
      </c>
      <c r="BF2799" s="3">
        <v>0</v>
      </c>
      <c r="BG2799" s="3">
        <v>0</v>
      </c>
      <c r="BH2799" s="3">
        <v>1</v>
      </c>
      <c r="BI2799" s="3">
        <v>1</v>
      </c>
      <c r="BJ2799" s="3">
        <v>0.2</v>
      </c>
      <c r="BK2799" s="3">
        <v>1</v>
      </c>
      <c r="BL2799" s="3">
        <v>60.52</v>
      </c>
      <c r="BM2799" s="3">
        <v>9.08</v>
      </c>
      <c r="BN2799" s="3">
        <v>69.599999999999994</v>
      </c>
      <c r="BO2799" s="3">
        <v>69.599999999999994</v>
      </c>
      <c r="BQ2799" s="3" t="s">
        <v>89</v>
      </c>
      <c r="BR2799" s="3" t="s">
        <v>308</v>
      </c>
      <c r="BS2799" s="4">
        <v>44565</v>
      </c>
      <c r="BT2799" s="5">
        <v>0.37361111111111112</v>
      </c>
      <c r="BU2799" s="3" t="s">
        <v>570</v>
      </c>
      <c r="BV2799" s="3" t="s">
        <v>105</v>
      </c>
      <c r="BY2799" s="3">
        <v>1200</v>
      </c>
      <c r="BZ2799" s="3" t="s">
        <v>165</v>
      </c>
      <c r="CA2799" s="3" t="s">
        <v>571</v>
      </c>
      <c r="CC2799" s="3" t="s">
        <v>196</v>
      </c>
      <c r="CD2799" s="3">
        <v>4302</v>
      </c>
      <c r="CE2799" s="3" t="s">
        <v>93</v>
      </c>
      <c r="CF2799" s="4">
        <v>44565</v>
      </c>
      <c r="CI2799" s="3">
        <v>1</v>
      </c>
      <c r="CJ2799" s="3">
        <v>1</v>
      </c>
      <c r="CK2799" s="3">
        <v>21</v>
      </c>
      <c r="CL2799" s="3" t="s">
        <v>87</v>
      </c>
    </row>
    <row r="2800" spans="1:90" x14ac:dyDescent="0.2">
      <c r="A2800" s="3" t="s">
        <v>72</v>
      </c>
      <c r="B2800" s="3" t="s">
        <v>73</v>
      </c>
      <c r="C2800" s="3" t="s">
        <v>74</v>
      </c>
      <c r="E2800" s="3" t="str">
        <f>"FES1162843140"</f>
        <v>FES1162843140</v>
      </c>
      <c r="F2800" s="4">
        <v>44564</v>
      </c>
      <c r="G2800" s="3">
        <v>202207</v>
      </c>
      <c r="H2800" s="3" t="s">
        <v>75</v>
      </c>
      <c r="I2800" s="3" t="s">
        <v>76</v>
      </c>
      <c r="J2800" s="3" t="s">
        <v>77</v>
      </c>
      <c r="K2800" s="3" t="s">
        <v>78</v>
      </c>
      <c r="L2800" s="3" t="s">
        <v>90</v>
      </c>
      <c r="M2800" s="3" t="s">
        <v>91</v>
      </c>
      <c r="N2800" s="3" t="s">
        <v>584</v>
      </c>
      <c r="O2800" s="3" t="s">
        <v>82</v>
      </c>
      <c r="P2800" s="3" t="str">
        <f>"2170811411                    "</f>
        <v xml:space="preserve">2170811411                    </v>
      </c>
      <c r="Q2800" s="3">
        <v>0</v>
      </c>
      <c r="R2800" s="3">
        <v>0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  <c r="AE2800" s="3">
        <v>0</v>
      </c>
      <c r="AF2800" s="3">
        <v>0</v>
      </c>
      <c r="AG2800" s="3">
        <v>0</v>
      </c>
      <c r="AH2800" s="3">
        <v>0</v>
      </c>
      <c r="AI2800" s="3">
        <v>0</v>
      </c>
      <c r="AJ2800" s="3">
        <v>0</v>
      </c>
      <c r="AK2800" s="3">
        <v>16.98</v>
      </c>
      <c r="AL2800" s="3">
        <v>0</v>
      </c>
      <c r="AM2800" s="3">
        <v>0</v>
      </c>
      <c r="AN2800" s="3">
        <v>0</v>
      </c>
      <c r="AO2800" s="3">
        <v>0</v>
      </c>
      <c r="AP2800" s="3">
        <v>0</v>
      </c>
      <c r="AQ2800" s="3">
        <v>0</v>
      </c>
      <c r="AR2800" s="3">
        <v>0</v>
      </c>
      <c r="AS2800" s="3">
        <v>0</v>
      </c>
      <c r="AT2800" s="3">
        <v>0</v>
      </c>
      <c r="AU2800" s="3">
        <v>0</v>
      </c>
      <c r="AV2800" s="3">
        <v>0</v>
      </c>
      <c r="AW2800" s="3">
        <v>0</v>
      </c>
      <c r="AX2800" s="3">
        <v>0</v>
      </c>
      <c r="AY2800" s="3">
        <v>0</v>
      </c>
      <c r="AZ2800" s="3">
        <v>0</v>
      </c>
      <c r="BA2800" s="3">
        <v>0</v>
      </c>
      <c r="BB2800" s="3">
        <v>0</v>
      </c>
      <c r="BC2800" s="3">
        <v>0</v>
      </c>
      <c r="BD2800" s="3">
        <v>0</v>
      </c>
      <c r="BE2800" s="3">
        <v>0</v>
      </c>
      <c r="BF2800" s="3">
        <v>0</v>
      </c>
      <c r="BG2800" s="3">
        <v>0</v>
      </c>
      <c r="BH2800" s="3">
        <v>1</v>
      </c>
      <c r="BI2800" s="3">
        <v>1</v>
      </c>
      <c r="BJ2800" s="3">
        <v>0.2</v>
      </c>
      <c r="BK2800" s="3">
        <v>1</v>
      </c>
      <c r="BL2800" s="3">
        <v>60.52</v>
      </c>
      <c r="BM2800" s="3">
        <v>9.08</v>
      </c>
      <c r="BN2800" s="3">
        <v>69.599999999999994</v>
      </c>
      <c r="BO2800" s="3">
        <v>69.599999999999994</v>
      </c>
      <c r="BQ2800" s="3" t="s">
        <v>83</v>
      </c>
      <c r="BR2800" s="3" t="s">
        <v>308</v>
      </c>
      <c r="BS2800" s="4">
        <v>44565</v>
      </c>
      <c r="BT2800" s="5">
        <v>0.31111111111111112</v>
      </c>
      <c r="BU2800" s="3" t="s">
        <v>2661</v>
      </c>
      <c r="BV2800" s="3" t="s">
        <v>105</v>
      </c>
      <c r="BY2800" s="3">
        <v>1200</v>
      </c>
      <c r="BZ2800" s="3" t="s">
        <v>165</v>
      </c>
      <c r="CA2800" s="3" t="s">
        <v>543</v>
      </c>
      <c r="CC2800" s="3" t="s">
        <v>91</v>
      </c>
      <c r="CD2800" s="3">
        <v>7530</v>
      </c>
      <c r="CE2800" s="3" t="s">
        <v>93</v>
      </c>
      <c r="CF2800" s="4">
        <v>44566</v>
      </c>
      <c r="CI2800" s="3">
        <v>1</v>
      </c>
      <c r="CJ2800" s="3">
        <v>1</v>
      </c>
      <c r="CK2800" s="3">
        <v>21</v>
      </c>
      <c r="CL2800" s="3" t="s">
        <v>87</v>
      </c>
    </row>
    <row r="2801" spans="1:90" x14ac:dyDescent="0.2">
      <c r="A2801" s="3" t="s">
        <v>72</v>
      </c>
      <c r="B2801" s="3" t="s">
        <v>73</v>
      </c>
      <c r="C2801" s="3" t="s">
        <v>74</v>
      </c>
      <c r="E2801" s="3" t="str">
        <f>"FES1162843124"</f>
        <v>FES1162843124</v>
      </c>
      <c r="F2801" s="4">
        <v>44564</v>
      </c>
      <c r="G2801" s="3">
        <v>202207</v>
      </c>
      <c r="H2801" s="3" t="s">
        <v>75</v>
      </c>
      <c r="I2801" s="3" t="s">
        <v>76</v>
      </c>
      <c r="J2801" s="3" t="s">
        <v>77</v>
      </c>
      <c r="K2801" s="3" t="s">
        <v>78</v>
      </c>
      <c r="L2801" s="3" t="s">
        <v>716</v>
      </c>
      <c r="M2801" s="3" t="s">
        <v>717</v>
      </c>
      <c r="N2801" s="3" t="s">
        <v>718</v>
      </c>
      <c r="O2801" s="3" t="s">
        <v>82</v>
      </c>
      <c r="P2801" s="3" t="str">
        <f>"2170815425                    "</f>
        <v xml:space="preserve">2170815425                    </v>
      </c>
      <c r="Q2801" s="3">
        <v>0</v>
      </c>
      <c r="R2801" s="3">
        <v>0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  <c r="AE2801" s="3">
        <v>0</v>
      </c>
      <c r="AF2801" s="3">
        <v>0</v>
      </c>
      <c r="AG2801" s="3">
        <v>0</v>
      </c>
      <c r="AH2801" s="3">
        <v>0</v>
      </c>
      <c r="AI2801" s="3">
        <v>0</v>
      </c>
      <c r="AJ2801" s="3">
        <v>0</v>
      </c>
      <c r="AK2801" s="3">
        <v>32.9</v>
      </c>
      <c r="AL2801" s="3">
        <v>0</v>
      </c>
      <c r="AM2801" s="3">
        <v>0</v>
      </c>
      <c r="AN2801" s="3">
        <v>0</v>
      </c>
      <c r="AO2801" s="3">
        <v>0</v>
      </c>
      <c r="AP2801" s="3">
        <v>0</v>
      </c>
      <c r="AQ2801" s="3">
        <v>0</v>
      </c>
      <c r="AR2801" s="3">
        <v>0</v>
      </c>
      <c r="AS2801" s="3">
        <v>0</v>
      </c>
      <c r="AT2801" s="3">
        <v>0</v>
      </c>
      <c r="AU2801" s="3">
        <v>0</v>
      </c>
      <c r="AV2801" s="3">
        <v>0</v>
      </c>
      <c r="AW2801" s="3">
        <v>0</v>
      </c>
      <c r="AX2801" s="3">
        <v>0</v>
      </c>
      <c r="AY2801" s="3">
        <v>0</v>
      </c>
      <c r="AZ2801" s="3">
        <v>0</v>
      </c>
      <c r="BA2801" s="3">
        <v>0</v>
      </c>
      <c r="BB2801" s="3">
        <v>0</v>
      </c>
      <c r="BC2801" s="3">
        <v>0</v>
      </c>
      <c r="BD2801" s="3">
        <v>0</v>
      </c>
      <c r="BE2801" s="3">
        <v>0</v>
      </c>
      <c r="BF2801" s="3">
        <v>0</v>
      </c>
      <c r="BG2801" s="3">
        <v>0</v>
      </c>
      <c r="BH2801" s="3">
        <v>1</v>
      </c>
      <c r="BI2801" s="3">
        <v>1</v>
      </c>
      <c r="BJ2801" s="3">
        <v>0.2</v>
      </c>
      <c r="BK2801" s="3">
        <v>1</v>
      </c>
      <c r="BL2801" s="3">
        <v>117.26</v>
      </c>
      <c r="BM2801" s="3">
        <v>17.59</v>
      </c>
      <c r="BN2801" s="3">
        <v>134.85</v>
      </c>
      <c r="BO2801" s="3">
        <v>134.85</v>
      </c>
      <c r="BQ2801" s="3" t="s">
        <v>89</v>
      </c>
      <c r="BR2801" s="3" t="s">
        <v>308</v>
      </c>
      <c r="BS2801" s="4">
        <v>44565</v>
      </c>
      <c r="BT2801" s="5">
        <v>0.49305555555555558</v>
      </c>
      <c r="BU2801" s="3" t="s">
        <v>2662</v>
      </c>
      <c r="BV2801" s="3" t="s">
        <v>105</v>
      </c>
      <c r="BY2801" s="3">
        <v>1200</v>
      </c>
      <c r="BZ2801" s="3" t="s">
        <v>165</v>
      </c>
      <c r="CA2801" s="3" t="s">
        <v>720</v>
      </c>
      <c r="CC2801" s="3" t="s">
        <v>717</v>
      </c>
      <c r="CD2801" s="3">
        <v>1028</v>
      </c>
      <c r="CE2801" s="3" t="s">
        <v>93</v>
      </c>
      <c r="CF2801" s="4">
        <v>44565</v>
      </c>
      <c r="CI2801" s="3">
        <v>1</v>
      </c>
      <c r="CJ2801" s="3">
        <v>1</v>
      </c>
      <c r="CK2801" s="3">
        <v>23</v>
      </c>
      <c r="CL2801" s="3" t="s">
        <v>87</v>
      </c>
    </row>
    <row r="2802" spans="1:90" x14ac:dyDescent="0.2">
      <c r="A2802" s="3" t="s">
        <v>72</v>
      </c>
      <c r="B2802" s="3" t="s">
        <v>73</v>
      </c>
      <c r="C2802" s="3" t="s">
        <v>74</v>
      </c>
      <c r="E2802" s="3" t="str">
        <f>"FES1162843206"</f>
        <v>FES1162843206</v>
      </c>
      <c r="F2802" s="4">
        <v>44564</v>
      </c>
      <c r="G2802" s="3">
        <v>202207</v>
      </c>
      <c r="H2802" s="3" t="s">
        <v>75</v>
      </c>
      <c r="I2802" s="3" t="s">
        <v>76</v>
      </c>
      <c r="J2802" s="3" t="s">
        <v>77</v>
      </c>
      <c r="K2802" s="3" t="s">
        <v>78</v>
      </c>
      <c r="L2802" s="3" t="s">
        <v>94</v>
      </c>
      <c r="M2802" s="3" t="s">
        <v>95</v>
      </c>
      <c r="N2802" s="3" t="s">
        <v>1443</v>
      </c>
      <c r="O2802" s="3" t="s">
        <v>82</v>
      </c>
      <c r="P2802" s="3" t="str">
        <f>"2170813129                    "</f>
        <v xml:space="preserve">2170813129                    </v>
      </c>
      <c r="Q2802" s="3">
        <v>0</v>
      </c>
      <c r="R2802" s="3">
        <v>0</v>
      </c>
      <c r="S2802" s="3">
        <v>0</v>
      </c>
      <c r="T2802" s="3">
        <v>0</v>
      </c>
      <c r="U2802" s="3">
        <v>0</v>
      </c>
      <c r="V2802" s="3">
        <v>0</v>
      </c>
      <c r="W2802" s="3">
        <v>0</v>
      </c>
      <c r="X2802" s="3">
        <v>0</v>
      </c>
      <c r="Y2802" s="3">
        <v>0</v>
      </c>
      <c r="Z2802" s="3">
        <v>0</v>
      </c>
      <c r="AA2802" s="3">
        <v>0</v>
      </c>
      <c r="AB2802" s="3">
        <v>0</v>
      </c>
      <c r="AC2802" s="3">
        <v>0</v>
      </c>
      <c r="AD2802" s="3">
        <v>0</v>
      </c>
      <c r="AE2802" s="3">
        <v>0</v>
      </c>
      <c r="AF2802" s="3">
        <v>0</v>
      </c>
      <c r="AG2802" s="3">
        <v>0</v>
      </c>
      <c r="AH2802" s="3">
        <v>0</v>
      </c>
      <c r="AI2802" s="3">
        <v>0</v>
      </c>
      <c r="AJ2802" s="3">
        <v>0</v>
      </c>
      <c r="AK2802" s="3">
        <v>16.98</v>
      </c>
      <c r="AL2802" s="3">
        <v>0</v>
      </c>
      <c r="AM2802" s="3">
        <v>0</v>
      </c>
      <c r="AN2802" s="3">
        <v>0</v>
      </c>
      <c r="AO2802" s="3">
        <v>0</v>
      </c>
      <c r="AP2802" s="3">
        <v>0</v>
      </c>
      <c r="AQ2802" s="3">
        <v>0</v>
      </c>
      <c r="AR2802" s="3">
        <v>0</v>
      </c>
      <c r="AS2802" s="3">
        <v>0</v>
      </c>
      <c r="AT2802" s="3">
        <v>0</v>
      </c>
      <c r="AU2802" s="3">
        <v>0</v>
      </c>
      <c r="AV2802" s="3">
        <v>0</v>
      </c>
      <c r="AW2802" s="3">
        <v>0</v>
      </c>
      <c r="AX2802" s="3">
        <v>0</v>
      </c>
      <c r="AY2802" s="3">
        <v>0</v>
      </c>
      <c r="AZ2802" s="3">
        <v>0</v>
      </c>
      <c r="BA2802" s="3">
        <v>0</v>
      </c>
      <c r="BB2802" s="3">
        <v>0</v>
      </c>
      <c r="BC2802" s="3">
        <v>0</v>
      </c>
      <c r="BD2802" s="3">
        <v>0</v>
      </c>
      <c r="BE2802" s="3">
        <v>0</v>
      </c>
      <c r="BF2802" s="3">
        <v>0</v>
      </c>
      <c r="BG2802" s="3">
        <v>0</v>
      </c>
      <c r="BH2802" s="3">
        <v>1</v>
      </c>
      <c r="BI2802" s="3">
        <v>1</v>
      </c>
      <c r="BJ2802" s="3">
        <v>0.2</v>
      </c>
      <c r="BK2802" s="3">
        <v>1</v>
      </c>
      <c r="BL2802" s="3">
        <v>60.52</v>
      </c>
      <c r="BM2802" s="3">
        <v>9.08</v>
      </c>
      <c r="BN2802" s="3">
        <v>69.599999999999994</v>
      </c>
      <c r="BO2802" s="3">
        <v>69.599999999999994</v>
      </c>
      <c r="BR2802" s="3" t="s">
        <v>308</v>
      </c>
      <c r="BS2802" s="4">
        <v>44565</v>
      </c>
      <c r="BT2802" s="5">
        <v>0.4375</v>
      </c>
      <c r="BU2802" s="3" t="s">
        <v>1582</v>
      </c>
      <c r="BV2802" s="3" t="s">
        <v>105</v>
      </c>
      <c r="BY2802" s="3">
        <v>1200</v>
      </c>
      <c r="BZ2802" s="3" t="s">
        <v>165</v>
      </c>
      <c r="CC2802" s="3" t="s">
        <v>95</v>
      </c>
      <c r="CD2802" s="3">
        <v>3200</v>
      </c>
      <c r="CE2802" s="3" t="s">
        <v>93</v>
      </c>
      <c r="CF2802" s="4">
        <v>44567</v>
      </c>
      <c r="CI2802" s="3">
        <v>1</v>
      </c>
      <c r="CJ2802" s="3">
        <v>1</v>
      </c>
      <c r="CK2802" s="3">
        <v>21</v>
      </c>
      <c r="CL2802" s="3" t="s">
        <v>87</v>
      </c>
    </row>
    <row r="2803" spans="1:90" x14ac:dyDescent="0.2">
      <c r="A2803" s="3" t="s">
        <v>72</v>
      </c>
      <c r="B2803" s="3" t="s">
        <v>73</v>
      </c>
      <c r="C2803" s="3" t="s">
        <v>74</v>
      </c>
      <c r="E2803" s="3" t="str">
        <f>"FES1162843212"</f>
        <v>FES1162843212</v>
      </c>
      <c r="F2803" s="4">
        <v>44564</v>
      </c>
      <c r="G2803" s="3">
        <v>202207</v>
      </c>
      <c r="H2803" s="3" t="s">
        <v>75</v>
      </c>
      <c r="I2803" s="3" t="s">
        <v>76</v>
      </c>
      <c r="J2803" s="3" t="s">
        <v>77</v>
      </c>
      <c r="K2803" s="3" t="s">
        <v>78</v>
      </c>
      <c r="L2803" s="3" t="s">
        <v>158</v>
      </c>
      <c r="M2803" s="3" t="s">
        <v>159</v>
      </c>
      <c r="N2803" s="3" t="s">
        <v>2663</v>
      </c>
      <c r="O2803" s="3" t="s">
        <v>82</v>
      </c>
      <c r="P2803" s="3" t="str">
        <f>"2170813186                    "</f>
        <v xml:space="preserve">2170813186                    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  <c r="W2803" s="3">
        <v>0</v>
      </c>
      <c r="X2803" s="3">
        <v>0</v>
      </c>
      <c r="Y2803" s="3">
        <v>0</v>
      </c>
      <c r="Z2803" s="3">
        <v>0</v>
      </c>
      <c r="AA2803" s="3">
        <v>0</v>
      </c>
      <c r="AB2803" s="3">
        <v>0</v>
      </c>
      <c r="AC2803" s="3">
        <v>0</v>
      </c>
      <c r="AD2803" s="3">
        <v>0</v>
      </c>
      <c r="AE2803" s="3">
        <v>0</v>
      </c>
      <c r="AF2803" s="3">
        <v>0</v>
      </c>
      <c r="AG2803" s="3">
        <v>0</v>
      </c>
      <c r="AH2803" s="3">
        <v>0</v>
      </c>
      <c r="AI2803" s="3">
        <v>0</v>
      </c>
      <c r="AJ2803" s="3">
        <v>0</v>
      </c>
      <c r="AK2803" s="3">
        <v>13.26</v>
      </c>
      <c r="AL2803" s="3">
        <v>0</v>
      </c>
      <c r="AM2803" s="3">
        <v>0</v>
      </c>
      <c r="AN2803" s="3">
        <v>0</v>
      </c>
      <c r="AO2803" s="3">
        <v>0</v>
      </c>
      <c r="AP2803" s="3">
        <v>0</v>
      </c>
      <c r="AQ2803" s="3">
        <v>0</v>
      </c>
      <c r="AR2803" s="3">
        <v>0</v>
      </c>
      <c r="AS2803" s="3">
        <v>0</v>
      </c>
      <c r="AT2803" s="3">
        <v>0</v>
      </c>
      <c r="AU2803" s="3">
        <v>0</v>
      </c>
      <c r="AV2803" s="3">
        <v>0</v>
      </c>
      <c r="AW2803" s="3">
        <v>0</v>
      </c>
      <c r="AX2803" s="3">
        <v>0</v>
      </c>
      <c r="AY2803" s="3">
        <v>0</v>
      </c>
      <c r="AZ2803" s="3">
        <v>0</v>
      </c>
      <c r="BA2803" s="3">
        <v>0</v>
      </c>
      <c r="BB2803" s="3">
        <v>0</v>
      </c>
      <c r="BC2803" s="3">
        <v>0</v>
      </c>
      <c r="BD2803" s="3">
        <v>0</v>
      </c>
      <c r="BE2803" s="3">
        <v>0</v>
      </c>
      <c r="BF2803" s="3">
        <v>0</v>
      </c>
      <c r="BG2803" s="3">
        <v>0</v>
      </c>
      <c r="BH2803" s="3">
        <v>1</v>
      </c>
      <c r="BI2803" s="3">
        <v>1</v>
      </c>
      <c r="BJ2803" s="3">
        <v>0.2</v>
      </c>
      <c r="BK2803" s="3">
        <v>1</v>
      </c>
      <c r="BL2803" s="3">
        <v>47.27</v>
      </c>
      <c r="BM2803" s="3">
        <v>7.09</v>
      </c>
      <c r="BN2803" s="3">
        <v>54.36</v>
      </c>
      <c r="BO2803" s="3">
        <v>54.36</v>
      </c>
      <c r="BQ2803" s="3" t="s">
        <v>83</v>
      </c>
      <c r="BR2803" s="3" t="s">
        <v>308</v>
      </c>
      <c r="BS2803" s="4">
        <v>44565</v>
      </c>
      <c r="BT2803" s="5">
        <v>0.52916666666666667</v>
      </c>
      <c r="BU2803" s="3" t="s">
        <v>2664</v>
      </c>
      <c r="BV2803" s="3" t="s">
        <v>87</v>
      </c>
      <c r="BW2803" s="3" t="s">
        <v>278</v>
      </c>
      <c r="BX2803" s="3" t="s">
        <v>1722</v>
      </c>
      <c r="BY2803" s="3">
        <v>1200</v>
      </c>
      <c r="BZ2803" s="3" t="s">
        <v>165</v>
      </c>
      <c r="CA2803" s="3" t="s">
        <v>678</v>
      </c>
      <c r="CC2803" s="3" t="s">
        <v>159</v>
      </c>
      <c r="CD2803" s="3">
        <v>1459</v>
      </c>
      <c r="CE2803" s="3" t="s">
        <v>93</v>
      </c>
      <c r="CF2803" s="4">
        <v>44566</v>
      </c>
      <c r="CI2803" s="3">
        <v>1</v>
      </c>
      <c r="CJ2803" s="3">
        <v>1</v>
      </c>
      <c r="CK2803" s="3">
        <v>22</v>
      </c>
      <c r="CL2803" s="3" t="s">
        <v>87</v>
      </c>
    </row>
    <row r="2804" spans="1:90" x14ac:dyDescent="0.2">
      <c r="A2804" s="3" t="s">
        <v>72</v>
      </c>
      <c r="B2804" s="3" t="s">
        <v>73</v>
      </c>
      <c r="C2804" s="3" t="s">
        <v>74</v>
      </c>
      <c r="E2804" s="3" t="str">
        <f>"FES1162843136"</f>
        <v>FES1162843136</v>
      </c>
      <c r="F2804" s="4">
        <v>44564</v>
      </c>
      <c r="G2804" s="3">
        <v>202207</v>
      </c>
      <c r="H2804" s="3" t="s">
        <v>75</v>
      </c>
      <c r="I2804" s="3" t="s">
        <v>76</v>
      </c>
      <c r="J2804" s="3" t="s">
        <v>77</v>
      </c>
      <c r="K2804" s="3" t="s">
        <v>78</v>
      </c>
      <c r="L2804" s="3" t="s">
        <v>218</v>
      </c>
      <c r="M2804" s="3" t="s">
        <v>219</v>
      </c>
      <c r="N2804" s="3" t="s">
        <v>2665</v>
      </c>
      <c r="O2804" s="3" t="s">
        <v>82</v>
      </c>
      <c r="P2804" s="3" t="str">
        <f>"2170804038                    "</f>
        <v xml:space="preserve">2170804038                    </v>
      </c>
      <c r="Q2804" s="3">
        <v>0</v>
      </c>
      <c r="R2804" s="3">
        <v>0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  <c r="AE2804" s="3">
        <v>0</v>
      </c>
      <c r="AF2804" s="3">
        <v>0</v>
      </c>
      <c r="AG2804" s="3">
        <v>0</v>
      </c>
      <c r="AH2804" s="3">
        <v>0</v>
      </c>
      <c r="AI2804" s="3">
        <v>0</v>
      </c>
      <c r="AJ2804" s="3">
        <v>0</v>
      </c>
      <c r="AK2804" s="3">
        <v>16.98</v>
      </c>
      <c r="AL2804" s="3">
        <v>0</v>
      </c>
      <c r="AM2804" s="3">
        <v>0</v>
      </c>
      <c r="AN2804" s="3">
        <v>0</v>
      </c>
      <c r="AO2804" s="3">
        <v>0</v>
      </c>
      <c r="AP2804" s="3">
        <v>0</v>
      </c>
      <c r="AQ2804" s="3">
        <v>0</v>
      </c>
      <c r="AR2804" s="3">
        <v>0</v>
      </c>
      <c r="AS2804" s="3">
        <v>0</v>
      </c>
      <c r="AT2804" s="3">
        <v>0</v>
      </c>
      <c r="AU2804" s="3">
        <v>0</v>
      </c>
      <c r="AV2804" s="3">
        <v>0</v>
      </c>
      <c r="AW2804" s="3">
        <v>0</v>
      </c>
      <c r="AX2804" s="3">
        <v>0</v>
      </c>
      <c r="AY2804" s="3">
        <v>0</v>
      </c>
      <c r="AZ2804" s="3">
        <v>0</v>
      </c>
      <c r="BA2804" s="3">
        <v>0</v>
      </c>
      <c r="BB2804" s="3">
        <v>0</v>
      </c>
      <c r="BC2804" s="3">
        <v>0</v>
      </c>
      <c r="BD2804" s="3">
        <v>0</v>
      </c>
      <c r="BE2804" s="3">
        <v>0</v>
      </c>
      <c r="BF2804" s="3">
        <v>0</v>
      </c>
      <c r="BG2804" s="3">
        <v>0</v>
      </c>
      <c r="BH2804" s="3">
        <v>1</v>
      </c>
      <c r="BI2804" s="3">
        <v>1</v>
      </c>
      <c r="BJ2804" s="3">
        <v>0.2</v>
      </c>
      <c r="BK2804" s="3">
        <v>1</v>
      </c>
      <c r="BL2804" s="3">
        <v>60.52</v>
      </c>
      <c r="BM2804" s="3">
        <v>9.08</v>
      </c>
      <c r="BN2804" s="3">
        <v>69.599999999999994</v>
      </c>
      <c r="BO2804" s="3">
        <v>69.599999999999994</v>
      </c>
      <c r="BR2804" s="3" t="s">
        <v>308</v>
      </c>
      <c r="BS2804" s="4">
        <v>44571</v>
      </c>
      <c r="BT2804" s="5">
        <v>0.39305555555555555</v>
      </c>
      <c r="BU2804" s="3" t="s">
        <v>728</v>
      </c>
      <c r="BV2804" s="3" t="s">
        <v>87</v>
      </c>
      <c r="BY2804" s="3">
        <v>1200</v>
      </c>
      <c r="BZ2804" s="3" t="s">
        <v>165</v>
      </c>
      <c r="CA2804" s="3" t="s">
        <v>362</v>
      </c>
      <c r="CC2804" s="3" t="s">
        <v>219</v>
      </c>
      <c r="CD2804" s="3">
        <v>46</v>
      </c>
      <c r="CE2804" s="3" t="s">
        <v>93</v>
      </c>
      <c r="CF2804" s="4">
        <v>44571</v>
      </c>
      <c r="CI2804" s="3">
        <v>1</v>
      </c>
      <c r="CJ2804" s="3">
        <v>5</v>
      </c>
      <c r="CK2804" s="3">
        <v>21</v>
      </c>
      <c r="CL2804" s="3" t="s">
        <v>87</v>
      </c>
    </row>
    <row r="2805" spans="1:90" x14ac:dyDescent="0.2">
      <c r="A2805" s="3" t="s">
        <v>72</v>
      </c>
      <c r="B2805" s="3" t="s">
        <v>73</v>
      </c>
      <c r="C2805" s="3" t="s">
        <v>74</v>
      </c>
      <c r="E2805" s="3" t="str">
        <f>"FES1162843226"</f>
        <v>FES1162843226</v>
      </c>
      <c r="F2805" s="4">
        <v>44564</v>
      </c>
      <c r="G2805" s="3">
        <v>202207</v>
      </c>
      <c r="H2805" s="3" t="s">
        <v>75</v>
      </c>
      <c r="I2805" s="3" t="s">
        <v>76</v>
      </c>
      <c r="J2805" s="3" t="s">
        <v>77</v>
      </c>
      <c r="K2805" s="3" t="s">
        <v>78</v>
      </c>
      <c r="L2805" s="3" t="s">
        <v>731</v>
      </c>
      <c r="M2805" s="3" t="s">
        <v>732</v>
      </c>
      <c r="N2805" s="3" t="s">
        <v>733</v>
      </c>
      <c r="O2805" s="3" t="s">
        <v>82</v>
      </c>
      <c r="P2805" s="3" t="str">
        <f>"2170813817                    "</f>
        <v xml:space="preserve">2170813817                    </v>
      </c>
      <c r="Q2805" s="3">
        <v>0</v>
      </c>
      <c r="R2805" s="3">
        <v>0</v>
      </c>
      <c r="S2805" s="3">
        <v>0</v>
      </c>
      <c r="T2805" s="3">
        <v>0</v>
      </c>
      <c r="U2805" s="3">
        <v>0</v>
      </c>
      <c r="V2805" s="3">
        <v>0</v>
      </c>
      <c r="W2805" s="3">
        <v>0</v>
      </c>
      <c r="X2805" s="3">
        <v>0</v>
      </c>
      <c r="Y2805" s="3">
        <v>0</v>
      </c>
      <c r="Z2805" s="3">
        <v>0</v>
      </c>
      <c r="AA2805" s="3">
        <v>0</v>
      </c>
      <c r="AB2805" s="3">
        <v>0</v>
      </c>
      <c r="AC2805" s="3">
        <v>0</v>
      </c>
      <c r="AD2805" s="3">
        <v>0</v>
      </c>
      <c r="AE2805" s="3">
        <v>0</v>
      </c>
      <c r="AF2805" s="3">
        <v>0</v>
      </c>
      <c r="AG2805" s="3">
        <v>0</v>
      </c>
      <c r="AH2805" s="3">
        <v>0</v>
      </c>
      <c r="AI2805" s="3">
        <v>0</v>
      </c>
      <c r="AJ2805" s="3">
        <v>0</v>
      </c>
      <c r="AK2805" s="3">
        <v>32.9</v>
      </c>
      <c r="AL2805" s="3">
        <v>0</v>
      </c>
      <c r="AM2805" s="3">
        <v>0</v>
      </c>
      <c r="AN2805" s="3">
        <v>0</v>
      </c>
      <c r="AO2805" s="3">
        <v>0</v>
      </c>
      <c r="AP2805" s="3">
        <v>0</v>
      </c>
      <c r="AQ2805" s="3">
        <v>0</v>
      </c>
      <c r="AR2805" s="3">
        <v>0</v>
      </c>
      <c r="AS2805" s="3">
        <v>0</v>
      </c>
      <c r="AT2805" s="3">
        <v>0</v>
      </c>
      <c r="AU2805" s="3">
        <v>0</v>
      </c>
      <c r="AV2805" s="3">
        <v>0</v>
      </c>
      <c r="AW2805" s="3">
        <v>0</v>
      </c>
      <c r="AX2805" s="3">
        <v>0</v>
      </c>
      <c r="AY2805" s="3">
        <v>0</v>
      </c>
      <c r="AZ2805" s="3">
        <v>0</v>
      </c>
      <c r="BA2805" s="3">
        <v>0</v>
      </c>
      <c r="BB2805" s="3">
        <v>0</v>
      </c>
      <c r="BC2805" s="3">
        <v>0</v>
      </c>
      <c r="BD2805" s="3">
        <v>0</v>
      </c>
      <c r="BE2805" s="3">
        <v>0</v>
      </c>
      <c r="BF2805" s="3">
        <v>0</v>
      </c>
      <c r="BG2805" s="3">
        <v>0</v>
      </c>
      <c r="BH2805" s="3">
        <v>1</v>
      </c>
      <c r="BI2805" s="3">
        <v>1</v>
      </c>
      <c r="BJ2805" s="3">
        <v>0.2</v>
      </c>
      <c r="BK2805" s="3">
        <v>1</v>
      </c>
      <c r="BL2805" s="3">
        <v>117.26</v>
      </c>
      <c r="BM2805" s="3">
        <v>17.59</v>
      </c>
      <c r="BN2805" s="3">
        <v>134.85</v>
      </c>
      <c r="BO2805" s="3">
        <v>134.85</v>
      </c>
      <c r="BQ2805" s="3" t="s">
        <v>89</v>
      </c>
      <c r="BR2805" s="3" t="s">
        <v>308</v>
      </c>
      <c r="BS2805" s="4">
        <v>44565</v>
      </c>
      <c r="BT2805" s="5">
        <v>0.41250000000000003</v>
      </c>
      <c r="BU2805" s="3" t="s">
        <v>2513</v>
      </c>
      <c r="BV2805" s="3" t="s">
        <v>105</v>
      </c>
      <c r="BY2805" s="3">
        <v>1200</v>
      </c>
      <c r="BZ2805" s="3" t="s">
        <v>165</v>
      </c>
      <c r="CA2805" s="3" t="s">
        <v>328</v>
      </c>
      <c r="CC2805" s="3" t="s">
        <v>732</v>
      </c>
      <c r="CD2805" s="3">
        <v>3290</v>
      </c>
      <c r="CE2805" s="3" t="s">
        <v>93</v>
      </c>
      <c r="CF2805" s="4">
        <v>44567</v>
      </c>
      <c r="CI2805" s="3">
        <v>1</v>
      </c>
      <c r="CJ2805" s="3">
        <v>1</v>
      </c>
      <c r="CK2805" s="3">
        <v>23</v>
      </c>
      <c r="CL2805" s="3" t="s">
        <v>87</v>
      </c>
    </row>
    <row r="2806" spans="1:90" x14ac:dyDescent="0.2">
      <c r="A2806" s="3" t="s">
        <v>72</v>
      </c>
      <c r="B2806" s="3" t="s">
        <v>73</v>
      </c>
      <c r="C2806" s="3" t="s">
        <v>74</v>
      </c>
      <c r="E2806" s="3" t="str">
        <f>"FES1162843238"</f>
        <v>FES1162843238</v>
      </c>
      <c r="F2806" s="4">
        <v>44564</v>
      </c>
      <c r="G2806" s="3">
        <v>202207</v>
      </c>
      <c r="H2806" s="3" t="s">
        <v>75</v>
      </c>
      <c r="I2806" s="3" t="s">
        <v>76</v>
      </c>
      <c r="J2806" s="3" t="s">
        <v>77</v>
      </c>
      <c r="K2806" s="3" t="s">
        <v>78</v>
      </c>
      <c r="L2806" s="3" t="s">
        <v>138</v>
      </c>
      <c r="M2806" s="3" t="s">
        <v>139</v>
      </c>
      <c r="N2806" s="3" t="s">
        <v>1206</v>
      </c>
      <c r="O2806" s="3" t="s">
        <v>82</v>
      </c>
      <c r="P2806" s="3" t="str">
        <f>"2170815206                    "</f>
        <v xml:space="preserve">2170815206                    </v>
      </c>
      <c r="Q2806" s="3">
        <v>0</v>
      </c>
      <c r="R2806" s="3">
        <v>0</v>
      </c>
      <c r="S2806" s="3">
        <v>0</v>
      </c>
      <c r="T2806" s="3">
        <v>0</v>
      </c>
      <c r="U2806" s="3">
        <v>0</v>
      </c>
      <c r="V2806" s="3">
        <v>0</v>
      </c>
      <c r="W2806" s="3">
        <v>0</v>
      </c>
      <c r="X2806" s="3">
        <v>0</v>
      </c>
      <c r="Y2806" s="3">
        <v>0</v>
      </c>
      <c r="Z2806" s="3">
        <v>0</v>
      </c>
      <c r="AA2806" s="3">
        <v>0</v>
      </c>
      <c r="AB2806" s="3">
        <v>0</v>
      </c>
      <c r="AC2806" s="3">
        <v>0</v>
      </c>
      <c r="AD2806" s="3">
        <v>0</v>
      </c>
      <c r="AE2806" s="3">
        <v>0</v>
      </c>
      <c r="AF2806" s="3">
        <v>0</v>
      </c>
      <c r="AG2806" s="3">
        <v>0</v>
      </c>
      <c r="AH2806" s="3">
        <v>0</v>
      </c>
      <c r="AI2806" s="3">
        <v>0</v>
      </c>
      <c r="AJ2806" s="3">
        <v>0</v>
      </c>
      <c r="AK2806" s="3">
        <v>16.98</v>
      </c>
      <c r="AL2806" s="3">
        <v>0</v>
      </c>
      <c r="AM2806" s="3">
        <v>0</v>
      </c>
      <c r="AN2806" s="3">
        <v>0</v>
      </c>
      <c r="AO2806" s="3">
        <v>0</v>
      </c>
      <c r="AP2806" s="3">
        <v>0</v>
      </c>
      <c r="AQ2806" s="3">
        <v>0</v>
      </c>
      <c r="AR2806" s="3">
        <v>0</v>
      </c>
      <c r="AS2806" s="3">
        <v>0</v>
      </c>
      <c r="AT2806" s="3">
        <v>0</v>
      </c>
      <c r="AU2806" s="3">
        <v>0</v>
      </c>
      <c r="AV2806" s="3">
        <v>0</v>
      </c>
      <c r="AW2806" s="3">
        <v>0</v>
      </c>
      <c r="AX2806" s="3">
        <v>0</v>
      </c>
      <c r="AY2806" s="3">
        <v>0</v>
      </c>
      <c r="AZ2806" s="3">
        <v>0</v>
      </c>
      <c r="BA2806" s="3">
        <v>0</v>
      </c>
      <c r="BB2806" s="3">
        <v>0</v>
      </c>
      <c r="BC2806" s="3">
        <v>0</v>
      </c>
      <c r="BD2806" s="3">
        <v>0</v>
      </c>
      <c r="BE2806" s="3">
        <v>0</v>
      </c>
      <c r="BF2806" s="3">
        <v>0</v>
      </c>
      <c r="BG2806" s="3">
        <v>0</v>
      </c>
      <c r="BH2806" s="3">
        <v>1</v>
      </c>
      <c r="BI2806" s="3">
        <v>1</v>
      </c>
      <c r="BJ2806" s="3">
        <v>0.2</v>
      </c>
      <c r="BK2806" s="3">
        <v>1</v>
      </c>
      <c r="BL2806" s="3">
        <v>60.52</v>
      </c>
      <c r="BM2806" s="3">
        <v>9.08</v>
      </c>
      <c r="BN2806" s="3">
        <v>69.599999999999994</v>
      </c>
      <c r="BO2806" s="3">
        <v>69.599999999999994</v>
      </c>
      <c r="BR2806" s="3" t="s">
        <v>308</v>
      </c>
      <c r="BS2806" s="4">
        <v>44565</v>
      </c>
      <c r="BT2806" s="5">
        <v>0.39027777777777778</v>
      </c>
      <c r="BU2806" s="3" t="s">
        <v>1212</v>
      </c>
      <c r="BV2806" s="3" t="s">
        <v>105</v>
      </c>
      <c r="BY2806" s="3">
        <v>1200</v>
      </c>
      <c r="BZ2806" s="3" t="s">
        <v>165</v>
      </c>
      <c r="CA2806" s="3" t="s">
        <v>303</v>
      </c>
      <c r="CC2806" s="3" t="s">
        <v>139</v>
      </c>
      <c r="CD2806" s="3">
        <v>3610</v>
      </c>
      <c r="CE2806" s="3" t="s">
        <v>93</v>
      </c>
      <c r="CF2806" s="4">
        <v>44565</v>
      </c>
      <c r="CI2806" s="3">
        <v>1</v>
      </c>
      <c r="CJ2806" s="3">
        <v>1</v>
      </c>
      <c r="CK2806" s="3">
        <v>21</v>
      </c>
      <c r="CL2806" s="3" t="s">
        <v>87</v>
      </c>
    </row>
    <row r="2807" spans="1:90" x14ac:dyDescent="0.2">
      <c r="A2807" s="3" t="s">
        <v>72</v>
      </c>
      <c r="B2807" s="3" t="s">
        <v>73</v>
      </c>
      <c r="C2807" s="3" t="s">
        <v>74</v>
      </c>
      <c r="E2807" s="3" t="str">
        <f>"FES1162843235"</f>
        <v>FES1162843235</v>
      </c>
      <c r="F2807" s="4">
        <v>44564</v>
      </c>
      <c r="G2807" s="3">
        <v>202207</v>
      </c>
      <c r="H2807" s="3" t="s">
        <v>75</v>
      </c>
      <c r="I2807" s="3" t="s">
        <v>76</v>
      </c>
      <c r="J2807" s="3" t="s">
        <v>77</v>
      </c>
      <c r="K2807" s="3" t="s">
        <v>78</v>
      </c>
      <c r="L2807" s="3" t="s">
        <v>110</v>
      </c>
      <c r="M2807" s="3" t="s">
        <v>110</v>
      </c>
      <c r="N2807" s="3" t="s">
        <v>146</v>
      </c>
      <c r="O2807" s="3" t="s">
        <v>82</v>
      </c>
      <c r="P2807" s="3" t="str">
        <f>"2170814871                    "</f>
        <v xml:space="preserve">2170814871                    </v>
      </c>
      <c r="Q2807" s="3">
        <v>0</v>
      </c>
      <c r="R2807" s="3">
        <v>0</v>
      </c>
      <c r="S2807" s="3">
        <v>0</v>
      </c>
      <c r="T2807" s="3">
        <v>0</v>
      </c>
      <c r="U2807" s="3">
        <v>0</v>
      </c>
      <c r="V2807" s="3">
        <v>0</v>
      </c>
      <c r="W2807" s="3">
        <v>0</v>
      </c>
      <c r="X2807" s="3">
        <v>0</v>
      </c>
      <c r="Y2807" s="3">
        <v>0</v>
      </c>
      <c r="Z2807" s="3">
        <v>0</v>
      </c>
      <c r="AA2807" s="3">
        <v>0</v>
      </c>
      <c r="AB2807" s="3">
        <v>0</v>
      </c>
      <c r="AC2807" s="3">
        <v>0</v>
      </c>
      <c r="AD2807" s="3">
        <v>0</v>
      </c>
      <c r="AE2807" s="3">
        <v>0</v>
      </c>
      <c r="AF2807" s="3">
        <v>0</v>
      </c>
      <c r="AG2807" s="3">
        <v>0</v>
      </c>
      <c r="AH2807" s="3">
        <v>0</v>
      </c>
      <c r="AI2807" s="3">
        <v>0</v>
      </c>
      <c r="AJ2807" s="3">
        <v>0</v>
      </c>
      <c r="AK2807" s="3">
        <v>32.9</v>
      </c>
      <c r="AL2807" s="3">
        <v>0</v>
      </c>
      <c r="AM2807" s="3">
        <v>0</v>
      </c>
      <c r="AN2807" s="3">
        <v>0</v>
      </c>
      <c r="AO2807" s="3">
        <v>0</v>
      </c>
      <c r="AP2807" s="3">
        <v>0</v>
      </c>
      <c r="AQ2807" s="3">
        <v>0</v>
      </c>
      <c r="AR2807" s="3">
        <v>0</v>
      </c>
      <c r="AS2807" s="3">
        <v>0</v>
      </c>
      <c r="AT2807" s="3">
        <v>0</v>
      </c>
      <c r="AU2807" s="3">
        <v>0</v>
      </c>
      <c r="AV2807" s="3">
        <v>0</v>
      </c>
      <c r="AW2807" s="3">
        <v>0</v>
      </c>
      <c r="AX2807" s="3">
        <v>0</v>
      </c>
      <c r="AY2807" s="3">
        <v>0</v>
      </c>
      <c r="AZ2807" s="3">
        <v>0</v>
      </c>
      <c r="BA2807" s="3">
        <v>0</v>
      </c>
      <c r="BB2807" s="3">
        <v>0</v>
      </c>
      <c r="BC2807" s="3">
        <v>0</v>
      </c>
      <c r="BD2807" s="3">
        <v>0</v>
      </c>
      <c r="BE2807" s="3">
        <v>0</v>
      </c>
      <c r="BF2807" s="3">
        <v>0</v>
      </c>
      <c r="BG2807" s="3">
        <v>0</v>
      </c>
      <c r="BH2807" s="3">
        <v>1</v>
      </c>
      <c r="BI2807" s="3">
        <v>1</v>
      </c>
      <c r="BJ2807" s="3">
        <v>0.2</v>
      </c>
      <c r="BK2807" s="3">
        <v>1</v>
      </c>
      <c r="BL2807" s="3">
        <v>117.26</v>
      </c>
      <c r="BM2807" s="3">
        <v>17.59</v>
      </c>
      <c r="BN2807" s="3">
        <v>134.85</v>
      </c>
      <c r="BO2807" s="3">
        <v>134.85</v>
      </c>
      <c r="BQ2807" s="3" t="s">
        <v>89</v>
      </c>
      <c r="BR2807" s="3" t="s">
        <v>308</v>
      </c>
      <c r="BS2807" s="4">
        <v>44565</v>
      </c>
      <c r="BT2807" s="5">
        <v>0.50208333333333333</v>
      </c>
      <c r="BU2807" s="3" t="s">
        <v>2666</v>
      </c>
      <c r="BV2807" s="3" t="s">
        <v>105</v>
      </c>
      <c r="BY2807" s="3">
        <v>1200</v>
      </c>
      <c r="BZ2807" s="3" t="s">
        <v>165</v>
      </c>
      <c r="CA2807" s="3" t="s">
        <v>360</v>
      </c>
      <c r="CC2807" s="3" t="s">
        <v>110</v>
      </c>
      <c r="CD2807" s="3">
        <v>7646</v>
      </c>
      <c r="CE2807" s="3" t="s">
        <v>93</v>
      </c>
      <c r="CF2807" s="4">
        <v>44566</v>
      </c>
      <c r="CI2807" s="3">
        <v>1</v>
      </c>
      <c r="CJ2807" s="3">
        <v>1</v>
      </c>
      <c r="CK2807" s="3">
        <v>23</v>
      </c>
      <c r="CL2807" s="3" t="s">
        <v>87</v>
      </c>
    </row>
    <row r="2808" spans="1:90" x14ac:dyDescent="0.2">
      <c r="A2808" s="3" t="s">
        <v>72</v>
      </c>
      <c r="B2808" s="3" t="s">
        <v>73</v>
      </c>
      <c r="C2808" s="3" t="s">
        <v>74</v>
      </c>
      <c r="E2808" s="3" t="str">
        <f>"FES1162843082"</f>
        <v>FES1162843082</v>
      </c>
      <c r="F2808" s="4">
        <v>44564</v>
      </c>
      <c r="G2808" s="3">
        <v>202207</v>
      </c>
      <c r="H2808" s="3" t="s">
        <v>75</v>
      </c>
      <c r="I2808" s="3" t="s">
        <v>76</v>
      </c>
      <c r="J2808" s="3" t="s">
        <v>77</v>
      </c>
      <c r="K2808" s="3" t="s">
        <v>78</v>
      </c>
      <c r="L2808" s="3" t="s">
        <v>162</v>
      </c>
      <c r="M2808" s="3" t="s">
        <v>163</v>
      </c>
      <c r="N2808" s="3" t="s">
        <v>917</v>
      </c>
      <c r="O2808" s="3" t="s">
        <v>82</v>
      </c>
      <c r="P2808" s="3" t="str">
        <f>"2170815441                    "</f>
        <v xml:space="preserve">2170815441                    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  <c r="AE2808" s="3">
        <v>0</v>
      </c>
      <c r="AF2808" s="3">
        <v>0</v>
      </c>
      <c r="AG2808" s="3">
        <v>0</v>
      </c>
      <c r="AH2808" s="3">
        <v>0</v>
      </c>
      <c r="AI2808" s="3">
        <v>0</v>
      </c>
      <c r="AJ2808" s="3">
        <v>0</v>
      </c>
      <c r="AK2808" s="3">
        <v>13.26</v>
      </c>
      <c r="AL2808" s="3">
        <v>0</v>
      </c>
      <c r="AM2808" s="3">
        <v>0</v>
      </c>
      <c r="AN2808" s="3">
        <v>0</v>
      </c>
      <c r="AO2808" s="3">
        <v>0</v>
      </c>
      <c r="AP2808" s="3">
        <v>0</v>
      </c>
      <c r="AQ2808" s="3">
        <v>0</v>
      </c>
      <c r="AR2808" s="3">
        <v>0</v>
      </c>
      <c r="AS2808" s="3">
        <v>0</v>
      </c>
      <c r="AT2808" s="3">
        <v>0</v>
      </c>
      <c r="AU2808" s="3">
        <v>0</v>
      </c>
      <c r="AV2808" s="3">
        <v>0</v>
      </c>
      <c r="AW2808" s="3">
        <v>0</v>
      </c>
      <c r="AX2808" s="3">
        <v>0</v>
      </c>
      <c r="AY2808" s="3">
        <v>0</v>
      </c>
      <c r="AZ2808" s="3">
        <v>0</v>
      </c>
      <c r="BA2808" s="3">
        <v>0</v>
      </c>
      <c r="BB2808" s="3">
        <v>0</v>
      </c>
      <c r="BC2808" s="3">
        <v>0</v>
      </c>
      <c r="BD2808" s="3">
        <v>0</v>
      </c>
      <c r="BE2808" s="3">
        <v>0</v>
      </c>
      <c r="BF2808" s="3">
        <v>0</v>
      </c>
      <c r="BG2808" s="3">
        <v>0</v>
      </c>
      <c r="BH2808" s="3">
        <v>1</v>
      </c>
      <c r="BI2808" s="3">
        <v>1</v>
      </c>
      <c r="BJ2808" s="3">
        <v>0.2</v>
      </c>
      <c r="BK2808" s="3">
        <v>1</v>
      </c>
      <c r="BL2808" s="3">
        <v>47.27</v>
      </c>
      <c r="BM2808" s="3">
        <v>7.09</v>
      </c>
      <c r="BN2808" s="3">
        <v>54.36</v>
      </c>
      <c r="BO2808" s="3">
        <v>54.36</v>
      </c>
      <c r="BQ2808" s="3" t="s">
        <v>89</v>
      </c>
      <c r="BR2808" s="3" t="s">
        <v>308</v>
      </c>
      <c r="BS2808" s="4">
        <v>44565</v>
      </c>
      <c r="BT2808" s="5">
        <v>0.39444444444444443</v>
      </c>
      <c r="BU2808" s="3" t="s">
        <v>2667</v>
      </c>
      <c r="BV2808" s="3" t="s">
        <v>105</v>
      </c>
      <c r="BY2808" s="3">
        <v>1200</v>
      </c>
      <c r="BZ2808" s="3" t="s">
        <v>165</v>
      </c>
      <c r="CA2808" s="3" t="s">
        <v>523</v>
      </c>
      <c r="CC2808" s="3" t="s">
        <v>163</v>
      </c>
      <c r="CD2808" s="3">
        <v>1401</v>
      </c>
      <c r="CE2808" s="3" t="s">
        <v>93</v>
      </c>
      <c r="CF2808" s="4">
        <v>44565</v>
      </c>
      <c r="CI2808" s="3">
        <v>1</v>
      </c>
      <c r="CJ2808" s="3">
        <v>1</v>
      </c>
      <c r="CK2808" s="3">
        <v>22</v>
      </c>
      <c r="CL2808" s="3" t="s">
        <v>87</v>
      </c>
    </row>
    <row r="2809" spans="1:90" x14ac:dyDescent="0.2">
      <c r="A2809" s="3" t="s">
        <v>72</v>
      </c>
      <c r="B2809" s="3" t="s">
        <v>73</v>
      </c>
      <c r="C2809" s="3" t="s">
        <v>74</v>
      </c>
      <c r="E2809" s="3" t="str">
        <f>"FES1162843178"</f>
        <v>FES1162843178</v>
      </c>
      <c r="F2809" s="4">
        <v>44564</v>
      </c>
      <c r="G2809" s="3">
        <v>202207</v>
      </c>
      <c r="H2809" s="3" t="s">
        <v>75</v>
      </c>
      <c r="I2809" s="3" t="s">
        <v>76</v>
      </c>
      <c r="J2809" s="3" t="s">
        <v>77</v>
      </c>
      <c r="K2809" s="3" t="s">
        <v>78</v>
      </c>
      <c r="L2809" s="3" t="s">
        <v>162</v>
      </c>
      <c r="M2809" s="3" t="s">
        <v>163</v>
      </c>
      <c r="N2809" s="3" t="s">
        <v>2668</v>
      </c>
      <c r="O2809" s="3" t="s">
        <v>82</v>
      </c>
      <c r="P2809" s="3" t="str">
        <f>"2170812838                    "</f>
        <v xml:space="preserve">2170812838                    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  <c r="AE2809" s="3">
        <v>0</v>
      </c>
      <c r="AF2809" s="3">
        <v>0</v>
      </c>
      <c r="AG2809" s="3">
        <v>0</v>
      </c>
      <c r="AH2809" s="3">
        <v>0</v>
      </c>
      <c r="AI2809" s="3">
        <v>0</v>
      </c>
      <c r="AJ2809" s="3">
        <v>0</v>
      </c>
      <c r="AK2809" s="3">
        <v>13.26</v>
      </c>
      <c r="AL2809" s="3">
        <v>0</v>
      </c>
      <c r="AM2809" s="3">
        <v>0</v>
      </c>
      <c r="AN2809" s="3">
        <v>0</v>
      </c>
      <c r="AO2809" s="3">
        <v>0</v>
      </c>
      <c r="AP2809" s="3">
        <v>0</v>
      </c>
      <c r="AQ2809" s="3">
        <v>0</v>
      </c>
      <c r="AR2809" s="3">
        <v>0</v>
      </c>
      <c r="AS2809" s="3">
        <v>0</v>
      </c>
      <c r="AT2809" s="3">
        <v>0</v>
      </c>
      <c r="AU2809" s="3">
        <v>0</v>
      </c>
      <c r="AV2809" s="3">
        <v>0</v>
      </c>
      <c r="AW2809" s="3">
        <v>0</v>
      </c>
      <c r="AX2809" s="3">
        <v>0</v>
      </c>
      <c r="AY2809" s="3">
        <v>0</v>
      </c>
      <c r="AZ2809" s="3">
        <v>0</v>
      </c>
      <c r="BA2809" s="3">
        <v>0</v>
      </c>
      <c r="BB2809" s="3">
        <v>0</v>
      </c>
      <c r="BC2809" s="3">
        <v>0</v>
      </c>
      <c r="BD2809" s="3">
        <v>0</v>
      </c>
      <c r="BE2809" s="3">
        <v>0</v>
      </c>
      <c r="BF2809" s="3">
        <v>0</v>
      </c>
      <c r="BG2809" s="3">
        <v>0</v>
      </c>
      <c r="BH2809" s="3">
        <v>1</v>
      </c>
      <c r="BI2809" s="3">
        <v>1</v>
      </c>
      <c r="BJ2809" s="3">
        <v>0.2</v>
      </c>
      <c r="BK2809" s="3">
        <v>1</v>
      </c>
      <c r="BL2809" s="3">
        <v>47.27</v>
      </c>
      <c r="BM2809" s="3">
        <v>7.09</v>
      </c>
      <c r="BN2809" s="3">
        <v>54.36</v>
      </c>
      <c r="BO2809" s="3">
        <v>54.36</v>
      </c>
      <c r="BQ2809" s="3" t="s">
        <v>2669</v>
      </c>
      <c r="BR2809" s="3" t="s">
        <v>308</v>
      </c>
      <c r="BS2809" s="4">
        <v>44565</v>
      </c>
      <c r="BT2809" s="5">
        <v>0.3430555555555555</v>
      </c>
      <c r="BU2809" s="3" t="s">
        <v>2670</v>
      </c>
      <c r="BV2809" s="3" t="s">
        <v>105</v>
      </c>
      <c r="BY2809" s="3">
        <v>1200</v>
      </c>
      <c r="BZ2809" s="3" t="s">
        <v>165</v>
      </c>
      <c r="CA2809" s="3" t="s">
        <v>2671</v>
      </c>
      <c r="CC2809" s="3" t="s">
        <v>163</v>
      </c>
      <c r="CD2809" s="3">
        <v>1401</v>
      </c>
      <c r="CE2809" s="3" t="s">
        <v>93</v>
      </c>
      <c r="CF2809" s="4">
        <v>44566</v>
      </c>
      <c r="CI2809" s="3">
        <v>1</v>
      </c>
      <c r="CJ2809" s="3">
        <v>1</v>
      </c>
      <c r="CK2809" s="3">
        <v>22</v>
      </c>
      <c r="CL2809" s="3" t="s">
        <v>87</v>
      </c>
    </row>
    <row r="2810" spans="1:90" x14ac:dyDescent="0.2">
      <c r="A2810" s="3" t="s">
        <v>72</v>
      </c>
      <c r="B2810" s="3" t="s">
        <v>73</v>
      </c>
      <c r="C2810" s="3" t="s">
        <v>74</v>
      </c>
      <c r="E2810" s="3" t="str">
        <f>"FES1162843048"</f>
        <v>FES1162843048</v>
      </c>
      <c r="F2810" s="4">
        <v>44564</v>
      </c>
      <c r="G2810" s="3">
        <v>202207</v>
      </c>
      <c r="H2810" s="3" t="s">
        <v>75</v>
      </c>
      <c r="I2810" s="3" t="s">
        <v>76</v>
      </c>
      <c r="J2810" s="3" t="s">
        <v>77</v>
      </c>
      <c r="K2810" s="3" t="s">
        <v>78</v>
      </c>
      <c r="L2810" s="3" t="s">
        <v>1686</v>
      </c>
      <c r="M2810" s="3" t="s">
        <v>1687</v>
      </c>
      <c r="N2810" s="3" t="s">
        <v>1688</v>
      </c>
      <c r="O2810" s="3" t="s">
        <v>82</v>
      </c>
      <c r="P2810" s="3" t="str">
        <f>"2170815405                    "</f>
        <v xml:space="preserve">2170815405                    </v>
      </c>
      <c r="Q2810" s="3">
        <v>0</v>
      </c>
      <c r="R2810" s="3">
        <v>0</v>
      </c>
      <c r="S2810" s="3">
        <v>0</v>
      </c>
      <c r="T2810" s="3">
        <v>0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0</v>
      </c>
      <c r="AA2810" s="3">
        <v>0</v>
      </c>
      <c r="AB2810" s="3">
        <v>0</v>
      </c>
      <c r="AC2810" s="3">
        <v>0</v>
      </c>
      <c r="AD2810" s="3">
        <v>0</v>
      </c>
      <c r="AE2810" s="3">
        <v>0</v>
      </c>
      <c r="AF2810" s="3">
        <v>0</v>
      </c>
      <c r="AG2810" s="3">
        <v>0</v>
      </c>
      <c r="AH2810" s="3">
        <v>0</v>
      </c>
      <c r="AI2810" s="3">
        <v>0</v>
      </c>
      <c r="AJ2810" s="3">
        <v>0</v>
      </c>
      <c r="AK2810" s="3">
        <v>32.9</v>
      </c>
      <c r="AL2810" s="3">
        <v>0</v>
      </c>
      <c r="AM2810" s="3">
        <v>0</v>
      </c>
      <c r="AN2810" s="3">
        <v>0</v>
      </c>
      <c r="AO2810" s="3">
        <v>0</v>
      </c>
      <c r="AP2810" s="3">
        <v>0</v>
      </c>
      <c r="AQ2810" s="3">
        <v>0</v>
      </c>
      <c r="AR2810" s="3">
        <v>0</v>
      </c>
      <c r="AS2810" s="3">
        <v>0</v>
      </c>
      <c r="AT2810" s="3">
        <v>0</v>
      </c>
      <c r="AU2810" s="3">
        <v>0</v>
      </c>
      <c r="AV2810" s="3">
        <v>0</v>
      </c>
      <c r="AW2810" s="3">
        <v>0</v>
      </c>
      <c r="AX2810" s="3">
        <v>0</v>
      </c>
      <c r="AY2810" s="3">
        <v>0</v>
      </c>
      <c r="AZ2810" s="3">
        <v>0</v>
      </c>
      <c r="BA2810" s="3">
        <v>0</v>
      </c>
      <c r="BB2810" s="3">
        <v>0</v>
      </c>
      <c r="BC2810" s="3">
        <v>0</v>
      </c>
      <c r="BD2810" s="3">
        <v>0</v>
      </c>
      <c r="BE2810" s="3">
        <v>0</v>
      </c>
      <c r="BF2810" s="3">
        <v>0</v>
      </c>
      <c r="BG2810" s="3">
        <v>0</v>
      </c>
      <c r="BH2810" s="3">
        <v>1</v>
      </c>
      <c r="BI2810" s="3">
        <v>1</v>
      </c>
      <c r="BJ2810" s="3">
        <v>0.2</v>
      </c>
      <c r="BK2810" s="3">
        <v>1</v>
      </c>
      <c r="BL2810" s="3">
        <v>117.26</v>
      </c>
      <c r="BM2810" s="3">
        <v>17.59</v>
      </c>
      <c r="BN2810" s="3">
        <v>134.85</v>
      </c>
      <c r="BO2810" s="3">
        <v>134.85</v>
      </c>
      <c r="BQ2810" s="3" t="s">
        <v>83</v>
      </c>
      <c r="BR2810" s="3" t="s">
        <v>308</v>
      </c>
      <c r="BS2810" s="3" t="s">
        <v>85</v>
      </c>
      <c r="BW2810" s="3" t="s">
        <v>278</v>
      </c>
      <c r="BX2810" s="3" t="s">
        <v>758</v>
      </c>
      <c r="BY2810" s="3">
        <v>1200</v>
      </c>
      <c r="BZ2810" s="3" t="s">
        <v>165</v>
      </c>
      <c r="CC2810" s="3" t="s">
        <v>1687</v>
      </c>
      <c r="CD2810" s="3">
        <v>8405</v>
      </c>
      <c r="CE2810" s="3" t="s">
        <v>93</v>
      </c>
      <c r="CI2810" s="3">
        <v>5</v>
      </c>
      <c r="CJ2810" s="3" t="s">
        <v>85</v>
      </c>
      <c r="CK2810" s="3">
        <v>23</v>
      </c>
      <c r="CL2810" s="3" t="s">
        <v>87</v>
      </c>
    </row>
    <row r="2811" spans="1:90" x14ac:dyDescent="0.2">
      <c r="A2811" s="3" t="s">
        <v>72</v>
      </c>
      <c r="B2811" s="3" t="s">
        <v>73</v>
      </c>
      <c r="C2811" s="3" t="s">
        <v>74</v>
      </c>
      <c r="E2811" s="3" t="str">
        <f>"FES1162843045"</f>
        <v>FES1162843045</v>
      </c>
      <c r="F2811" s="4">
        <v>44564</v>
      </c>
      <c r="G2811" s="3">
        <v>202207</v>
      </c>
      <c r="H2811" s="3" t="s">
        <v>75</v>
      </c>
      <c r="I2811" s="3" t="s">
        <v>76</v>
      </c>
      <c r="J2811" s="3" t="s">
        <v>77</v>
      </c>
      <c r="K2811" s="3" t="s">
        <v>78</v>
      </c>
      <c r="L2811" s="3" t="s">
        <v>171</v>
      </c>
      <c r="M2811" s="3" t="s">
        <v>172</v>
      </c>
      <c r="N2811" s="3" t="s">
        <v>2672</v>
      </c>
      <c r="O2811" s="3" t="s">
        <v>82</v>
      </c>
      <c r="P2811" s="3" t="str">
        <f>"2170815016                    "</f>
        <v xml:space="preserve">2170815016                    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  <c r="AE2811" s="3">
        <v>0</v>
      </c>
      <c r="AF2811" s="3">
        <v>0</v>
      </c>
      <c r="AG2811" s="3">
        <v>0</v>
      </c>
      <c r="AH2811" s="3">
        <v>0</v>
      </c>
      <c r="AI2811" s="3">
        <v>0</v>
      </c>
      <c r="AJ2811" s="3">
        <v>0</v>
      </c>
      <c r="AK2811" s="3">
        <v>42.44</v>
      </c>
      <c r="AL2811" s="3">
        <v>0</v>
      </c>
      <c r="AM2811" s="3">
        <v>0</v>
      </c>
      <c r="AN2811" s="3">
        <v>0</v>
      </c>
      <c r="AO2811" s="3">
        <v>0</v>
      </c>
      <c r="AP2811" s="3">
        <v>0</v>
      </c>
      <c r="AQ2811" s="3">
        <v>0</v>
      </c>
      <c r="AR2811" s="3">
        <v>0</v>
      </c>
      <c r="AS2811" s="3">
        <v>0</v>
      </c>
      <c r="AT2811" s="3">
        <v>0</v>
      </c>
      <c r="AU2811" s="3">
        <v>0</v>
      </c>
      <c r="AV2811" s="3">
        <v>0</v>
      </c>
      <c r="AW2811" s="3">
        <v>0</v>
      </c>
      <c r="AX2811" s="3">
        <v>0</v>
      </c>
      <c r="AY2811" s="3">
        <v>0</v>
      </c>
      <c r="AZ2811" s="3">
        <v>0</v>
      </c>
      <c r="BA2811" s="3">
        <v>0</v>
      </c>
      <c r="BB2811" s="3">
        <v>0</v>
      </c>
      <c r="BC2811" s="3">
        <v>0</v>
      </c>
      <c r="BD2811" s="3">
        <v>0</v>
      </c>
      <c r="BE2811" s="3">
        <v>0</v>
      </c>
      <c r="BF2811" s="3">
        <v>0</v>
      </c>
      <c r="BG2811" s="3">
        <v>0</v>
      </c>
      <c r="BH2811" s="3">
        <v>1</v>
      </c>
      <c r="BI2811" s="3">
        <v>2</v>
      </c>
      <c r="BJ2811" s="3">
        <v>4.9000000000000004</v>
      </c>
      <c r="BK2811" s="3">
        <v>5</v>
      </c>
      <c r="BL2811" s="3">
        <v>151.26</v>
      </c>
      <c r="BM2811" s="3">
        <v>22.69</v>
      </c>
      <c r="BN2811" s="3">
        <v>173.95</v>
      </c>
      <c r="BO2811" s="3">
        <v>173.95</v>
      </c>
      <c r="BQ2811" s="3" t="s">
        <v>89</v>
      </c>
      <c r="BR2811" s="3" t="s">
        <v>308</v>
      </c>
      <c r="BS2811" s="4">
        <v>44565</v>
      </c>
      <c r="BT2811" s="5">
        <v>0.36249999999999999</v>
      </c>
      <c r="BU2811" s="3" t="s">
        <v>2673</v>
      </c>
      <c r="BV2811" s="3" t="s">
        <v>105</v>
      </c>
      <c r="BY2811" s="3">
        <v>24576</v>
      </c>
      <c r="BZ2811" s="3" t="s">
        <v>165</v>
      </c>
      <c r="CA2811" s="3" t="s">
        <v>509</v>
      </c>
      <c r="CC2811" s="3" t="s">
        <v>172</v>
      </c>
      <c r="CD2811" s="3">
        <v>6001</v>
      </c>
      <c r="CE2811" s="3" t="s">
        <v>86</v>
      </c>
      <c r="CF2811" s="4">
        <v>44565</v>
      </c>
      <c r="CI2811" s="3">
        <v>1</v>
      </c>
      <c r="CJ2811" s="3">
        <v>1</v>
      </c>
      <c r="CK2811" s="3">
        <v>21</v>
      </c>
      <c r="CL2811" s="3" t="s">
        <v>87</v>
      </c>
    </row>
    <row r="2812" spans="1:90" x14ac:dyDescent="0.2">
      <c r="A2812" s="3" t="s">
        <v>72</v>
      </c>
      <c r="B2812" s="3" t="s">
        <v>73</v>
      </c>
      <c r="C2812" s="3" t="s">
        <v>74</v>
      </c>
      <c r="E2812" s="3" t="str">
        <f>"FES1162843084"</f>
        <v>FES1162843084</v>
      </c>
      <c r="F2812" s="4">
        <v>44564</v>
      </c>
      <c r="G2812" s="3">
        <v>202207</v>
      </c>
      <c r="H2812" s="3" t="s">
        <v>75</v>
      </c>
      <c r="I2812" s="3" t="s">
        <v>76</v>
      </c>
      <c r="J2812" s="3" t="s">
        <v>77</v>
      </c>
      <c r="K2812" s="3" t="s">
        <v>78</v>
      </c>
      <c r="L2812" s="3" t="s">
        <v>171</v>
      </c>
      <c r="M2812" s="3" t="s">
        <v>172</v>
      </c>
      <c r="N2812" s="3" t="s">
        <v>454</v>
      </c>
      <c r="O2812" s="3" t="s">
        <v>82</v>
      </c>
      <c r="P2812" s="3" t="str">
        <f>"2170815447                    "</f>
        <v xml:space="preserve">2170815447                    </v>
      </c>
      <c r="Q2812" s="3">
        <v>0</v>
      </c>
      <c r="R2812" s="3">
        <v>0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  <c r="AE2812" s="3">
        <v>0</v>
      </c>
      <c r="AF2812" s="3">
        <v>0</v>
      </c>
      <c r="AG2812" s="3">
        <v>0</v>
      </c>
      <c r="AH2812" s="3">
        <v>0</v>
      </c>
      <c r="AI2812" s="3">
        <v>0</v>
      </c>
      <c r="AJ2812" s="3">
        <v>0</v>
      </c>
      <c r="AK2812" s="3">
        <v>80.63</v>
      </c>
      <c r="AL2812" s="3">
        <v>0</v>
      </c>
      <c r="AM2812" s="3">
        <v>0</v>
      </c>
      <c r="AN2812" s="3">
        <v>0</v>
      </c>
      <c r="AO2812" s="3">
        <v>0</v>
      </c>
      <c r="AP2812" s="3">
        <v>0</v>
      </c>
      <c r="AQ2812" s="3">
        <v>0</v>
      </c>
      <c r="AR2812" s="3">
        <v>0</v>
      </c>
      <c r="AS2812" s="3">
        <v>0</v>
      </c>
      <c r="AT2812" s="3">
        <v>0</v>
      </c>
      <c r="AU2812" s="3">
        <v>0</v>
      </c>
      <c r="AV2812" s="3">
        <v>0</v>
      </c>
      <c r="AW2812" s="3">
        <v>0</v>
      </c>
      <c r="AX2812" s="3">
        <v>0</v>
      </c>
      <c r="AY2812" s="3">
        <v>0</v>
      </c>
      <c r="AZ2812" s="3">
        <v>0</v>
      </c>
      <c r="BA2812" s="3">
        <v>0</v>
      </c>
      <c r="BB2812" s="3">
        <v>0</v>
      </c>
      <c r="BC2812" s="3">
        <v>0</v>
      </c>
      <c r="BD2812" s="3">
        <v>0</v>
      </c>
      <c r="BE2812" s="3">
        <v>0</v>
      </c>
      <c r="BF2812" s="3">
        <v>0</v>
      </c>
      <c r="BG2812" s="3">
        <v>0</v>
      </c>
      <c r="BH2812" s="3">
        <v>1</v>
      </c>
      <c r="BI2812" s="3">
        <v>4</v>
      </c>
      <c r="BJ2812" s="3">
        <v>9.1</v>
      </c>
      <c r="BK2812" s="3">
        <v>9.5</v>
      </c>
      <c r="BL2812" s="3">
        <v>287.37</v>
      </c>
      <c r="BM2812" s="3">
        <v>43.11</v>
      </c>
      <c r="BN2812" s="3">
        <v>330.48</v>
      </c>
      <c r="BO2812" s="3">
        <v>330.48</v>
      </c>
      <c r="BQ2812" s="3" t="s">
        <v>89</v>
      </c>
      <c r="BR2812" s="3" t="s">
        <v>308</v>
      </c>
      <c r="BS2812" s="4">
        <v>44565</v>
      </c>
      <c r="BT2812" s="5">
        <v>0.4284722222222222</v>
      </c>
      <c r="BU2812" s="3" t="s">
        <v>1989</v>
      </c>
      <c r="BV2812" s="3" t="s">
        <v>105</v>
      </c>
      <c r="BY2812" s="3">
        <v>45632</v>
      </c>
      <c r="BZ2812" s="3" t="s">
        <v>165</v>
      </c>
      <c r="CA2812" s="3" t="s">
        <v>509</v>
      </c>
      <c r="CC2812" s="3" t="s">
        <v>172</v>
      </c>
      <c r="CD2812" s="3">
        <v>6001</v>
      </c>
      <c r="CE2812" s="3" t="s">
        <v>86</v>
      </c>
      <c r="CF2812" s="4">
        <v>44565</v>
      </c>
      <c r="CI2812" s="3">
        <v>1</v>
      </c>
      <c r="CJ2812" s="3">
        <v>1</v>
      </c>
      <c r="CK2812" s="3">
        <v>21</v>
      </c>
      <c r="CL2812" s="3" t="s">
        <v>87</v>
      </c>
    </row>
    <row r="2813" spans="1:90" x14ac:dyDescent="0.2">
      <c r="A2813" s="3" t="s">
        <v>72</v>
      </c>
      <c r="B2813" s="3" t="s">
        <v>73</v>
      </c>
      <c r="C2813" s="3" t="s">
        <v>74</v>
      </c>
      <c r="E2813" s="3" t="str">
        <f>"FES1162843055"</f>
        <v>FES1162843055</v>
      </c>
      <c r="F2813" s="4">
        <v>44564</v>
      </c>
      <c r="G2813" s="3">
        <v>202207</v>
      </c>
      <c r="H2813" s="3" t="s">
        <v>75</v>
      </c>
      <c r="I2813" s="3" t="s">
        <v>76</v>
      </c>
      <c r="J2813" s="3" t="s">
        <v>77</v>
      </c>
      <c r="K2813" s="3" t="s">
        <v>78</v>
      </c>
      <c r="L2813" s="3" t="s">
        <v>171</v>
      </c>
      <c r="M2813" s="3" t="s">
        <v>172</v>
      </c>
      <c r="N2813" s="3" t="s">
        <v>2674</v>
      </c>
      <c r="O2813" s="3" t="s">
        <v>148</v>
      </c>
      <c r="P2813" s="3" t="str">
        <f>"2170812918                    "</f>
        <v xml:space="preserve">2170812918                    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  <c r="AE2813" s="3">
        <v>0</v>
      </c>
      <c r="AF2813" s="3">
        <v>0</v>
      </c>
      <c r="AG2813" s="3">
        <v>0</v>
      </c>
      <c r="AH2813" s="3">
        <v>0</v>
      </c>
      <c r="AI2813" s="3">
        <v>0</v>
      </c>
      <c r="AJ2813" s="3">
        <v>0</v>
      </c>
      <c r="AK2813" s="3">
        <v>32.840000000000003</v>
      </c>
      <c r="AL2813" s="3">
        <v>0</v>
      </c>
      <c r="AM2813" s="3">
        <v>0</v>
      </c>
      <c r="AN2813" s="3">
        <v>0</v>
      </c>
      <c r="AO2813" s="3">
        <v>0</v>
      </c>
      <c r="AP2813" s="3">
        <v>0</v>
      </c>
      <c r="AQ2813" s="3">
        <v>0</v>
      </c>
      <c r="AR2813" s="3">
        <v>0</v>
      </c>
      <c r="AS2813" s="3">
        <v>0</v>
      </c>
      <c r="AT2813" s="3">
        <v>0</v>
      </c>
      <c r="AU2813" s="3">
        <v>0</v>
      </c>
      <c r="AV2813" s="3">
        <v>0</v>
      </c>
      <c r="AW2813" s="3">
        <v>0</v>
      </c>
      <c r="AX2813" s="3">
        <v>0</v>
      </c>
      <c r="AY2813" s="3">
        <v>0</v>
      </c>
      <c r="AZ2813" s="3">
        <v>0</v>
      </c>
      <c r="BA2813" s="3">
        <v>0</v>
      </c>
      <c r="BB2813" s="3">
        <v>0</v>
      </c>
      <c r="BC2813" s="3">
        <v>0</v>
      </c>
      <c r="BD2813" s="3">
        <v>0</v>
      </c>
      <c r="BE2813" s="3">
        <v>0</v>
      </c>
      <c r="BF2813" s="3">
        <v>0</v>
      </c>
      <c r="BG2813" s="3">
        <v>0</v>
      </c>
      <c r="BH2813" s="3">
        <v>1</v>
      </c>
      <c r="BI2813" s="3">
        <v>9</v>
      </c>
      <c r="BJ2813" s="3">
        <v>2.5</v>
      </c>
      <c r="BK2813" s="3">
        <v>9</v>
      </c>
      <c r="BL2813" s="3">
        <v>122.29</v>
      </c>
      <c r="BM2813" s="3">
        <v>18.34</v>
      </c>
      <c r="BN2813" s="3">
        <v>140.63</v>
      </c>
      <c r="BO2813" s="3">
        <v>140.63</v>
      </c>
      <c r="BQ2813" s="3" t="s">
        <v>83</v>
      </c>
      <c r="BR2813" s="3" t="s">
        <v>308</v>
      </c>
      <c r="BS2813" s="4">
        <v>44566</v>
      </c>
      <c r="BT2813" s="5">
        <v>0.4694444444444445</v>
      </c>
      <c r="BU2813" s="3" t="s">
        <v>2675</v>
      </c>
      <c r="BV2813" s="3" t="s">
        <v>105</v>
      </c>
      <c r="BY2813" s="3">
        <v>12400</v>
      </c>
      <c r="BZ2813" s="3" t="s">
        <v>327</v>
      </c>
      <c r="CA2813" s="3" t="s">
        <v>263</v>
      </c>
      <c r="CC2813" s="3" t="s">
        <v>172</v>
      </c>
      <c r="CD2813" s="3">
        <v>6001</v>
      </c>
      <c r="CE2813" s="3" t="s">
        <v>86</v>
      </c>
      <c r="CF2813" s="4">
        <v>44566</v>
      </c>
      <c r="CI2813" s="3">
        <v>2</v>
      </c>
      <c r="CJ2813" s="3">
        <v>2</v>
      </c>
      <c r="CK2813" s="3">
        <v>41</v>
      </c>
      <c r="CL2813" s="3" t="s">
        <v>87</v>
      </c>
    </row>
    <row r="2814" spans="1:90" x14ac:dyDescent="0.2">
      <c r="A2814" s="3" t="s">
        <v>72</v>
      </c>
      <c r="B2814" s="3" t="s">
        <v>73</v>
      </c>
      <c r="C2814" s="3" t="s">
        <v>74</v>
      </c>
      <c r="E2814" s="3" t="str">
        <f>"FES1162843077"</f>
        <v>FES1162843077</v>
      </c>
      <c r="F2814" s="4">
        <v>44564</v>
      </c>
      <c r="G2814" s="3">
        <v>202207</v>
      </c>
      <c r="H2814" s="3" t="s">
        <v>75</v>
      </c>
      <c r="I2814" s="3" t="s">
        <v>76</v>
      </c>
      <c r="J2814" s="3" t="s">
        <v>77</v>
      </c>
      <c r="K2814" s="3" t="s">
        <v>78</v>
      </c>
      <c r="L2814" s="3" t="s">
        <v>218</v>
      </c>
      <c r="M2814" s="3" t="s">
        <v>219</v>
      </c>
      <c r="N2814" s="3" t="s">
        <v>766</v>
      </c>
      <c r="O2814" s="3" t="s">
        <v>82</v>
      </c>
      <c r="P2814" s="3" t="str">
        <f>"2170815328                    "</f>
        <v xml:space="preserve">2170815328                    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  <c r="AE2814" s="3">
        <v>0</v>
      </c>
      <c r="AF2814" s="3">
        <v>0</v>
      </c>
      <c r="AG2814" s="3">
        <v>0</v>
      </c>
      <c r="AH2814" s="3">
        <v>0</v>
      </c>
      <c r="AI2814" s="3">
        <v>0</v>
      </c>
      <c r="AJ2814" s="3">
        <v>0</v>
      </c>
      <c r="AK2814" s="3">
        <v>16.98</v>
      </c>
      <c r="AL2814" s="3">
        <v>0</v>
      </c>
      <c r="AM2814" s="3">
        <v>0</v>
      </c>
      <c r="AN2814" s="3">
        <v>0</v>
      </c>
      <c r="AO2814" s="3">
        <v>0</v>
      </c>
      <c r="AP2814" s="3">
        <v>0</v>
      </c>
      <c r="AQ2814" s="3">
        <v>0</v>
      </c>
      <c r="AR2814" s="3">
        <v>0</v>
      </c>
      <c r="AS2814" s="3">
        <v>0</v>
      </c>
      <c r="AT2814" s="3">
        <v>0</v>
      </c>
      <c r="AU2814" s="3">
        <v>0</v>
      </c>
      <c r="AV2814" s="3">
        <v>0</v>
      </c>
      <c r="AW2814" s="3">
        <v>0</v>
      </c>
      <c r="AX2814" s="3">
        <v>0</v>
      </c>
      <c r="AY2814" s="3">
        <v>0</v>
      </c>
      <c r="AZ2814" s="3">
        <v>0</v>
      </c>
      <c r="BA2814" s="3">
        <v>0</v>
      </c>
      <c r="BB2814" s="3">
        <v>0</v>
      </c>
      <c r="BC2814" s="3">
        <v>0</v>
      </c>
      <c r="BD2814" s="3">
        <v>0</v>
      </c>
      <c r="BE2814" s="3">
        <v>0</v>
      </c>
      <c r="BF2814" s="3">
        <v>0</v>
      </c>
      <c r="BG2814" s="3">
        <v>0</v>
      </c>
      <c r="BH2814" s="3">
        <v>1</v>
      </c>
      <c r="BI2814" s="3">
        <v>2</v>
      </c>
      <c r="BJ2814" s="3">
        <v>2</v>
      </c>
      <c r="BK2814" s="3">
        <v>2</v>
      </c>
      <c r="BL2814" s="3">
        <v>60.52</v>
      </c>
      <c r="BM2814" s="3">
        <v>9.08</v>
      </c>
      <c r="BN2814" s="3">
        <v>69.599999999999994</v>
      </c>
      <c r="BO2814" s="3">
        <v>69.599999999999994</v>
      </c>
      <c r="BQ2814" s="3" t="s">
        <v>89</v>
      </c>
      <c r="BR2814" s="3" t="s">
        <v>308</v>
      </c>
      <c r="BS2814" s="4">
        <v>44565</v>
      </c>
      <c r="BT2814" s="5">
        <v>0.4152777777777778</v>
      </c>
      <c r="BU2814" s="3" t="s">
        <v>1007</v>
      </c>
      <c r="BV2814" s="3" t="s">
        <v>105</v>
      </c>
      <c r="BY2814" s="3">
        <v>9918</v>
      </c>
      <c r="BZ2814" s="3" t="s">
        <v>165</v>
      </c>
      <c r="CA2814" s="3" t="s">
        <v>362</v>
      </c>
      <c r="CC2814" s="3" t="s">
        <v>219</v>
      </c>
      <c r="CD2814" s="3">
        <v>157</v>
      </c>
      <c r="CE2814" s="3" t="s">
        <v>86</v>
      </c>
      <c r="CF2814" s="4">
        <v>44565</v>
      </c>
      <c r="CI2814" s="3">
        <v>1</v>
      </c>
      <c r="CJ2814" s="3">
        <v>1</v>
      </c>
      <c r="CK2814" s="3">
        <v>21</v>
      </c>
      <c r="CL2814" s="3" t="s">
        <v>87</v>
      </c>
    </row>
    <row r="2815" spans="1:90" x14ac:dyDescent="0.2">
      <c r="A2815" s="3" t="s">
        <v>72</v>
      </c>
      <c r="B2815" s="3" t="s">
        <v>73</v>
      </c>
      <c r="C2815" s="3" t="s">
        <v>74</v>
      </c>
      <c r="E2815" s="3" t="str">
        <f>"FES1162843085"</f>
        <v>FES1162843085</v>
      </c>
      <c r="F2815" s="4">
        <v>44564</v>
      </c>
      <c r="G2815" s="3">
        <v>202207</v>
      </c>
      <c r="H2815" s="3" t="s">
        <v>75</v>
      </c>
      <c r="I2815" s="3" t="s">
        <v>76</v>
      </c>
      <c r="J2815" s="3" t="s">
        <v>77</v>
      </c>
      <c r="K2815" s="3" t="s">
        <v>78</v>
      </c>
      <c r="L2815" s="3" t="s">
        <v>2328</v>
      </c>
      <c r="M2815" s="3" t="s">
        <v>2329</v>
      </c>
      <c r="N2815" s="3" t="s">
        <v>2676</v>
      </c>
      <c r="O2815" s="3" t="s">
        <v>82</v>
      </c>
      <c r="P2815" s="3" t="str">
        <f>"2170815456                    "</f>
        <v xml:space="preserve">2170815456                    </v>
      </c>
      <c r="Q2815" s="3">
        <v>0</v>
      </c>
      <c r="R2815" s="3">
        <v>0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  <c r="AE2815" s="3">
        <v>0</v>
      </c>
      <c r="AF2815" s="3">
        <v>0</v>
      </c>
      <c r="AG2815" s="3">
        <v>0</v>
      </c>
      <c r="AH2815" s="3">
        <v>0</v>
      </c>
      <c r="AI2815" s="3">
        <v>0</v>
      </c>
      <c r="AJ2815" s="3">
        <v>0</v>
      </c>
      <c r="AK2815" s="3">
        <v>32.9</v>
      </c>
      <c r="AL2815" s="3">
        <v>0</v>
      </c>
      <c r="AM2815" s="3">
        <v>0</v>
      </c>
      <c r="AN2815" s="3">
        <v>0</v>
      </c>
      <c r="AO2815" s="3">
        <v>0</v>
      </c>
      <c r="AP2815" s="3">
        <v>0</v>
      </c>
      <c r="AQ2815" s="3">
        <v>0</v>
      </c>
      <c r="AR2815" s="3">
        <v>0</v>
      </c>
      <c r="AS2815" s="3">
        <v>0</v>
      </c>
      <c r="AT2815" s="3">
        <v>0</v>
      </c>
      <c r="AU2815" s="3">
        <v>0</v>
      </c>
      <c r="AV2815" s="3">
        <v>0</v>
      </c>
      <c r="AW2815" s="3">
        <v>0</v>
      </c>
      <c r="AX2815" s="3">
        <v>0</v>
      </c>
      <c r="AY2815" s="3">
        <v>0</v>
      </c>
      <c r="AZ2815" s="3">
        <v>0</v>
      </c>
      <c r="BA2815" s="3">
        <v>0</v>
      </c>
      <c r="BB2815" s="3">
        <v>0</v>
      </c>
      <c r="BC2815" s="3">
        <v>0</v>
      </c>
      <c r="BD2815" s="3">
        <v>0</v>
      </c>
      <c r="BE2815" s="3">
        <v>0</v>
      </c>
      <c r="BF2815" s="3">
        <v>0</v>
      </c>
      <c r="BG2815" s="3">
        <v>0</v>
      </c>
      <c r="BH2815" s="3">
        <v>1</v>
      </c>
      <c r="BI2815" s="3">
        <v>1</v>
      </c>
      <c r="BJ2815" s="3">
        <v>2</v>
      </c>
      <c r="BK2815" s="3">
        <v>2</v>
      </c>
      <c r="BL2815" s="3">
        <v>117.26</v>
      </c>
      <c r="BM2815" s="3">
        <v>17.59</v>
      </c>
      <c r="BN2815" s="3">
        <v>134.85</v>
      </c>
      <c r="BO2815" s="3">
        <v>134.85</v>
      </c>
      <c r="BQ2815" s="3" t="s">
        <v>126</v>
      </c>
      <c r="BR2815" s="3" t="s">
        <v>308</v>
      </c>
      <c r="BS2815" s="4">
        <v>44565</v>
      </c>
      <c r="BT2815" s="5">
        <v>0.41666666666666669</v>
      </c>
      <c r="BU2815" s="3" t="s">
        <v>2677</v>
      </c>
      <c r="BV2815" s="3" t="s">
        <v>105</v>
      </c>
      <c r="BY2815" s="3">
        <v>9900</v>
      </c>
      <c r="BZ2815" s="3" t="s">
        <v>165</v>
      </c>
      <c r="CA2815" s="3" t="s">
        <v>328</v>
      </c>
      <c r="CC2815" s="3" t="s">
        <v>2329</v>
      </c>
      <c r="CD2815" s="3">
        <v>3310</v>
      </c>
      <c r="CE2815" s="3" t="s">
        <v>86</v>
      </c>
      <c r="CF2815" s="4">
        <v>44567</v>
      </c>
      <c r="CI2815" s="3">
        <v>1</v>
      </c>
      <c r="CJ2815" s="3">
        <v>1</v>
      </c>
      <c r="CK2815" s="3">
        <v>23</v>
      </c>
      <c r="CL2815" s="3" t="s">
        <v>87</v>
      </c>
    </row>
    <row r="2816" spans="1:90" x14ac:dyDescent="0.2">
      <c r="A2816" s="3" t="s">
        <v>72</v>
      </c>
      <c r="B2816" s="3" t="s">
        <v>73</v>
      </c>
      <c r="C2816" s="3" t="s">
        <v>74</v>
      </c>
      <c r="E2816" s="3" t="str">
        <f>"FES1162843128"</f>
        <v>FES1162843128</v>
      </c>
      <c r="F2816" s="4">
        <v>44564</v>
      </c>
      <c r="G2816" s="3">
        <v>202207</v>
      </c>
      <c r="H2816" s="3" t="s">
        <v>75</v>
      </c>
      <c r="I2816" s="3" t="s">
        <v>76</v>
      </c>
      <c r="J2816" s="3" t="s">
        <v>77</v>
      </c>
      <c r="K2816" s="3" t="s">
        <v>78</v>
      </c>
      <c r="L2816" s="3" t="s">
        <v>258</v>
      </c>
      <c r="M2816" s="3" t="s">
        <v>259</v>
      </c>
      <c r="N2816" s="3" t="s">
        <v>2678</v>
      </c>
      <c r="O2816" s="3" t="s">
        <v>148</v>
      </c>
      <c r="P2816" s="3" t="str">
        <f>"2170815462                    "</f>
        <v xml:space="preserve">2170815462                    </v>
      </c>
      <c r="Q2816" s="3">
        <v>0</v>
      </c>
      <c r="R2816" s="3">
        <v>0</v>
      </c>
      <c r="S2816" s="3">
        <v>0</v>
      </c>
      <c r="T2816" s="3">
        <v>0</v>
      </c>
      <c r="U2816" s="3">
        <v>0</v>
      </c>
      <c r="V2816" s="3">
        <v>0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0</v>
      </c>
      <c r="AC2816" s="3">
        <v>0</v>
      </c>
      <c r="AD2816" s="3">
        <v>0</v>
      </c>
      <c r="AE2816" s="3">
        <v>0</v>
      </c>
      <c r="AF2816" s="3">
        <v>0</v>
      </c>
      <c r="AG2816" s="3">
        <v>0</v>
      </c>
      <c r="AH2816" s="3">
        <v>0</v>
      </c>
      <c r="AI2816" s="3">
        <v>0</v>
      </c>
      <c r="AJ2816" s="3">
        <v>0</v>
      </c>
      <c r="AK2816" s="3">
        <v>36.270000000000003</v>
      </c>
      <c r="AL2816" s="3">
        <v>0</v>
      </c>
      <c r="AM2816" s="3">
        <v>0</v>
      </c>
      <c r="AN2816" s="3">
        <v>0</v>
      </c>
      <c r="AO2816" s="3">
        <v>0</v>
      </c>
      <c r="AP2816" s="3">
        <v>0</v>
      </c>
      <c r="AQ2816" s="3">
        <v>0</v>
      </c>
      <c r="AR2816" s="3">
        <v>0</v>
      </c>
      <c r="AS2816" s="3">
        <v>0</v>
      </c>
      <c r="AT2816" s="3">
        <v>0</v>
      </c>
      <c r="AU2816" s="3">
        <v>0</v>
      </c>
      <c r="AV2816" s="3">
        <v>0</v>
      </c>
      <c r="AW2816" s="3">
        <v>0</v>
      </c>
      <c r="AX2816" s="3">
        <v>0</v>
      </c>
      <c r="AY2816" s="3">
        <v>0</v>
      </c>
      <c r="AZ2816" s="3">
        <v>0</v>
      </c>
      <c r="BA2816" s="3">
        <v>0</v>
      </c>
      <c r="BB2816" s="3">
        <v>0</v>
      </c>
      <c r="BC2816" s="3">
        <v>0</v>
      </c>
      <c r="BD2816" s="3">
        <v>0</v>
      </c>
      <c r="BE2816" s="3">
        <v>0</v>
      </c>
      <c r="BF2816" s="3">
        <v>0</v>
      </c>
      <c r="BG2816" s="3">
        <v>0</v>
      </c>
      <c r="BH2816" s="3">
        <v>1</v>
      </c>
      <c r="BI2816" s="3">
        <v>10</v>
      </c>
      <c r="BJ2816" s="3">
        <v>3.6</v>
      </c>
      <c r="BK2816" s="3">
        <v>10</v>
      </c>
      <c r="BL2816" s="3">
        <v>134.51</v>
      </c>
      <c r="BM2816" s="3">
        <v>20.18</v>
      </c>
      <c r="BN2816" s="3">
        <v>154.69</v>
      </c>
      <c r="BO2816" s="3">
        <v>154.69</v>
      </c>
      <c r="BR2816" s="3" t="s">
        <v>308</v>
      </c>
      <c r="BS2816" s="4">
        <v>44565</v>
      </c>
      <c r="BT2816" s="5">
        <v>0.4291666666666667</v>
      </c>
      <c r="BU2816" s="3" t="s">
        <v>2679</v>
      </c>
      <c r="BV2816" s="3" t="s">
        <v>105</v>
      </c>
      <c r="BY2816" s="3">
        <v>18031</v>
      </c>
      <c r="BZ2816" s="3" t="s">
        <v>327</v>
      </c>
      <c r="CA2816" s="3" t="s">
        <v>779</v>
      </c>
      <c r="CC2816" s="3" t="s">
        <v>259</v>
      </c>
      <c r="CD2816" s="3">
        <v>2302</v>
      </c>
      <c r="CE2816" s="3" t="s">
        <v>86</v>
      </c>
      <c r="CF2816" s="4">
        <v>44565</v>
      </c>
      <c r="CI2816" s="3">
        <v>1</v>
      </c>
      <c r="CJ2816" s="3">
        <v>1</v>
      </c>
      <c r="CK2816" s="3">
        <v>44</v>
      </c>
      <c r="CL2816" s="3" t="s">
        <v>87</v>
      </c>
    </row>
    <row r="2817" spans="1:90" x14ac:dyDescent="0.2">
      <c r="A2817" s="3" t="s">
        <v>72</v>
      </c>
      <c r="B2817" s="3" t="s">
        <v>73</v>
      </c>
      <c r="C2817" s="3" t="s">
        <v>74</v>
      </c>
      <c r="E2817" s="3" t="str">
        <f>"FES1162843076"</f>
        <v>FES1162843076</v>
      </c>
      <c r="F2817" s="4">
        <v>44564</v>
      </c>
      <c r="G2817" s="3">
        <v>202207</v>
      </c>
      <c r="H2817" s="3" t="s">
        <v>75</v>
      </c>
      <c r="I2817" s="3" t="s">
        <v>76</v>
      </c>
      <c r="J2817" s="3" t="s">
        <v>77</v>
      </c>
      <c r="K2817" s="3" t="s">
        <v>78</v>
      </c>
      <c r="L2817" s="3" t="s">
        <v>218</v>
      </c>
      <c r="M2817" s="3" t="s">
        <v>219</v>
      </c>
      <c r="N2817" s="3" t="s">
        <v>766</v>
      </c>
      <c r="O2817" s="3" t="s">
        <v>82</v>
      </c>
      <c r="P2817" s="3" t="str">
        <f>"2170815321                    "</f>
        <v xml:space="preserve">2170815321                    </v>
      </c>
      <c r="Q2817" s="3">
        <v>0</v>
      </c>
      <c r="R2817" s="3">
        <v>0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  <c r="AE2817" s="3">
        <v>0</v>
      </c>
      <c r="AF2817" s="3">
        <v>0</v>
      </c>
      <c r="AG2817" s="3">
        <v>0</v>
      </c>
      <c r="AH2817" s="3">
        <v>0</v>
      </c>
      <c r="AI2817" s="3">
        <v>0</v>
      </c>
      <c r="AJ2817" s="3">
        <v>0</v>
      </c>
      <c r="AK2817" s="3">
        <v>16.98</v>
      </c>
      <c r="AL2817" s="3">
        <v>0</v>
      </c>
      <c r="AM2817" s="3">
        <v>0</v>
      </c>
      <c r="AN2817" s="3">
        <v>0</v>
      </c>
      <c r="AO2817" s="3">
        <v>0</v>
      </c>
      <c r="AP2817" s="3">
        <v>0</v>
      </c>
      <c r="AQ2817" s="3">
        <v>0</v>
      </c>
      <c r="AR2817" s="3">
        <v>0</v>
      </c>
      <c r="AS2817" s="3">
        <v>0</v>
      </c>
      <c r="AT2817" s="3">
        <v>0</v>
      </c>
      <c r="AU2817" s="3">
        <v>0</v>
      </c>
      <c r="AV2817" s="3">
        <v>0</v>
      </c>
      <c r="AW2817" s="3">
        <v>0</v>
      </c>
      <c r="AX2817" s="3">
        <v>0</v>
      </c>
      <c r="AY2817" s="3">
        <v>0</v>
      </c>
      <c r="AZ2817" s="3">
        <v>0</v>
      </c>
      <c r="BA2817" s="3">
        <v>0</v>
      </c>
      <c r="BB2817" s="3">
        <v>0</v>
      </c>
      <c r="BC2817" s="3">
        <v>0</v>
      </c>
      <c r="BD2817" s="3">
        <v>0</v>
      </c>
      <c r="BE2817" s="3">
        <v>0</v>
      </c>
      <c r="BF2817" s="3">
        <v>0</v>
      </c>
      <c r="BG2817" s="3">
        <v>0</v>
      </c>
      <c r="BH2817" s="3">
        <v>1</v>
      </c>
      <c r="BI2817" s="3">
        <v>1</v>
      </c>
      <c r="BJ2817" s="3">
        <v>1.5</v>
      </c>
      <c r="BK2817" s="3">
        <v>1.5</v>
      </c>
      <c r="BL2817" s="3">
        <v>60.52</v>
      </c>
      <c r="BM2817" s="3">
        <v>9.08</v>
      </c>
      <c r="BN2817" s="3">
        <v>69.599999999999994</v>
      </c>
      <c r="BO2817" s="3">
        <v>69.599999999999994</v>
      </c>
      <c r="BQ2817" s="3" t="s">
        <v>89</v>
      </c>
      <c r="BR2817" s="3" t="s">
        <v>308</v>
      </c>
      <c r="BS2817" s="4">
        <v>44565</v>
      </c>
      <c r="BT2817" s="5">
        <v>0.4152777777777778</v>
      </c>
      <c r="BU2817" s="3" t="s">
        <v>1007</v>
      </c>
      <c r="BV2817" s="3" t="s">
        <v>105</v>
      </c>
      <c r="BY2817" s="3">
        <v>7540</v>
      </c>
      <c r="BZ2817" s="3" t="s">
        <v>165</v>
      </c>
      <c r="CA2817" s="3" t="s">
        <v>362</v>
      </c>
      <c r="CC2817" s="3" t="s">
        <v>219</v>
      </c>
      <c r="CD2817" s="3">
        <v>157</v>
      </c>
      <c r="CE2817" s="3" t="s">
        <v>86</v>
      </c>
      <c r="CF2817" s="4">
        <v>44565</v>
      </c>
      <c r="CI2817" s="3">
        <v>1</v>
      </c>
      <c r="CJ2817" s="3">
        <v>1</v>
      </c>
      <c r="CK2817" s="3">
        <v>21</v>
      </c>
      <c r="CL2817" s="3" t="s">
        <v>87</v>
      </c>
    </row>
    <row r="2818" spans="1:90" x14ac:dyDescent="0.2">
      <c r="A2818" s="3" t="s">
        <v>72</v>
      </c>
      <c r="B2818" s="3" t="s">
        <v>73</v>
      </c>
      <c r="C2818" s="3" t="s">
        <v>74</v>
      </c>
      <c r="E2818" s="3" t="str">
        <f>"FES1162843079"</f>
        <v>FES1162843079</v>
      </c>
      <c r="F2818" s="4">
        <v>44564</v>
      </c>
      <c r="G2818" s="3">
        <v>202207</v>
      </c>
      <c r="H2818" s="3" t="s">
        <v>75</v>
      </c>
      <c r="I2818" s="3" t="s">
        <v>76</v>
      </c>
      <c r="J2818" s="3" t="s">
        <v>77</v>
      </c>
      <c r="K2818" s="3" t="s">
        <v>78</v>
      </c>
      <c r="L2818" s="3" t="s">
        <v>250</v>
      </c>
      <c r="M2818" s="3" t="s">
        <v>251</v>
      </c>
      <c r="N2818" s="3" t="s">
        <v>252</v>
      </c>
      <c r="O2818" s="3" t="s">
        <v>82</v>
      </c>
      <c r="P2818" s="3" t="str">
        <f>"2170815435                    "</f>
        <v xml:space="preserve">2170815435                    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  <c r="AE2818" s="3">
        <v>0</v>
      </c>
      <c r="AF2818" s="3">
        <v>0</v>
      </c>
      <c r="AG2818" s="3">
        <v>0</v>
      </c>
      <c r="AH2818" s="3">
        <v>0</v>
      </c>
      <c r="AI2818" s="3">
        <v>0</v>
      </c>
      <c r="AJ2818" s="3">
        <v>0</v>
      </c>
      <c r="AK2818" s="3">
        <v>32.9</v>
      </c>
      <c r="AL2818" s="3">
        <v>0</v>
      </c>
      <c r="AM2818" s="3">
        <v>0</v>
      </c>
      <c r="AN2818" s="3">
        <v>0</v>
      </c>
      <c r="AO2818" s="3">
        <v>0</v>
      </c>
      <c r="AP2818" s="3">
        <v>0</v>
      </c>
      <c r="AQ2818" s="3">
        <v>0</v>
      </c>
      <c r="AR2818" s="3">
        <v>0</v>
      </c>
      <c r="AS2818" s="3">
        <v>0</v>
      </c>
      <c r="AT2818" s="3">
        <v>0</v>
      </c>
      <c r="AU2818" s="3">
        <v>0</v>
      </c>
      <c r="AV2818" s="3">
        <v>0</v>
      </c>
      <c r="AW2818" s="3">
        <v>0</v>
      </c>
      <c r="AX2818" s="3">
        <v>0</v>
      </c>
      <c r="AY2818" s="3">
        <v>0</v>
      </c>
      <c r="AZ2818" s="3">
        <v>0</v>
      </c>
      <c r="BA2818" s="3">
        <v>0</v>
      </c>
      <c r="BB2818" s="3">
        <v>0</v>
      </c>
      <c r="BC2818" s="3">
        <v>0</v>
      </c>
      <c r="BD2818" s="3">
        <v>0</v>
      </c>
      <c r="BE2818" s="3">
        <v>0</v>
      </c>
      <c r="BF2818" s="3">
        <v>0</v>
      </c>
      <c r="BG2818" s="3">
        <v>0</v>
      </c>
      <c r="BH2818" s="3">
        <v>1</v>
      </c>
      <c r="BI2818" s="3">
        <v>1</v>
      </c>
      <c r="BJ2818" s="3">
        <v>0.2</v>
      </c>
      <c r="BK2818" s="3">
        <v>1</v>
      </c>
      <c r="BL2818" s="3">
        <v>117.26</v>
      </c>
      <c r="BM2818" s="3">
        <v>17.59</v>
      </c>
      <c r="BN2818" s="3">
        <v>134.85</v>
      </c>
      <c r="BO2818" s="3">
        <v>134.85</v>
      </c>
      <c r="BQ2818" s="3" t="s">
        <v>253</v>
      </c>
      <c r="BR2818" s="3" t="s">
        <v>308</v>
      </c>
      <c r="BS2818" s="4">
        <v>44565</v>
      </c>
      <c r="BT2818" s="5">
        <v>0.42499999999999999</v>
      </c>
      <c r="BU2818" s="3" t="s">
        <v>2041</v>
      </c>
      <c r="BV2818" s="3" t="s">
        <v>105</v>
      </c>
      <c r="BY2818" s="3">
        <v>1200</v>
      </c>
      <c r="BZ2818" s="3" t="s">
        <v>165</v>
      </c>
      <c r="CA2818" s="3" t="s">
        <v>368</v>
      </c>
      <c r="CC2818" s="3" t="s">
        <v>251</v>
      </c>
      <c r="CD2818" s="3">
        <v>6300</v>
      </c>
      <c r="CE2818" s="3" t="s">
        <v>93</v>
      </c>
      <c r="CF2818" s="4">
        <v>44565</v>
      </c>
      <c r="CI2818" s="3">
        <v>2</v>
      </c>
      <c r="CJ2818" s="3">
        <v>1</v>
      </c>
      <c r="CK2818" s="3">
        <v>23</v>
      </c>
      <c r="CL2818" s="3" t="s">
        <v>87</v>
      </c>
    </row>
    <row r="2819" spans="1:90" x14ac:dyDescent="0.2">
      <c r="A2819" s="3" t="s">
        <v>72</v>
      </c>
      <c r="B2819" s="3" t="s">
        <v>73</v>
      </c>
      <c r="C2819" s="3" t="s">
        <v>74</v>
      </c>
      <c r="E2819" s="3" t="str">
        <f>"FES1162843061"</f>
        <v>FES1162843061</v>
      </c>
      <c r="F2819" s="4">
        <v>44564</v>
      </c>
      <c r="G2819" s="3">
        <v>202207</v>
      </c>
      <c r="H2819" s="3" t="s">
        <v>75</v>
      </c>
      <c r="I2819" s="3" t="s">
        <v>76</v>
      </c>
      <c r="J2819" s="3" t="s">
        <v>77</v>
      </c>
      <c r="K2819" s="3" t="s">
        <v>78</v>
      </c>
      <c r="L2819" s="3" t="s">
        <v>2328</v>
      </c>
      <c r="M2819" s="3" t="s">
        <v>2329</v>
      </c>
      <c r="N2819" s="3" t="s">
        <v>2676</v>
      </c>
      <c r="O2819" s="3" t="s">
        <v>82</v>
      </c>
      <c r="P2819" s="3" t="str">
        <f>"2170815420                    "</f>
        <v xml:space="preserve">2170815420                    </v>
      </c>
      <c r="Q2819" s="3">
        <v>0</v>
      </c>
      <c r="R2819" s="3">
        <v>0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  <c r="AE2819" s="3">
        <v>0</v>
      </c>
      <c r="AF2819" s="3">
        <v>0</v>
      </c>
      <c r="AG2819" s="3">
        <v>0</v>
      </c>
      <c r="AH2819" s="3">
        <v>0</v>
      </c>
      <c r="AI2819" s="3">
        <v>0</v>
      </c>
      <c r="AJ2819" s="3">
        <v>0</v>
      </c>
      <c r="AK2819" s="3">
        <v>32.9</v>
      </c>
      <c r="AL2819" s="3">
        <v>0</v>
      </c>
      <c r="AM2819" s="3">
        <v>0</v>
      </c>
      <c r="AN2819" s="3">
        <v>0</v>
      </c>
      <c r="AO2819" s="3">
        <v>0</v>
      </c>
      <c r="AP2819" s="3">
        <v>0</v>
      </c>
      <c r="AQ2819" s="3">
        <v>0</v>
      </c>
      <c r="AR2819" s="3">
        <v>0</v>
      </c>
      <c r="AS2819" s="3">
        <v>0</v>
      </c>
      <c r="AT2819" s="3">
        <v>0</v>
      </c>
      <c r="AU2819" s="3">
        <v>0</v>
      </c>
      <c r="AV2819" s="3">
        <v>0</v>
      </c>
      <c r="AW2819" s="3">
        <v>0</v>
      </c>
      <c r="AX2819" s="3">
        <v>0</v>
      </c>
      <c r="AY2819" s="3">
        <v>0</v>
      </c>
      <c r="AZ2819" s="3">
        <v>0</v>
      </c>
      <c r="BA2819" s="3">
        <v>0</v>
      </c>
      <c r="BB2819" s="3">
        <v>0</v>
      </c>
      <c r="BC2819" s="3">
        <v>0</v>
      </c>
      <c r="BD2819" s="3">
        <v>0</v>
      </c>
      <c r="BE2819" s="3">
        <v>0</v>
      </c>
      <c r="BF2819" s="3">
        <v>0</v>
      </c>
      <c r="BG2819" s="3">
        <v>0</v>
      </c>
      <c r="BH2819" s="3">
        <v>1</v>
      </c>
      <c r="BI2819" s="3">
        <v>1</v>
      </c>
      <c r="BJ2819" s="3">
        <v>0.2</v>
      </c>
      <c r="BK2819" s="3">
        <v>1</v>
      </c>
      <c r="BL2819" s="3">
        <v>117.26</v>
      </c>
      <c r="BM2819" s="3">
        <v>17.59</v>
      </c>
      <c r="BN2819" s="3">
        <v>134.85</v>
      </c>
      <c r="BO2819" s="3">
        <v>134.85</v>
      </c>
      <c r="BQ2819" s="3" t="s">
        <v>126</v>
      </c>
      <c r="BR2819" s="3" t="s">
        <v>308</v>
      </c>
      <c r="BS2819" s="4">
        <v>44565</v>
      </c>
      <c r="BT2819" s="5">
        <v>0.41666666666666669</v>
      </c>
      <c r="BU2819" s="3" t="s">
        <v>2677</v>
      </c>
      <c r="BV2819" s="3" t="s">
        <v>105</v>
      </c>
      <c r="BY2819" s="3">
        <v>1200</v>
      </c>
      <c r="BZ2819" s="3" t="s">
        <v>165</v>
      </c>
      <c r="CA2819" s="3" t="s">
        <v>328</v>
      </c>
      <c r="CC2819" s="3" t="s">
        <v>2329</v>
      </c>
      <c r="CD2819" s="3">
        <v>3310</v>
      </c>
      <c r="CE2819" s="3" t="s">
        <v>93</v>
      </c>
      <c r="CF2819" s="4">
        <v>44567</v>
      </c>
      <c r="CI2819" s="3">
        <v>1</v>
      </c>
      <c r="CJ2819" s="3">
        <v>1</v>
      </c>
      <c r="CK2819" s="3">
        <v>23</v>
      </c>
      <c r="CL2819" s="3" t="s">
        <v>87</v>
      </c>
    </row>
    <row r="2820" spans="1:90" x14ac:dyDescent="0.2">
      <c r="A2820" s="3" t="s">
        <v>72</v>
      </c>
      <c r="B2820" s="3" t="s">
        <v>73</v>
      </c>
      <c r="C2820" s="3" t="s">
        <v>74</v>
      </c>
      <c r="E2820" s="3" t="str">
        <f>"FES1162843075"</f>
        <v>FES1162843075</v>
      </c>
      <c r="F2820" s="4">
        <v>44564</v>
      </c>
      <c r="G2820" s="3">
        <v>202207</v>
      </c>
      <c r="H2820" s="3" t="s">
        <v>75</v>
      </c>
      <c r="I2820" s="3" t="s">
        <v>76</v>
      </c>
      <c r="J2820" s="3" t="s">
        <v>77</v>
      </c>
      <c r="K2820" s="3" t="s">
        <v>78</v>
      </c>
      <c r="L2820" s="3" t="s">
        <v>171</v>
      </c>
      <c r="M2820" s="3" t="s">
        <v>172</v>
      </c>
      <c r="N2820" s="3" t="s">
        <v>624</v>
      </c>
      <c r="O2820" s="3" t="s">
        <v>82</v>
      </c>
      <c r="P2820" s="3" t="str">
        <f>"2170815037                    "</f>
        <v xml:space="preserve">2170815037                    </v>
      </c>
      <c r="Q2820" s="3">
        <v>0</v>
      </c>
      <c r="R2820" s="3">
        <v>0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  <c r="AE2820" s="3">
        <v>0</v>
      </c>
      <c r="AF2820" s="3">
        <v>0</v>
      </c>
      <c r="AG2820" s="3">
        <v>0</v>
      </c>
      <c r="AH2820" s="3">
        <v>0</v>
      </c>
      <c r="AI2820" s="3">
        <v>0</v>
      </c>
      <c r="AJ2820" s="3">
        <v>0</v>
      </c>
      <c r="AK2820" s="3">
        <v>16.98</v>
      </c>
      <c r="AL2820" s="3">
        <v>0</v>
      </c>
      <c r="AM2820" s="3">
        <v>0</v>
      </c>
      <c r="AN2820" s="3">
        <v>0</v>
      </c>
      <c r="AO2820" s="3">
        <v>0</v>
      </c>
      <c r="AP2820" s="3">
        <v>0</v>
      </c>
      <c r="AQ2820" s="3">
        <v>0</v>
      </c>
      <c r="AR2820" s="3">
        <v>0</v>
      </c>
      <c r="AS2820" s="3">
        <v>0</v>
      </c>
      <c r="AT2820" s="3">
        <v>0</v>
      </c>
      <c r="AU2820" s="3">
        <v>0</v>
      </c>
      <c r="AV2820" s="3">
        <v>0</v>
      </c>
      <c r="AW2820" s="3">
        <v>0</v>
      </c>
      <c r="AX2820" s="3">
        <v>0</v>
      </c>
      <c r="AY2820" s="3">
        <v>0</v>
      </c>
      <c r="AZ2820" s="3">
        <v>0</v>
      </c>
      <c r="BA2820" s="3">
        <v>0</v>
      </c>
      <c r="BB2820" s="3">
        <v>0</v>
      </c>
      <c r="BC2820" s="3">
        <v>0</v>
      </c>
      <c r="BD2820" s="3">
        <v>0</v>
      </c>
      <c r="BE2820" s="3">
        <v>0</v>
      </c>
      <c r="BF2820" s="3">
        <v>0</v>
      </c>
      <c r="BG2820" s="3">
        <v>0</v>
      </c>
      <c r="BH2820" s="3">
        <v>1</v>
      </c>
      <c r="BI2820" s="3">
        <v>1</v>
      </c>
      <c r="BJ2820" s="3">
        <v>0.2</v>
      </c>
      <c r="BK2820" s="3">
        <v>1</v>
      </c>
      <c r="BL2820" s="3">
        <v>60.52</v>
      </c>
      <c r="BM2820" s="3">
        <v>9.08</v>
      </c>
      <c r="BN2820" s="3">
        <v>69.599999999999994</v>
      </c>
      <c r="BO2820" s="3">
        <v>69.599999999999994</v>
      </c>
      <c r="BQ2820" s="3" t="s">
        <v>89</v>
      </c>
      <c r="BR2820" s="3" t="s">
        <v>308</v>
      </c>
      <c r="BS2820" s="4">
        <v>44565</v>
      </c>
      <c r="BT2820" s="5">
        <v>0.36736111111111108</v>
      </c>
      <c r="BU2820" s="3" t="s">
        <v>2680</v>
      </c>
      <c r="BV2820" s="3" t="s">
        <v>105</v>
      </c>
      <c r="BY2820" s="3">
        <v>1200</v>
      </c>
      <c r="BZ2820" s="3" t="s">
        <v>165</v>
      </c>
      <c r="CA2820" s="3" t="s">
        <v>331</v>
      </c>
      <c r="CC2820" s="3" t="s">
        <v>172</v>
      </c>
      <c r="CD2820" s="3">
        <v>6001</v>
      </c>
      <c r="CE2820" s="3" t="s">
        <v>93</v>
      </c>
      <c r="CF2820" s="4">
        <v>44565</v>
      </c>
      <c r="CI2820" s="3">
        <v>1</v>
      </c>
      <c r="CJ2820" s="3">
        <v>1</v>
      </c>
      <c r="CK2820" s="3">
        <v>21</v>
      </c>
      <c r="CL2820" s="3" t="s">
        <v>87</v>
      </c>
    </row>
    <row r="2821" spans="1:90" x14ac:dyDescent="0.2">
      <c r="A2821" s="3" t="s">
        <v>72</v>
      </c>
      <c r="B2821" s="3" t="s">
        <v>73</v>
      </c>
      <c r="C2821" s="3" t="s">
        <v>74</v>
      </c>
      <c r="E2821" s="3" t="str">
        <f>"FES1162843057"</f>
        <v>FES1162843057</v>
      </c>
      <c r="F2821" s="4">
        <v>44564</v>
      </c>
      <c r="G2821" s="3">
        <v>202207</v>
      </c>
      <c r="H2821" s="3" t="s">
        <v>75</v>
      </c>
      <c r="I2821" s="3" t="s">
        <v>76</v>
      </c>
      <c r="J2821" s="3" t="s">
        <v>77</v>
      </c>
      <c r="K2821" s="3" t="s">
        <v>78</v>
      </c>
      <c r="L2821" s="3" t="s">
        <v>171</v>
      </c>
      <c r="M2821" s="3" t="s">
        <v>172</v>
      </c>
      <c r="N2821" s="3" t="s">
        <v>838</v>
      </c>
      <c r="O2821" s="3" t="s">
        <v>82</v>
      </c>
      <c r="P2821" s="3" t="str">
        <f>"2170814390                    "</f>
        <v xml:space="preserve">2170814390                    </v>
      </c>
      <c r="Q2821" s="3">
        <v>0</v>
      </c>
      <c r="R2821" s="3">
        <v>0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  <c r="AE2821" s="3">
        <v>0</v>
      </c>
      <c r="AF2821" s="3">
        <v>0</v>
      </c>
      <c r="AG2821" s="3">
        <v>0</v>
      </c>
      <c r="AH2821" s="3">
        <v>0</v>
      </c>
      <c r="AI2821" s="3">
        <v>0</v>
      </c>
      <c r="AJ2821" s="3">
        <v>0</v>
      </c>
      <c r="AK2821" s="3">
        <v>16.98</v>
      </c>
      <c r="AL2821" s="3">
        <v>0</v>
      </c>
      <c r="AM2821" s="3">
        <v>0</v>
      </c>
      <c r="AN2821" s="3">
        <v>0</v>
      </c>
      <c r="AO2821" s="3">
        <v>0</v>
      </c>
      <c r="AP2821" s="3">
        <v>0</v>
      </c>
      <c r="AQ2821" s="3">
        <v>0</v>
      </c>
      <c r="AR2821" s="3">
        <v>0</v>
      </c>
      <c r="AS2821" s="3">
        <v>0</v>
      </c>
      <c r="AT2821" s="3">
        <v>0</v>
      </c>
      <c r="AU2821" s="3">
        <v>0</v>
      </c>
      <c r="AV2821" s="3">
        <v>0</v>
      </c>
      <c r="AW2821" s="3">
        <v>0</v>
      </c>
      <c r="AX2821" s="3">
        <v>0</v>
      </c>
      <c r="AY2821" s="3">
        <v>0</v>
      </c>
      <c r="AZ2821" s="3">
        <v>0</v>
      </c>
      <c r="BA2821" s="3">
        <v>0</v>
      </c>
      <c r="BB2821" s="3">
        <v>0</v>
      </c>
      <c r="BC2821" s="3">
        <v>0</v>
      </c>
      <c r="BD2821" s="3">
        <v>0</v>
      </c>
      <c r="BE2821" s="3">
        <v>0</v>
      </c>
      <c r="BF2821" s="3">
        <v>0</v>
      </c>
      <c r="BG2821" s="3">
        <v>0</v>
      </c>
      <c r="BH2821" s="3">
        <v>1</v>
      </c>
      <c r="BI2821" s="3">
        <v>1</v>
      </c>
      <c r="BJ2821" s="3">
        <v>0.2</v>
      </c>
      <c r="BK2821" s="3">
        <v>1</v>
      </c>
      <c r="BL2821" s="3">
        <v>60.52</v>
      </c>
      <c r="BM2821" s="3">
        <v>9.08</v>
      </c>
      <c r="BN2821" s="3">
        <v>69.599999999999994</v>
      </c>
      <c r="BO2821" s="3">
        <v>69.599999999999994</v>
      </c>
      <c r="BQ2821" s="3" t="s">
        <v>83</v>
      </c>
      <c r="BR2821" s="3" t="s">
        <v>308</v>
      </c>
      <c r="BS2821" s="4">
        <v>44565</v>
      </c>
      <c r="BT2821" s="5">
        <v>0.37916666666666665</v>
      </c>
      <c r="BU2821" s="3" t="s">
        <v>1695</v>
      </c>
      <c r="BV2821" s="3" t="s">
        <v>105</v>
      </c>
      <c r="BY2821" s="3">
        <v>1200</v>
      </c>
      <c r="BZ2821" s="3" t="s">
        <v>165</v>
      </c>
      <c r="CA2821" s="3" t="s">
        <v>509</v>
      </c>
      <c r="CC2821" s="3" t="s">
        <v>172</v>
      </c>
      <c r="CD2821" s="3">
        <v>6001</v>
      </c>
      <c r="CE2821" s="3" t="s">
        <v>93</v>
      </c>
      <c r="CF2821" s="4">
        <v>44565</v>
      </c>
      <c r="CI2821" s="3">
        <v>1</v>
      </c>
      <c r="CJ2821" s="3">
        <v>1</v>
      </c>
      <c r="CK2821" s="3">
        <v>21</v>
      </c>
      <c r="CL2821" s="3" t="s">
        <v>87</v>
      </c>
    </row>
    <row r="2822" spans="1:90" x14ac:dyDescent="0.2">
      <c r="A2822" s="3" t="s">
        <v>72</v>
      </c>
      <c r="B2822" s="3" t="s">
        <v>73</v>
      </c>
      <c r="C2822" s="3" t="s">
        <v>74</v>
      </c>
      <c r="E2822" s="3" t="str">
        <f>"FES1162843094"</f>
        <v>FES1162843094</v>
      </c>
      <c r="F2822" s="4">
        <v>44564</v>
      </c>
      <c r="G2822" s="3">
        <v>202207</v>
      </c>
      <c r="H2822" s="3" t="s">
        <v>75</v>
      </c>
      <c r="I2822" s="3" t="s">
        <v>76</v>
      </c>
      <c r="J2822" s="3" t="s">
        <v>77</v>
      </c>
      <c r="K2822" s="3" t="s">
        <v>78</v>
      </c>
      <c r="L2822" s="3" t="s">
        <v>90</v>
      </c>
      <c r="M2822" s="3" t="s">
        <v>91</v>
      </c>
      <c r="N2822" s="3" t="s">
        <v>735</v>
      </c>
      <c r="O2822" s="3" t="s">
        <v>82</v>
      </c>
      <c r="P2822" s="3" t="str">
        <f>"2170815446                    "</f>
        <v xml:space="preserve">2170815446                    </v>
      </c>
      <c r="Q2822" s="3">
        <v>0</v>
      </c>
      <c r="R2822" s="3">
        <v>0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  <c r="AE2822" s="3">
        <v>0</v>
      </c>
      <c r="AF2822" s="3">
        <v>0</v>
      </c>
      <c r="AG2822" s="3">
        <v>0</v>
      </c>
      <c r="AH2822" s="3">
        <v>0</v>
      </c>
      <c r="AI2822" s="3">
        <v>0</v>
      </c>
      <c r="AJ2822" s="3">
        <v>0</v>
      </c>
      <c r="AK2822" s="3">
        <v>16.98</v>
      </c>
      <c r="AL2822" s="3">
        <v>0</v>
      </c>
      <c r="AM2822" s="3">
        <v>0</v>
      </c>
      <c r="AN2822" s="3">
        <v>0</v>
      </c>
      <c r="AO2822" s="3">
        <v>0</v>
      </c>
      <c r="AP2822" s="3">
        <v>0</v>
      </c>
      <c r="AQ2822" s="3">
        <v>0</v>
      </c>
      <c r="AR2822" s="3">
        <v>0</v>
      </c>
      <c r="AS2822" s="3">
        <v>0</v>
      </c>
      <c r="AT2822" s="3">
        <v>0</v>
      </c>
      <c r="AU2822" s="3">
        <v>0</v>
      </c>
      <c r="AV2822" s="3">
        <v>0</v>
      </c>
      <c r="AW2822" s="3">
        <v>0</v>
      </c>
      <c r="AX2822" s="3">
        <v>0</v>
      </c>
      <c r="AY2822" s="3">
        <v>0</v>
      </c>
      <c r="AZ2822" s="3">
        <v>0</v>
      </c>
      <c r="BA2822" s="3">
        <v>0</v>
      </c>
      <c r="BB2822" s="3">
        <v>0</v>
      </c>
      <c r="BC2822" s="3">
        <v>0</v>
      </c>
      <c r="BD2822" s="3">
        <v>0</v>
      </c>
      <c r="BE2822" s="3">
        <v>0</v>
      </c>
      <c r="BF2822" s="3">
        <v>0</v>
      </c>
      <c r="BG2822" s="3">
        <v>0</v>
      </c>
      <c r="BH2822" s="3">
        <v>1</v>
      </c>
      <c r="BI2822" s="3">
        <v>1</v>
      </c>
      <c r="BJ2822" s="3">
        <v>0.2</v>
      </c>
      <c r="BK2822" s="3">
        <v>1</v>
      </c>
      <c r="BL2822" s="3">
        <v>60.52</v>
      </c>
      <c r="BM2822" s="3">
        <v>9.08</v>
      </c>
      <c r="BN2822" s="3">
        <v>69.599999999999994</v>
      </c>
      <c r="BO2822" s="3">
        <v>69.599999999999994</v>
      </c>
      <c r="BQ2822" s="3" t="s">
        <v>273</v>
      </c>
      <c r="BR2822" s="3" t="s">
        <v>308</v>
      </c>
      <c r="BS2822" s="4">
        <v>44565</v>
      </c>
      <c r="BT2822" s="5">
        <v>0.31597222222222221</v>
      </c>
      <c r="BU2822" s="3" t="s">
        <v>2681</v>
      </c>
      <c r="BV2822" s="3" t="s">
        <v>105</v>
      </c>
      <c r="BY2822" s="3">
        <v>1200</v>
      </c>
      <c r="BZ2822" s="3" t="s">
        <v>165</v>
      </c>
      <c r="CA2822" s="3" t="s">
        <v>2604</v>
      </c>
      <c r="CC2822" s="3" t="s">
        <v>91</v>
      </c>
      <c r="CD2822" s="3">
        <v>7460</v>
      </c>
      <c r="CE2822" s="3" t="s">
        <v>93</v>
      </c>
      <c r="CF2822" s="4">
        <v>44566</v>
      </c>
      <c r="CI2822" s="3">
        <v>1</v>
      </c>
      <c r="CJ2822" s="3">
        <v>1</v>
      </c>
      <c r="CK2822" s="3">
        <v>21</v>
      </c>
      <c r="CL2822" s="3" t="s">
        <v>87</v>
      </c>
    </row>
    <row r="2823" spans="1:90" x14ac:dyDescent="0.2">
      <c r="A2823" s="3" t="s">
        <v>72</v>
      </c>
      <c r="B2823" s="3" t="s">
        <v>73</v>
      </c>
      <c r="C2823" s="3" t="s">
        <v>74</v>
      </c>
      <c r="E2823" s="3" t="str">
        <f>"FES1162843069"</f>
        <v>FES1162843069</v>
      </c>
      <c r="F2823" s="4">
        <v>44564</v>
      </c>
      <c r="G2823" s="3">
        <v>202207</v>
      </c>
      <c r="H2823" s="3" t="s">
        <v>75</v>
      </c>
      <c r="I2823" s="3" t="s">
        <v>76</v>
      </c>
      <c r="J2823" s="3" t="s">
        <v>77</v>
      </c>
      <c r="K2823" s="3" t="s">
        <v>78</v>
      </c>
      <c r="L2823" s="3" t="s">
        <v>335</v>
      </c>
      <c r="M2823" s="3" t="s">
        <v>336</v>
      </c>
      <c r="N2823" s="3" t="s">
        <v>524</v>
      </c>
      <c r="O2823" s="3" t="s">
        <v>82</v>
      </c>
      <c r="P2823" s="3" t="str">
        <f>"2170813371                    "</f>
        <v xml:space="preserve">2170813371                    </v>
      </c>
      <c r="Q2823" s="3">
        <v>0</v>
      </c>
      <c r="R2823" s="3">
        <v>0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  <c r="AE2823" s="3">
        <v>0</v>
      </c>
      <c r="AF2823" s="3">
        <v>0</v>
      </c>
      <c r="AG2823" s="3">
        <v>0</v>
      </c>
      <c r="AH2823" s="3">
        <v>0</v>
      </c>
      <c r="AI2823" s="3">
        <v>0</v>
      </c>
      <c r="AJ2823" s="3">
        <v>0</v>
      </c>
      <c r="AK2823" s="3">
        <v>16.98</v>
      </c>
      <c r="AL2823" s="3">
        <v>0</v>
      </c>
      <c r="AM2823" s="3">
        <v>0</v>
      </c>
      <c r="AN2823" s="3">
        <v>0</v>
      </c>
      <c r="AO2823" s="3">
        <v>0</v>
      </c>
      <c r="AP2823" s="3">
        <v>0</v>
      </c>
      <c r="AQ2823" s="3">
        <v>15</v>
      </c>
      <c r="AR2823" s="3">
        <v>0</v>
      </c>
      <c r="AS2823" s="3">
        <v>0</v>
      </c>
      <c r="AT2823" s="3">
        <v>0</v>
      </c>
      <c r="AU2823" s="3">
        <v>0</v>
      </c>
      <c r="AV2823" s="3">
        <v>0</v>
      </c>
      <c r="AW2823" s="3">
        <v>0</v>
      </c>
      <c r="AX2823" s="3">
        <v>0</v>
      </c>
      <c r="AY2823" s="3">
        <v>0</v>
      </c>
      <c r="AZ2823" s="3">
        <v>0</v>
      </c>
      <c r="BA2823" s="3">
        <v>0</v>
      </c>
      <c r="BB2823" s="3">
        <v>0</v>
      </c>
      <c r="BC2823" s="3">
        <v>0</v>
      </c>
      <c r="BD2823" s="3">
        <v>0</v>
      </c>
      <c r="BE2823" s="3">
        <v>0</v>
      </c>
      <c r="BF2823" s="3">
        <v>0</v>
      </c>
      <c r="BG2823" s="3">
        <v>0</v>
      </c>
      <c r="BH2823" s="3">
        <v>1</v>
      </c>
      <c r="BI2823" s="3">
        <v>1</v>
      </c>
      <c r="BJ2823" s="3">
        <v>0.2</v>
      </c>
      <c r="BK2823" s="3">
        <v>1</v>
      </c>
      <c r="BL2823" s="3">
        <v>75.52</v>
      </c>
      <c r="BM2823" s="3">
        <v>11.33</v>
      </c>
      <c r="BN2823" s="3">
        <v>86.85</v>
      </c>
      <c r="BO2823" s="3">
        <v>86.85</v>
      </c>
      <c r="BQ2823" s="3" t="s">
        <v>89</v>
      </c>
      <c r="BR2823" s="3" t="s">
        <v>308</v>
      </c>
      <c r="BS2823" s="4">
        <v>44565</v>
      </c>
      <c r="BT2823" s="5">
        <v>0.4375</v>
      </c>
      <c r="BU2823" s="3" t="s">
        <v>2682</v>
      </c>
      <c r="BV2823" s="3" t="s">
        <v>105</v>
      </c>
      <c r="BY2823" s="3">
        <v>1200</v>
      </c>
      <c r="BZ2823" s="3" t="s">
        <v>446</v>
      </c>
      <c r="CC2823" s="3" t="s">
        <v>336</v>
      </c>
      <c r="CD2823" s="3">
        <v>4115</v>
      </c>
      <c r="CE2823" s="3" t="s">
        <v>93</v>
      </c>
      <c r="CF2823" s="4">
        <v>44565</v>
      </c>
      <c r="CI2823" s="3">
        <v>1</v>
      </c>
      <c r="CJ2823" s="3">
        <v>1</v>
      </c>
      <c r="CK2823" s="3">
        <v>21</v>
      </c>
      <c r="CL2823" s="3" t="s">
        <v>87</v>
      </c>
    </row>
    <row r="2824" spans="1:90" x14ac:dyDescent="0.2">
      <c r="A2824" s="3" t="s">
        <v>72</v>
      </c>
      <c r="B2824" s="3" t="s">
        <v>73</v>
      </c>
      <c r="C2824" s="3" t="s">
        <v>74</v>
      </c>
      <c r="E2824" s="3" t="str">
        <f>"FES1162843052"</f>
        <v>FES1162843052</v>
      </c>
      <c r="F2824" s="4">
        <v>44564</v>
      </c>
      <c r="G2824" s="3">
        <v>202207</v>
      </c>
      <c r="H2824" s="3" t="s">
        <v>75</v>
      </c>
      <c r="I2824" s="3" t="s">
        <v>76</v>
      </c>
      <c r="J2824" s="3" t="s">
        <v>77</v>
      </c>
      <c r="K2824" s="3" t="s">
        <v>78</v>
      </c>
      <c r="L2824" s="3" t="s">
        <v>250</v>
      </c>
      <c r="M2824" s="3" t="s">
        <v>251</v>
      </c>
      <c r="N2824" s="3" t="s">
        <v>252</v>
      </c>
      <c r="O2824" s="3" t="s">
        <v>82</v>
      </c>
      <c r="P2824" s="3" t="str">
        <f>"2170815410                    "</f>
        <v xml:space="preserve">2170815410                    </v>
      </c>
      <c r="Q2824" s="3">
        <v>0</v>
      </c>
      <c r="R2824" s="3">
        <v>0</v>
      </c>
      <c r="S2824" s="3">
        <v>0</v>
      </c>
      <c r="T2824" s="3">
        <v>0</v>
      </c>
      <c r="U2824" s="3">
        <v>0</v>
      </c>
      <c r="V2824" s="3">
        <v>0</v>
      </c>
      <c r="W2824" s="3">
        <v>0</v>
      </c>
      <c r="X2824" s="3">
        <v>0</v>
      </c>
      <c r="Y2824" s="3">
        <v>0</v>
      </c>
      <c r="Z2824" s="3">
        <v>0</v>
      </c>
      <c r="AA2824" s="3">
        <v>0</v>
      </c>
      <c r="AB2824" s="3">
        <v>0</v>
      </c>
      <c r="AC2824" s="3">
        <v>0</v>
      </c>
      <c r="AD2824" s="3">
        <v>0</v>
      </c>
      <c r="AE2824" s="3">
        <v>0</v>
      </c>
      <c r="AF2824" s="3">
        <v>0</v>
      </c>
      <c r="AG2824" s="3">
        <v>0</v>
      </c>
      <c r="AH2824" s="3">
        <v>0</v>
      </c>
      <c r="AI2824" s="3">
        <v>0</v>
      </c>
      <c r="AJ2824" s="3">
        <v>0</v>
      </c>
      <c r="AK2824" s="3">
        <v>32.9</v>
      </c>
      <c r="AL2824" s="3">
        <v>0</v>
      </c>
      <c r="AM2824" s="3">
        <v>0</v>
      </c>
      <c r="AN2824" s="3">
        <v>0</v>
      </c>
      <c r="AO2824" s="3">
        <v>0</v>
      </c>
      <c r="AP2824" s="3">
        <v>0</v>
      </c>
      <c r="AQ2824" s="3">
        <v>0</v>
      </c>
      <c r="AR2824" s="3">
        <v>0</v>
      </c>
      <c r="AS2824" s="3">
        <v>0</v>
      </c>
      <c r="AT2824" s="3">
        <v>0</v>
      </c>
      <c r="AU2824" s="3">
        <v>0</v>
      </c>
      <c r="AV2824" s="3">
        <v>0</v>
      </c>
      <c r="AW2824" s="3">
        <v>0</v>
      </c>
      <c r="AX2824" s="3">
        <v>0</v>
      </c>
      <c r="AY2824" s="3">
        <v>0</v>
      </c>
      <c r="AZ2824" s="3">
        <v>0</v>
      </c>
      <c r="BA2824" s="3">
        <v>0</v>
      </c>
      <c r="BB2824" s="3">
        <v>0</v>
      </c>
      <c r="BC2824" s="3">
        <v>0</v>
      </c>
      <c r="BD2824" s="3">
        <v>0</v>
      </c>
      <c r="BE2824" s="3">
        <v>0</v>
      </c>
      <c r="BF2824" s="3">
        <v>0</v>
      </c>
      <c r="BG2824" s="3">
        <v>0</v>
      </c>
      <c r="BH2824" s="3">
        <v>1</v>
      </c>
      <c r="BI2824" s="3">
        <v>1</v>
      </c>
      <c r="BJ2824" s="3">
        <v>0.2</v>
      </c>
      <c r="BK2824" s="3">
        <v>1</v>
      </c>
      <c r="BL2824" s="3">
        <v>117.26</v>
      </c>
      <c r="BM2824" s="3">
        <v>17.59</v>
      </c>
      <c r="BN2824" s="3">
        <v>134.85</v>
      </c>
      <c r="BO2824" s="3">
        <v>134.85</v>
      </c>
      <c r="BQ2824" s="3" t="s">
        <v>253</v>
      </c>
      <c r="BR2824" s="3" t="s">
        <v>308</v>
      </c>
      <c r="BS2824" s="4">
        <v>44565</v>
      </c>
      <c r="BT2824" s="5">
        <v>0.42569444444444443</v>
      </c>
      <c r="BU2824" s="3" t="s">
        <v>2041</v>
      </c>
      <c r="BV2824" s="3" t="s">
        <v>105</v>
      </c>
      <c r="BY2824" s="3">
        <v>1200</v>
      </c>
      <c r="BZ2824" s="3" t="s">
        <v>165</v>
      </c>
      <c r="CA2824" s="3" t="s">
        <v>368</v>
      </c>
      <c r="CC2824" s="3" t="s">
        <v>251</v>
      </c>
      <c r="CD2824" s="3">
        <v>6300</v>
      </c>
      <c r="CE2824" s="3" t="s">
        <v>93</v>
      </c>
      <c r="CF2824" s="4">
        <v>44565</v>
      </c>
      <c r="CI2824" s="3">
        <v>2</v>
      </c>
      <c r="CJ2824" s="3">
        <v>1</v>
      </c>
      <c r="CK2824" s="3">
        <v>23</v>
      </c>
      <c r="CL2824" s="3" t="s">
        <v>87</v>
      </c>
    </row>
    <row r="2825" spans="1:90" x14ac:dyDescent="0.2">
      <c r="A2825" s="3" t="s">
        <v>72</v>
      </c>
      <c r="B2825" s="3" t="s">
        <v>73</v>
      </c>
      <c r="C2825" s="3" t="s">
        <v>74</v>
      </c>
      <c r="E2825" s="3" t="str">
        <f>"FES1162843062"</f>
        <v>FES1162843062</v>
      </c>
      <c r="F2825" s="4">
        <v>44564</v>
      </c>
      <c r="G2825" s="3">
        <v>202207</v>
      </c>
      <c r="H2825" s="3" t="s">
        <v>75</v>
      </c>
      <c r="I2825" s="3" t="s">
        <v>76</v>
      </c>
      <c r="J2825" s="3" t="s">
        <v>77</v>
      </c>
      <c r="K2825" s="3" t="s">
        <v>78</v>
      </c>
      <c r="L2825" s="3" t="s">
        <v>2328</v>
      </c>
      <c r="M2825" s="3" t="s">
        <v>2329</v>
      </c>
      <c r="N2825" s="3" t="s">
        <v>2676</v>
      </c>
      <c r="O2825" s="3" t="s">
        <v>82</v>
      </c>
      <c r="P2825" s="3" t="str">
        <f>"21708125422                   "</f>
        <v xml:space="preserve">21708125422                   </v>
      </c>
      <c r="Q2825" s="3">
        <v>0</v>
      </c>
      <c r="R2825" s="3">
        <v>0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  <c r="AE2825" s="3">
        <v>0</v>
      </c>
      <c r="AF2825" s="3">
        <v>0</v>
      </c>
      <c r="AG2825" s="3">
        <v>0</v>
      </c>
      <c r="AH2825" s="3">
        <v>0</v>
      </c>
      <c r="AI2825" s="3">
        <v>0</v>
      </c>
      <c r="AJ2825" s="3">
        <v>0</v>
      </c>
      <c r="AK2825" s="3">
        <v>32.9</v>
      </c>
      <c r="AL2825" s="3">
        <v>0</v>
      </c>
      <c r="AM2825" s="3">
        <v>0</v>
      </c>
      <c r="AN2825" s="3">
        <v>0</v>
      </c>
      <c r="AO2825" s="3">
        <v>0</v>
      </c>
      <c r="AP2825" s="3">
        <v>0</v>
      </c>
      <c r="AQ2825" s="3">
        <v>0</v>
      </c>
      <c r="AR2825" s="3">
        <v>0</v>
      </c>
      <c r="AS2825" s="3">
        <v>0</v>
      </c>
      <c r="AT2825" s="3">
        <v>0</v>
      </c>
      <c r="AU2825" s="3">
        <v>0</v>
      </c>
      <c r="AV2825" s="3">
        <v>0</v>
      </c>
      <c r="AW2825" s="3">
        <v>0</v>
      </c>
      <c r="AX2825" s="3">
        <v>0</v>
      </c>
      <c r="AY2825" s="3">
        <v>0</v>
      </c>
      <c r="AZ2825" s="3">
        <v>0</v>
      </c>
      <c r="BA2825" s="3">
        <v>0</v>
      </c>
      <c r="BB2825" s="3">
        <v>0</v>
      </c>
      <c r="BC2825" s="3">
        <v>0</v>
      </c>
      <c r="BD2825" s="3">
        <v>0</v>
      </c>
      <c r="BE2825" s="3">
        <v>0</v>
      </c>
      <c r="BF2825" s="3">
        <v>0</v>
      </c>
      <c r="BG2825" s="3">
        <v>0</v>
      </c>
      <c r="BH2825" s="3">
        <v>1</v>
      </c>
      <c r="BI2825" s="3">
        <v>1</v>
      </c>
      <c r="BJ2825" s="3">
        <v>0.2</v>
      </c>
      <c r="BK2825" s="3">
        <v>1</v>
      </c>
      <c r="BL2825" s="3">
        <v>117.26</v>
      </c>
      <c r="BM2825" s="3">
        <v>17.59</v>
      </c>
      <c r="BN2825" s="3">
        <v>134.85</v>
      </c>
      <c r="BO2825" s="3">
        <v>134.85</v>
      </c>
      <c r="BQ2825" s="3" t="s">
        <v>126</v>
      </c>
      <c r="BR2825" s="3" t="s">
        <v>308</v>
      </c>
      <c r="BS2825" s="4">
        <v>44565</v>
      </c>
      <c r="BT2825" s="5">
        <v>0.41666666666666669</v>
      </c>
      <c r="BU2825" s="3" t="s">
        <v>2677</v>
      </c>
      <c r="BV2825" s="3" t="s">
        <v>105</v>
      </c>
      <c r="BY2825" s="3">
        <v>1200</v>
      </c>
      <c r="BZ2825" s="3" t="s">
        <v>165</v>
      </c>
      <c r="CA2825" s="3" t="s">
        <v>328</v>
      </c>
      <c r="CC2825" s="3" t="s">
        <v>2329</v>
      </c>
      <c r="CD2825" s="3">
        <v>3310</v>
      </c>
      <c r="CE2825" s="3" t="s">
        <v>93</v>
      </c>
      <c r="CF2825" s="4">
        <v>44567</v>
      </c>
      <c r="CI2825" s="3">
        <v>1</v>
      </c>
      <c r="CJ2825" s="3">
        <v>1</v>
      </c>
      <c r="CK2825" s="3">
        <v>23</v>
      </c>
      <c r="CL2825" s="3" t="s">
        <v>87</v>
      </c>
    </row>
    <row r="2826" spans="1:90" x14ac:dyDescent="0.2">
      <c r="A2826" s="3" t="s">
        <v>72</v>
      </c>
      <c r="B2826" s="3" t="s">
        <v>73</v>
      </c>
      <c r="C2826" s="3" t="s">
        <v>74</v>
      </c>
      <c r="E2826" s="3" t="str">
        <f>"FES1162843120"</f>
        <v>FES1162843120</v>
      </c>
      <c r="F2826" s="4">
        <v>44564</v>
      </c>
      <c r="G2826" s="3">
        <v>202207</v>
      </c>
      <c r="H2826" s="3" t="s">
        <v>75</v>
      </c>
      <c r="I2826" s="3" t="s">
        <v>76</v>
      </c>
      <c r="J2826" s="3" t="s">
        <v>77</v>
      </c>
      <c r="K2826" s="3" t="s">
        <v>78</v>
      </c>
      <c r="L2826" s="3" t="s">
        <v>107</v>
      </c>
      <c r="M2826" s="3" t="s">
        <v>108</v>
      </c>
      <c r="N2826" s="3" t="s">
        <v>582</v>
      </c>
      <c r="O2826" s="3" t="s">
        <v>82</v>
      </c>
      <c r="P2826" s="3" t="str">
        <f>"2170815412                    "</f>
        <v xml:space="preserve">2170815412                    </v>
      </c>
      <c r="Q2826" s="3">
        <v>0</v>
      </c>
      <c r="R2826" s="3">
        <v>0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  <c r="AE2826" s="3">
        <v>0</v>
      </c>
      <c r="AF2826" s="3">
        <v>0</v>
      </c>
      <c r="AG2826" s="3">
        <v>0</v>
      </c>
      <c r="AH2826" s="3">
        <v>0</v>
      </c>
      <c r="AI2826" s="3">
        <v>0</v>
      </c>
      <c r="AJ2826" s="3">
        <v>0</v>
      </c>
      <c r="AK2826" s="3">
        <v>32.9</v>
      </c>
      <c r="AL2826" s="3">
        <v>0</v>
      </c>
      <c r="AM2826" s="3">
        <v>0</v>
      </c>
      <c r="AN2826" s="3">
        <v>0</v>
      </c>
      <c r="AO2826" s="3">
        <v>0</v>
      </c>
      <c r="AP2826" s="3">
        <v>0</v>
      </c>
      <c r="AQ2826" s="3">
        <v>0</v>
      </c>
      <c r="AR2826" s="3">
        <v>0</v>
      </c>
      <c r="AS2826" s="3">
        <v>0</v>
      </c>
      <c r="AT2826" s="3">
        <v>0</v>
      </c>
      <c r="AU2826" s="3">
        <v>0</v>
      </c>
      <c r="AV2826" s="3">
        <v>0</v>
      </c>
      <c r="AW2826" s="3">
        <v>0</v>
      </c>
      <c r="AX2826" s="3">
        <v>0</v>
      </c>
      <c r="AY2826" s="3">
        <v>0</v>
      </c>
      <c r="AZ2826" s="3">
        <v>0</v>
      </c>
      <c r="BA2826" s="3">
        <v>0</v>
      </c>
      <c r="BB2826" s="3">
        <v>0</v>
      </c>
      <c r="BC2826" s="3">
        <v>0</v>
      </c>
      <c r="BD2826" s="3">
        <v>0</v>
      </c>
      <c r="BE2826" s="3">
        <v>0</v>
      </c>
      <c r="BF2826" s="3">
        <v>0</v>
      </c>
      <c r="BG2826" s="3">
        <v>0</v>
      </c>
      <c r="BH2826" s="3">
        <v>1</v>
      </c>
      <c r="BI2826" s="3">
        <v>1</v>
      </c>
      <c r="BJ2826" s="3">
        <v>0.2</v>
      </c>
      <c r="BK2826" s="3">
        <v>1</v>
      </c>
      <c r="BL2826" s="3">
        <v>117.26</v>
      </c>
      <c r="BM2826" s="3">
        <v>17.59</v>
      </c>
      <c r="BN2826" s="3">
        <v>134.85</v>
      </c>
      <c r="BO2826" s="3">
        <v>134.85</v>
      </c>
      <c r="BQ2826" s="3" t="s">
        <v>126</v>
      </c>
      <c r="BR2826" s="3" t="s">
        <v>308</v>
      </c>
      <c r="BS2826" s="4">
        <v>44565</v>
      </c>
      <c r="BT2826" s="5">
        <v>0.44166666666666665</v>
      </c>
      <c r="BU2826" s="3" t="s">
        <v>583</v>
      </c>
      <c r="BV2826" s="3" t="s">
        <v>105</v>
      </c>
      <c r="BY2826" s="3">
        <v>1200</v>
      </c>
      <c r="BZ2826" s="3" t="s">
        <v>165</v>
      </c>
      <c r="CA2826" s="3" t="s">
        <v>394</v>
      </c>
      <c r="CC2826" s="3" t="s">
        <v>108</v>
      </c>
      <c r="CD2826" s="3">
        <v>6850</v>
      </c>
      <c r="CE2826" s="3" t="s">
        <v>93</v>
      </c>
      <c r="CF2826" s="4">
        <v>44566</v>
      </c>
      <c r="CI2826" s="3">
        <v>2</v>
      </c>
      <c r="CJ2826" s="3">
        <v>1</v>
      </c>
      <c r="CK2826" s="3">
        <v>23</v>
      </c>
      <c r="CL2826" s="3" t="s">
        <v>87</v>
      </c>
    </row>
    <row r="2827" spans="1:90" x14ac:dyDescent="0.2">
      <c r="A2827" s="3" t="s">
        <v>72</v>
      </c>
      <c r="B2827" s="3" t="s">
        <v>73</v>
      </c>
      <c r="C2827" s="3" t="s">
        <v>74</v>
      </c>
      <c r="E2827" s="3" t="str">
        <f>"FES1162843115"</f>
        <v>FES1162843115</v>
      </c>
      <c r="F2827" s="4">
        <v>44564</v>
      </c>
      <c r="G2827" s="3">
        <v>202207</v>
      </c>
      <c r="H2827" s="3" t="s">
        <v>75</v>
      </c>
      <c r="I2827" s="3" t="s">
        <v>76</v>
      </c>
      <c r="J2827" s="3" t="s">
        <v>77</v>
      </c>
      <c r="K2827" s="3" t="s">
        <v>78</v>
      </c>
      <c r="L2827" s="3" t="s">
        <v>90</v>
      </c>
      <c r="M2827" s="3" t="s">
        <v>91</v>
      </c>
      <c r="N2827" s="3" t="s">
        <v>2683</v>
      </c>
      <c r="O2827" s="3" t="s">
        <v>82</v>
      </c>
      <c r="P2827" s="3" t="str">
        <f>"2170813715                    "</f>
        <v xml:space="preserve">2170813715                    </v>
      </c>
      <c r="Q2827" s="3">
        <v>0</v>
      </c>
      <c r="R2827" s="3">
        <v>0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  <c r="AE2827" s="3">
        <v>0</v>
      </c>
      <c r="AF2827" s="3">
        <v>0</v>
      </c>
      <c r="AG2827" s="3">
        <v>0</v>
      </c>
      <c r="AH2827" s="3">
        <v>0</v>
      </c>
      <c r="AI2827" s="3">
        <v>0</v>
      </c>
      <c r="AJ2827" s="3">
        <v>0</v>
      </c>
      <c r="AK2827" s="3">
        <v>16.98</v>
      </c>
      <c r="AL2827" s="3">
        <v>0</v>
      </c>
      <c r="AM2827" s="3">
        <v>0</v>
      </c>
      <c r="AN2827" s="3">
        <v>0</v>
      </c>
      <c r="AO2827" s="3">
        <v>0</v>
      </c>
      <c r="AP2827" s="3">
        <v>0</v>
      </c>
      <c r="AQ2827" s="3">
        <v>0</v>
      </c>
      <c r="AR2827" s="3">
        <v>0</v>
      </c>
      <c r="AS2827" s="3">
        <v>0</v>
      </c>
      <c r="AT2827" s="3">
        <v>0</v>
      </c>
      <c r="AU2827" s="3">
        <v>0</v>
      </c>
      <c r="AV2827" s="3">
        <v>0</v>
      </c>
      <c r="AW2827" s="3">
        <v>0</v>
      </c>
      <c r="AX2827" s="3">
        <v>0</v>
      </c>
      <c r="AY2827" s="3">
        <v>0</v>
      </c>
      <c r="AZ2827" s="3">
        <v>0</v>
      </c>
      <c r="BA2827" s="3">
        <v>0</v>
      </c>
      <c r="BB2827" s="3">
        <v>0</v>
      </c>
      <c r="BC2827" s="3">
        <v>0</v>
      </c>
      <c r="BD2827" s="3">
        <v>0</v>
      </c>
      <c r="BE2827" s="3">
        <v>0</v>
      </c>
      <c r="BF2827" s="3">
        <v>0</v>
      </c>
      <c r="BG2827" s="3">
        <v>0</v>
      </c>
      <c r="BH2827" s="3">
        <v>1</v>
      </c>
      <c r="BI2827" s="3">
        <v>1</v>
      </c>
      <c r="BJ2827" s="3">
        <v>0.2</v>
      </c>
      <c r="BK2827" s="3">
        <v>1</v>
      </c>
      <c r="BL2827" s="3">
        <v>60.52</v>
      </c>
      <c r="BM2827" s="3">
        <v>9.08</v>
      </c>
      <c r="BN2827" s="3">
        <v>69.599999999999994</v>
      </c>
      <c r="BO2827" s="3">
        <v>69.599999999999994</v>
      </c>
      <c r="BQ2827" s="3" t="s">
        <v>83</v>
      </c>
      <c r="BR2827" s="3" t="s">
        <v>308</v>
      </c>
      <c r="BS2827" s="4">
        <v>44565</v>
      </c>
      <c r="BT2827" s="5">
        <v>0.36458333333333331</v>
      </c>
      <c r="BU2827" s="3" t="s">
        <v>2684</v>
      </c>
      <c r="BV2827" s="3" t="s">
        <v>105</v>
      </c>
      <c r="BY2827" s="3">
        <v>1200</v>
      </c>
      <c r="BZ2827" s="3" t="s">
        <v>165</v>
      </c>
      <c r="CA2827" s="3" t="s">
        <v>289</v>
      </c>
      <c r="CC2827" s="3" t="s">
        <v>91</v>
      </c>
      <c r="CD2827" s="3">
        <v>7441</v>
      </c>
      <c r="CE2827" s="3" t="s">
        <v>93</v>
      </c>
      <c r="CF2827" s="4">
        <v>44566</v>
      </c>
      <c r="CI2827" s="3">
        <v>1</v>
      </c>
      <c r="CJ2827" s="3">
        <v>1</v>
      </c>
      <c r="CK2827" s="3">
        <v>21</v>
      </c>
      <c r="CL2827" s="3" t="s">
        <v>87</v>
      </c>
    </row>
    <row r="2828" spans="1:90" x14ac:dyDescent="0.2">
      <c r="A2828" s="3" t="s">
        <v>72</v>
      </c>
      <c r="B2828" s="3" t="s">
        <v>73</v>
      </c>
      <c r="C2828" s="3" t="s">
        <v>74</v>
      </c>
      <c r="E2828" s="3" t="str">
        <f>"FES1162843119"</f>
        <v>FES1162843119</v>
      </c>
      <c r="F2828" s="4">
        <v>44564</v>
      </c>
      <c r="G2828" s="3">
        <v>202207</v>
      </c>
      <c r="H2828" s="3" t="s">
        <v>75</v>
      </c>
      <c r="I2828" s="3" t="s">
        <v>76</v>
      </c>
      <c r="J2828" s="3" t="s">
        <v>77</v>
      </c>
      <c r="K2828" s="3" t="s">
        <v>78</v>
      </c>
      <c r="L2828" s="3" t="s">
        <v>190</v>
      </c>
      <c r="M2828" s="3" t="s">
        <v>191</v>
      </c>
      <c r="N2828" s="3" t="s">
        <v>395</v>
      </c>
      <c r="O2828" s="3" t="s">
        <v>82</v>
      </c>
      <c r="P2828" s="3" t="str">
        <f>"2170815150                    "</f>
        <v xml:space="preserve">2170815150                    </v>
      </c>
      <c r="Q2828" s="3">
        <v>0</v>
      </c>
      <c r="R2828" s="3">
        <v>0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  <c r="AE2828" s="3">
        <v>0</v>
      </c>
      <c r="AF2828" s="3">
        <v>0</v>
      </c>
      <c r="AG2828" s="3">
        <v>0</v>
      </c>
      <c r="AH2828" s="3">
        <v>0</v>
      </c>
      <c r="AI2828" s="3">
        <v>0</v>
      </c>
      <c r="AJ2828" s="3">
        <v>0</v>
      </c>
      <c r="AK2828" s="3">
        <v>32.9</v>
      </c>
      <c r="AL2828" s="3">
        <v>0</v>
      </c>
      <c r="AM2828" s="3">
        <v>0</v>
      </c>
      <c r="AN2828" s="3">
        <v>0</v>
      </c>
      <c r="AO2828" s="3">
        <v>0</v>
      </c>
      <c r="AP2828" s="3">
        <v>0</v>
      </c>
      <c r="AQ2828" s="3">
        <v>0</v>
      </c>
      <c r="AR2828" s="3">
        <v>0</v>
      </c>
      <c r="AS2828" s="3">
        <v>0</v>
      </c>
      <c r="AT2828" s="3">
        <v>0</v>
      </c>
      <c r="AU2828" s="3">
        <v>0</v>
      </c>
      <c r="AV2828" s="3">
        <v>0</v>
      </c>
      <c r="AW2828" s="3">
        <v>0</v>
      </c>
      <c r="AX2828" s="3">
        <v>0</v>
      </c>
      <c r="AY2828" s="3">
        <v>0</v>
      </c>
      <c r="AZ2828" s="3">
        <v>0</v>
      </c>
      <c r="BA2828" s="3">
        <v>0</v>
      </c>
      <c r="BB2828" s="3">
        <v>0</v>
      </c>
      <c r="BC2828" s="3">
        <v>0</v>
      </c>
      <c r="BD2828" s="3">
        <v>0</v>
      </c>
      <c r="BE2828" s="3">
        <v>0</v>
      </c>
      <c r="BF2828" s="3">
        <v>0</v>
      </c>
      <c r="BG2828" s="3">
        <v>0</v>
      </c>
      <c r="BH2828" s="3">
        <v>1</v>
      </c>
      <c r="BI2828" s="3">
        <v>1</v>
      </c>
      <c r="BJ2828" s="3">
        <v>0.2</v>
      </c>
      <c r="BK2828" s="3">
        <v>1</v>
      </c>
      <c r="BL2828" s="3">
        <v>117.26</v>
      </c>
      <c r="BM2828" s="3">
        <v>17.59</v>
      </c>
      <c r="BN2828" s="3">
        <v>134.85</v>
      </c>
      <c r="BO2828" s="3">
        <v>134.85</v>
      </c>
      <c r="BR2828" s="3" t="s">
        <v>308</v>
      </c>
      <c r="BS2828" s="4">
        <v>44571</v>
      </c>
      <c r="BT2828" s="5">
        <v>0.43888888888888888</v>
      </c>
      <c r="BU2828" s="3" t="s">
        <v>1058</v>
      </c>
      <c r="BV2828" s="3" t="s">
        <v>87</v>
      </c>
      <c r="BY2828" s="3">
        <v>1200</v>
      </c>
      <c r="BZ2828" s="3" t="s">
        <v>165</v>
      </c>
      <c r="CA2828" s="3" t="s">
        <v>1059</v>
      </c>
      <c r="CC2828" s="3" t="s">
        <v>191</v>
      </c>
      <c r="CD2828" s="3">
        <v>1050</v>
      </c>
      <c r="CE2828" s="3" t="s">
        <v>93</v>
      </c>
      <c r="CF2828" s="4">
        <v>44571</v>
      </c>
      <c r="CI2828" s="3">
        <v>1</v>
      </c>
      <c r="CJ2828" s="3">
        <v>5</v>
      </c>
      <c r="CK2828" s="3">
        <v>23</v>
      </c>
      <c r="CL2828" s="3" t="s">
        <v>87</v>
      </c>
    </row>
    <row r="2829" spans="1:90" x14ac:dyDescent="0.2">
      <c r="A2829" s="3" t="s">
        <v>72</v>
      </c>
      <c r="B2829" s="3" t="s">
        <v>73</v>
      </c>
      <c r="C2829" s="3" t="s">
        <v>74</v>
      </c>
      <c r="E2829" s="3" t="str">
        <f>"FES1162843110"</f>
        <v>FES1162843110</v>
      </c>
      <c r="F2829" s="4">
        <v>44564</v>
      </c>
      <c r="G2829" s="3">
        <v>202207</v>
      </c>
      <c r="H2829" s="3" t="s">
        <v>75</v>
      </c>
      <c r="I2829" s="3" t="s">
        <v>76</v>
      </c>
      <c r="J2829" s="3" t="s">
        <v>77</v>
      </c>
      <c r="K2829" s="3" t="s">
        <v>78</v>
      </c>
      <c r="L2829" s="3" t="s">
        <v>158</v>
      </c>
      <c r="M2829" s="3" t="s">
        <v>159</v>
      </c>
      <c r="N2829" s="3" t="s">
        <v>1266</v>
      </c>
      <c r="O2829" s="3" t="s">
        <v>82</v>
      </c>
      <c r="P2829" s="3" t="str">
        <f>"2170813131                    "</f>
        <v xml:space="preserve">2170813131                    </v>
      </c>
      <c r="Q2829" s="3">
        <v>0</v>
      </c>
      <c r="R2829" s="3">
        <v>0</v>
      </c>
      <c r="S2829" s="3">
        <v>0</v>
      </c>
      <c r="T2829" s="3">
        <v>0</v>
      </c>
      <c r="U2829" s="3">
        <v>0</v>
      </c>
      <c r="V2829" s="3">
        <v>0</v>
      </c>
      <c r="W2829" s="3">
        <v>0</v>
      </c>
      <c r="X2829" s="3">
        <v>0</v>
      </c>
      <c r="Y2829" s="3">
        <v>0</v>
      </c>
      <c r="Z2829" s="3">
        <v>0</v>
      </c>
      <c r="AA2829" s="3">
        <v>0</v>
      </c>
      <c r="AB2829" s="3">
        <v>0</v>
      </c>
      <c r="AC2829" s="3">
        <v>0</v>
      </c>
      <c r="AD2829" s="3">
        <v>0</v>
      </c>
      <c r="AE2829" s="3">
        <v>0</v>
      </c>
      <c r="AF2829" s="3">
        <v>0</v>
      </c>
      <c r="AG2829" s="3">
        <v>0</v>
      </c>
      <c r="AH2829" s="3">
        <v>0</v>
      </c>
      <c r="AI2829" s="3">
        <v>0</v>
      </c>
      <c r="AJ2829" s="3">
        <v>0</v>
      </c>
      <c r="AK2829" s="3">
        <v>13.26</v>
      </c>
      <c r="AL2829" s="3">
        <v>0</v>
      </c>
      <c r="AM2829" s="3">
        <v>0</v>
      </c>
      <c r="AN2829" s="3">
        <v>0</v>
      </c>
      <c r="AO2829" s="3">
        <v>0</v>
      </c>
      <c r="AP2829" s="3">
        <v>0</v>
      </c>
      <c r="AQ2829" s="3">
        <v>0</v>
      </c>
      <c r="AR2829" s="3">
        <v>0</v>
      </c>
      <c r="AS2829" s="3">
        <v>0</v>
      </c>
      <c r="AT2829" s="3">
        <v>0</v>
      </c>
      <c r="AU2829" s="3">
        <v>0</v>
      </c>
      <c r="AV2829" s="3">
        <v>0</v>
      </c>
      <c r="AW2829" s="3">
        <v>0</v>
      </c>
      <c r="AX2829" s="3">
        <v>0</v>
      </c>
      <c r="AY2829" s="3">
        <v>0</v>
      </c>
      <c r="AZ2829" s="3">
        <v>0</v>
      </c>
      <c r="BA2829" s="3">
        <v>0</v>
      </c>
      <c r="BB2829" s="3">
        <v>0</v>
      </c>
      <c r="BC2829" s="3">
        <v>0</v>
      </c>
      <c r="BD2829" s="3">
        <v>0</v>
      </c>
      <c r="BE2829" s="3">
        <v>0</v>
      </c>
      <c r="BF2829" s="3">
        <v>0</v>
      </c>
      <c r="BG2829" s="3">
        <v>0</v>
      </c>
      <c r="BH2829" s="3">
        <v>1</v>
      </c>
      <c r="BI2829" s="3">
        <v>5</v>
      </c>
      <c r="BJ2829" s="3">
        <v>6.9</v>
      </c>
      <c r="BK2829" s="3">
        <v>7</v>
      </c>
      <c r="BL2829" s="3">
        <v>47.27</v>
      </c>
      <c r="BM2829" s="3">
        <v>7.09</v>
      </c>
      <c r="BN2829" s="3">
        <v>54.36</v>
      </c>
      <c r="BO2829" s="3">
        <v>54.36</v>
      </c>
      <c r="BQ2829" s="3" t="s">
        <v>83</v>
      </c>
      <c r="BR2829" s="3" t="s">
        <v>308</v>
      </c>
      <c r="BS2829" s="4">
        <v>44565</v>
      </c>
      <c r="BT2829" s="5">
        <v>0.37708333333333338</v>
      </c>
      <c r="BU2829" s="3" t="s">
        <v>2685</v>
      </c>
      <c r="BV2829" s="3" t="s">
        <v>105</v>
      </c>
      <c r="BY2829" s="3">
        <v>34656</v>
      </c>
      <c r="BZ2829" s="3" t="s">
        <v>165</v>
      </c>
      <c r="CA2829" s="3" t="s">
        <v>653</v>
      </c>
      <c r="CC2829" s="3" t="s">
        <v>159</v>
      </c>
      <c r="CD2829" s="3">
        <v>1459</v>
      </c>
      <c r="CE2829" s="3" t="s">
        <v>86</v>
      </c>
      <c r="CF2829" s="4">
        <v>44565</v>
      </c>
      <c r="CI2829" s="3">
        <v>1</v>
      </c>
      <c r="CJ2829" s="3">
        <v>1</v>
      </c>
      <c r="CK2829" s="3">
        <v>22</v>
      </c>
      <c r="CL2829" s="3" t="s">
        <v>87</v>
      </c>
    </row>
    <row r="2830" spans="1:90" x14ac:dyDescent="0.2">
      <c r="A2830" s="3" t="s">
        <v>72</v>
      </c>
      <c r="B2830" s="3" t="s">
        <v>73</v>
      </c>
      <c r="C2830" s="3" t="s">
        <v>74</v>
      </c>
      <c r="E2830" s="3" t="str">
        <f>"FES1162843068"</f>
        <v>FES1162843068</v>
      </c>
      <c r="F2830" s="4">
        <v>44564</v>
      </c>
      <c r="G2830" s="3">
        <v>202207</v>
      </c>
      <c r="H2830" s="3" t="s">
        <v>75</v>
      </c>
      <c r="I2830" s="3" t="s">
        <v>76</v>
      </c>
      <c r="J2830" s="3" t="s">
        <v>77</v>
      </c>
      <c r="K2830" s="3" t="s">
        <v>78</v>
      </c>
      <c r="L2830" s="3" t="s">
        <v>195</v>
      </c>
      <c r="M2830" s="3" t="s">
        <v>196</v>
      </c>
      <c r="N2830" s="3" t="s">
        <v>197</v>
      </c>
      <c r="O2830" s="3" t="s">
        <v>82</v>
      </c>
      <c r="P2830" s="3" t="str">
        <f>"2170812912                    "</f>
        <v xml:space="preserve">2170812912                    </v>
      </c>
      <c r="Q2830" s="3">
        <v>0</v>
      </c>
      <c r="R2830" s="3">
        <v>0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3">
        <v>0</v>
      </c>
      <c r="AE2830" s="3">
        <v>0</v>
      </c>
      <c r="AF2830" s="3">
        <v>0</v>
      </c>
      <c r="AG2830" s="3">
        <v>0</v>
      </c>
      <c r="AH2830" s="3">
        <v>0</v>
      </c>
      <c r="AI2830" s="3">
        <v>0</v>
      </c>
      <c r="AJ2830" s="3">
        <v>0</v>
      </c>
      <c r="AK2830" s="3">
        <v>84.87</v>
      </c>
      <c r="AL2830" s="3">
        <v>0</v>
      </c>
      <c r="AM2830" s="3">
        <v>0</v>
      </c>
      <c r="AN2830" s="3">
        <v>0</v>
      </c>
      <c r="AO2830" s="3">
        <v>0</v>
      </c>
      <c r="AP2830" s="3">
        <v>0</v>
      </c>
      <c r="AQ2830" s="3">
        <v>0</v>
      </c>
      <c r="AR2830" s="3">
        <v>0</v>
      </c>
      <c r="AS2830" s="3">
        <v>0</v>
      </c>
      <c r="AT2830" s="3">
        <v>0</v>
      </c>
      <c r="AU2830" s="3">
        <v>0</v>
      </c>
      <c r="AV2830" s="3">
        <v>0</v>
      </c>
      <c r="AW2830" s="3">
        <v>0</v>
      </c>
      <c r="AX2830" s="3">
        <v>0</v>
      </c>
      <c r="AY2830" s="3">
        <v>0</v>
      </c>
      <c r="AZ2830" s="3">
        <v>0</v>
      </c>
      <c r="BA2830" s="3">
        <v>0</v>
      </c>
      <c r="BB2830" s="3">
        <v>0</v>
      </c>
      <c r="BC2830" s="3">
        <v>0</v>
      </c>
      <c r="BD2830" s="3">
        <v>0</v>
      </c>
      <c r="BE2830" s="3">
        <v>0</v>
      </c>
      <c r="BF2830" s="3">
        <v>0</v>
      </c>
      <c r="BG2830" s="3">
        <v>0</v>
      </c>
      <c r="BH2830" s="3">
        <v>1</v>
      </c>
      <c r="BI2830" s="3">
        <v>10</v>
      </c>
      <c r="BJ2830" s="3">
        <v>4.0999999999999996</v>
      </c>
      <c r="BK2830" s="3">
        <v>10</v>
      </c>
      <c r="BL2830" s="3">
        <v>302.49</v>
      </c>
      <c r="BM2830" s="3">
        <v>45.37</v>
      </c>
      <c r="BN2830" s="3">
        <v>347.86</v>
      </c>
      <c r="BO2830" s="3">
        <v>347.86</v>
      </c>
      <c r="BQ2830" s="3" t="s">
        <v>89</v>
      </c>
      <c r="BR2830" s="3" t="s">
        <v>308</v>
      </c>
      <c r="BS2830" s="4">
        <v>44565</v>
      </c>
      <c r="BT2830" s="5">
        <v>0.37361111111111112</v>
      </c>
      <c r="BU2830" s="3" t="s">
        <v>570</v>
      </c>
      <c r="BV2830" s="3" t="s">
        <v>105</v>
      </c>
      <c r="BY2830" s="3">
        <v>20358</v>
      </c>
      <c r="BZ2830" s="3" t="s">
        <v>165</v>
      </c>
      <c r="CA2830" s="3" t="s">
        <v>571</v>
      </c>
      <c r="CC2830" s="3" t="s">
        <v>196</v>
      </c>
      <c r="CD2830" s="3">
        <v>4302</v>
      </c>
      <c r="CE2830" s="3" t="s">
        <v>86</v>
      </c>
      <c r="CF2830" s="4">
        <v>44565</v>
      </c>
      <c r="CI2830" s="3">
        <v>1</v>
      </c>
      <c r="CJ2830" s="3">
        <v>1</v>
      </c>
      <c r="CK2830" s="3">
        <v>21</v>
      </c>
      <c r="CL2830" s="3" t="s">
        <v>87</v>
      </c>
    </row>
    <row r="2831" spans="1:90" x14ac:dyDescent="0.2">
      <c r="A2831" s="3" t="s">
        <v>72</v>
      </c>
      <c r="B2831" s="3" t="s">
        <v>73</v>
      </c>
      <c r="C2831" s="3" t="s">
        <v>74</v>
      </c>
      <c r="E2831" s="3" t="str">
        <f>"FES1162842384"</f>
        <v>FES1162842384</v>
      </c>
      <c r="F2831" s="4">
        <v>44564</v>
      </c>
      <c r="G2831" s="3">
        <v>202207</v>
      </c>
      <c r="H2831" s="3" t="s">
        <v>75</v>
      </c>
      <c r="I2831" s="3" t="s">
        <v>76</v>
      </c>
      <c r="J2831" s="3" t="s">
        <v>77</v>
      </c>
      <c r="K2831" s="3" t="s">
        <v>78</v>
      </c>
      <c r="L2831" s="3" t="s">
        <v>167</v>
      </c>
      <c r="M2831" s="3" t="s">
        <v>168</v>
      </c>
      <c r="N2831" s="3" t="s">
        <v>247</v>
      </c>
      <c r="O2831" s="3" t="s">
        <v>148</v>
      </c>
      <c r="P2831" s="3" t="str">
        <f>"2170807776                    "</f>
        <v xml:space="preserve">2170807776                    </v>
      </c>
      <c r="Q2831" s="3">
        <v>0</v>
      </c>
      <c r="R2831" s="3">
        <v>0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  <c r="AE2831" s="3">
        <v>0</v>
      </c>
      <c r="AF2831" s="3">
        <v>0</v>
      </c>
      <c r="AG2831" s="3">
        <v>0</v>
      </c>
      <c r="AH2831" s="3">
        <v>0</v>
      </c>
      <c r="AI2831" s="3">
        <v>0</v>
      </c>
      <c r="AJ2831" s="3">
        <v>0</v>
      </c>
      <c r="AK2831" s="3">
        <v>50.43</v>
      </c>
      <c r="AL2831" s="3">
        <v>0</v>
      </c>
      <c r="AM2831" s="3">
        <v>0</v>
      </c>
      <c r="AN2831" s="3">
        <v>0</v>
      </c>
      <c r="AO2831" s="3">
        <v>0</v>
      </c>
      <c r="AP2831" s="3">
        <v>0</v>
      </c>
      <c r="AQ2831" s="3">
        <v>0</v>
      </c>
      <c r="AR2831" s="3">
        <v>0</v>
      </c>
      <c r="AS2831" s="3">
        <v>0</v>
      </c>
      <c r="AT2831" s="3">
        <v>0</v>
      </c>
      <c r="AU2831" s="3">
        <v>0</v>
      </c>
      <c r="AV2831" s="3">
        <v>0</v>
      </c>
      <c r="AW2831" s="3">
        <v>0</v>
      </c>
      <c r="AX2831" s="3">
        <v>0</v>
      </c>
      <c r="AY2831" s="3">
        <v>0</v>
      </c>
      <c r="AZ2831" s="3">
        <v>0</v>
      </c>
      <c r="BA2831" s="3">
        <v>0</v>
      </c>
      <c r="BB2831" s="3">
        <v>0</v>
      </c>
      <c r="BC2831" s="3">
        <v>0</v>
      </c>
      <c r="BD2831" s="3">
        <v>0</v>
      </c>
      <c r="BE2831" s="3">
        <v>0</v>
      </c>
      <c r="BF2831" s="3">
        <v>0</v>
      </c>
      <c r="BG2831" s="3">
        <v>0</v>
      </c>
      <c r="BH2831" s="3">
        <v>2</v>
      </c>
      <c r="BI2831" s="3">
        <v>28</v>
      </c>
      <c r="BJ2831" s="3">
        <v>15</v>
      </c>
      <c r="BK2831" s="3">
        <v>28</v>
      </c>
      <c r="BL2831" s="3">
        <v>184.99</v>
      </c>
      <c r="BM2831" s="3">
        <v>27.75</v>
      </c>
      <c r="BN2831" s="3">
        <v>212.74</v>
      </c>
      <c r="BO2831" s="3">
        <v>212.74</v>
      </c>
      <c r="BQ2831" s="3" t="s">
        <v>89</v>
      </c>
      <c r="BR2831" s="3" t="s">
        <v>308</v>
      </c>
      <c r="BS2831" s="4">
        <v>44566</v>
      </c>
      <c r="BT2831" s="5">
        <v>0.47291666666666665</v>
      </c>
      <c r="BU2831" s="3" t="s">
        <v>2515</v>
      </c>
      <c r="BV2831" s="3" t="s">
        <v>105</v>
      </c>
      <c r="BY2831" s="3">
        <v>37570</v>
      </c>
      <c r="BZ2831" s="3" t="s">
        <v>327</v>
      </c>
      <c r="CA2831" s="3" t="s">
        <v>553</v>
      </c>
      <c r="CC2831" s="3" t="s">
        <v>168</v>
      </c>
      <c r="CD2831" s="3">
        <v>6229</v>
      </c>
      <c r="CE2831" s="3" t="s">
        <v>221</v>
      </c>
      <c r="CF2831" s="4">
        <v>44566</v>
      </c>
      <c r="CI2831" s="3">
        <v>2</v>
      </c>
      <c r="CJ2831" s="3">
        <v>2</v>
      </c>
      <c r="CK2831" s="3">
        <v>41</v>
      </c>
      <c r="CL2831" s="3" t="s">
        <v>87</v>
      </c>
    </row>
    <row r="2832" spans="1:90" x14ac:dyDescent="0.2">
      <c r="A2832" s="3" t="s">
        <v>72</v>
      </c>
      <c r="B2832" s="3" t="s">
        <v>73</v>
      </c>
      <c r="C2832" s="3" t="s">
        <v>74</v>
      </c>
      <c r="E2832" s="3" t="str">
        <f>"FES1162843070"</f>
        <v>FES1162843070</v>
      </c>
      <c r="F2832" s="4">
        <v>44564</v>
      </c>
      <c r="G2832" s="3">
        <v>202207</v>
      </c>
      <c r="H2832" s="3" t="s">
        <v>75</v>
      </c>
      <c r="I2832" s="3" t="s">
        <v>76</v>
      </c>
      <c r="J2832" s="3" t="s">
        <v>77</v>
      </c>
      <c r="K2832" s="3" t="s">
        <v>78</v>
      </c>
      <c r="L2832" s="3" t="s">
        <v>171</v>
      </c>
      <c r="M2832" s="3" t="s">
        <v>172</v>
      </c>
      <c r="N2832" s="3" t="s">
        <v>838</v>
      </c>
      <c r="O2832" s="3" t="s">
        <v>148</v>
      </c>
      <c r="P2832" s="3" t="str">
        <f>"2170814390                    "</f>
        <v xml:space="preserve">2170814390                    </v>
      </c>
      <c r="Q2832" s="3">
        <v>0</v>
      </c>
      <c r="R2832" s="3">
        <v>0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  <c r="AE2832" s="3">
        <v>0</v>
      </c>
      <c r="AF2832" s="3">
        <v>0</v>
      </c>
      <c r="AG2832" s="3">
        <v>0</v>
      </c>
      <c r="AH2832" s="3">
        <v>0</v>
      </c>
      <c r="AI2832" s="3">
        <v>0</v>
      </c>
      <c r="AJ2832" s="3">
        <v>0</v>
      </c>
      <c r="AK2832" s="3">
        <v>32.840000000000003</v>
      </c>
      <c r="AL2832" s="3">
        <v>0</v>
      </c>
      <c r="AM2832" s="3">
        <v>0</v>
      </c>
      <c r="AN2832" s="3">
        <v>0</v>
      </c>
      <c r="AO2832" s="3">
        <v>0</v>
      </c>
      <c r="AP2832" s="3">
        <v>0</v>
      </c>
      <c r="AQ2832" s="3">
        <v>0</v>
      </c>
      <c r="AR2832" s="3">
        <v>0</v>
      </c>
      <c r="AS2832" s="3">
        <v>0</v>
      </c>
      <c r="AT2832" s="3">
        <v>0</v>
      </c>
      <c r="AU2832" s="3">
        <v>0</v>
      </c>
      <c r="AV2832" s="3">
        <v>0</v>
      </c>
      <c r="AW2832" s="3">
        <v>0</v>
      </c>
      <c r="AX2832" s="3">
        <v>0</v>
      </c>
      <c r="AY2832" s="3">
        <v>0</v>
      </c>
      <c r="AZ2832" s="3">
        <v>0</v>
      </c>
      <c r="BA2832" s="3">
        <v>0</v>
      </c>
      <c r="BB2832" s="3">
        <v>0</v>
      </c>
      <c r="BC2832" s="3">
        <v>0</v>
      </c>
      <c r="BD2832" s="3">
        <v>0</v>
      </c>
      <c r="BE2832" s="3">
        <v>0</v>
      </c>
      <c r="BF2832" s="3">
        <v>0</v>
      </c>
      <c r="BG2832" s="3">
        <v>0</v>
      </c>
      <c r="BH2832" s="3">
        <v>1</v>
      </c>
      <c r="BI2832" s="3">
        <v>1</v>
      </c>
      <c r="BJ2832" s="3">
        <v>0.9</v>
      </c>
      <c r="BK2832" s="3">
        <v>1</v>
      </c>
      <c r="BL2832" s="3">
        <v>122.29</v>
      </c>
      <c r="BM2832" s="3">
        <v>18.34</v>
      </c>
      <c r="BN2832" s="3">
        <v>140.63</v>
      </c>
      <c r="BO2832" s="3">
        <v>140.63</v>
      </c>
      <c r="BQ2832" s="3" t="s">
        <v>83</v>
      </c>
      <c r="BR2832" s="3" t="s">
        <v>308</v>
      </c>
      <c r="BS2832" s="4">
        <v>44565</v>
      </c>
      <c r="BT2832" s="5">
        <v>0.37916666666666665</v>
      </c>
      <c r="BU2832" s="3" t="s">
        <v>1695</v>
      </c>
      <c r="BV2832" s="3" t="s">
        <v>105</v>
      </c>
      <c r="BY2832" s="3">
        <v>4480</v>
      </c>
      <c r="BZ2832" s="3" t="s">
        <v>327</v>
      </c>
      <c r="CA2832" s="3" t="s">
        <v>509</v>
      </c>
      <c r="CC2832" s="3" t="s">
        <v>172</v>
      </c>
      <c r="CD2832" s="3">
        <v>6001</v>
      </c>
      <c r="CE2832" s="3" t="s">
        <v>86</v>
      </c>
      <c r="CF2832" s="4">
        <v>44565</v>
      </c>
      <c r="CI2832" s="3">
        <v>2</v>
      </c>
      <c r="CJ2832" s="3">
        <v>1</v>
      </c>
      <c r="CK2832" s="3">
        <v>41</v>
      </c>
      <c r="CL2832" s="3" t="s">
        <v>87</v>
      </c>
    </row>
    <row r="2833" spans="1:90" x14ac:dyDescent="0.2">
      <c r="A2833" s="3" t="s">
        <v>72</v>
      </c>
      <c r="B2833" s="3" t="s">
        <v>73</v>
      </c>
      <c r="C2833" s="3" t="s">
        <v>74</v>
      </c>
      <c r="E2833" s="3" t="str">
        <f>"FES1162843095"</f>
        <v>FES1162843095</v>
      </c>
      <c r="F2833" s="4">
        <v>44564</v>
      </c>
      <c r="G2833" s="3">
        <v>202207</v>
      </c>
      <c r="H2833" s="3" t="s">
        <v>75</v>
      </c>
      <c r="I2833" s="3" t="s">
        <v>76</v>
      </c>
      <c r="J2833" s="3" t="s">
        <v>77</v>
      </c>
      <c r="K2833" s="3" t="s">
        <v>78</v>
      </c>
      <c r="L2833" s="3" t="s">
        <v>90</v>
      </c>
      <c r="M2833" s="3" t="s">
        <v>91</v>
      </c>
      <c r="N2833" s="3" t="s">
        <v>157</v>
      </c>
      <c r="O2833" s="3" t="s">
        <v>82</v>
      </c>
      <c r="P2833" s="3" t="str">
        <f>"2170815473                    "</f>
        <v xml:space="preserve">2170815473                    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  <c r="AE2833" s="3">
        <v>0</v>
      </c>
      <c r="AF2833" s="3">
        <v>0</v>
      </c>
      <c r="AG2833" s="3">
        <v>0</v>
      </c>
      <c r="AH2833" s="3">
        <v>0</v>
      </c>
      <c r="AI2833" s="3">
        <v>0</v>
      </c>
      <c r="AJ2833" s="3">
        <v>0</v>
      </c>
      <c r="AK2833" s="3">
        <v>16.98</v>
      </c>
      <c r="AL2833" s="3">
        <v>0</v>
      </c>
      <c r="AM2833" s="3">
        <v>0</v>
      </c>
      <c r="AN2833" s="3">
        <v>0</v>
      </c>
      <c r="AO2833" s="3">
        <v>0</v>
      </c>
      <c r="AP2833" s="3">
        <v>0</v>
      </c>
      <c r="AQ2833" s="3">
        <v>0</v>
      </c>
      <c r="AR2833" s="3">
        <v>0</v>
      </c>
      <c r="AS2833" s="3">
        <v>0</v>
      </c>
      <c r="AT2833" s="3">
        <v>0</v>
      </c>
      <c r="AU2833" s="3">
        <v>0</v>
      </c>
      <c r="AV2833" s="3">
        <v>0</v>
      </c>
      <c r="AW2833" s="3">
        <v>0</v>
      </c>
      <c r="AX2833" s="3">
        <v>0</v>
      </c>
      <c r="AY2833" s="3">
        <v>0</v>
      </c>
      <c r="AZ2833" s="3">
        <v>0</v>
      </c>
      <c r="BA2833" s="3">
        <v>0</v>
      </c>
      <c r="BB2833" s="3">
        <v>0</v>
      </c>
      <c r="BC2833" s="3">
        <v>0</v>
      </c>
      <c r="BD2833" s="3">
        <v>0</v>
      </c>
      <c r="BE2833" s="3">
        <v>0</v>
      </c>
      <c r="BF2833" s="3">
        <v>0</v>
      </c>
      <c r="BG2833" s="3">
        <v>0</v>
      </c>
      <c r="BH2833" s="3">
        <v>1</v>
      </c>
      <c r="BI2833" s="3">
        <v>1</v>
      </c>
      <c r="BJ2833" s="3">
        <v>1.1000000000000001</v>
      </c>
      <c r="BK2833" s="3">
        <v>1.5</v>
      </c>
      <c r="BL2833" s="3">
        <v>60.52</v>
      </c>
      <c r="BM2833" s="3">
        <v>9.08</v>
      </c>
      <c r="BN2833" s="3">
        <v>69.599999999999994</v>
      </c>
      <c r="BO2833" s="3">
        <v>69.599999999999994</v>
      </c>
      <c r="BQ2833" s="3" t="s">
        <v>89</v>
      </c>
      <c r="BR2833" s="3" t="s">
        <v>308</v>
      </c>
      <c r="BS2833" s="4">
        <v>44565</v>
      </c>
      <c r="BT2833" s="5">
        <v>0.36180555555555555</v>
      </c>
      <c r="BU2833" s="3" t="s">
        <v>1825</v>
      </c>
      <c r="BV2833" s="3" t="s">
        <v>105</v>
      </c>
      <c r="BY2833" s="3">
        <v>5320</v>
      </c>
      <c r="BZ2833" s="3" t="s">
        <v>165</v>
      </c>
      <c r="CA2833" s="3" t="s">
        <v>289</v>
      </c>
      <c r="CC2833" s="3" t="s">
        <v>91</v>
      </c>
      <c r="CD2833" s="3">
        <v>7441</v>
      </c>
      <c r="CE2833" s="3" t="s">
        <v>86</v>
      </c>
      <c r="CF2833" s="4">
        <v>44566</v>
      </c>
      <c r="CI2833" s="3">
        <v>1</v>
      </c>
      <c r="CJ2833" s="3">
        <v>1</v>
      </c>
      <c r="CK2833" s="3">
        <v>21</v>
      </c>
      <c r="CL2833" s="3" t="s">
        <v>87</v>
      </c>
    </row>
    <row r="2834" spans="1:90" x14ac:dyDescent="0.2">
      <c r="A2834" s="3" t="s">
        <v>72</v>
      </c>
      <c r="B2834" s="3" t="s">
        <v>73</v>
      </c>
      <c r="C2834" s="3" t="s">
        <v>74</v>
      </c>
      <c r="E2834" s="3" t="str">
        <f>"FES1162843114"</f>
        <v>FES1162843114</v>
      </c>
      <c r="F2834" s="4">
        <v>44564</v>
      </c>
      <c r="G2834" s="3">
        <v>202207</v>
      </c>
      <c r="H2834" s="3" t="s">
        <v>75</v>
      </c>
      <c r="I2834" s="3" t="s">
        <v>76</v>
      </c>
      <c r="J2834" s="3" t="s">
        <v>77</v>
      </c>
      <c r="K2834" s="3" t="s">
        <v>78</v>
      </c>
      <c r="L2834" s="3" t="s">
        <v>138</v>
      </c>
      <c r="M2834" s="3" t="s">
        <v>139</v>
      </c>
      <c r="N2834" s="3" t="s">
        <v>238</v>
      </c>
      <c r="O2834" s="3" t="s">
        <v>82</v>
      </c>
      <c r="P2834" s="3" t="str">
        <f>"210813690                     "</f>
        <v xml:space="preserve">210813690                     </v>
      </c>
      <c r="Q2834" s="3">
        <v>0</v>
      </c>
      <c r="R2834" s="3">
        <v>0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  <c r="AE2834" s="3">
        <v>0</v>
      </c>
      <c r="AF2834" s="3">
        <v>0</v>
      </c>
      <c r="AG2834" s="3">
        <v>0</v>
      </c>
      <c r="AH2834" s="3">
        <v>0</v>
      </c>
      <c r="AI2834" s="3">
        <v>0</v>
      </c>
      <c r="AJ2834" s="3">
        <v>0</v>
      </c>
      <c r="AK2834" s="3">
        <v>16.98</v>
      </c>
      <c r="AL2834" s="3">
        <v>0</v>
      </c>
      <c r="AM2834" s="3">
        <v>0</v>
      </c>
      <c r="AN2834" s="3">
        <v>0</v>
      </c>
      <c r="AO2834" s="3">
        <v>0</v>
      </c>
      <c r="AP2834" s="3">
        <v>0</v>
      </c>
      <c r="AQ2834" s="3">
        <v>0</v>
      </c>
      <c r="AR2834" s="3">
        <v>0</v>
      </c>
      <c r="AS2834" s="3">
        <v>0</v>
      </c>
      <c r="AT2834" s="3">
        <v>0</v>
      </c>
      <c r="AU2834" s="3">
        <v>0</v>
      </c>
      <c r="AV2834" s="3">
        <v>0</v>
      </c>
      <c r="AW2834" s="3">
        <v>0</v>
      </c>
      <c r="AX2834" s="3">
        <v>0</v>
      </c>
      <c r="AY2834" s="3">
        <v>0</v>
      </c>
      <c r="AZ2834" s="3">
        <v>0</v>
      </c>
      <c r="BA2834" s="3">
        <v>0</v>
      </c>
      <c r="BB2834" s="3">
        <v>0</v>
      </c>
      <c r="BC2834" s="3">
        <v>0</v>
      </c>
      <c r="BD2834" s="3">
        <v>0</v>
      </c>
      <c r="BE2834" s="3">
        <v>0</v>
      </c>
      <c r="BF2834" s="3">
        <v>0</v>
      </c>
      <c r="BG2834" s="3">
        <v>0</v>
      </c>
      <c r="BH2834" s="3">
        <v>1</v>
      </c>
      <c r="BI2834" s="3">
        <v>2</v>
      </c>
      <c r="BJ2834" s="3">
        <v>1.1000000000000001</v>
      </c>
      <c r="BK2834" s="3">
        <v>2</v>
      </c>
      <c r="BL2834" s="3">
        <v>60.52</v>
      </c>
      <c r="BM2834" s="3">
        <v>9.08</v>
      </c>
      <c r="BN2834" s="3">
        <v>69.599999999999994</v>
      </c>
      <c r="BO2834" s="3">
        <v>69.599999999999994</v>
      </c>
      <c r="BQ2834" s="3" t="s">
        <v>89</v>
      </c>
      <c r="BR2834" s="3" t="s">
        <v>308</v>
      </c>
      <c r="BS2834" s="4">
        <v>44567</v>
      </c>
      <c r="BT2834" s="5">
        <v>0.33888888888888885</v>
      </c>
      <c r="BU2834" s="3" t="s">
        <v>469</v>
      </c>
      <c r="BV2834" s="3" t="s">
        <v>87</v>
      </c>
      <c r="BW2834" s="3" t="s">
        <v>493</v>
      </c>
      <c r="BX2834" s="3" t="s">
        <v>1878</v>
      </c>
      <c r="BY2834" s="3">
        <v>5320</v>
      </c>
      <c r="BZ2834" s="3" t="s">
        <v>165</v>
      </c>
      <c r="CA2834" s="3" t="s">
        <v>303</v>
      </c>
      <c r="CC2834" s="3" t="s">
        <v>139</v>
      </c>
      <c r="CD2834" s="3">
        <v>3610</v>
      </c>
      <c r="CE2834" s="3" t="s">
        <v>86</v>
      </c>
      <c r="CF2834" s="4">
        <v>44567</v>
      </c>
      <c r="CI2834" s="3">
        <v>1</v>
      </c>
      <c r="CJ2834" s="3">
        <v>3</v>
      </c>
      <c r="CK2834" s="3">
        <v>21</v>
      </c>
      <c r="CL2834" s="3" t="s">
        <v>87</v>
      </c>
    </row>
    <row r="2835" spans="1:90" x14ac:dyDescent="0.2">
      <c r="A2835" s="3" t="s">
        <v>72</v>
      </c>
      <c r="B2835" s="3" t="s">
        <v>73</v>
      </c>
      <c r="C2835" s="3" t="s">
        <v>74</v>
      </c>
      <c r="E2835" s="3" t="str">
        <f>"FES1162843108"</f>
        <v>FES1162843108</v>
      </c>
      <c r="F2835" s="4">
        <v>44564</v>
      </c>
      <c r="G2835" s="3">
        <v>202207</v>
      </c>
      <c r="H2835" s="3" t="s">
        <v>75</v>
      </c>
      <c r="I2835" s="3" t="s">
        <v>76</v>
      </c>
      <c r="J2835" s="3" t="s">
        <v>77</v>
      </c>
      <c r="K2835" s="3" t="s">
        <v>78</v>
      </c>
      <c r="L2835" s="3" t="s">
        <v>171</v>
      </c>
      <c r="M2835" s="3" t="s">
        <v>172</v>
      </c>
      <c r="N2835" s="3" t="s">
        <v>199</v>
      </c>
      <c r="O2835" s="3" t="s">
        <v>82</v>
      </c>
      <c r="P2835" s="3" t="str">
        <f>"2170813027                    "</f>
        <v xml:space="preserve">2170813027                    </v>
      </c>
      <c r="Q2835" s="3">
        <v>0</v>
      </c>
      <c r="R2835" s="3">
        <v>0</v>
      </c>
      <c r="S2835" s="3">
        <v>0</v>
      </c>
      <c r="T2835" s="3">
        <v>0</v>
      </c>
      <c r="U2835" s="3">
        <v>0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0</v>
      </c>
      <c r="AC2835" s="3">
        <v>0</v>
      </c>
      <c r="AD2835" s="3">
        <v>0</v>
      </c>
      <c r="AE2835" s="3">
        <v>0</v>
      </c>
      <c r="AF2835" s="3">
        <v>0</v>
      </c>
      <c r="AG2835" s="3">
        <v>0</v>
      </c>
      <c r="AH2835" s="3">
        <v>0</v>
      </c>
      <c r="AI2835" s="3">
        <v>0</v>
      </c>
      <c r="AJ2835" s="3">
        <v>0</v>
      </c>
      <c r="AK2835" s="3">
        <v>16.98</v>
      </c>
      <c r="AL2835" s="3">
        <v>0</v>
      </c>
      <c r="AM2835" s="3">
        <v>0</v>
      </c>
      <c r="AN2835" s="3">
        <v>0</v>
      </c>
      <c r="AO2835" s="3">
        <v>0</v>
      </c>
      <c r="AP2835" s="3">
        <v>0</v>
      </c>
      <c r="AQ2835" s="3">
        <v>0</v>
      </c>
      <c r="AR2835" s="3">
        <v>0</v>
      </c>
      <c r="AS2835" s="3">
        <v>0</v>
      </c>
      <c r="AT2835" s="3">
        <v>0</v>
      </c>
      <c r="AU2835" s="3">
        <v>0</v>
      </c>
      <c r="AV2835" s="3">
        <v>0</v>
      </c>
      <c r="AW2835" s="3">
        <v>0</v>
      </c>
      <c r="AX2835" s="3">
        <v>0</v>
      </c>
      <c r="AY2835" s="3">
        <v>0</v>
      </c>
      <c r="AZ2835" s="3">
        <v>0</v>
      </c>
      <c r="BA2835" s="3">
        <v>0</v>
      </c>
      <c r="BB2835" s="3">
        <v>0</v>
      </c>
      <c r="BC2835" s="3">
        <v>0</v>
      </c>
      <c r="BD2835" s="3">
        <v>0</v>
      </c>
      <c r="BE2835" s="3">
        <v>0</v>
      </c>
      <c r="BF2835" s="3">
        <v>0</v>
      </c>
      <c r="BG2835" s="3">
        <v>0</v>
      </c>
      <c r="BH2835" s="3">
        <v>1</v>
      </c>
      <c r="BI2835" s="3">
        <v>2</v>
      </c>
      <c r="BJ2835" s="3">
        <v>1.8</v>
      </c>
      <c r="BK2835" s="3">
        <v>2</v>
      </c>
      <c r="BL2835" s="3">
        <v>60.52</v>
      </c>
      <c r="BM2835" s="3">
        <v>9.08</v>
      </c>
      <c r="BN2835" s="3">
        <v>69.599999999999994</v>
      </c>
      <c r="BO2835" s="3">
        <v>69.599999999999994</v>
      </c>
      <c r="BR2835" s="3" t="s">
        <v>308</v>
      </c>
      <c r="BS2835" s="4">
        <v>44565</v>
      </c>
      <c r="BT2835" s="5">
        <v>0.31111111111111112</v>
      </c>
      <c r="BU2835" s="3" t="s">
        <v>2574</v>
      </c>
      <c r="BV2835" s="3" t="s">
        <v>105</v>
      </c>
      <c r="BY2835" s="3">
        <v>9000</v>
      </c>
      <c r="BZ2835" s="3" t="s">
        <v>165</v>
      </c>
      <c r="CA2835" s="3" t="s">
        <v>408</v>
      </c>
      <c r="CC2835" s="3" t="s">
        <v>172</v>
      </c>
      <c r="CD2835" s="3">
        <v>6000</v>
      </c>
      <c r="CE2835" s="3" t="s">
        <v>86</v>
      </c>
      <c r="CF2835" s="4">
        <v>44565</v>
      </c>
      <c r="CI2835" s="3">
        <v>1</v>
      </c>
      <c r="CJ2835" s="3">
        <v>1</v>
      </c>
      <c r="CK2835" s="3">
        <v>21</v>
      </c>
      <c r="CL2835" s="3" t="s">
        <v>87</v>
      </c>
    </row>
    <row r="2836" spans="1:90" x14ac:dyDescent="0.2">
      <c r="A2836" s="3" t="s">
        <v>72</v>
      </c>
      <c r="B2836" s="3" t="s">
        <v>73</v>
      </c>
      <c r="C2836" s="3" t="s">
        <v>74</v>
      </c>
      <c r="E2836" s="3" t="str">
        <f>"FES1162843106"</f>
        <v>FES1162843106</v>
      </c>
      <c r="F2836" s="4">
        <v>44564</v>
      </c>
      <c r="G2836" s="3">
        <v>202207</v>
      </c>
      <c r="H2836" s="3" t="s">
        <v>75</v>
      </c>
      <c r="I2836" s="3" t="s">
        <v>76</v>
      </c>
      <c r="J2836" s="3" t="s">
        <v>77</v>
      </c>
      <c r="K2836" s="3" t="s">
        <v>78</v>
      </c>
      <c r="L2836" s="3" t="s">
        <v>90</v>
      </c>
      <c r="M2836" s="3" t="s">
        <v>91</v>
      </c>
      <c r="N2836" s="3" t="s">
        <v>2495</v>
      </c>
      <c r="O2836" s="3" t="s">
        <v>82</v>
      </c>
      <c r="P2836" s="3" t="str">
        <f>"2170812693                    "</f>
        <v xml:space="preserve">2170812693                    </v>
      </c>
      <c r="Q2836" s="3">
        <v>0</v>
      </c>
      <c r="R2836" s="3">
        <v>0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  <c r="AE2836" s="3">
        <v>0</v>
      </c>
      <c r="AF2836" s="3">
        <v>0</v>
      </c>
      <c r="AG2836" s="3">
        <v>0</v>
      </c>
      <c r="AH2836" s="3">
        <v>0</v>
      </c>
      <c r="AI2836" s="3">
        <v>0</v>
      </c>
      <c r="AJ2836" s="3">
        <v>0</v>
      </c>
      <c r="AK2836" s="3">
        <v>25.47</v>
      </c>
      <c r="AL2836" s="3">
        <v>0</v>
      </c>
      <c r="AM2836" s="3">
        <v>0</v>
      </c>
      <c r="AN2836" s="3">
        <v>0</v>
      </c>
      <c r="AO2836" s="3">
        <v>0</v>
      </c>
      <c r="AP2836" s="3">
        <v>0</v>
      </c>
      <c r="AQ2836" s="3">
        <v>0</v>
      </c>
      <c r="AR2836" s="3">
        <v>0</v>
      </c>
      <c r="AS2836" s="3">
        <v>0</v>
      </c>
      <c r="AT2836" s="3">
        <v>0</v>
      </c>
      <c r="AU2836" s="3">
        <v>0</v>
      </c>
      <c r="AV2836" s="3">
        <v>0</v>
      </c>
      <c r="AW2836" s="3">
        <v>0</v>
      </c>
      <c r="AX2836" s="3">
        <v>0</v>
      </c>
      <c r="AY2836" s="3">
        <v>0</v>
      </c>
      <c r="AZ2836" s="3">
        <v>0</v>
      </c>
      <c r="BA2836" s="3">
        <v>0</v>
      </c>
      <c r="BB2836" s="3">
        <v>0</v>
      </c>
      <c r="BC2836" s="3">
        <v>0</v>
      </c>
      <c r="BD2836" s="3">
        <v>0</v>
      </c>
      <c r="BE2836" s="3">
        <v>0</v>
      </c>
      <c r="BF2836" s="3">
        <v>0</v>
      </c>
      <c r="BG2836" s="3">
        <v>0</v>
      </c>
      <c r="BH2836" s="3">
        <v>1</v>
      </c>
      <c r="BI2836" s="3">
        <v>3</v>
      </c>
      <c r="BJ2836" s="3">
        <v>1.5</v>
      </c>
      <c r="BK2836" s="3">
        <v>3</v>
      </c>
      <c r="BL2836" s="3">
        <v>90.77</v>
      </c>
      <c r="BM2836" s="3">
        <v>13.62</v>
      </c>
      <c r="BN2836" s="3">
        <v>104.39</v>
      </c>
      <c r="BO2836" s="3">
        <v>104.39</v>
      </c>
      <c r="BQ2836" s="3" t="s">
        <v>83</v>
      </c>
      <c r="BR2836" s="3" t="s">
        <v>308</v>
      </c>
      <c r="BS2836" s="4">
        <v>44565</v>
      </c>
      <c r="BT2836" s="5">
        <v>0.36249999999999999</v>
      </c>
      <c r="BU2836" s="3" t="s">
        <v>2496</v>
      </c>
      <c r="BV2836" s="3" t="s">
        <v>105</v>
      </c>
      <c r="BY2836" s="3">
        <v>7605</v>
      </c>
      <c r="BZ2836" s="3" t="s">
        <v>165</v>
      </c>
      <c r="CA2836" s="3" t="s">
        <v>289</v>
      </c>
      <c r="CC2836" s="3" t="s">
        <v>91</v>
      </c>
      <c r="CD2836" s="3">
        <v>7915</v>
      </c>
      <c r="CE2836" s="3" t="s">
        <v>86</v>
      </c>
      <c r="CF2836" s="4">
        <v>44566</v>
      </c>
      <c r="CI2836" s="3">
        <v>1</v>
      </c>
      <c r="CJ2836" s="3">
        <v>1</v>
      </c>
      <c r="CK2836" s="3">
        <v>21</v>
      </c>
      <c r="CL2836" s="3" t="s">
        <v>87</v>
      </c>
    </row>
    <row r="2837" spans="1:90" x14ac:dyDescent="0.2">
      <c r="A2837" s="3" t="s">
        <v>72</v>
      </c>
      <c r="B2837" s="3" t="s">
        <v>73</v>
      </c>
      <c r="C2837" s="3" t="s">
        <v>74</v>
      </c>
      <c r="E2837" s="3" t="str">
        <f>"FES1162843122"</f>
        <v>FES1162843122</v>
      </c>
      <c r="F2837" s="4">
        <v>44564</v>
      </c>
      <c r="G2837" s="3">
        <v>202207</v>
      </c>
      <c r="H2837" s="3" t="s">
        <v>75</v>
      </c>
      <c r="I2837" s="3" t="s">
        <v>76</v>
      </c>
      <c r="J2837" s="3" t="s">
        <v>77</v>
      </c>
      <c r="K2837" s="3" t="s">
        <v>78</v>
      </c>
      <c r="L2837" s="3" t="s">
        <v>79</v>
      </c>
      <c r="M2837" s="3" t="s">
        <v>80</v>
      </c>
      <c r="N2837" s="3" t="s">
        <v>337</v>
      </c>
      <c r="O2837" s="3" t="s">
        <v>82</v>
      </c>
      <c r="P2837" s="3" t="str">
        <f>"2170815416                    "</f>
        <v xml:space="preserve">2170815416                    </v>
      </c>
      <c r="Q2837" s="3">
        <v>0</v>
      </c>
      <c r="R2837" s="3">
        <v>0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  <c r="AE2837" s="3">
        <v>0</v>
      </c>
      <c r="AF2837" s="3">
        <v>0</v>
      </c>
      <c r="AG2837" s="3">
        <v>0</v>
      </c>
      <c r="AH2837" s="3">
        <v>0</v>
      </c>
      <c r="AI2837" s="3">
        <v>0</v>
      </c>
      <c r="AJ2837" s="3">
        <v>0</v>
      </c>
      <c r="AK2837" s="3">
        <v>16.98</v>
      </c>
      <c r="AL2837" s="3">
        <v>0</v>
      </c>
      <c r="AM2837" s="3">
        <v>0</v>
      </c>
      <c r="AN2837" s="3">
        <v>0</v>
      </c>
      <c r="AO2837" s="3">
        <v>0</v>
      </c>
      <c r="AP2837" s="3">
        <v>0</v>
      </c>
      <c r="AQ2837" s="3">
        <v>0</v>
      </c>
      <c r="AR2837" s="3">
        <v>0</v>
      </c>
      <c r="AS2837" s="3">
        <v>0</v>
      </c>
      <c r="AT2837" s="3">
        <v>0</v>
      </c>
      <c r="AU2837" s="3">
        <v>0</v>
      </c>
      <c r="AV2837" s="3">
        <v>0</v>
      </c>
      <c r="AW2837" s="3">
        <v>0</v>
      </c>
      <c r="AX2837" s="3">
        <v>0</v>
      </c>
      <c r="AY2837" s="3">
        <v>0</v>
      </c>
      <c r="AZ2837" s="3">
        <v>0</v>
      </c>
      <c r="BA2837" s="3">
        <v>0</v>
      </c>
      <c r="BB2837" s="3">
        <v>0</v>
      </c>
      <c r="BC2837" s="3">
        <v>0</v>
      </c>
      <c r="BD2837" s="3">
        <v>0</v>
      </c>
      <c r="BE2837" s="3">
        <v>0</v>
      </c>
      <c r="BF2837" s="3">
        <v>0</v>
      </c>
      <c r="BG2837" s="3">
        <v>0</v>
      </c>
      <c r="BH2837" s="3">
        <v>1</v>
      </c>
      <c r="BI2837" s="3">
        <v>1</v>
      </c>
      <c r="BJ2837" s="3">
        <v>1.1000000000000001</v>
      </c>
      <c r="BK2837" s="3">
        <v>1.5</v>
      </c>
      <c r="BL2837" s="3">
        <v>60.52</v>
      </c>
      <c r="BM2837" s="3">
        <v>9.08</v>
      </c>
      <c r="BN2837" s="3">
        <v>69.599999999999994</v>
      </c>
      <c r="BO2837" s="3">
        <v>69.599999999999994</v>
      </c>
      <c r="BQ2837" s="3" t="s">
        <v>89</v>
      </c>
      <c r="BR2837" s="3" t="s">
        <v>308</v>
      </c>
      <c r="BS2837" s="4">
        <v>44565</v>
      </c>
      <c r="BT2837" s="5">
        <v>0.41319444444444442</v>
      </c>
      <c r="BU2837" s="3" t="s">
        <v>1236</v>
      </c>
      <c r="BV2837" s="3" t="s">
        <v>105</v>
      </c>
      <c r="BY2837" s="3">
        <v>5320</v>
      </c>
      <c r="BZ2837" s="3" t="s">
        <v>165</v>
      </c>
      <c r="CA2837" s="3" t="s">
        <v>366</v>
      </c>
      <c r="CC2837" s="3" t="s">
        <v>80</v>
      </c>
      <c r="CD2837" s="3">
        <v>200</v>
      </c>
      <c r="CE2837" s="3" t="s">
        <v>86</v>
      </c>
      <c r="CF2837" s="4">
        <v>44565</v>
      </c>
      <c r="CI2837" s="3">
        <v>1</v>
      </c>
      <c r="CJ2837" s="3">
        <v>1</v>
      </c>
      <c r="CK2837" s="3">
        <v>21</v>
      </c>
      <c r="CL2837" s="3" t="s">
        <v>87</v>
      </c>
    </row>
    <row r="2838" spans="1:90" x14ac:dyDescent="0.2">
      <c r="A2838" s="3" t="s">
        <v>72</v>
      </c>
      <c r="B2838" s="3" t="s">
        <v>73</v>
      </c>
      <c r="C2838" s="3" t="s">
        <v>74</v>
      </c>
      <c r="E2838" s="3" t="str">
        <f>"FES1162843111"</f>
        <v>FES1162843111</v>
      </c>
      <c r="F2838" s="4">
        <v>44564</v>
      </c>
      <c r="G2838" s="3">
        <v>202207</v>
      </c>
      <c r="H2838" s="3" t="s">
        <v>75</v>
      </c>
      <c r="I2838" s="3" t="s">
        <v>76</v>
      </c>
      <c r="J2838" s="3" t="s">
        <v>77</v>
      </c>
      <c r="K2838" s="3" t="s">
        <v>78</v>
      </c>
      <c r="L2838" s="3" t="s">
        <v>427</v>
      </c>
      <c r="M2838" s="3" t="s">
        <v>428</v>
      </c>
      <c r="N2838" s="3" t="s">
        <v>429</v>
      </c>
      <c r="O2838" s="3" t="s">
        <v>82</v>
      </c>
      <c r="P2838" s="3" t="str">
        <f>"2170813309                    "</f>
        <v xml:space="preserve">2170813309                    </v>
      </c>
      <c r="Q2838" s="3">
        <v>0</v>
      </c>
      <c r="R2838" s="3">
        <v>0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  <c r="AE2838" s="3">
        <v>0</v>
      </c>
      <c r="AF2838" s="3">
        <v>0</v>
      </c>
      <c r="AG2838" s="3">
        <v>0</v>
      </c>
      <c r="AH2838" s="3">
        <v>0</v>
      </c>
      <c r="AI2838" s="3">
        <v>0</v>
      </c>
      <c r="AJ2838" s="3">
        <v>0</v>
      </c>
      <c r="AK2838" s="3">
        <v>70.05</v>
      </c>
      <c r="AL2838" s="3">
        <v>0</v>
      </c>
      <c r="AM2838" s="3">
        <v>0</v>
      </c>
      <c r="AN2838" s="3">
        <v>0</v>
      </c>
      <c r="AO2838" s="3">
        <v>0</v>
      </c>
      <c r="AP2838" s="3">
        <v>0</v>
      </c>
      <c r="AQ2838" s="3">
        <v>0</v>
      </c>
      <c r="AR2838" s="3">
        <v>0</v>
      </c>
      <c r="AS2838" s="3">
        <v>0</v>
      </c>
      <c r="AT2838" s="3">
        <v>0</v>
      </c>
      <c r="AU2838" s="3">
        <v>0</v>
      </c>
      <c r="AV2838" s="3">
        <v>0</v>
      </c>
      <c r="AW2838" s="3">
        <v>0</v>
      </c>
      <c r="AX2838" s="3">
        <v>0</v>
      </c>
      <c r="AY2838" s="3">
        <v>0</v>
      </c>
      <c r="AZ2838" s="3">
        <v>0</v>
      </c>
      <c r="BA2838" s="3">
        <v>0</v>
      </c>
      <c r="BB2838" s="3">
        <v>0</v>
      </c>
      <c r="BC2838" s="3">
        <v>0</v>
      </c>
      <c r="BD2838" s="3">
        <v>0</v>
      </c>
      <c r="BE2838" s="3">
        <v>0</v>
      </c>
      <c r="BF2838" s="3">
        <v>0</v>
      </c>
      <c r="BG2838" s="3">
        <v>0</v>
      </c>
      <c r="BH2838" s="3">
        <v>1</v>
      </c>
      <c r="BI2838" s="3">
        <v>2</v>
      </c>
      <c r="BJ2838" s="3">
        <v>4.4000000000000004</v>
      </c>
      <c r="BK2838" s="3">
        <v>4.5</v>
      </c>
      <c r="BL2838" s="3">
        <v>249.66</v>
      </c>
      <c r="BM2838" s="3">
        <v>37.450000000000003</v>
      </c>
      <c r="BN2838" s="3">
        <v>287.11</v>
      </c>
      <c r="BO2838" s="3">
        <v>287.11</v>
      </c>
      <c r="BQ2838" s="3" t="s">
        <v>83</v>
      </c>
      <c r="BR2838" s="3" t="s">
        <v>308</v>
      </c>
      <c r="BS2838" s="4">
        <v>44567</v>
      </c>
      <c r="BT2838" s="5">
        <v>0.57777777777777783</v>
      </c>
      <c r="BU2838" s="3" t="s">
        <v>1695</v>
      </c>
      <c r="BV2838" s="3" t="s">
        <v>87</v>
      </c>
      <c r="BW2838" s="3" t="s">
        <v>353</v>
      </c>
      <c r="BX2838" s="3" t="s">
        <v>354</v>
      </c>
      <c r="BY2838" s="3">
        <v>21904</v>
      </c>
      <c r="BZ2838" s="3" t="s">
        <v>165</v>
      </c>
      <c r="CA2838" s="3" t="s">
        <v>2516</v>
      </c>
      <c r="CC2838" s="3" t="s">
        <v>428</v>
      </c>
      <c r="CD2838" s="3">
        <v>7130</v>
      </c>
      <c r="CE2838" s="3" t="s">
        <v>86</v>
      </c>
      <c r="CF2838" s="4">
        <v>44568</v>
      </c>
      <c r="CI2838" s="3">
        <v>1</v>
      </c>
      <c r="CJ2838" s="3">
        <v>3</v>
      </c>
      <c r="CK2838" s="3">
        <v>23</v>
      </c>
      <c r="CL2838" s="3" t="s">
        <v>87</v>
      </c>
    </row>
    <row r="2839" spans="1:90" x14ac:dyDescent="0.2">
      <c r="A2839" s="3" t="s">
        <v>72</v>
      </c>
      <c r="B2839" s="3" t="s">
        <v>73</v>
      </c>
      <c r="C2839" s="3" t="s">
        <v>74</v>
      </c>
      <c r="E2839" s="3" t="str">
        <f>"FES1162843256"</f>
        <v>FES1162843256</v>
      </c>
      <c r="F2839" s="4">
        <v>44564</v>
      </c>
      <c r="G2839" s="3">
        <v>202207</v>
      </c>
      <c r="H2839" s="3" t="s">
        <v>75</v>
      </c>
      <c r="I2839" s="3" t="s">
        <v>76</v>
      </c>
      <c r="J2839" s="3" t="s">
        <v>77</v>
      </c>
      <c r="K2839" s="3" t="s">
        <v>78</v>
      </c>
      <c r="L2839" s="3" t="s">
        <v>254</v>
      </c>
      <c r="M2839" s="3" t="s">
        <v>255</v>
      </c>
      <c r="N2839" s="3" t="s">
        <v>256</v>
      </c>
      <c r="O2839" s="3" t="s">
        <v>82</v>
      </c>
      <c r="P2839" s="3" t="str">
        <f>"2170815496                    "</f>
        <v xml:space="preserve">2170815496                    </v>
      </c>
      <c r="Q2839" s="3">
        <v>0</v>
      </c>
      <c r="R2839" s="3">
        <v>0</v>
      </c>
      <c r="S2839" s="3">
        <v>0</v>
      </c>
      <c r="T2839" s="3">
        <v>0</v>
      </c>
      <c r="U2839" s="3">
        <v>0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0</v>
      </c>
      <c r="AC2839" s="3">
        <v>0</v>
      </c>
      <c r="AD2839" s="3">
        <v>0</v>
      </c>
      <c r="AE2839" s="3">
        <v>0</v>
      </c>
      <c r="AF2839" s="3">
        <v>0</v>
      </c>
      <c r="AG2839" s="3">
        <v>0</v>
      </c>
      <c r="AH2839" s="3">
        <v>0</v>
      </c>
      <c r="AI2839" s="3">
        <v>0</v>
      </c>
      <c r="AJ2839" s="3">
        <v>0</v>
      </c>
      <c r="AK2839" s="3">
        <v>38.200000000000003</v>
      </c>
      <c r="AL2839" s="3">
        <v>0</v>
      </c>
      <c r="AM2839" s="3">
        <v>0</v>
      </c>
      <c r="AN2839" s="3">
        <v>0</v>
      </c>
      <c r="AO2839" s="3">
        <v>0</v>
      </c>
      <c r="AP2839" s="3">
        <v>0</v>
      </c>
      <c r="AQ2839" s="3">
        <v>0</v>
      </c>
      <c r="AR2839" s="3">
        <v>0</v>
      </c>
      <c r="AS2839" s="3">
        <v>0</v>
      </c>
      <c r="AT2839" s="3">
        <v>0</v>
      </c>
      <c r="AU2839" s="3">
        <v>0</v>
      </c>
      <c r="AV2839" s="3">
        <v>0</v>
      </c>
      <c r="AW2839" s="3">
        <v>0</v>
      </c>
      <c r="AX2839" s="3">
        <v>0</v>
      </c>
      <c r="AY2839" s="3">
        <v>0</v>
      </c>
      <c r="AZ2839" s="3">
        <v>0</v>
      </c>
      <c r="BA2839" s="3">
        <v>0</v>
      </c>
      <c r="BB2839" s="3">
        <v>0</v>
      </c>
      <c r="BC2839" s="3">
        <v>0</v>
      </c>
      <c r="BD2839" s="3">
        <v>0</v>
      </c>
      <c r="BE2839" s="3">
        <v>0</v>
      </c>
      <c r="BF2839" s="3">
        <v>0</v>
      </c>
      <c r="BG2839" s="3">
        <v>0</v>
      </c>
      <c r="BH2839" s="3">
        <v>1</v>
      </c>
      <c r="BI2839" s="3">
        <v>2</v>
      </c>
      <c r="BJ2839" s="3">
        <v>4.0999999999999996</v>
      </c>
      <c r="BK2839" s="3">
        <v>4.5</v>
      </c>
      <c r="BL2839" s="3">
        <v>136.13999999999999</v>
      </c>
      <c r="BM2839" s="3">
        <v>20.420000000000002</v>
      </c>
      <c r="BN2839" s="3">
        <v>156.56</v>
      </c>
      <c r="BO2839" s="3">
        <v>156.56</v>
      </c>
      <c r="BQ2839" s="3" t="s">
        <v>89</v>
      </c>
      <c r="BR2839" s="3" t="s">
        <v>308</v>
      </c>
      <c r="BS2839" s="4">
        <v>44565</v>
      </c>
      <c r="BT2839" s="5">
        <v>0.3840277777777778</v>
      </c>
      <c r="BU2839" s="3" t="s">
        <v>657</v>
      </c>
      <c r="BV2839" s="3" t="s">
        <v>105</v>
      </c>
      <c r="BY2839" s="3">
        <v>20358</v>
      </c>
      <c r="BZ2839" s="3" t="s">
        <v>165</v>
      </c>
      <c r="CA2839" s="3" t="s">
        <v>328</v>
      </c>
      <c r="CC2839" s="3" t="s">
        <v>255</v>
      </c>
      <c r="CD2839" s="3">
        <v>6536</v>
      </c>
      <c r="CE2839" s="3" t="s">
        <v>86</v>
      </c>
      <c r="CF2839" s="4">
        <v>44565</v>
      </c>
      <c r="CI2839" s="3">
        <v>1</v>
      </c>
      <c r="CJ2839" s="3">
        <v>1</v>
      </c>
      <c r="CK2839" s="3">
        <v>21</v>
      </c>
      <c r="CL2839" s="3" t="s">
        <v>87</v>
      </c>
    </row>
    <row r="2840" spans="1:90" x14ac:dyDescent="0.2">
      <c r="A2840" s="3" t="s">
        <v>72</v>
      </c>
      <c r="B2840" s="3" t="s">
        <v>73</v>
      </c>
      <c r="C2840" s="3" t="s">
        <v>74</v>
      </c>
      <c r="E2840" s="3" t="str">
        <f>"FES1162843164"</f>
        <v>FES1162843164</v>
      </c>
      <c r="F2840" s="4">
        <v>44564</v>
      </c>
      <c r="G2840" s="3">
        <v>202207</v>
      </c>
      <c r="H2840" s="3" t="s">
        <v>75</v>
      </c>
      <c r="I2840" s="3" t="s">
        <v>76</v>
      </c>
      <c r="J2840" s="3" t="s">
        <v>77</v>
      </c>
      <c r="K2840" s="3" t="s">
        <v>78</v>
      </c>
      <c r="L2840" s="3" t="s">
        <v>162</v>
      </c>
      <c r="M2840" s="3" t="s">
        <v>163</v>
      </c>
      <c r="N2840" s="3" t="s">
        <v>2595</v>
      </c>
      <c r="O2840" s="3" t="s">
        <v>82</v>
      </c>
      <c r="P2840" s="3" t="str">
        <f>"2170812676                    "</f>
        <v xml:space="preserve">2170812676                    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  <c r="AE2840" s="3">
        <v>0</v>
      </c>
      <c r="AF2840" s="3">
        <v>0</v>
      </c>
      <c r="AG2840" s="3">
        <v>0</v>
      </c>
      <c r="AH2840" s="3">
        <v>0</v>
      </c>
      <c r="AI2840" s="3">
        <v>0</v>
      </c>
      <c r="AJ2840" s="3">
        <v>0</v>
      </c>
      <c r="AK2840" s="3">
        <v>13.26</v>
      </c>
      <c r="AL2840" s="3">
        <v>0</v>
      </c>
      <c r="AM2840" s="3">
        <v>0</v>
      </c>
      <c r="AN2840" s="3">
        <v>0</v>
      </c>
      <c r="AO2840" s="3">
        <v>0</v>
      </c>
      <c r="AP2840" s="3">
        <v>0</v>
      </c>
      <c r="AQ2840" s="3">
        <v>0</v>
      </c>
      <c r="AR2840" s="3">
        <v>0</v>
      </c>
      <c r="AS2840" s="3">
        <v>0</v>
      </c>
      <c r="AT2840" s="3">
        <v>0</v>
      </c>
      <c r="AU2840" s="3">
        <v>0</v>
      </c>
      <c r="AV2840" s="3">
        <v>0</v>
      </c>
      <c r="AW2840" s="3">
        <v>0</v>
      </c>
      <c r="AX2840" s="3">
        <v>0</v>
      </c>
      <c r="AY2840" s="3">
        <v>0</v>
      </c>
      <c r="AZ2840" s="3">
        <v>0</v>
      </c>
      <c r="BA2840" s="3">
        <v>0</v>
      </c>
      <c r="BB2840" s="3">
        <v>0</v>
      </c>
      <c r="BC2840" s="3">
        <v>0</v>
      </c>
      <c r="BD2840" s="3">
        <v>0</v>
      </c>
      <c r="BE2840" s="3">
        <v>0</v>
      </c>
      <c r="BF2840" s="3">
        <v>0</v>
      </c>
      <c r="BG2840" s="3">
        <v>0</v>
      </c>
      <c r="BH2840" s="3">
        <v>1</v>
      </c>
      <c r="BI2840" s="3">
        <v>4</v>
      </c>
      <c r="BJ2840" s="3">
        <v>4.0999999999999996</v>
      </c>
      <c r="BK2840" s="3">
        <v>4.5</v>
      </c>
      <c r="BL2840" s="3">
        <v>47.27</v>
      </c>
      <c r="BM2840" s="3">
        <v>7.09</v>
      </c>
      <c r="BN2840" s="3">
        <v>54.36</v>
      </c>
      <c r="BO2840" s="3">
        <v>54.36</v>
      </c>
      <c r="BQ2840" s="3" t="s">
        <v>83</v>
      </c>
      <c r="BR2840" s="3" t="s">
        <v>308</v>
      </c>
      <c r="BS2840" s="4">
        <v>44565</v>
      </c>
      <c r="BT2840" s="5">
        <v>0.39583333333333331</v>
      </c>
      <c r="BU2840" s="3" t="s">
        <v>2366</v>
      </c>
      <c r="BV2840" s="3" t="s">
        <v>105</v>
      </c>
      <c r="BY2840" s="3">
        <v>20358</v>
      </c>
      <c r="BZ2840" s="3" t="s">
        <v>165</v>
      </c>
      <c r="CA2840" s="3" t="s">
        <v>2686</v>
      </c>
      <c r="CC2840" s="3" t="s">
        <v>163</v>
      </c>
      <c r="CD2840" s="3">
        <v>1400</v>
      </c>
      <c r="CE2840" s="3" t="s">
        <v>86</v>
      </c>
      <c r="CF2840" s="4">
        <v>44566</v>
      </c>
      <c r="CI2840" s="3">
        <v>1</v>
      </c>
      <c r="CJ2840" s="3">
        <v>1</v>
      </c>
      <c r="CK2840" s="3">
        <v>22</v>
      </c>
      <c r="CL2840" s="3" t="s">
        <v>87</v>
      </c>
    </row>
    <row r="2841" spans="1:90" x14ac:dyDescent="0.2">
      <c r="A2841" s="3" t="s">
        <v>72</v>
      </c>
      <c r="B2841" s="3" t="s">
        <v>73</v>
      </c>
      <c r="C2841" s="3" t="s">
        <v>74</v>
      </c>
      <c r="E2841" s="3" t="str">
        <f>"FES1162843211"</f>
        <v>FES1162843211</v>
      </c>
      <c r="F2841" s="4">
        <v>44564</v>
      </c>
      <c r="G2841" s="3">
        <v>202207</v>
      </c>
      <c r="H2841" s="3" t="s">
        <v>75</v>
      </c>
      <c r="I2841" s="3" t="s">
        <v>76</v>
      </c>
      <c r="J2841" s="3" t="s">
        <v>77</v>
      </c>
      <c r="K2841" s="3" t="s">
        <v>78</v>
      </c>
      <c r="L2841" s="3" t="s">
        <v>195</v>
      </c>
      <c r="M2841" s="3" t="s">
        <v>196</v>
      </c>
      <c r="N2841" s="3" t="s">
        <v>917</v>
      </c>
      <c r="O2841" s="3" t="s">
        <v>82</v>
      </c>
      <c r="P2841" s="3" t="str">
        <f>"2170813178                    "</f>
        <v xml:space="preserve">2170813178                    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0</v>
      </c>
      <c r="W2841" s="3">
        <v>0</v>
      </c>
      <c r="X2841" s="3">
        <v>0</v>
      </c>
      <c r="Y2841" s="3">
        <v>0</v>
      </c>
      <c r="Z2841" s="3">
        <v>0</v>
      </c>
      <c r="AA2841" s="3">
        <v>0</v>
      </c>
      <c r="AB2841" s="3">
        <v>0</v>
      </c>
      <c r="AC2841" s="3">
        <v>0</v>
      </c>
      <c r="AD2841" s="3">
        <v>0</v>
      </c>
      <c r="AE2841" s="3">
        <v>0</v>
      </c>
      <c r="AF2841" s="3">
        <v>0</v>
      </c>
      <c r="AG2841" s="3">
        <v>0</v>
      </c>
      <c r="AH2841" s="3">
        <v>0</v>
      </c>
      <c r="AI2841" s="3">
        <v>0</v>
      </c>
      <c r="AJ2841" s="3">
        <v>0</v>
      </c>
      <c r="AK2841" s="3">
        <v>16.98</v>
      </c>
      <c r="AL2841" s="3">
        <v>0</v>
      </c>
      <c r="AM2841" s="3">
        <v>0</v>
      </c>
      <c r="AN2841" s="3">
        <v>0</v>
      </c>
      <c r="AO2841" s="3">
        <v>0</v>
      </c>
      <c r="AP2841" s="3">
        <v>0</v>
      </c>
      <c r="AQ2841" s="3">
        <v>0</v>
      </c>
      <c r="AR2841" s="3">
        <v>0</v>
      </c>
      <c r="AS2841" s="3">
        <v>0</v>
      </c>
      <c r="AT2841" s="3">
        <v>0</v>
      </c>
      <c r="AU2841" s="3">
        <v>0</v>
      </c>
      <c r="AV2841" s="3">
        <v>0</v>
      </c>
      <c r="AW2841" s="3">
        <v>0</v>
      </c>
      <c r="AX2841" s="3">
        <v>0</v>
      </c>
      <c r="AY2841" s="3">
        <v>0</v>
      </c>
      <c r="AZ2841" s="3">
        <v>0</v>
      </c>
      <c r="BA2841" s="3">
        <v>0</v>
      </c>
      <c r="BB2841" s="3">
        <v>0</v>
      </c>
      <c r="BC2841" s="3">
        <v>0</v>
      </c>
      <c r="BD2841" s="3">
        <v>0</v>
      </c>
      <c r="BE2841" s="3">
        <v>0</v>
      </c>
      <c r="BF2841" s="3">
        <v>0</v>
      </c>
      <c r="BG2841" s="3">
        <v>0</v>
      </c>
      <c r="BH2841" s="3">
        <v>1</v>
      </c>
      <c r="BI2841" s="3">
        <v>1</v>
      </c>
      <c r="BJ2841" s="3">
        <v>0.2</v>
      </c>
      <c r="BK2841" s="3">
        <v>1</v>
      </c>
      <c r="BL2841" s="3">
        <v>60.52</v>
      </c>
      <c r="BM2841" s="3">
        <v>9.08</v>
      </c>
      <c r="BN2841" s="3">
        <v>69.599999999999994</v>
      </c>
      <c r="BO2841" s="3">
        <v>69.599999999999994</v>
      </c>
      <c r="BQ2841" s="3" t="s">
        <v>89</v>
      </c>
      <c r="BR2841" s="3" t="s">
        <v>308</v>
      </c>
      <c r="BS2841" s="4">
        <v>44565</v>
      </c>
      <c r="BT2841" s="5">
        <v>0.37638888888888888</v>
      </c>
      <c r="BU2841" s="3" t="s">
        <v>892</v>
      </c>
      <c r="BV2841" s="3" t="s">
        <v>105</v>
      </c>
      <c r="BY2841" s="3">
        <v>1200</v>
      </c>
      <c r="BZ2841" s="3" t="s">
        <v>165</v>
      </c>
      <c r="CA2841" s="3" t="s">
        <v>571</v>
      </c>
      <c r="CC2841" s="3" t="s">
        <v>196</v>
      </c>
      <c r="CD2841" s="3">
        <v>4300</v>
      </c>
      <c r="CE2841" s="3" t="s">
        <v>93</v>
      </c>
      <c r="CF2841" s="4">
        <v>44565</v>
      </c>
      <c r="CI2841" s="3">
        <v>1</v>
      </c>
      <c r="CJ2841" s="3">
        <v>1</v>
      </c>
      <c r="CK2841" s="3">
        <v>21</v>
      </c>
      <c r="CL2841" s="3" t="s">
        <v>87</v>
      </c>
    </row>
    <row r="2842" spans="1:90" x14ac:dyDescent="0.2">
      <c r="A2842" s="3" t="s">
        <v>72</v>
      </c>
      <c r="B2842" s="3" t="s">
        <v>73</v>
      </c>
      <c r="C2842" s="3" t="s">
        <v>74</v>
      </c>
      <c r="E2842" s="3" t="str">
        <f>"FES1162843267"</f>
        <v>FES1162843267</v>
      </c>
      <c r="F2842" s="4">
        <v>44564</v>
      </c>
      <c r="G2842" s="3">
        <v>202207</v>
      </c>
      <c r="H2842" s="3" t="s">
        <v>75</v>
      </c>
      <c r="I2842" s="3" t="s">
        <v>76</v>
      </c>
      <c r="J2842" s="3" t="s">
        <v>77</v>
      </c>
      <c r="K2842" s="3" t="s">
        <v>78</v>
      </c>
      <c r="L2842" s="3" t="s">
        <v>138</v>
      </c>
      <c r="M2842" s="3" t="s">
        <v>139</v>
      </c>
      <c r="N2842" s="3" t="s">
        <v>2687</v>
      </c>
      <c r="O2842" s="3" t="s">
        <v>82</v>
      </c>
      <c r="P2842" s="3" t="str">
        <f>"2170815509                    "</f>
        <v xml:space="preserve">2170815509                    </v>
      </c>
      <c r="Q2842" s="3">
        <v>0</v>
      </c>
      <c r="R2842" s="3">
        <v>0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  <c r="AE2842" s="3">
        <v>0</v>
      </c>
      <c r="AF2842" s="3">
        <v>0</v>
      </c>
      <c r="AG2842" s="3">
        <v>0</v>
      </c>
      <c r="AH2842" s="3">
        <v>0</v>
      </c>
      <c r="AI2842" s="3">
        <v>0</v>
      </c>
      <c r="AJ2842" s="3">
        <v>0</v>
      </c>
      <c r="AK2842" s="3">
        <v>16.98</v>
      </c>
      <c r="AL2842" s="3">
        <v>0</v>
      </c>
      <c r="AM2842" s="3">
        <v>0</v>
      </c>
      <c r="AN2842" s="3">
        <v>0</v>
      </c>
      <c r="AO2842" s="3">
        <v>0</v>
      </c>
      <c r="AP2842" s="3">
        <v>0</v>
      </c>
      <c r="AQ2842" s="3">
        <v>0</v>
      </c>
      <c r="AR2842" s="3">
        <v>0</v>
      </c>
      <c r="AS2842" s="3">
        <v>0</v>
      </c>
      <c r="AT2842" s="3">
        <v>0</v>
      </c>
      <c r="AU2842" s="3">
        <v>0</v>
      </c>
      <c r="AV2842" s="3">
        <v>0</v>
      </c>
      <c r="AW2842" s="3">
        <v>0</v>
      </c>
      <c r="AX2842" s="3">
        <v>0</v>
      </c>
      <c r="AY2842" s="3">
        <v>0</v>
      </c>
      <c r="AZ2842" s="3">
        <v>0</v>
      </c>
      <c r="BA2842" s="3">
        <v>0</v>
      </c>
      <c r="BB2842" s="3">
        <v>0</v>
      </c>
      <c r="BC2842" s="3">
        <v>0</v>
      </c>
      <c r="BD2842" s="3">
        <v>0</v>
      </c>
      <c r="BE2842" s="3">
        <v>0</v>
      </c>
      <c r="BF2842" s="3">
        <v>0</v>
      </c>
      <c r="BG2842" s="3">
        <v>0</v>
      </c>
      <c r="BH2842" s="3">
        <v>1</v>
      </c>
      <c r="BI2842" s="3">
        <v>1</v>
      </c>
      <c r="BJ2842" s="3">
        <v>0.2</v>
      </c>
      <c r="BK2842" s="3">
        <v>1</v>
      </c>
      <c r="BL2842" s="3">
        <v>60.52</v>
      </c>
      <c r="BM2842" s="3">
        <v>9.08</v>
      </c>
      <c r="BN2842" s="3">
        <v>69.599999999999994</v>
      </c>
      <c r="BO2842" s="3">
        <v>69.599999999999994</v>
      </c>
      <c r="BR2842" s="3" t="s">
        <v>308</v>
      </c>
      <c r="BS2842" s="4">
        <v>44565</v>
      </c>
      <c r="BT2842" s="5">
        <v>0.39027777777777778</v>
      </c>
      <c r="BU2842" s="3" t="s">
        <v>1212</v>
      </c>
      <c r="BV2842" s="3" t="s">
        <v>105</v>
      </c>
      <c r="BY2842" s="3">
        <v>1200</v>
      </c>
      <c r="BZ2842" s="3" t="s">
        <v>165</v>
      </c>
      <c r="CA2842" s="3" t="s">
        <v>303</v>
      </c>
      <c r="CC2842" s="3" t="s">
        <v>139</v>
      </c>
      <c r="CD2842" s="3">
        <v>3610</v>
      </c>
      <c r="CE2842" s="3" t="s">
        <v>93</v>
      </c>
      <c r="CF2842" s="4">
        <v>44565</v>
      </c>
      <c r="CI2842" s="3">
        <v>1</v>
      </c>
      <c r="CJ2842" s="3">
        <v>1</v>
      </c>
      <c r="CK2842" s="3">
        <v>21</v>
      </c>
      <c r="CL2842" s="3" t="s">
        <v>87</v>
      </c>
    </row>
    <row r="2843" spans="1:90" x14ac:dyDescent="0.2">
      <c r="A2843" s="3" t="s">
        <v>72</v>
      </c>
      <c r="B2843" s="3" t="s">
        <v>73</v>
      </c>
      <c r="C2843" s="3" t="s">
        <v>74</v>
      </c>
      <c r="E2843" s="3" t="str">
        <f>"FES1162843253"</f>
        <v>FES1162843253</v>
      </c>
      <c r="F2843" s="4">
        <v>44564</v>
      </c>
      <c r="G2843" s="3">
        <v>202207</v>
      </c>
      <c r="H2843" s="3" t="s">
        <v>75</v>
      </c>
      <c r="I2843" s="3" t="s">
        <v>76</v>
      </c>
      <c r="J2843" s="3" t="s">
        <v>77</v>
      </c>
      <c r="K2843" s="3" t="s">
        <v>78</v>
      </c>
      <c r="L2843" s="3" t="s">
        <v>250</v>
      </c>
      <c r="M2843" s="3" t="s">
        <v>251</v>
      </c>
      <c r="N2843" s="3" t="s">
        <v>252</v>
      </c>
      <c r="O2843" s="3" t="s">
        <v>82</v>
      </c>
      <c r="P2843" s="3" t="str">
        <f>"2170815491                    "</f>
        <v xml:space="preserve">2170815491                    </v>
      </c>
      <c r="Q2843" s="3">
        <v>0</v>
      </c>
      <c r="R2843" s="3">
        <v>0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  <c r="AE2843" s="3">
        <v>0</v>
      </c>
      <c r="AF2843" s="3">
        <v>0</v>
      </c>
      <c r="AG2843" s="3">
        <v>0</v>
      </c>
      <c r="AH2843" s="3">
        <v>0</v>
      </c>
      <c r="AI2843" s="3">
        <v>0</v>
      </c>
      <c r="AJ2843" s="3">
        <v>0</v>
      </c>
      <c r="AK2843" s="3">
        <v>32.9</v>
      </c>
      <c r="AL2843" s="3">
        <v>0</v>
      </c>
      <c r="AM2843" s="3">
        <v>0</v>
      </c>
      <c r="AN2843" s="3">
        <v>0</v>
      </c>
      <c r="AO2843" s="3">
        <v>0</v>
      </c>
      <c r="AP2843" s="3">
        <v>0</v>
      </c>
      <c r="AQ2843" s="3">
        <v>0</v>
      </c>
      <c r="AR2843" s="3">
        <v>0</v>
      </c>
      <c r="AS2843" s="3">
        <v>0</v>
      </c>
      <c r="AT2843" s="3">
        <v>0</v>
      </c>
      <c r="AU2843" s="3">
        <v>0</v>
      </c>
      <c r="AV2843" s="3">
        <v>0</v>
      </c>
      <c r="AW2843" s="3">
        <v>0</v>
      </c>
      <c r="AX2843" s="3">
        <v>0</v>
      </c>
      <c r="AY2843" s="3">
        <v>0</v>
      </c>
      <c r="AZ2843" s="3">
        <v>0</v>
      </c>
      <c r="BA2843" s="3">
        <v>0</v>
      </c>
      <c r="BB2843" s="3">
        <v>0</v>
      </c>
      <c r="BC2843" s="3">
        <v>0</v>
      </c>
      <c r="BD2843" s="3">
        <v>0</v>
      </c>
      <c r="BE2843" s="3">
        <v>0</v>
      </c>
      <c r="BF2843" s="3">
        <v>0</v>
      </c>
      <c r="BG2843" s="3">
        <v>0</v>
      </c>
      <c r="BH2843" s="3">
        <v>1</v>
      </c>
      <c r="BI2843" s="3">
        <v>1</v>
      </c>
      <c r="BJ2843" s="3">
        <v>0.2</v>
      </c>
      <c r="BK2843" s="3">
        <v>1</v>
      </c>
      <c r="BL2843" s="3">
        <v>117.26</v>
      </c>
      <c r="BM2843" s="3">
        <v>17.59</v>
      </c>
      <c r="BN2843" s="3">
        <v>134.85</v>
      </c>
      <c r="BO2843" s="3">
        <v>134.85</v>
      </c>
      <c r="BQ2843" s="3" t="s">
        <v>253</v>
      </c>
      <c r="BR2843" s="3" t="s">
        <v>308</v>
      </c>
      <c r="BS2843" s="4">
        <v>44565</v>
      </c>
      <c r="BT2843" s="5">
        <v>0.42499999999999999</v>
      </c>
      <c r="BU2843" s="3" t="s">
        <v>2041</v>
      </c>
      <c r="BV2843" s="3" t="s">
        <v>105</v>
      </c>
      <c r="BY2843" s="3">
        <v>1200</v>
      </c>
      <c r="BZ2843" s="3" t="s">
        <v>165</v>
      </c>
      <c r="CA2843" s="3" t="s">
        <v>368</v>
      </c>
      <c r="CC2843" s="3" t="s">
        <v>251</v>
      </c>
      <c r="CD2843" s="3">
        <v>6300</v>
      </c>
      <c r="CE2843" s="3" t="s">
        <v>93</v>
      </c>
      <c r="CF2843" s="4">
        <v>44565</v>
      </c>
      <c r="CI2843" s="3">
        <v>2</v>
      </c>
      <c r="CJ2843" s="3">
        <v>1</v>
      </c>
      <c r="CK2843" s="3">
        <v>23</v>
      </c>
      <c r="CL2843" s="3" t="s">
        <v>87</v>
      </c>
    </row>
    <row r="2844" spans="1:90" x14ac:dyDescent="0.2">
      <c r="A2844" s="3" t="s">
        <v>72</v>
      </c>
      <c r="B2844" s="3" t="s">
        <v>73</v>
      </c>
      <c r="C2844" s="3" t="s">
        <v>74</v>
      </c>
      <c r="E2844" s="3" t="str">
        <f>"FES1162843260"</f>
        <v>FES1162843260</v>
      </c>
      <c r="F2844" s="4">
        <v>44564</v>
      </c>
      <c r="G2844" s="3">
        <v>202207</v>
      </c>
      <c r="H2844" s="3" t="s">
        <v>75</v>
      </c>
      <c r="I2844" s="3" t="s">
        <v>76</v>
      </c>
      <c r="J2844" s="3" t="s">
        <v>77</v>
      </c>
      <c r="K2844" s="3" t="s">
        <v>78</v>
      </c>
      <c r="L2844" s="3" t="s">
        <v>258</v>
      </c>
      <c r="M2844" s="3" t="s">
        <v>259</v>
      </c>
      <c r="N2844" s="3" t="s">
        <v>412</v>
      </c>
      <c r="O2844" s="3" t="s">
        <v>82</v>
      </c>
      <c r="P2844" s="3" t="str">
        <f>"2170815455                    "</f>
        <v xml:space="preserve">2170815455                    </v>
      </c>
      <c r="Q2844" s="3">
        <v>0</v>
      </c>
      <c r="R2844" s="3">
        <v>0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  <c r="AE2844" s="3">
        <v>0</v>
      </c>
      <c r="AF2844" s="3">
        <v>0</v>
      </c>
      <c r="AG2844" s="3">
        <v>0</v>
      </c>
      <c r="AH2844" s="3">
        <v>0</v>
      </c>
      <c r="AI2844" s="3">
        <v>0</v>
      </c>
      <c r="AJ2844" s="3">
        <v>0</v>
      </c>
      <c r="AK2844" s="3">
        <v>23.88</v>
      </c>
      <c r="AL2844" s="3">
        <v>0</v>
      </c>
      <c r="AM2844" s="3">
        <v>0</v>
      </c>
      <c r="AN2844" s="3">
        <v>0</v>
      </c>
      <c r="AO2844" s="3">
        <v>0</v>
      </c>
      <c r="AP2844" s="3">
        <v>0</v>
      </c>
      <c r="AQ2844" s="3">
        <v>0</v>
      </c>
      <c r="AR2844" s="3">
        <v>0</v>
      </c>
      <c r="AS2844" s="3">
        <v>0</v>
      </c>
      <c r="AT2844" s="3">
        <v>0</v>
      </c>
      <c r="AU2844" s="3">
        <v>0</v>
      </c>
      <c r="AV2844" s="3">
        <v>0</v>
      </c>
      <c r="AW2844" s="3">
        <v>0</v>
      </c>
      <c r="AX2844" s="3">
        <v>0</v>
      </c>
      <c r="AY2844" s="3">
        <v>0</v>
      </c>
      <c r="AZ2844" s="3">
        <v>0</v>
      </c>
      <c r="BA2844" s="3">
        <v>0</v>
      </c>
      <c r="BB2844" s="3">
        <v>0</v>
      </c>
      <c r="BC2844" s="3">
        <v>0</v>
      </c>
      <c r="BD2844" s="3">
        <v>0</v>
      </c>
      <c r="BE2844" s="3">
        <v>0</v>
      </c>
      <c r="BF2844" s="3">
        <v>0</v>
      </c>
      <c r="BG2844" s="3">
        <v>0</v>
      </c>
      <c r="BH2844" s="3">
        <v>1</v>
      </c>
      <c r="BI2844" s="3">
        <v>1</v>
      </c>
      <c r="BJ2844" s="3">
        <v>0.2</v>
      </c>
      <c r="BK2844" s="3">
        <v>1</v>
      </c>
      <c r="BL2844" s="3">
        <v>85.12</v>
      </c>
      <c r="BM2844" s="3">
        <v>12.77</v>
      </c>
      <c r="BN2844" s="3">
        <v>97.89</v>
      </c>
      <c r="BO2844" s="3">
        <v>97.89</v>
      </c>
      <c r="BQ2844" s="3" t="s">
        <v>83</v>
      </c>
      <c r="BR2844" s="3" t="s">
        <v>308</v>
      </c>
      <c r="BS2844" s="4">
        <v>44565</v>
      </c>
      <c r="BT2844" s="5">
        <v>0.43055555555555558</v>
      </c>
      <c r="BU2844" s="3" t="s">
        <v>2688</v>
      </c>
      <c r="BV2844" s="3" t="s">
        <v>105</v>
      </c>
      <c r="BY2844" s="3">
        <v>1200</v>
      </c>
      <c r="BZ2844" s="3" t="s">
        <v>165</v>
      </c>
      <c r="CA2844" s="3" t="s">
        <v>779</v>
      </c>
      <c r="CC2844" s="3" t="s">
        <v>259</v>
      </c>
      <c r="CD2844" s="3">
        <v>2302</v>
      </c>
      <c r="CE2844" s="3" t="s">
        <v>93</v>
      </c>
      <c r="CF2844" s="4">
        <v>44565</v>
      </c>
      <c r="CI2844" s="3">
        <v>1</v>
      </c>
      <c r="CJ2844" s="3">
        <v>1</v>
      </c>
      <c r="CK2844" s="3">
        <v>24</v>
      </c>
      <c r="CL2844" s="3" t="s">
        <v>87</v>
      </c>
    </row>
    <row r="2845" spans="1:90" x14ac:dyDescent="0.2">
      <c r="A2845" s="3" t="s">
        <v>72</v>
      </c>
      <c r="B2845" s="3" t="s">
        <v>73</v>
      </c>
      <c r="C2845" s="3" t="s">
        <v>74</v>
      </c>
      <c r="E2845" s="3" t="str">
        <f>"FES1162843271"</f>
        <v>FES1162843271</v>
      </c>
      <c r="F2845" s="4">
        <v>44564</v>
      </c>
      <c r="G2845" s="3">
        <v>202207</v>
      </c>
      <c r="H2845" s="3" t="s">
        <v>75</v>
      </c>
      <c r="I2845" s="3" t="s">
        <v>76</v>
      </c>
      <c r="J2845" s="3" t="s">
        <v>77</v>
      </c>
      <c r="K2845" s="3" t="s">
        <v>78</v>
      </c>
      <c r="L2845" s="3" t="s">
        <v>694</v>
      </c>
      <c r="M2845" s="3" t="s">
        <v>695</v>
      </c>
      <c r="N2845" s="3" t="s">
        <v>699</v>
      </c>
      <c r="O2845" s="3" t="s">
        <v>82</v>
      </c>
      <c r="P2845" s="3" t="str">
        <f>"2170815516                    "</f>
        <v xml:space="preserve">2170815516                    </v>
      </c>
      <c r="Q2845" s="3">
        <v>0</v>
      </c>
      <c r="R2845" s="3">
        <v>0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  <c r="AE2845" s="3">
        <v>0</v>
      </c>
      <c r="AF2845" s="3">
        <v>0</v>
      </c>
      <c r="AG2845" s="3">
        <v>0</v>
      </c>
      <c r="AH2845" s="3">
        <v>0</v>
      </c>
      <c r="AI2845" s="3">
        <v>0</v>
      </c>
      <c r="AJ2845" s="3">
        <v>0</v>
      </c>
      <c r="AK2845" s="3">
        <v>32.9</v>
      </c>
      <c r="AL2845" s="3">
        <v>0</v>
      </c>
      <c r="AM2845" s="3">
        <v>0</v>
      </c>
      <c r="AN2845" s="3">
        <v>0</v>
      </c>
      <c r="AO2845" s="3">
        <v>0</v>
      </c>
      <c r="AP2845" s="3">
        <v>0</v>
      </c>
      <c r="AQ2845" s="3">
        <v>0</v>
      </c>
      <c r="AR2845" s="3">
        <v>0</v>
      </c>
      <c r="AS2845" s="3">
        <v>0</v>
      </c>
      <c r="AT2845" s="3">
        <v>0</v>
      </c>
      <c r="AU2845" s="3">
        <v>0</v>
      </c>
      <c r="AV2845" s="3">
        <v>0</v>
      </c>
      <c r="AW2845" s="3">
        <v>0</v>
      </c>
      <c r="AX2845" s="3">
        <v>0</v>
      </c>
      <c r="AY2845" s="3">
        <v>0</v>
      </c>
      <c r="AZ2845" s="3">
        <v>0</v>
      </c>
      <c r="BA2845" s="3">
        <v>0</v>
      </c>
      <c r="BB2845" s="3">
        <v>0</v>
      </c>
      <c r="BC2845" s="3">
        <v>0</v>
      </c>
      <c r="BD2845" s="3">
        <v>0</v>
      </c>
      <c r="BE2845" s="3">
        <v>0</v>
      </c>
      <c r="BF2845" s="3">
        <v>0</v>
      </c>
      <c r="BG2845" s="3">
        <v>0</v>
      </c>
      <c r="BH2845" s="3">
        <v>1</v>
      </c>
      <c r="BI2845" s="3">
        <v>1</v>
      </c>
      <c r="BJ2845" s="3">
        <v>0.2</v>
      </c>
      <c r="BK2845" s="3">
        <v>1</v>
      </c>
      <c r="BL2845" s="3">
        <v>117.26</v>
      </c>
      <c r="BM2845" s="3">
        <v>17.59</v>
      </c>
      <c r="BN2845" s="3">
        <v>134.85</v>
      </c>
      <c r="BO2845" s="3">
        <v>134.85</v>
      </c>
      <c r="BQ2845" s="3" t="s">
        <v>83</v>
      </c>
      <c r="BR2845" s="3" t="s">
        <v>308</v>
      </c>
      <c r="BS2845" s="4">
        <v>44565</v>
      </c>
      <c r="BT2845" s="5">
        <v>0.52430555555555558</v>
      </c>
      <c r="BU2845" s="3" t="s">
        <v>700</v>
      </c>
      <c r="BV2845" s="3" t="s">
        <v>105</v>
      </c>
      <c r="BY2845" s="3">
        <v>1200</v>
      </c>
      <c r="BZ2845" s="3" t="s">
        <v>165</v>
      </c>
      <c r="CA2845" s="3" t="s">
        <v>698</v>
      </c>
      <c r="CC2845" s="3" t="s">
        <v>695</v>
      </c>
      <c r="CD2845" s="3">
        <v>4449</v>
      </c>
      <c r="CE2845" s="3" t="s">
        <v>93</v>
      </c>
      <c r="CF2845" s="4">
        <v>44565</v>
      </c>
      <c r="CI2845" s="3">
        <v>1</v>
      </c>
      <c r="CJ2845" s="3">
        <v>1</v>
      </c>
      <c r="CK2845" s="3">
        <v>23</v>
      </c>
      <c r="CL2845" s="3" t="s">
        <v>87</v>
      </c>
    </row>
    <row r="2846" spans="1:90" x14ac:dyDescent="0.2">
      <c r="A2846" s="3" t="s">
        <v>72</v>
      </c>
      <c r="B2846" s="3" t="s">
        <v>73</v>
      </c>
      <c r="C2846" s="3" t="s">
        <v>74</v>
      </c>
      <c r="E2846" s="3" t="str">
        <f>"FES1162843123"</f>
        <v>FES1162843123</v>
      </c>
      <c r="F2846" s="4">
        <v>44564</v>
      </c>
      <c r="G2846" s="3">
        <v>202207</v>
      </c>
      <c r="H2846" s="3" t="s">
        <v>75</v>
      </c>
      <c r="I2846" s="3" t="s">
        <v>76</v>
      </c>
      <c r="J2846" s="3" t="s">
        <v>77</v>
      </c>
      <c r="K2846" s="3" t="s">
        <v>78</v>
      </c>
      <c r="L2846" s="3" t="s">
        <v>716</v>
      </c>
      <c r="M2846" s="3" t="s">
        <v>717</v>
      </c>
      <c r="N2846" s="3" t="s">
        <v>718</v>
      </c>
      <c r="O2846" s="3" t="s">
        <v>82</v>
      </c>
      <c r="P2846" s="3" t="str">
        <f>"2170815421                    "</f>
        <v xml:space="preserve">2170815421                    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  <c r="AE2846" s="3">
        <v>0</v>
      </c>
      <c r="AF2846" s="3">
        <v>0</v>
      </c>
      <c r="AG2846" s="3">
        <v>0</v>
      </c>
      <c r="AH2846" s="3">
        <v>0</v>
      </c>
      <c r="AI2846" s="3">
        <v>0</v>
      </c>
      <c r="AJ2846" s="3">
        <v>0</v>
      </c>
      <c r="AK2846" s="3">
        <v>32.9</v>
      </c>
      <c r="AL2846" s="3">
        <v>0</v>
      </c>
      <c r="AM2846" s="3">
        <v>0</v>
      </c>
      <c r="AN2846" s="3">
        <v>0</v>
      </c>
      <c r="AO2846" s="3">
        <v>0</v>
      </c>
      <c r="AP2846" s="3">
        <v>0</v>
      </c>
      <c r="AQ2846" s="3">
        <v>0</v>
      </c>
      <c r="AR2846" s="3">
        <v>0</v>
      </c>
      <c r="AS2846" s="3">
        <v>0</v>
      </c>
      <c r="AT2846" s="3">
        <v>0</v>
      </c>
      <c r="AU2846" s="3">
        <v>0</v>
      </c>
      <c r="AV2846" s="3">
        <v>0</v>
      </c>
      <c r="AW2846" s="3">
        <v>0</v>
      </c>
      <c r="AX2846" s="3">
        <v>0</v>
      </c>
      <c r="AY2846" s="3">
        <v>0</v>
      </c>
      <c r="AZ2846" s="3">
        <v>0</v>
      </c>
      <c r="BA2846" s="3">
        <v>0</v>
      </c>
      <c r="BB2846" s="3">
        <v>0</v>
      </c>
      <c r="BC2846" s="3">
        <v>0</v>
      </c>
      <c r="BD2846" s="3">
        <v>0</v>
      </c>
      <c r="BE2846" s="3">
        <v>0</v>
      </c>
      <c r="BF2846" s="3">
        <v>0</v>
      </c>
      <c r="BG2846" s="3">
        <v>0</v>
      </c>
      <c r="BH2846" s="3">
        <v>1</v>
      </c>
      <c r="BI2846" s="3">
        <v>1</v>
      </c>
      <c r="BJ2846" s="3">
        <v>0.2</v>
      </c>
      <c r="BK2846" s="3">
        <v>1</v>
      </c>
      <c r="BL2846" s="3">
        <v>117.26</v>
      </c>
      <c r="BM2846" s="3">
        <v>17.59</v>
      </c>
      <c r="BN2846" s="3">
        <v>134.85</v>
      </c>
      <c r="BO2846" s="3">
        <v>134.85</v>
      </c>
      <c r="BQ2846" s="3" t="s">
        <v>89</v>
      </c>
      <c r="BR2846" s="3" t="s">
        <v>308</v>
      </c>
      <c r="BS2846" s="4">
        <v>44565</v>
      </c>
      <c r="BT2846" s="5">
        <v>0.4909722222222222</v>
      </c>
      <c r="BU2846" s="3" t="s">
        <v>2662</v>
      </c>
      <c r="BV2846" s="3" t="s">
        <v>105</v>
      </c>
      <c r="BY2846" s="3">
        <v>1200</v>
      </c>
      <c r="BZ2846" s="3" t="s">
        <v>165</v>
      </c>
      <c r="CA2846" s="3" t="s">
        <v>720</v>
      </c>
      <c r="CC2846" s="3" t="s">
        <v>717</v>
      </c>
      <c r="CD2846" s="3">
        <v>1028</v>
      </c>
      <c r="CE2846" s="3" t="s">
        <v>93</v>
      </c>
      <c r="CF2846" s="4">
        <v>44565</v>
      </c>
      <c r="CI2846" s="3">
        <v>1</v>
      </c>
      <c r="CJ2846" s="3">
        <v>1</v>
      </c>
      <c r="CK2846" s="3">
        <v>23</v>
      </c>
      <c r="CL2846" s="3" t="s">
        <v>87</v>
      </c>
    </row>
    <row r="2847" spans="1:90" x14ac:dyDescent="0.2">
      <c r="A2847" s="3" t="s">
        <v>72</v>
      </c>
      <c r="B2847" s="3" t="s">
        <v>73</v>
      </c>
      <c r="C2847" s="3" t="s">
        <v>74</v>
      </c>
      <c r="E2847" s="3" t="str">
        <f>"FES1162843268"</f>
        <v>FES1162843268</v>
      </c>
      <c r="F2847" s="4">
        <v>44564</v>
      </c>
      <c r="G2847" s="3">
        <v>202207</v>
      </c>
      <c r="H2847" s="3" t="s">
        <v>75</v>
      </c>
      <c r="I2847" s="3" t="s">
        <v>76</v>
      </c>
      <c r="J2847" s="3" t="s">
        <v>77</v>
      </c>
      <c r="K2847" s="3" t="s">
        <v>78</v>
      </c>
      <c r="L2847" s="3" t="s">
        <v>312</v>
      </c>
      <c r="M2847" s="3" t="s">
        <v>313</v>
      </c>
      <c r="N2847" s="3" t="s">
        <v>314</v>
      </c>
      <c r="O2847" s="3" t="s">
        <v>82</v>
      </c>
      <c r="P2847" s="3" t="str">
        <f>"2170815512                    "</f>
        <v xml:space="preserve">2170815512                    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  <c r="AE2847" s="3">
        <v>0</v>
      </c>
      <c r="AF2847" s="3">
        <v>0</v>
      </c>
      <c r="AG2847" s="3">
        <v>0</v>
      </c>
      <c r="AH2847" s="3">
        <v>0</v>
      </c>
      <c r="AI2847" s="3">
        <v>0</v>
      </c>
      <c r="AJ2847" s="3">
        <v>0</v>
      </c>
      <c r="AK2847" s="3">
        <v>16.98</v>
      </c>
      <c r="AL2847" s="3">
        <v>0</v>
      </c>
      <c r="AM2847" s="3">
        <v>0</v>
      </c>
      <c r="AN2847" s="3">
        <v>0</v>
      </c>
      <c r="AO2847" s="3">
        <v>0</v>
      </c>
      <c r="AP2847" s="3">
        <v>0</v>
      </c>
      <c r="AQ2847" s="3">
        <v>0</v>
      </c>
      <c r="AR2847" s="3">
        <v>0</v>
      </c>
      <c r="AS2847" s="3">
        <v>0</v>
      </c>
      <c r="AT2847" s="3">
        <v>0</v>
      </c>
      <c r="AU2847" s="3">
        <v>0</v>
      </c>
      <c r="AV2847" s="3">
        <v>0</v>
      </c>
      <c r="AW2847" s="3">
        <v>0</v>
      </c>
      <c r="AX2847" s="3">
        <v>0</v>
      </c>
      <c r="AY2847" s="3">
        <v>0</v>
      </c>
      <c r="AZ2847" s="3">
        <v>0</v>
      </c>
      <c r="BA2847" s="3">
        <v>0</v>
      </c>
      <c r="BB2847" s="3">
        <v>0</v>
      </c>
      <c r="BC2847" s="3">
        <v>0</v>
      </c>
      <c r="BD2847" s="3">
        <v>0</v>
      </c>
      <c r="BE2847" s="3">
        <v>0</v>
      </c>
      <c r="BF2847" s="3">
        <v>0</v>
      </c>
      <c r="BG2847" s="3">
        <v>0</v>
      </c>
      <c r="BH2847" s="3">
        <v>1</v>
      </c>
      <c r="BI2847" s="3">
        <v>1</v>
      </c>
      <c r="BJ2847" s="3">
        <v>0.2</v>
      </c>
      <c r="BK2847" s="3">
        <v>1</v>
      </c>
      <c r="BL2847" s="3">
        <v>60.52</v>
      </c>
      <c r="BM2847" s="3">
        <v>9.08</v>
      </c>
      <c r="BN2847" s="3">
        <v>69.599999999999994</v>
      </c>
      <c r="BO2847" s="3">
        <v>69.599999999999994</v>
      </c>
      <c r="BR2847" s="3" t="s">
        <v>308</v>
      </c>
      <c r="BS2847" s="4">
        <v>44565</v>
      </c>
      <c r="BT2847" s="5">
        <v>0.4069444444444445</v>
      </c>
      <c r="BU2847" s="3" t="s">
        <v>1084</v>
      </c>
      <c r="BV2847" s="3" t="s">
        <v>105</v>
      </c>
      <c r="BY2847" s="3">
        <v>1200</v>
      </c>
      <c r="BZ2847" s="3" t="s">
        <v>165</v>
      </c>
      <c r="CA2847" s="3" t="s">
        <v>316</v>
      </c>
      <c r="CC2847" s="3" t="s">
        <v>313</v>
      </c>
      <c r="CD2847" s="3">
        <v>1240</v>
      </c>
      <c r="CE2847" s="3" t="s">
        <v>93</v>
      </c>
      <c r="CF2847" s="4">
        <v>44565</v>
      </c>
      <c r="CI2847" s="3">
        <v>1</v>
      </c>
      <c r="CJ2847" s="3">
        <v>1</v>
      </c>
      <c r="CK2847" s="3">
        <v>21</v>
      </c>
      <c r="CL2847" s="3" t="s">
        <v>87</v>
      </c>
    </row>
    <row r="2848" spans="1:90" x14ac:dyDescent="0.2">
      <c r="A2848" s="3" t="s">
        <v>72</v>
      </c>
      <c r="B2848" s="3" t="s">
        <v>73</v>
      </c>
      <c r="C2848" s="3" t="s">
        <v>74</v>
      </c>
      <c r="E2848" s="3" t="str">
        <f>"FES1162843265"</f>
        <v>FES1162843265</v>
      </c>
      <c r="F2848" s="4">
        <v>44564</v>
      </c>
      <c r="G2848" s="3">
        <v>202207</v>
      </c>
      <c r="H2848" s="3" t="s">
        <v>75</v>
      </c>
      <c r="I2848" s="3" t="s">
        <v>76</v>
      </c>
      <c r="J2848" s="3" t="s">
        <v>77</v>
      </c>
      <c r="K2848" s="3" t="s">
        <v>78</v>
      </c>
      <c r="L2848" s="3" t="s">
        <v>142</v>
      </c>
      <c r="M2848" s="3" t="s">
        <v>143</v>
      </c>
      <c r="N2848" s="3" t="s">
        <v>337</v>
      </c>
      <c r="O2848" s="3" t="s">
        <v>82</v>
      </c>
      <c r="P2848" s="3" t="str">
        <f>"2170815502                    "</f>
        <v xml:space="preserve">2170815502                    </v>
      </c>
      <c r="Q2848" s="3">
        <v>0</v>
      </c>
      <c r="R2848" s="3">
        <v>0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  <c r="AE2848" s="3">
        <v>0</v>
      </c>
      <c r="AF2848" s="3">
        <v>0</v>
      </c>
      <c r="AG2848" s="3">
        <v>0</v>
      </c>
      <c r="AH2848" s="3">
        <v>0</v>
      </c>
      <c r="AI2848" s="3">
        <v>0</v>
      </c>
      <c r="AJ2848" s="3">
        <v>0</v>
      </c>
      <c r="AK2848" s="3">
        <v>13.26</v>
      </c>
      <c r="AL2848" s="3">
        <v>0</v>
      </c>
      <c r="AM2848" s="3">
        <v>0</v>
      </c>
      <c r="AN2848" s="3">
        <v>0</v>
      </c>
      <c r="AO2848" s="3">
        <v>0</v>
      </c>
      <c r="AP2848" s="3">
        <v>0</v>
      </c>
      <c r="AQ2848" s="3">
        <v>0</v>
      </c>
      <c r="AR2848" s="3">
        <v>0</v>
      </c>
      <c r="AS2848" s="3">
        <v>0</v>
      </c>
      <c r="AT2848" s="3">
        <v>0</v>
      </c>
      <c r="AU2848" s="3">
        <v>0</v>
      </c>
      <c r="AV2848" s="3">
        <v>0</v>
      </c>
      <c r="AW2848" s="3">
        <v>0</v>
      </c>
      <c r="AX2848" s="3">
        <v>0</v>
      </c>
      <c r="AY2848" s="3">
        <v>0</v>
      </c>
      <c r="AZ2848" s="3">
        <v>0</v>
      </c>
      <c r="BA2848" s="3">
        <v>0</v>
      </c>
      <c r="BB2848" s="3">
        <v>0</v>
      </c>
      <c r="BC2848" s="3">
        <v>0</v>
      </c>
      <c r="BD2848" s="3">
        <v>0</v>
      </c>
      <c r="BE2848" s="3">
        <v>0</v>
      </c>
      <c r="BF2848" s="3">
        <v>0</v>
      </c>
      <c r="BG2848" s="3">
        <v>0</v>
      </c>
      <c r="BH2848" s="3">
        <v>1</v>
      </c>
      <c r="BI2848" s="3">
        <v>1</v>
      </c>
      <c r="BJ2848" s="3">
        <v>0.2</v>
      </c>
      <c r="BK2848" s="3">
        <v>1</v>
      </c>
      <c r="BL2848" s="3">
        <v>47.27</v>
      </c>
      <c r="BM2848" s="3">
        <v>7.09</v>
      </c>
      <c r="BN2848" s="3">
        <v>54.36</v>
      </c>
      <c r="BO2848" s="3">
        <v>54.36</v>
      </c>
      <c r="BQ2848" s="3" t="s">
        <v>89</v>
      </c>
      <c r="BR2848" s="3" t="s">
        <v>308</v>
      </c>
      <c r="BS2848" s="4">
        <v>44565</v>
      </c>
      <c r="BT2848" s="5">
        <v>0.35972222222222222</v>
      </c>
      <c r="BU2848" s="3" t="s">
        <v>2689</v>
      </c>
      <c r="BV2848" s="3" t="s">
        <v>105</v>
      </c>
      <c r="BY2848" s="3">
        <v>1200</v>
      </c>
      <c r="BZ2848" s="3" t="s">
        <v>165</v>
      </c>
      <c r="CA2848" s="3" t="s">
        <v>471</v>
      </c>
      <c r="CC2848" s="3" t="s">
        <v>143</v>
      </c>
      <c r="CD2848" s="3">
        <v>1451</v>
      </c>
      <c r="CE2848" s="3" t="s">
        <v>93</v>
      </c>
      <c r="CF2848" s="4">
        <v>44565</v>
      </c>
      <c r="CI2848" s="3">
        <v>1</v>
      </c>
      <c r="CJ2848" s="3">
        <v>1</v>
      </c>
      <c r="CK2848" s="3">
        <v>22</v>
      </c>
      <c r="CL2848" s="3" t="s">
        <v>87</v>
      </c>
    </row>
    <row r="2849" spans="1:90" x14ac:dyDescent="0.2">
      <c r="A2849" s="3" t="s">
        <v>72</v>
      </c>
      <c r="B2849" s="3" t="s">
        <v>73</v>
      </c>
      <c r="C2849" s="3" t="s">
        <v>74</v>
      </c>
      <c r="E2849" s="3" t="str">
        <f>"FES1162843175"</f>
        <v>FES1162843175</v>
      </c>
      <c r="F2849" s="4">
        <v>44564</v>
      </c>
      <c r="G2849" s="3">
        <v>202207</v>
      </c>
      <c r="H2849" s="3" t="s">
        <v>75</v>
      </c>
      <c r="I2849" s="3" t="s">
        <v>76</v>
      </c>
      <c r="J2849" s="3" t="s">
        <v>77</v>
      </c>
      <c r="K2849" s="3" t="s">
        <v>78</v>
      </c>
      <c r="L2849" s="3" t="s">
        <v>167</v>
      </c>
      <c r="M2849" s="3" t="s">
        <v>168</v>
      </c>
      <c r="N2849" s="3" t="s">
        <v>931</v>
      </c>
      <c r="O2849" s="3" t="s">
        <v>82</v>
      </c>
      <c r="P2849" s="3" t="str">
        <f>"2170812788                    "</f>
        <v xml:space="preserve">2170812788                    </v>
      </c>
      <c r="Q2849" s="3">
        <v>0</v>
      </c>
      <c r="R2849" s="3">
        <v>0</v>
      </c>
      <c r="S2849" s="3">
        <v>0</v>
      </c>
      <c r="T2849" s="3">
        <v>0</v>
      </c>
      <c r="U2849" s="3">
        <v>0</v>
      </c>
      <c r="V2849" s="3">
        <v>0</v>
      </c>
      <c r="W2849" s="3">
        <v>0</v>
      </c>
      <c r="X2849" s="3">
        <v>0</v>
      </c>
      <c r="Y2849" s="3">
        <v>0</v>
      </c>
      <c r="Z2849" s="3">
        <v>0</v>
      </c>
      <c r="AA2849" s="3">
        <v>0</v>
      </c>
      <c r="AB2849" s="3">
        <v>0</v>
      </c>
      <c r="AC2849" s="3">
        <v>0</v>
      </c>
      <c r="AD2849" s="3">
        <v>0</v>
      </c>
      <c r="AE2849" s="3">
        <v>0</v>
      </c>
      <c r="AF2849" s="3">
        <v>0</v>
      </c>
      <c r="AG2849" s="3">
        <v>0</v>
      </c>
      <c r="AH2849" s="3">
        <v>0</v>
      </c>
      <c r="AI2849" s="3">
        <v>0</v>
      </c>
      <c r="AJ2849" s="3">
        <v>0</v>
      </c>
      <c r="AK2849" s="3">
        <v>16.98</v>
      </c>
      <c r="AL2849" s="3">
        <v>0</v>
      </c>
      <c r="AM2849" s="3">
        <v>0</v>
      </c>
      <c r="AN2849" s="3">
        <v>0</v>
      </c>
      <c r="AO2849" s="3">
        <v>0</v>
      </c>
      <c r="AP2849" s="3">
        <v>0</v>
      </c>
      <c r="AQ2849" s="3">
        <v>0</v>
      </c>
      <c r="AR2849" s="3">
        <v>0</v>
      </c>
      <c r="AS2849" s="3">
        <v>0</v>
      </c>
      <c r="AT2849" s="3">
        <v>0</v>
      </c>
      <c r="AU2849" s="3">
        <v>0</v>
      </c>
      <c r="AV2849" s="3">
        <v>0</v>
      </c>
      <c r="AW2849" s="3">
        <v>0</v>
      </c>
      <c r="AX2849" s="3">
        <v>0</v>
      </c>
      <c r="AY2849" s="3">
        <v>0</v>
      </c>
      <c r="AZ2849" s="3">
        <v>0</v>
      </c>
      <c r="BA2849" s="3">
        <v>0</v>
      </c>
      <c r="BB2849" s="3">
        <v>0</v>
      </c>
      <c r="BC2849" s="3">
        <v>0</v>
      </c>
      <c r="BD2849" s="3">
        <v>0</v>
      </c>
      <c r="BE2849" s="3">
        <v>0</v>
      </c>
      <c r="BF2849" s="3">
        <v>0</v>
      </c>
      <c r="BG2849" s="3">
        <v>0</v>
      </c>
      <c r="BH2849" s="3">
        <v>1</v>
      </c>
      <c r="BI2849" s="3">
        <v>1</v>
      </c>
      <c r="BJ2849" s="3">
        <v>0.2</v>
      </c>
      <c r="BK2849" s="3">
        <v>1</v>
      </c>
      <c r="BL2849" s="3">
        <v>60.52</v>
      </c>
      <c r="BM2849" s="3">
        <v>9.08</v>
      </c>
      <c r="BN2849" s="3">
        <v>69.599999999999994</v>
      </c>
      <c r="BO2849" s="3">
        <v>69.599999999999994</v>
      </c>
      <c r="BQ2849" s="3" t="s">
        <v>89</v>
      </c>
      <c r="BR2849" s="3" t="s">
        <v>308</v>
      </c>
      <c r="BS2849" s="4">
        <v>44578</v>
      </c>
      <c r="BT2849" s="5">
        <v>0.43055555555555558</v>
      </c>
      <c r="BU2849" s="3" t="s">
        <v>2620</v>
      </c>
      <c r="BV2849" s="3" t="s">
        <v>87</v>
      </c>
      <c r="BW2849" s="3" t="s">
        <v>457</v>
      </c>
      <c r="BX2849" s="3" t="s">
        <v>458</v>
      </c>
      <c r="BY2849" s="3">
        <v>1200</v>
      </c>
      <c r="BZ2849" s="3" t="s">
        <v>165</v>
      </c>
      <c r="CA2849" s="3" t="s">
        <v>1196</v>
      </c>
      <c r="CC2849" s="3" t="s">
        <v>168</v>
      </c>
      <c r="CD2849" s="3">
        <v>6229</v>
      </c>
      <c r="CE2849" s="3" t="s">
        <v>93</v>
      </c>
      <c r="CF2849" s="4">
        <v>44579</v>
      </c>
      <c r="CI2849" s="3">
        <v>1</v>
      </c>
      <c r="CJ2849" s="3">
        <v>10</v>
      </c>
      <c r="CK2849" s="3">
        <v>21</v>
      </c>
      <c r="CL2849" s="3" t="s">
        <v>87</v>
      </c>
    </row>
    <row r="2850" spans="1:90" x14ac:dyDescent="0.2">
      <c r="A2850" s="3" t="s">
        <v>72</v>
      </c>
      <c r="B2850" s="3" t="s">
        <v>73</v>
      </c>
      <c r="C2850" s="3" t="s">
        <v>74</v>
      </c>
      <c r="E2850" s="3" t="str">
        <f>"FES1162843146"</f>
        <v>FES1162843146</v>
      </c>
      <c r="F2850" s="4">
        <v>44564</v>
      </c>
      <c r="G2850" s="3">
        <v>202207</v>
      </c>
      <c r="H2850" s="3" t="s">
        <v>75</v>
      </c>
      <c r="I2850" s="3" t="s">
        <v>76</v>
      </c>
      <c r="J2850" s="3" t="s">
        <v>77</v>
      </c>
      <c r="K2850" s="3" t="s">
        <v>78</v>
      </c>
      <c r="L2850" s="3" t="s">
        <v>90</v>
      </c>
      <c r="M2850" s="3" t="s">
        <v>91</v>
      </c>
      <c r="N2850" s="3" t="s">
        <v>1550</v>
      </c>
      <c r="O2850" s="3" t="s">
        <v>82</v>
      </c>
      <c r="P2850" s="3" t="str">
        <f>"2170812539                    "</f>
        <v xml:space="preserve">2170812539                    </v>
      </c>
      <c r="Q2850" s="3">
        <v>0</v>
      </c>
      <c r="R2850" s="3">
        <v>0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  <c r="AE2850" s="3">
        <v>0</v>
      </c>
      <c r="AF2850" s="3">
        <v>0</v>
      </c>
      <c r="AG2850" s="3">
        <v>0</v>
      </c>
      <c r="AH2850" s="3">
        <v>0</v>
      </c>
      <c r="AI2850" s="3">
        <v>0</v>
      </c>
      <c r="AJ2850" s="3">
        <v>0</v>
      </c>
      <c r="AK2850" s="3">
        <v>16.98</v>
      </c>
      <c r="AL2850" s="3">
        <v>0</v>
      </c>
      <c r="AM2850" s="3">
        <v>0</v>
      </c>
      <c r="AN2850" s="3">
        <v>0</v>
      </c>
      <c r="AO2850" s="3">
        <v>0</v>
      </c>
      <c r="AP2850" s="3">
        <v>0</v>
      </c>
      <c r="AQ2850" s="3">
        <v>0</v>
      </c>
      <c r="AR2850" s="3">
        <v>0</v>
      </c>
      <c r="AS2850" s="3">
        <v>0</v>
      </c>
      <c r="AT2850" s="3">
        <v>0</v>
      </c>
      <c r="AU2850" s="3">
        <v>0</v>
      </c>
      <c r="AV2850" s="3">
        <v>0</v>
      </c>
      <c r="AW2850" s="3">
        <v>0</v>
      </c>
      <c r="AX2850" s="3">
        <v>0</v>
      </c>
      <c r="AY2850" s="3">
        <v>0</v>
      </c>
      <c r="AZ2850" s="3">
        <v>0</v>
      </c>
      <c r="BA2850" s="3">
        <v>0</v>
      </c>
      <c r="BB2850" s="3">
        <v>0</v>
      </c>
      <c r="BC2850" s="3">
        <v>0</v>
      </c>
      <c r="BD2850" s="3">
        <v>0</v>
      </c>
      <c r="BE2850" s="3">
        <v>0</v>
      </c>
      <c r="BF2850" s="3">
        <v>0</v>
      </c>
      <c r="BG2850" s="3">
        <v>0</v>
      </c>
      <c r="BH2850" s="3">
        <v>1</v>
      </c>
      <c r="BI2850" s="3">
        <v>1</v>
      </c>
      <c r="BJ2850" s="3">
        <v>0.2</v>
      </c>
      <c r="BK2850" s="3">
        <v>1</v>
      </c>
      <c r="BL2850" s="3">
        <v>60.52</v>
      </c>
      <c r="BM2850" s="3">
        <v>9.08</v>
      </c>
      <c r="BN2850" s="3">
        <v>69.599999999999994</v>
      </c>
      <c r="BO2850" s="3">
        <v>69.599999999999994</v>
      </c>
      <c r="BQ2850" s="3" t="s">
        <v>83</v>
      </c>
      <c r="BR2850" s="3" t="s">
        <v>308</v>
      </c>
      <c r="BS2850" s="4">
        <v>44571</v>
      </c>
      <c r="BT2850" s="5">
        <v>0.38472222222222219</v>
      </c>
      <c r="BU2850" s="3" t="s">
        <v>1551</v>
      </c>
      <c r="BV2850" s="3" t="s">
        <v>87</v>
      </c>
      <c r="BW2850" s="3" t="s">
        <v>493</v>
      </c>
      <c r="BX2850" s="3" t="s">
        <v>354</v>
      </c>
      <c r="BY2850" s="3">
        <v>1200</v>
      </c>
      <c r="BZ2850" s="3" t="s">
        <v>165</v>
      </c>
      <c r="CA2850" s="3" t="s">
        <v>566</v>
      </c>
      <c r="CC2850" s="3" t="s">
        <v>91</v>
      </c>
      <c r="CD2850" s="3">
        <v>7460</v>
      </c>
      <c r="CE2850" s="3" t="s">
        <v>93</v>
      </c>
      <c r="CF2850" s="4">
        <v>44572</v>
      </c>
      <c r="CI2850" s="3">
        <v>1</v>
      </c>
      <c r="CJ2850" s="3">
        <v>5</v>
      </c>
      <c r="CK2850" s="3">
        <v>21</v>
      </c>
      <c r="CL2850" s="3" t="s">
        <v>87</v>
      </c>
    </row>
    <row r="2851" spans="1:90" x14ac:dyDescent="0.2">
      <c r="A2851" s="3" t="s">
        <v>72</v>
      </c>
      <c r="B2851" s="3" t="s">
        <v>73</v>
      </c>
      <c r="C2851" s="3" t="s">
        <v>74</v>
      </c>
      <c r="E2851" s="3" t="str">
        <f>"FES1162843239"</f>
        <v>FES1162843239</v>
      </c>
      <c r="F2851" s="4">
        <v>44564</v>
      </c>
      <c r="G2851" s="3">
        <v>202207</v>
      </c>
      <c r="H2851" s="3" t="s">
        <v>75</v>
      </c>
      <c r="I2851" s="3" t="s">
        <v>76</v>
      </c>
      <c r="J2851" s="3" t="s">
        <v>77</v>
      </c>
      <c r="K2851" s="3" t="s">
        <v>78</v>
      </c>
      <c r="L2851" s="3" t="s">
        <v>90</v>
      </c>
      <c r="M2851" s="3" t="s">
        <v>91</v>
      </c>
      <c r="N2851" s="3" t="s">
        <v>157</v>
      </c>
      <c r="O2851" s="3" t="s">
        <v>82</v>
      </c>
      <c r="P2851" s="3" t="str">
        <f>"2170815211                    "</f>
        <v xml:space="preserve">2170815211                    </v>
      </c>
      <c r="Q2851" s="3">
        <v>0</v>
      </c>
      <c r="R2851" s="3">
        <v>0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  <c r="AE2851" s="3">
        <v>0</v>
      </c>
      <c r="AF2851" s="3">
        <v>0</v>
      </c>
      <c r="AG2851" s="3">
        <v>0</v>
      </c>
      <c r="AH2851" s="3">
        <v>0</v>
      </c>
      <c r="AI2851" s="3">
        <v>0</v>
      </c>
      <c r="AJ2851" s="3">
        <v>0</v>
      </c>
      <c r="AK2851" s="3">
        <v>16.98</v>
      </c>
      <c r="AL2851" s="3">
        <v>0</v>
      </c>
      <c r="AM2851" s="3">
        <v>0</v>
      </c>
      <c r="AN2851" s="3">
        <v>0</v>
      </c>
      <c r="AO2851" s="3">
        <v>0</v>
      </c>
      <c r="AP2851" s="3">
        <v>0</v>
      </c>
      <c r="AQ2851" s="3">
        <v>0</v>
      </c>
      <c r="AR2851" s="3">
        <v>0</v>
      </c>
      <c r="AS2851" s="3">
        <v>0</v>
      </c>
      <c r="AT2851" s="3">
        <v>0</v>
      </c>
      <c r="AU2851" s="3">
        <v>0</v>
      </c>
      <c r="AV2851" s="3">
        <v>0</v>
      </c>
      <c r="AW2851" s="3">
        <v>0</v>
      </c>
      <c r="AX2851" s="3">
        <v>0</v>
      </c>
      <c r="AY2851" s="3">
        <v>0</v>
      </c>
      <c r="AZ2851" s="3">
        <v>0</v>
      </c>
      <c r="BA2851" s="3">
        <v>0</v>
      </c>
      <c r="BB2851" s="3">
        <v>0</v>
      </c>
      <c r="BC2851" s="3">
        <v>0</v>
      </c>
      <c r="BD2851" s="3">
        <v>0</v>
      </c>
      <c r="BE2851" s="3">
        <v>0</v>
      </c>
      <c r="BF2851" s="3">
        <v>0</v>
      </c>
      <c r="BG2851" s="3">
        <v>0</v>
      </c>
      <c r="BH2851" s="3">
        <v>1</v>
      </c>
      <c r="BI2851" s="3">
        <v>1</v>
      </c>
      <c r="BJ2851" s="3">
        <v>0.2</v>
      </c>
      <c r="BK2851" s="3">
        <v>1</v>
      </c>
      <c r="BL2851" s="3">
        <v>60.52</v>
      </c>
      <c r="BM2851" s="3">
        <v>9.08</v>
      </c>
      <c r="BN2851" s="3">
        <v>69.599999999999994</v>
      </c>
      <c r="BO2851" s="3">
        <v>69.599999999999994</v>
      </c>
      <c r="BQ2851" s="3" t="s">
        <v>89</v>
      </c>
      <c r="BR2851" s="3" t="s">
        <v>308</v>
      </c>
      <c r="BS2851" s="4">
        <v>44565</v>
      </c>
      <c r="BT2851" s="5">
        <v>0.36180555555555555</v>
      </c>
      <c r="BU2851" s="3" t="s">
        <v>1825</v>
      </c>
      <c r="BV2851" s="3" t="s">
        <v>105</v>
      </c>
      <c r="BY2851" s="3">
        <v>1200</v>
      </c>
      <c r="BZ2851" s="3" t="s">
        <v>165</v>
      </c>
      <c r="CA2851" s="3" t="s">
        <v>289</v>
      </c>
      <c r="CC2851" s="3" t="s">
        <v>91</v>
      </c>
      <c r="CD2851" s="3">
        <v>7441</v>
      </c>
      <c r="CE2851" s="3" t="s">
        <v>93</v>
      </c>
      <c r="CF2851" s="4">
        <v>44566</v>
      </c>
      <c r="CI2851" s="3">
        <v>1</v>
      </c>
      <c r="CJ2851" s="3">
        <v>1</v>
      </c>
      <c r="CK2851" s="3">
        <v>21</v>
      </c>
      <c r="CL2851" s="3" t="s">
        <v>87</v>
      </c>
    </row>
    <row r="2852" spans="1:90" x14ac:dyDescent="0.2">
      <c r="A2852" s="3" t="s">
        <v>72</v>
      </c>
      <c r="B2852" s="3" t="s">
        <v>73</v>
      </c>
      <c r="C2852" s="3" t="s">
        <v>74</v>
      </c>
      <c r="E2852" s="3" t="str">
        <f>"FES1162843255"</f>
        <v>FES1162843255</v>
      </c>
      <c r="F2852" s="4">
        <v>44564</v>
      </c>
      <c r="G2852" s="3">
        <v>202207</v>
      </c>
      <c r="H2852" s="3" t="s">
        <v>75</v>
      </c>
      <c r="I2852" s="3" t="s">
        <v>76</v>
      </c>
      <c r="J2852" s="3" t="s">
        <v>77</v>
      </c>
      <c r="K2852" s="3" t="s">
        <v>78</v>
      </c>
      <c r="L2852" s="3" t="s">
        <v>1588</v>
      </c>
      <c r="M2852" s="3" t="s">
        <v>1589</v>
      </c>
      <c r="N2852" s="3" t="s">
        <v>1590</v>
      </c>
      <c r="O2852" s="3" t="s">
        <v>82</v>
      </c>
      <c r="P2852" s="3" t="str">
        <f>"2170815495                    "</f>
        <v xml:space="preserve">2170815495                    </v>
      </c>
      <c r="Q2852" s="3">
        <v>0</v>
      </c>
      <c r="R2852" s="3">
        <v>0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  <c r="AE2852" s="3">
        <v>0</v>
      </c>
      <c r="AF2852" s="3">
        <v>0</v>
      </c>
      <c r="AG2852" s="3">
        <v>0</v>
      </c>
      <c r="AH2852" s="3">
        <v>0</v>
      </c>
      <c r="AI2852" s="3">
        <v>0</v>
      </c>
      <c r="AJ2852" s="3">
        <v>0</v>
      </c>
      <c r="AK2852" s="3">
        <v>32.9</v>
      </c>
      <c r="AL2852" s="3">
        <v>0</v>
      </c>
      <c r="AM2852" s="3">
        <v>0</v>
      </c>
      <c r="AN2852" s="3">
        <v>0</v>
      </c>
      <c r="AO2852" s="3">
        <v>0</v>
      </c>
      <c r="AP2852" s="3">
        <v>0</v>
      </c>
      <c r="AQ2852" s="3">
        <v>0</v>
      </c>
      <c r="AR2852" s="3">
        <v>0</v>
      </c>
      <c r="AS2852" s="3">
        <v>0</v>
      </c>
      <c r="AT2852" s="3">
        <v>0</v>
      </c>
      <c r="AU2852" s="3">
        <v>0</v>
      </c>
      <c r="AV2852" s="3">
        <v>0</v>
      </c>
      <c r="AW2852" s="3">
        <v>0</v>
      </c>
      <c r="AX2852" s="3">
        <v>0</v>
      </c>
      <c r="AY2852" s="3">
        <v>0</v>
      </c>
      <c r="AZ2852" s="3">
        <v>0</v>
      </c>
      <c r="BA2852" s="3">
        <v>0</v>
      </c>
      <c r="BB2852" s="3">
        <v>0</v>
      </c>
      <c r="BC2852" s="3">
        <v>0</v>
      </c>
      <c r="BD2852" s="3">
        <v>0</v>
      </c>
      <c r="BE2852" s="3">
        <v>0</v>
      </c>
      <c r="BF2852" s="3">
        <v>0</v>
      </c>
      <c r="BG2852" s="3">
        <v>0</v>
      </c>
      <c r="BH2852" s="3">
        <v>1</v>
      </c>
      <c r="BI2852" s="3">
        <v>1</v>
      </c>
      <c r="BJ2852" s="3">
        <v>0.2</v>
      </c>
      <c r="BK2852" s="3">
        <v>1</v>
      </c>
      <c r="BL2852" s="3">
        <v>117.26</v>
      </c>
      <c r="BM2852" s="3">
        <v>17.59</v>
      </c>
      <c r="BN2852" s="3">
        <v>134.85</v>
      </c>
      <c r="BO2852" s="3">
        <v>134.85</v>
      </c>
      <c r="BQ2852" s="3" t="s">
        <v>1555</v>
      </c>
      <c r="BR2852" s="3" t="s">
        <v>308</v>
      </c>
      <c r="BS2852" s="4">
        <v>44567</v>
      </c>
      <c r="BT2852" s="5">
        <v>0.61319444444444449</v>
      </c>
      <c r="BU2852" s="3" t="s">
        <v>2690</v>
      </c>
      <c r="BV2852" s="3" t="s">
        <v>87</v>
      </c>
      <c r="BY2852" s="3">
        <v>1200</v>
      </c>
      <c r="BZ2852" s="3" t="s">
        <v>165</v>
      </c>
      <c r="CA2852" s="3" t="s">
        <v>328</v>
      </c>
      <c r="CC2852" s="3" t="s">
        <v>1589</v>
      </c>
      <c r="CD2852" s="3">
        <v>6309</v>
      </c>
      <c r="CE2852" s="3" t="s">
        <v>93</v>
      </c>
      <c r="CF2852" s="4">
        <v>44568</v>
      </c>
      <c r="CI2852" s="3">
        <v>5</v>
      </c>
      <c r="CJ2852" s="3">
        <v>3</v>
      </c>
      <c r="CK2852" s="3">
        <v>23</v>
      </c>
      <c r="CL2852" s="3" t="s">
        <v>87</v>
      </c>
    </row>
    <row r="2853" spans="1:90" x14ac:dyDescent="0.2">
      <c r="A2853" s="3" t="s">
        <v>72</v>
      </c>
      <c r="B2853" s="3" t="s">
        <v>73</v>
      </c>
      <c r="C2853" s="3" t="s">
        <v>74</v>
      </c>
      <c r="E2853" s="3" t="str">
        <f>"FES1162843192"</f>
        <v>FES1162843192</v>
      </c>
      <c r="F2853" s="4">
        <v>44564</v>
      </c>
      <c r="G2853" s="3">
        <v>202207</v>
      </c>
      <c r="H2853" s="3" t="s">
        <v>75</v>
      </c>
      <c r="I2853" s="3" t="s">
        <v>76</v>
      </c>
      <c r="J2853" s="3" t="s">
        <v>77</v>
      </c>
      <c r="K2853" s="3" t="s">
        <v>78</v>
      </c>
      <c r="L2853" s="3" t="s">
        <v>75</v>
      </c>
      <c r="M2853" s="3" t="s">
        <v>76</v>
      </c>
      <c r="N2853" s="3" t="s">
        <v>147</v>
      </c>
      <c r="O2853" s="3" t="s">
        <v>82</v>
      </c>
      <c r="P2853" s="3" t="str">
        <f>"2170813028                    "</f>
        <v xml:space="preserve">2170813028                    </v>
      </c>
      <c r="Q2853" s="3">
        <v>0</v>
      </c>
      <c r="R2853" s="3">
        <v>0</v>
      </c>
      <c r="S2853" s="3">
        <v>0</v>
      </c>
      <c r="T2853" s="3">
        <v>0</v>
      </c>
      <c r="U2853" s="3">
        <v>0</v>
      </c>
      <c r="V2853" s="3">
        <v>0</v>
      </c>
      <c r="W2853" s="3">
        <v>0</v>
      </c>
      <c r="X2853" s="3">
        <v>0</v>
      </c>
      <c r="Y2853" s="3">
        <v>0</v>
      </c>
      <c r="Z2853" s="3">
        <v>0</v>
      </c>
      <c r="AA2853" s="3">
        <v>0</v>
      </c>
      <c r="AB2853" s="3">
        <v>0</v>
      </c>
      <c r="AC2853" s="3">
        <v>0</v>
      </c>
      <c r="AD2853" s="3">
        <v>0</v>
      </c>
      <c r="AE2853" s="3">
        <v>0</v>
      </c>
      <c r="AF2853" s="3">
        <v>0</v>
      </c>
      <c r="AG2853" s="3">
        <v>0</v>
      </c>
      <c r="AH2853" s="3">
        <v>0</v>
      </c>
      <c r="AI2853" s="3">
        <v>0</v>
      </c>
      <c r="AJ2853" s="3">
        <v>0</v>
      </c>
      <c r="AK2853" s="3">
        <v>13.26</v>
      </c>
      <c r="AL2853" s="3">
        <v>0</v>
      </c>
      <c r="AM2853" s="3">
        <v>0</v>
      </c>
      <c r="AN2853" s="3">
        <v>0</v>
      </c>
      <c r="AO2853" s="3">
        <v>0</v>
      </c>
      <c r="AP2853" s="3">
        <v>0</v>
      </c>
      <c r="AQ2853" s="3">
        <v>0</v>
      </c>
      <c r="AR2853" s="3">
        <v>0</v>
      </c>
      <c r="AS2853" s="3">
        <v>0</v>
      </c>
      <c r="AT2853" s="3">
        <v>0</v>
      </c>
      <c r="AU2853" s="3">
        <v>0</v>
      </c>
      <c r="AV2853" s="3">
        <v>0</v>
      </c>
      <c r="AW2853" s="3">
        <v>0</v>
      </c>
      <c r="AX2853" s="3">
        <v>0</v>
      </c>
      <c r="AY2853" s="3">
        <v>0</v>
      </c>
      <c r="AZ2853" s="3">
        <v>0</v>
      </c>
      <c r="BA2853" s="3">
        <v>0</v>
      </c>
      <c r="BB2853" s="3">
        <v>0</v>
      </c>
      <c r="BC2853" s="3">
        <v>0</v>
      </c>
      <c r="BD2853" s="3">
        <v>0</v>
      </c>
      <c r="BE2853" s="3">
        <v>0</v>
      </c>
      <c r="BF2853" s="3">
        <v>0</v>
      </c>
      <c r="BG2853" s="3">
        <v>0</v>
      </c>
      <c r="BH2853" s="3">
        <v>1</v>
      </c>
      <c r="BI2853" s="3">
        <v>1</v>
      </c>
      <c r="BJ2853" s="3">
        <v>0.2</v>
      </c>
      <c r="BK2853" s="3">
        <v>1</v>
      </c>
      <c r="BL2853" s="3">
        <v>47.27</v>
      </c>
      <c r="BM2853" s="3">
        <v>7.09</v>
      </c>
      <c r="BN2853" s="3">
        <v>54.36</v>
      </c>
      <c r="BO2853" s="3">
        <v>54.36</v>
      </c>
      <c r="BQ2853" s="3" t="s">
        <v>89</v>
      </c>
      <c r="BR2853" s="3" t="s">
        <v>308</v>
      </c>
      <c r="BS2853" s="4">
        <v>44571</v>
      </c>
      <c r="BT2853" s="5">
        <v>0.38541666666666669</v>
      </c>
      <c r="BU2853" s="3" t="s">
        <v>2691</v>
      </c>
      <c r="BV2853" s="3" t="s">
        <v>87</v>
      </c>
      <c r="BW2853" s="3" t="s">
        <v>278</v>
      </c>
      <c r="BX2853" s="3" t="s">
        <v>723</v>
      </c>
      <c r="BY2853" s="3">
        <v>1200</v>
      </c>
      <c r="BZ2853" s="3" t="s">
        <v>165</v>
      </c>
      <c r="CA2853" s="3" t="s">
        <v>1293</v>
      </c>
      <c r="CC2853" s="3" t="s">
        <v>76</v>
      </c>
      <c r="CD2853" s="3">
        <v>1645</v>
      </c>
      <c r="CE2853" s="3" t="s">
        <v>93</v>
      </c>
      <c r="CF2853" s="4">
        <v>44572</v>
      </c>
      <c r="CI2853" s="3">
        <v>1</v>
      </c>
      <c r="CJ2853" s="3">
        <v>5</v>
      </c>
      <c r="CK2853" s="3">
        <v>22</v>
      </c>
      <c r="CL2853" s="3" t="s">
        <v>87</v>
      </c>
    </row>
    <row r="2854" spans="1:90" x14ac:dyDescent="0.2">
      <c r="A2854" s="3" t="s">
        <v>72</v>
      </c>
      <c r="B2854" s="3" t="s">
        <v>73</v>
      </c>
      <c r="C2854" s="3" t="s">
        <v>74</v>
      </c>
      <c r="E2854" s="3" t="str">
        <f>"FES1162843269"</f>
        <v>FES1162843269</v>
      </c>
      <c r="F2854" s="4">
        <v>44564</v>
      </c>
      <c r="G2854" s="3">
        <v>202207</v>
      </c>
      <c r="H2854" s="3" t="s">
        <v>75</v>
      </c>
      <c r="I2854" s="3" t="s">
        <v>76</v>
      </c>
      <c r="J2854" s="3" t="s">
        <v>77</v>
      </c>
      <c r="K2854" s="3" t="s">
        <v>78</v>
      </c>
      <c r="L2854" s="3" t="s">
        <v>90</v>
      </c>
      <c r="M2854" s="3" t="s">
        <v>91</v>
      </c>
      <c r="N2854" s="3" t="s">
        <v>2692</v>
      </c>
      <c r="O2854" s="3" t="s">
        <v>82</v>
      </c>
      <c r="P2854" s="3" t="str">
        <f>"2170815513                    "</f>
        <v xml:space="preserve">2170815513                    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  <c r="AE2854" s="3">
        <v>0</v>
      </c>
      <c r="AF2854" s="3">
        <v>0</v>
      </c>
      <c r="AG2854" s="3">
        <v>0</v>
      </c>
      <c r="AH2854" s="3">
        <v>0</v>
      </c>
      <c r="AI2854" s="3">
        <v>0</v>
      </c>
      <c r="AJ2854" s="3">
        <v>0</v>
      </c>
      <c r="AK2854" s="3">
        <v>16.98</v>
      </c>
      <c r="AL2854" s="3">
        <v>0</v>
      </c>
      <c r="AM2854" s="3">
        <v>0</v>
      </c>
      <c r="AN2854" s="3">
        <v>0</v>
      </c>
      <c r="AO2854" s="3">
        <v>0</v>
      </c>
      <c r="AP2854" s="3">
        <v>0</v>
      </c>
      <c r="AQ2854" s="3">
        <v>0</v>
      </c>
      <c r="AR2854" s="3">
        <v>0</v>
      </c>
      <c r="AS2854" s="3">
        <v>0</v>
      </c>
      <c r="AT2854" s="3">
        <v>0</v>
      </c>
      <c r="AU2854" s="3">
        <v>0</v>
      </c>
      <c r="AV2854" s="3">
        <v>0</v>
      </c>
      <c r="AW2854" s="3">
        <v>0</v>
      </c>
      <c r="AX2854" s="3">
        <v>0</v>
      </c>
      <c r="AY2854" s="3">
        <v>0</v>
      </c>
      <c r="AZ2854" s="3">
        <v>0</v>
      </c>
      <c r="BA2854" s="3">
        <v>0</v>
      </c>
      <c r="BB2854" s="3">
        <v>0</v>
      </c>
      <c r="BC2854" s="3">
        <v>0</v>
      </c>
      <c r="BD2854" s="3">
        <v>0</v>
      </c>
      <c r="BE2854" s="3">
        <v>0</v>
      </c>
      <c r="BF2854" s="3">
        <v>0</v>
      </c>
      <c r="BG2854" s="3">
        <v>0</v>
      </c>
      <c r="BH2854" s="3">
        <v>1</v>
      </c>
      <c r="BI2854" s="3">
        <v>1</v>
      </c>
      <c r="BJ2854" s="3">
        <v>0.2</v>
      </c>
      <c r="BK2854" s="3">
        <v>1</v>
      </c>
      <c r="BL2854" s="3">
        <v>60.52</v>
      </c>
      <c r="BM2854" s="3">
        <v>9.08</v>
      </c>
      <c r="BN2854" s="3">
        <v>69.599999999999994</v>
      </c>
      <c r="BO2854" s="3">
        <v>69.599999999999994</v>
      </c>
      <c r="BR2854" s="3" t="s">
        <v>308</v>
      </c>
      <c r="BS2854" s="4">
        <v>44565</v>
      </c>
      <c r="BT2854" s="5">
        <v>0.3611111111111111</v>
      </c>
      <c r="BU2854" s="3" t="s">
        <v>2693</v>
      </c>
      <c r="BV2854" s="3" t="s">
        <v>105</v>
      </c>
      <c r="BY2854" s="3">
        <v>1200</v>
      </c>
      <c r="BZ2854" s="3" t="s">
        <v>165</v>
      </c>
      <c r="CA2854" s="3" t="s">
        <v>2307</v>
      </c>
      <c r="CC2854" s="3" t="s">
        <v>91</v>
      </c>
      <c r="CD2854" s="3">
        <v>7530</v>
      </c>
      <c r="CE2854" s="3" t="s">
        <v>93</v>
      </c>
      <c r="CF2854" s="4">
        <v>44566</v>
      </c>
      <c r="CI2854" s="3">
        <v>1</v>
      </c>
      <c r="CJ2854" s="3">
        <v>1</v>
      </c>
      <c r="CK2854" s="3">
        <v>21</v>
      </c>
      <c r="CL2854" s="3" t="s">
        <v>87</v>
      </c>
    </row>
    <row r="2855" spans="1:90" x14ac:dyDescent="0.2">
      <c r="A2855" s="3" t="s">
        <v>72</v>
      </c>
      <c r="B2855" s="3" t="s">
        <v>73</v>
      </c>
      <c r="C2855" s="3" t="s">
        <v>74</v>
      </c>
      <c r="E2855" s="3" t="str">
        <f>"FES1162843169"</f>
        <v>FES1162843169</v>
      </c>
      <c r="F2855" s="4">
        <v>44564</v>
      </c>
      <c r="G2855" s="3">
        <v>202207</v>
      </c>
      <c r="H2855" s="3" t="s">
        <v>75</v>
      </c>
      <c r="I2855" s="3" t="s">
        <v>76</v>
      </c>
      <c r="J2855" s="3" t="s">
        <v>77</v>
      </c>
      <c r="K2855" s="3" t="s">
        <v>78</v>
      </c>
      <c r="L2855" s="3" t="s">
        <v>158</v>
      </c>
      <c r="M2855" s="3" t="s">
        <v>159</v>
      </c>
      <c r="N2855" s="3" t="s">
        <v>1505</v>
      </c>
      <c r="O2855" s="3" t="s">
        <v>82</v>
      </c>
      <c r="P2855" s="3" t="str">
        <f>"2170812698                    "</f>
        <v xml:space="preserve">2170812698                    </v>
      </c>
      <c r="Q2855" s="3">
        <v>0</v>
      </c>
      <c r="R2855" s="3">
        <v>0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  <c r="AE2855" s="3">
        <v>0</v>
      </c>
      <c r="AF2855" s="3">
        <v>0</v>
      </c>
      <c r="AG2855" s="3">
        <v>0</v>
      </c>
      <c r="AH2855" s="3">
        <v>0</v>
      </c>
      <c r="AI2855" s="3">
        <v>0</v>
      </c>
      <c r="AJ2855" s="3">
        <v>0</v>
      </c>
      <c r="AK2855" s="3">
        <v>13.26</v>
      </c>
      <c r="AL2855" s="3">
        <v>0</v>
      </c>
      <c r="AM2855" s="3">
        <v>0</v>
      </c>
      <c r="AN2855" s="3">
        <v>0</v>
      </c>
      <c r="AO2855" s="3">
        <v>0</v>
      </c>
      <c r="AP2855" s="3">
        <v>0</v>
      </c>
      <c r="AQ2855" s="3">
        <v>0</v>
      </c>
      <c r="AR2855" s="3">
        <v>0</v>
      </c>
      <c r="AS2855" s="3">
        <v>0</v>
      </c>
      <c r="AT2855" s="3">
        <v>0</v>
      </c>
      <c r="AU2855" s="3">
        <v>0</v>
      </c>
      <c r="AV2855" s="3">
        <v>0</v>
      </c>
      <c r="AW2855" s="3">
        <v>0</v>
      </c>
      <c r="AX2855" s="3">
        <v>0</v>
      </c>
      <c r="AY2855" s="3">
        <v>0</v>
      </c>
      <c r="AZ2855" s="3">
        <v>0</v>
      </c>
      <c r="BA2855" s="3">
        <v>0</v>
      </c>
      <c r="BB2855" s="3">
        <v>0</v>
      </c>
      <c r="BC2855" s="3">
        <v>0</v>
      </c>
      <c r="BD2855" s="3">
        <v>0</v>
      </c>
      <c r="BE2855" s="3">
        <v>0</v>
      </c>
      <c r="BF2855" s="3">
        <v>0</v>
      </c>
      <c r="BG2855" s="3">
        <v>0</v>
      </c>
      <c r="BH2855" s="3">
        <v>1</v>
      </c>
      <c r="BI2855" s="3">
        <v>1</v>
      </c>
      <c r="BJ2855" s="3">
        <v>0.2</v>
      </c>
      <c r="BK2855" s="3">
        <v>1</v>
      </c>
      <c r="BL2855" s="3">
        <v>47.27</v>
      </c>
      <c r="BM2855" s="3">
        <v>7.09</v>
      </c>
      <c r="BN2855" s="3">
        <v>54.36</v>
      </c>
      <c r="BO2855" s="3">
        <v>54.36</v>
      </c>
      <c r="BR2855" s="3" t="s">
        <v>308</v>
      </c>
      <c r="BS2855" s="4">
        <v>44565</v>
      </c>
      <c r="BT2855" s="5">
        <v>0.4777777777777778</v>
      </c>
      <c r="BU2855" s="3" t="s">
        <v>2694</v>
      </c>
      <c r="BV2855" s="3" t="s">
        <v>87</v>
      </c>
      <c r="BW2855" s="3" t="s">
        <v>278</v>
      </c>
      <c r="BX2855" s="3" t="s">
        <v>1722</v>
      </c>
      <c r="BY2855" s="3">
        <v>1200</v>
      </c>
      <c r="BZ2855" s="3" t="s">
        <v>165</v>
      </c>
      <c r="CA2855" s="3" t="s">
        <v>678</v>
      </c>
      <c r="CC2855" s="3" t="s">
        <v>159</v>
      </c>
      <c r="CD2855" s="3">
        <v>1460</v>
      </c>
      <c r="CE2855" s="3" t="s">
        <v>93</v>
      </c>
      <c r="CF2855" s="4">
        <v>44566</v>
      </c>
      <c r="CI2855" s="3">
        <v>1</v>
      </c>
      <c r="CJ2855" s="3">
        <v>1</v>
      </c>
      <c r="CK2855" s="3">
        <v>22</v>
      </c>
      <c r="CL2855" s="3" t="s">
        <v>87</v>
      </c>
    </row>
    <row r="2856" spans="1:90" x14ac:dyDescent="0.2">
      <c r="A2856" s="3" t="s">
        <v>72</v>
      </c>
      <c r="B2856" s="3" t="s">
        <v>73</v>
      </c>
      <c r="C2856" s="3" t="s">
        <v>74</v>
      </c>
      <c r="E2856" s="3" t="str">
        <f>"FES1162843153"</f>
        <v>FES1162843153</v>
      </c>
      <c r="F2856" s="4">
        <v>44564</v>
      </c>
      <c r="G2856" s="3">
        <v>202207</v>
      </c>
      <c r="H2856" s="3" t="s">
        <v>75</v>
      </c>
      <c r="I2856" s="3" t="s">
        <v>76</v>
      </c>
      <c r="J2856" s="3" t="s">
        <v>77</v>
      </c>
      <c r="K2856" s="3" t="s">
        <v>78</v>
      </c>
      <c r="L2856" s="3" t="s">
        <v>171</v>
      </c>
      <c r="M2856" s="3" t="s">
        <v>172</v>
      </c>
      <c r="N2856" s="3" t="s">
        <v>249</v>
      </c>
      <c r="O2856" s="3" t="s">
        <v>82</v>
      </c>
      <c r="P2856" s="3" t="str">
        <f>"2170812610                    "</f>
        <v xml:space="preserve">2170812610                    </v>
      </c>
      <c r="Q2856" s="3">
        <v>0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  <c r="AE2856" s="3">
        <v>0</v>
      </c>
      <c r="AF2856" s="3">
        <v>0</v>
      </c>
      <c r="AG2856" s="3">
        <v>0</v>
      </c>
      <c r="AH2856" s="3">
        <v>0</v>
      </c>
      <c r="AI2856" s="3">
        <v>0</v>
      </c>
      <c r="AJ2856" s="3">
        <v>0</v>
      </c>
      <c r="AK2856" s="3">
        <v>42.44</v>
      </c>
      <c r="AL2856" s="3">
        <v>0</v>
      </c>
      <c r="AM2856" s="3">
        <v>0</v>
      </c>
      <c r="AN2856" s="3">
        <v>0</v>
      </c>
      <c r="AO2856" s="3">
        <v>0</v>
      </c>
      <c r="AP2856" s="3">
        <v>0</v>
      </c>
      <c r="AQ2856" s="3">
        <v>0</v>
      </c>
      <c r="AR2856" s="3">
        <v>0</v>
      </c>
      <c r="AS2856" s="3">
        <v>0</v>
      </c>
      <c r="AT2856" s="3">
        <v>0</v>
      </c>
      <c r="AU2856" s="3">
        <v>0</v>
      </c>
      <c r="AV2856" s="3">
        <v>0</v>
      </c>
      <c r="AW2856" s="3">
        <v>0</v>
      </c>
      <c r="AX2856" s="3">
        <v>0</v>
      </c>
      <c r="AY2856" s="3">
        <v>0</v>
      </c>
      <c r="AZ2856" s="3">
        <v>0</v>
      </c>
      <c r="BA2856" s="3">
        <v>0</v>
      </c>
      <c r="BB2856" s="3">
        <v>0</v>
      </c>
      <c r="BC2856" s="3">
        <v>0</v>
      </c>
      <c r="BD2856" s="3">
        <v>0</v>
      </c>
      <c r="BE2856" s="3">
        <v>0</v>
      </c>
      <c r="BF2856" s="3">
        <v>0</v>
      </c>
      <c r="BG2856" s="3">
        <v>0</v>
      </c>
      <c r="BH2856" s="3">
        <v>1</v>
      </c>
      <c r="BI2856" s="3">
        <v>5</v>
      </c>
      <c r="BJ2856" s="3">
        <v>3.1</v>
      </c>
      <c r="BK2856" s="3">
        <v>5</v>
      </c>
      <c r="BL2856" s="3">
        <v>151.26</v>
      </c>
      <c r="BM2856" s="3">
        <v>22.69</v>
      </c>
      <c r="BN2856" s="3">
        <v>173.95</v>
      </c>
      <c r="BO2856" s="3">
        <v>173.95</v>
      </c>
      <c r="BQ2856" s="3" t="s">
        <v>89</v>
      </c>
      <c r="BR2856" s="3" t="s">
        <v>308</v>
      </c>
      <c r="BS2856" s="4">
        <v>44565</v>
      </c>
      <c r="BT2856" s="5">
        <v>0.3520833333333333</v>
      </c>
      <c r="BU2856" s="3" t="s">
        <v>2243</v>
      </c>
      <c r="BV2856" s="3" t="s">
        <v>105</v>
      </c>
      <c r="BY2856" s="3">
        <v>15600</v>
      </c>
      <c r="BZ2856" s="3" t="s">
        <v>165</v>
      </c>
      <c r="CA2856" s="3" t="s">
        <v>509</v>
      </c>
      <c r="CC2856" s="3" t="s">
        <v>172</v>
      </c>
      <c r="CD2856" s="3">
        <v>6001</v>
      </c>
      <c r="CE2856" s="3" t="s">
        <v>86</v>
      </c>
      <c r="CF2856" s="4">
        <v>44565</v>
      </c>
      <c r="CI2856" s="3">
        <v>1</v>
      </c>
      <c r="CJ2856" s="3">
        <v>1</v>
      </c>
      <c r="CK2856" s="3">
        <v>21</v>
      </c>
      <c r="CL2856" s="3" t="s">
        <v>87</v>
      </c>
    </row>
    <row r="2857" spans="1:90" x14ac:dyDescent="0.2">
      <c r="A2857" s="3" t="s">
        <v>72</v>
      </c>
      <c r="B2857" s="3" t="s">
        <v>73</v>
      </c>
      <c r="C2857" s="3" t="s">
        <v>74</v>
      </c>
      <c r="E2857" s="3" t="str">
        <f>"FES1162843126"</f>
        <v>FES1162843126</v>
      </c>
      <c r="F2857" s="4">
        <v>44564</v>
      </c>
      <c r="G2857" s="3">
        <v>202207</v>
      </c>
      <c r="H2857" s="3" t="s">
        <v>75</v>
      </c>
      <c r="I2857" s="3" t="s">
        <v>76</v>
      </c>
      <c r="J2857" s="3" t="s">
        <v>77</v>
      </c>
      <c r="K2857" s="3" t="s">
        <v>78</v>
      </c>
      <c r="L2857" s="3" t="s">
        <v>120</v>
      </c>
      <c r="M2857" s="3" t="s">
        <v>121</v>
      </c>
      <c r="N2857" s="3" t="s">
        <v>410</v>
      </c>
      <c r="O2857" s="3" t="s">
        <v>82</v>
      </c>
      <c r="P2857" s="3" t="str">
        <f>"2170815436                    "</f>
        <v xml:space="preserve">2170815436                    </v>
      </c>
      <c r="Q2857" s="3">
        <v>0</v>
      </c>
      <c r="R2857" s="3">
        <v>0</v>
      </c>
      <c r="S2857" s="3">
        <v>0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  <c r="Y2857" s="3">
        <v>0</v>
      </c>
      <c r="Z2857" s="3">
        <v>0</v>
      </c>
      <c r="AA2857" s="3">
        <v>0</v>
      </c>
      <c r="AB2857" s="3">
        <v>0</v>
      </c>
      <c r="AC2857" s="3">
        <v>0</v>
      </c>
      <c r="AD2857" s="3">
        <v>0</v>
      </c>
      <c r="AE2857" s="3">
        <v>0</v>
      </c>
      <c r="AF2857" s="3">
        <v>0</v>
      </c>
      <c r="AG2857" s="3">
        <v>0</v>
      </c>
      <c r="AH2857" s="3">
        <v>0</v>
      </c>
      <c r="AI2857" s="3">
        <v>0</v>
      </c>
      <c r="AJ2857" s="3">
        <v>0</v>
      </c>
      <c r="AK2857" s="3">
        <v>118.82</v>
      </c>
      <c r="AL2857" s="3">
        <v>0</v>
      </c>
      <c r="AM2857" s="3">
        <v>0</v>
      </c>
      <c r="AN2857" s="3">
        <v>0</v>
      </c>
      <c r="AO2857" s="3">
        <v>0</v>
      </c>
      <c r="AP2857" s="3">
        <v>0</v>
      </c>
      <c r="AQ2857" s="3">
        <v>0</v>
      </c>
      <c r="AR2857" s="3">
        <v>0</v>
      </c>
      <c r="AS2857" s="3">
        <v>0</v>
      </c>
      <c r="AT2857" s="3">
        <v>0</v>
      </c>
      <c r="AU2857" s="3">
        <v>0</v>
      </c>
      <c r="AV2857" s="3">
        <v>0</v>
      </c>
      <c r="AW2857" s="3">
        <v>0</v>
      </c>
      <c r="AX2857" s="3">
        <v>0</v>
      </c>
      <c r="AY2857" s="3">
        <v>0</v>
      </c>
      <c r="AZ2857" s="3">
        <v>0</v>
      </c>
      <c r="BA2857" s="3">
        <v>0</v>
      </c>
      <c r="BB2857" s="3">
        <v>0</v>
      </c>
      <c r="BC2857" s="3">
        <v>0</v>
      </c>
      <c r="BD2857" s="3">
        <v>0</v>
      </c>
      <c r="BE2857" s="3">
        <v>0</v>
      </c>
      <c r="BF2857" s="3">
        <v>0</v>
      </c>
      <c r="BG2857" s="3">
        <v>0</v>
      </c>
      <c r="BH2857" s="3">
        <v>1</v>
      </c>
      <c r="BI2857" s="3">
        <v>14</v>
      </c>
      <c r="BJ2857" s="3">
        <v>9.1</v>
      </c>
      <c r="BK2857" s="3">
        <v>14</v>
      </c>
      <c r="BL2857" s="3">
        <v>423.48</v>
      </c>
      <c r="BM2857" s="3">
        <v>63.52</v>
      </c>
      <c r="BN2857" s="3">
        <v>487</v>
      </c>
      <c r="BO2857" s="3">
        <v>487</v>
      </c>
      <c r="BQ2857" s="3" t="s">
        <v>411</v>
      </c>
      <c r="BR2857" s="3" t="s">
        <v>308</v>
      </c>
      <c r="BS2857" s="4">
        <v>44565</v>
      </c>
      <c r="BT2857" s="5">
        <v>0.47083333333333338</v>
      </c>
      <c r="BU2857" s="3" t="s">
        <v>2695</v>
      </c>
      <c r="BV2857" s="3" t="s">
        <v>87</v>
      </c>
      <c r="BW2857" s="3" t="s">
        <v>457</v>
      </c>
      <c r="BX2857" s="3" t="s">
        <v>279</v>
      </c>
      <c r="BY2857" s="3">
        <v>45632</v>
      </c>
      <c r="BZ2857" s="3" t="s">
        <v>165</v>
      </c>
      <c r="CA2857" s="3" t="s">
        <v>553</v>
      </c>
      <c r="CC2857" s="3" t="s">
        <v>121</v>
      </c>
      <c r="CD2857" s="3">
        <v>6230</v>
      </c>
      <c r="CE2857" s="3" t="s">
        <v>86</v>
      </c>
      <c r="CF2857" s="4">
        <v>44565</v>
      </c>
      <c r="CI2857" s="3">
        <v>1</v>
      </c>
      <c r="CJ2857" s="3">
        <v>1</v>
      </c>
      <c r="CK2857" s="3">
        <v>21</v>
      </c>
      <c r="CL2857" s="3" t="s">
        <v>87</v>
      </c>
    </row>
    <row r="2858" spans="1:90" x14ac:dyDescent="0.2">
      <c r="A2858" s="3" t="s">
        <v>72</v>
      </c>
      <c r="B2858" s="3" t="s">
        <v>73</v>
      </c>
      <c r="C2858" s="3" t="s">
        <v>74</v>
      </c>
      <c r="E2858" s="3" t="str">
        <f>"FES1162843086"</f>
        <v>FES1162843086</v>
      </c>
      <c r="F2858" s="4">
        <v>44564</v>
      </c>
      <c r="G2858" s="3">
        <v>202207</v>
      </c>
      <c r="H2858" s="3" t="s">
        <v>75</v>
      </c>
      <c r="I2858" s="3" t="s">
        <v>76</v>
      </c>
      <c r="J2858" s="3" t="s">
        <v>77</v>
      </c>
      <c r="K2858" s="3" t="s">
        <v>78</v>
      </c>
      <c r="L2858" s="3" t="s">
        <v>90</v>
      </c>
      <c r="M2858" s="3" t="s">
        <v>91</v>
      </c>
      <c r="N2858" s="3" t="s">
        <v>577</v>
      </c>
      <c r="O2858" s="3" t="s">
        <v>82</v>
      </c>
      <c r="P2858" s="3" t="str">
        <f>"2170815460                    "</f>
        <v xml:space="preserve">2170815460                    </v>
      </c>
      <c r="Q2858" s="3">
        <v>0</v>
      </c>
      <c r="R2858" s="3">
        <v>0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  <c r="AE2858" s="3">
        <v>0</v>
      </c>
      <c r="AF2858" s="3">
        <v>0</v>
      </c>
      <c r="AG2858" s="3">
        <v>0</v>
      </c>
      <c r="AH2858" s="3">
        <v>0</v>
      </c>
      <c r="AI2858" s="3">
        <v>0</v>
      </c>
      <c r="AJ2858" s="3">
        <v>0</v>
      </c>
      <c r="AK2858" s="3">
        <v>80.63</v>
      </c>
      <c r="AL2858" s="3">
        <v>0</v>
      </c>
      <c r="AM2858" s="3">
        <v>0</v>
      </c>
      <c r="AN2858" s="3">
        <v>0</v>
      </c>
      <c r="AO2858" s="3">
        <v>0</v>
      </c>
      <c r="AP2858" s="3">
        <v>0</v>
      </c>
      <c r="AQ2858" s="3">
        <v>0</v>
      </c>
      <c r="AR2858" s="3">
        <v>0</v>
      </c>
      <c r="AS2858" s="3">
        <v>0</v>
      </c>
      <c r="AT2858" s="3">
        <v>0</v>
      </c>
      <c r="AU2858" s="3">
        <v>0</v>
      </c>
      <c r="AV2858" s="3">
        <v>0</v>
      </c>
      <c r="AW2858" s="3">
        <v>0</v>
      </c>
      <c r="AX2858" s="3">
        <v>0</v>
      </c>
      <c r="AY2858" s="3">
        <v>0</v>
      </c>
      <c r="AZ2858" s="3">
        <v>0</v>
      </c>
      <c r="BA2858" s="3">
        <v>0</v>
      </c>
      <c r="BB2858" s="3">
        <v>0</v>
      </c>
      <c r="BC2858" s="3">
        <v>0</v>
      </c>
      <c r="BD2858" s="3">
        <v>0</v>
      </c>
      <c r="BE2858" s="3">
        <v>0</v>
      </c>
      <c r="BF2858" s="3">
        <v>0</v>
      </c>
      <c r="BG2858" s="3">
        <v>0</v>
      </c>
      <c r="BH2858" s="3">
        <v>1</v>
      </c>
      <c r="BI2858" s="3">
        <v>4</v>
      </c>
      <c r="BJ2858" s="3">
        <v>9.1</v>
      </c>
      <c r="BK2858" s="3">
        <v>9.5</v>
      </c>
      <c r="BL2858" s="3">
        <v>287.37</v>
      </c>
      <c r="BM2858" s="3">
        <v>43.11</v>
      </c>
      <c r="BN2858" s="3">
        <v>330.48</v>
      </c>
      <c r="BO2858" s="3">
        <v>330.48</v>
      </c>
      <c r="BQ2858" s="3" t="s">
        <v>126</v>
      </c>
      <c r="BR2858" s="3" t="s">
        <v>308</v>
      </c>
      <c r="BS2858" s="4">
        <v>44565</v>
      </c>
      <c r="BT2858" s="5">
        <v>0.34236111111111112</v>
      </c>
      <c r="BU2858" s="3" t="s">
        <v>578</v>
      </c>
      <c r="BV2858" s="3" t="s">
        <v>105</v>
      </c>
      <c r="BY2858" s="3">
        <v>45632</v>
      </c>
      <c r="BZ2858" s="3" t="s">
        <v>165</v>
      </c>
      <c r="CA2858" s="3" t="s">
        <v>271</v>
      </c>
      <c r="CC2858" s="3" t="s">
        <v>91</v>
      </c>
      <c r="CD2858" s="3">
        <v>7441</v>
      </c>
      <c r="CE2858" s="3" t="s">
        <v>86</v>
      </c>
      <c r="CF2858" s="4">
        <v>44566</v>
      </c>
      <c r="CI2858" s="3">
        <v>1</v>
      </c>
      <c r="CJ2858" s="3">
        <v>1</v>
      </c>
      <c r="CK2858" s="3">
        <v>21</v>
      </c>
      <c r="CL2858" s="3" t="s">
        <v>87</v>
      </c>
    </row>
    <row r="2859" spans="1:90" x14ac:dyDescent="0.2">
      <c r="A2859" s="3" t="s">
        <v>72</v>
      </c>
      <c r="B2859" s="3" t="s">
        <v>73</v>
      </c>
      <c r="C2859" s="3" t="s">
        <v>74</v>
      </c>
      <c r="E2859" s="3" t="str">
        <f>"FES1162843234"</f>
        <v>FES1162843234</v>
      </c>
      <c r="F2859" s="4">
        <v>44564</v>
      </c>
      <c r="G2859" s="3">
        <v>202207</v>
      </c>
      <c r="H2859" s="3" t="s">
        <v>75</v>
      </c>
      <c r="I2859" s="3" t="s">
        <v>76</v>
      </c>
      <c r="J2859" s="3" t="s">
        <v>77</v>
      </c>
      <c r="K2859" s="3" t="s">
        <v>78</v>
      </c>
      <c r="L2859" s="3" t="s">
        <v>158</v>
      </c>
      <c r="M2859" s="3" t="s">
        <v>159</v>
      </c>
      <c r="N2859" s="3" t="s">
        <v>1691</v>
      </c>
      <c r="O2859" s="3" t="s">
        <v>82</v>
      </c>
      <c r="P2859" s="3" t="str">
        <f>"2170814852                    "</f>
        <v xml:space="preserve">2170814852                    </v>
      </c>
      <c r="Q2859" s="3">
        <v>0</v>
      </c>
      <c r="R2859" s="3">
        <v>0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  <c r="AE2859" s="3">
        <v>0</v>
      </c>
      <c r="AF2859" s="3">
        <v>0</v>
      </c>
      <c r="AG2859" s="3">
        <v>0</v>
      </c>
      <c r="AH2859" s="3">
        <v>0</v>
      </c>
      <c r="AI2859" s="3">
        <v>0</v>
      </c>
      <c r="AJ2859" s="3">
        <v>0</v>
      </c>
      <c r="AK2859" s="3">
        <v>13.26</v>
      </c>
      <c r="AL2859" s="3">
        <v>0</v>
      </c>
      <c r="AM2859" s="3">
        <v>0</v>
      </c>
      <c r="AN2859" s="3">
        <v>0</v>
      </c>
      <c r="AO2859" s="3">
        <v>0</v>
      </c>
      <c r="AP2859" s="3">
        <v>0</v>
      </c>
      <c r="AQ2859" s="3">
        <v>0</v>
      </c>
      <c r="AR2859" s="3">
        <v>0</v>
      </c>
      <c r="AS2859" s="3">
        <v>0</v>
      </c>
      <c r="AT2859" s="3">
        <v>0</v>
      </c>
      <c r="AU2859" s="3">
        <v>0</v>
      </c>
      <c r="AV2859" s="3">
        <v>0</v>
      </c>
      <c r="AW2859" s="3">
        <v>0</v>
      </c>
      <c r="AX2859" s="3">
        <v>0</v>
      </c>
      <c r="AY2859" s="3">
        <v>0</v>
      </c>
      <c r="AZ2859" s="3">
        <v>0</v>
      </c>
      <c r="BA2859" s="3">
        <v>0</v>
      </c>
      <c r="BB2859" s="3">
        <v>0</v>
      </c>
      <c r="BC2859" s="3">
        <v>0</v>
      </c>
      <c r="BD2859" s="3">
        <v>0</v>
      </c>
      <c r="BE2859" s="3">
        <v>0</v>
      </c>
      <c r="BF2859" s="3">
        <v>0</v>
      </c>
      <c r="BG2859" s="3">
        <v>0</v>
      </c>
      <c r="BH2859" s="3">
        <v>1</v>
      </c>
      <c r="BI2859" s="3">
        <v>1</v>
      </c>
      <c r="BJ2859" s="3">
        <v>0.2</v>
      </c>
      <c r="BK2859" s="3">
        <v>1</v>
      </c>
      <c r="BL2859" s="3">
        <v>47.27</v>
      </c>
      <c r="BM2859" s="3">
        <v>7.09</v>
      </c>
      <c r="BN2859" s="3">
        <v>54.36</v>
      </c>
      <c r="BO2859" s="3">
        <v>54.36</v>
      </c>
      <c r="BQ2859" s="3" t="s">
        <v>83</v>
      </c>
      <c r="BR2859" s="3" t="s">
        <v>308</v>
      </c>
      <c r="BS2859" s="4">
        <v>44565</v>
      </c>
      <c r="BT2859" s="5">
        <v>0.4368055555555555</v>
      </c>
      <c r="BU2859" s="3" t="s">
        <v>1218</v>
      </c>
      <c r="BV2859" s="3" t="s">
        <v>105</v>
      </c>
      <c r="BY2859" s="3">
        <v>1200</v>
      </c>
      <c r="BZ2859" s="3" t="s">
        <v>165</v>
      </c>
      <c r="CA2859" s="3" t="s">
        <v>678</v>
      </c>
      <c r="CC2859" s="3" t="s">
        <v>159</v>
      </c>
      <c r="CD2859" s="3">
        <v>1460</v>
      </c>
      <c r="CE2859" s="3" t="s">
        <v>93</v>
      </c>
      <c r="CF2859" s="4">
        <v>44566</v>
      </c>
      <c r="CI2859" s="3">
        <v>1</v>
      </c>
      <c r="CJ2859" s="3">
        <v>1</v>
      </c>
      <c r="CK2859" s="3">
        <v>22</v>
      </c>
      <c r="CL2859" s="3" t="s">
        <v>87</v>
      </c>
    </row>
    <row r="2860" spans="1:90" x14ac:dyDescent="0.2">
      <c r="A2860" s="3" t="s">
        <v>72</v>
      </c>
      <c r="B2860" s="3" t="s">
        <v>73</v>
      </c>
      <c r="C2860" s="3" t="s">
        <v>74</v>
      </c>
      <c r="E2860" s="3" t="str">
        <f>"FES1162843171"</f>
        <v>FES1162843171</v>
      </c>
      <c r="F2860" s="4">
        <v>44564</v>
      </c>
      <c r="G2860" s="3">
        <v>202207</v>
      </c>
      <c r="H2860" s="3" t="s">
        <v>75</v>
      </c>
      <c r="I2860" s="3" t="s">
        <v>76</v>
      </c>
      <c r="J2860" s="3" t="s">
        <v>77</v>
      </c>
      <c r="K2860" s="3" t="s">
        <v>78</v>
      </c>
      <c r="L2860" s="3" t="s">
        <v>187</v>
      </c>
      <c r="M2860" s="3" t="s">
        <v>188</v>
      </c>
      <c r="N2860" s="3" t="s">
        <v>189</v>
      </c>
      <c r="O2860" s="3" t="s">
        <v>82</v>
      </c>
      <c r="P2860" s="3" t="str">
        <f>"2170812712                    "</f>
        <v xml:space="preserve">2170812712                    </v>
      </c>
      <c r="Q2860" s="3">
        <v>0</v>
      </c>
      <c r="R2860" s="3">
        <v>0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  <c r="AE2860" s="3">
        <v>0</v>
      </c>
      <c r="AF2860" s="3">
        <v>0</v>
      </c>
      <c r="AG2860" s="3">
        <v>0</v>
      </c>
      <c r="AH2860" s="3">
        <v>0</v>
      </c>
      <c r="AI2860" s="3">
        <v>0</v>
      </c>
      <c r="AJ2860" s="3">
        <v>0</v>
      </c>
      <c r="AK2860" s="3">
        <v>32.9</v>
      </c>
      <c r="AL2860" s="3">
        <v>0</v>
      </c>
      <c r="AM2860" s="3">
        <v>0</v>
      </c>
      <c r="AN2860" s="3">
        <v>0</v>
      </c>
      <c r="AO2860" s="3">
        <v>0</v>
      </c>
      <c r="AP2860" s="3">
        <v>0</v>
      </c>
      <c r="AQ2860" s="3">
        <v>0</v>
      </c>
      <c r="AR2860" s="3">
        <v>0</v>
      </c>
      <c r="AS2860" s="3">
        <v>0</v>
      </c>
      <c r="AT2860" s="3">
        <v>0</v>
      </c>
      <c r="AU2860" s="3">
        <v>0</v>
      </c>
      <c r="AV2860" s="3">
        <v>0</v>
      </c>
      <c r="AW2860" s="3">
        <v>0</v>
      </c>
      <c r="AX2860" s="3">
        <v>0</v>
      </c>
      <c r="AY2860" s="3">
        <v>0</v>
      </c>
      <c r="AZ2860" s="3">
        <v>0</v>
      </c>
      <c r="BA2860" s="3">
        <v>0</v>
      </c>
      <c r="BB2860" s="3">
        <v>0</v>
      </c>
      <c r="BC2860" s="3">
        <v>0</v>
      </c>
      <c r="BD2860" s="3">
        <v>0</v>
      </c>
      <c r="BE2860" s="3">
        <v>0</v>
      </c>
      <c r="BF2860" s="3">
        <v>0</v>
      </c>
      <c r="BG2860" s="3">
        <v>0</v>
      </c>
      <c r="BH2860" s="3">
        <v>1</v>
      </c>
      <c r="BI2860" s="3">
        <v>1</v>
      </c>
      <c r="BJ2860" s="3">
        <v>0.2</v>
      </c>
      <c r="BK2860" s="3">
        <v>1</v>
      </c>
      <c r="BL2860" s="3">
        <v>117.26</v>
      </c>
      <c r="BM2860" s="3">
        <v>17.59</v>
      </c>
      <c r="BN2860" s="3">
        <v>134.85</v>
      </c>
      <c r="BO2860" s="3">
        <v>134.85</v>
      </c>
      <c r="BQ2860" s="3" t="s">
        <v>83</v>
      </c>
      <c r="BR2860" s="3" t="s">
        <v>308</v>
      </c>
      <c r="BS2860" s="4">
        <v>44565</v>
      </c>
      <c r="BT2860" s="5">
        <v>0.51527777777777783</v>
      </c>
      <c r="BU2860" s="3" t="s">
        <v>854</v>
      </c>
      <c r="BV2860" s="3" t="s">
        <v>105</v>
      </c>
      <c r="BY2860" s="3">
        <v>1200</v>
      </c>
      <c r="BZ2860" s="3" t="s">
        <v>165</v>
      </c>
      <c r="CA2860" s="3" t="s">
        <v>268</v>
      </c>
      <c r="CC2860" s="3" t="s">
        <v>188</v>
      </c>
      <c r="CD2860" s="3">
        <v>7300</v>
      </c>
      <c r="CE2860" s="3" t="s">
        <v>93</v>
      </c>
      <c r="CF2860" s="4">
        <v>44566</v>
      </c>
      <c r="CI2860" s="3">
        <v>1</v>
      </c>
      <c r="CJ2860" s="3">
        <v>1</v>
      </c>
      <c r="CK2860" s="3">
        <v>23</v>
      </c>
      <c r="CL2860" s="3" t="s">
        <v>87</v>
      </c>
    </row>
    <row r="2861" spans="1:90" x14ac:dyDescent="0.2">
      <c r="A2861" s="3" t="s">
        <v>72</v>
      </c>
      <c r="B2861" s="3" t="s">
        <v>73</v>
      </c>
      <c r="C2861" s="3" t="s">
        <v>74</v>
      </c>
      <c r="E2861" s="3" t="str">
        <f>"FES1162843241"</f>
        <v>FES1162843241</v>
      </c>
      <c r="F2861" s="4">
        <v>44564</v>
      </c>
      <c r="G2861" s="3">
        <v>202207</v>
      </c>
      <c r="H2861" s="3" t="s">
        <v>75</v>
      </c>
      <c r="I2861" s="3" t="s">
        <v>76</v>
      </c>
      <c r="J2861" s="3" t="s">
        <v>77</v>
      </c>
      <c r="K2861" s="3" t="s">
        <v>78</v>
      </c>
      <c r="L2861" s="3" t="s">
        <v>731</v>
      </c>
      <c r="M2861" s="3" t="s">
        <v>732</v>
      </c>
      <c r="N2861" s="3" t="s">
        <v>883</v>
      </c>
      <c r="O2861" s="3" t="s">
        <v>82</v>
      </c>
      <c r="P2861" s="3" t="str">
        <f>"2170815318                    "</f>
        <v xml:space="preserve">2170815318                    </v>
      </c>
      <c r="Q2861" s="3">
        <v>0</v>
      </c>
      <c r="R2861" s="3">
        <v>0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  <c r="AE2861" s="3">
        <v>0</v>
      </c>
      <c r="AF2861" s="3">
        <v>0</v>
      </c>
      <c r="AG2861" s="3">
        <v>0</v>
      </c>
      <c r="AH2861" s="3">
        <v>0</v>
      </c>
      <c r="AI2861" s="3">
        <v>0</v>
      </c>
      <c r="AJ2861" s="3">
        <v>0</v>
      </c>
      <c r="AK2861" s="3">
        <v>32.9</v>
      </c>
      <c r="AL2861" s="3">
        <v>0</v>
      </c>
      <c r="AM2861" s="3">
        <v>0</v>
      </c>
      <c r="AN2861" s="3">
        <v>0</v>
      </c>
      <c r="AO2861" s="3">
        <v>0</v>
      </c>
      <c r="AP2861" s="3">
        <v>0</v>
      </c>
      <c r="AQ2861" s="3">
        <v>0</v>
      </c>
      <c r="AR2861" s="3">
        <v>0</v>
      </c>
      <c r="AS2861" s="3">
        <v>0</v>
      </c>
      <c r="AT2861" s="3">
        <v>0</v>
      </c>
      <c r="AU2861" s="3">
        <v>0</v>
      </c>
      <c r="AV2861" s="3">
        <v>0</v>
      </c>
      <c r="AW2861" s="3">
        <v>0</v>
      </c>
      <c r="AX2861" s="3">
        <v>0</v>
      </c>
      <c r="AY2861" s="3">
        <v>0</v>
      </c>
      <c r="AZ2861" s="3">
        <v>0</v>
      </c>
      <c r="BA2861" s="3">
        <v>0</v>
      </c>
      <c r="BB2861" s="3">
        <v>0</v>
      </c>
      <c r="BC2861" s="3">
        <v>0</v>
      </c>
      <c r="BD2861" s="3">
        <v>0</v>
      </c>
      <c r="BE2861" s="3">
        <v>0</v>
      </c>
      <c r="BF2861" s="3">
        <v>0</v>
      </c>
      <c r="BG2861" s="3">
        <v>0</v>
      </c>
      <c r="BH2861" s="3">
        <v>1</v>
      </c>
      <c r="BI2861" s="3">
        <v>1</v>
      </c>
      <c r="BJ2861" s="3">
        <v>0.2</v>
      </c>
      <c r="BK2861" s="3">
        <v>1</v>
      </c>
      <c r="BL2861" s="3">
        <v>117.26</v>
      </c>
      <c r="BM2861" s="3">
        <v>17.59</v>
      </c>
      <c r="BN2861" s="3">
        <v>134.85</v>
      </c>
      <c r="BO2861" s="3">
        <v>134.85</v>
      </c>
      <c r="BQ2861" s="3" t="s">
        <v>273</v>
      </c>
      <c r="BR2861" s="3" t="s">
        <v>308</v>
      </c>
      <c r="BS2861" s="4">
        <v>44565</v>
      </c>
      <c r="BT2861" s="5">
        <v>0.42708333333333331</v>
      </c>
      <c r="BU2861" s="3" t="s">
        <v>2696</v>
      </c>
      <c r="BV2861" s="3" t="s">
        <v>105</v>
      </c>
      <c r="BY2861" s="3">
        <v>1200</v>
      </c>
      <c r="BZ2861" s="3" t="s">
        <v>165</v>
      </c>
      <c r="CA2861" s="3" t="s">
        <v>328</v>
      </c>
      <c r="CC2861" s="3" t="s">
        <v>732</v>
      </c>
      <c r="CD2861" s="3">
        <v>3280</v>
      </c>
      <c r="CE2861" s="3" t="s">
        <v>93</v>
      </c>
      <c r="CF2861" s="4">
        <v>44567</v>
      </c>
      <c r="CI2861" s="3">
        <v>1</v>
      </c>
      <c r="CJ2861" s="3">
        <v>1</v>
      </c>
      <c r="CK2861" s="3">
        <v>23</v>
      </c>
      <c r="CL2861" s="3" t="s">
        <v>87</v>
      </c>
    </row>
    <row r="2862" spans="1:90" x14ac:dyDescent="0.2">
      <c r="A2862" s="3" t="s">
        <v>72</v>
      </c>
      <c r="B2862" s="3" t="s">
        <v>73</v>
      </c>
      <c r="C2862" s="3" t="s">
        <v>74</v>
      </c>
      <c r="E2862" s="3" t="str">
        <f>"FES1162843147"</f>
        <v>FES1162843147</v>
      </c>
      <c r="F2862" s="4">
        <v>44564</v>
      </c>
      <c r="G2862" s="3">
        <v>202207</v>
      </c>
      <c r="H2862" s="3" t="s">
        <v>75</v>
      </c>
      <c r="I2862" s="3" t="s">
        <v>76</v>
      </c>
      <c r="J2862" s="3" t="s">
        <v>77</v>
      </c>
      <c r="K2862" s="3" t="s">
        <v>78</v>
      </c>
      <c r="L2862" s="3" t="s">
        <v>97</v>
      </c>
      <c r="M2862" s="3" t="s">
        <v>98</v>
      </c>
      <c r="N2862" s="3" t="s">
        <v>183</v>
      </c>
      <c r="O2862" s="3" t="s">
        <v>82</v>
      </c>
      <c r="P2862" s="3" t="str">
        <f>"2170812544                    "</f>
        <v xml:space="preserve">2170812544                    </v>
      </c>
      <c r="Q2862" s="3">
        <v>0</v>
      </c>
      <c r="R2862" s="3">
        <v>0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  <c r="AE2862" s="3">
        <v>0</v>
      </c>
      <c r="AF2862" s="3">
        <v>0</v>
      </c>
      <c r="AG2862" s="3">
        <v>0</v>
      </c>
      <c r="AH2862" s="3">
        <v>0</v>
      </c>
      <c r="AI2862" s="3">
        <v>0</v>
      </c>
      <c r="AJ2862" s="3">
        <v>0</v>
      </c>
      <c r="AK2862" s="3">
        <v>13.26</v>
      </c>
      <c r="AL2862" s="3">
        <v>0</v>
      </c>
      <c r="AM2862" s="3">
        <v>0</v>
      </c>
      <c r="AN2862" s="3">
        <v>0</v>
      </c>
      <c r="AO2862" s="3">
        <v>0</v>
      </c>
      <c r="AP2862" s="3">
        <v>0</v>
      </c>
      <c r="AQ2862" s="3">
        <v>0</v>
      </c>
      <c r="AR2862" s="3">
        <v>0</v>
      </c>
      <c r="AS2862" s="3">
        <v>0</v>
      </c>
      <c r="AT2862" s="3">
        <v>0</v>
      </c>
      <c r="AU2862" s="3">
        <v>0</v>
      </c>
      <c r="AV2862" s="3">
        <v>0</v>
      </c>
      <c r="AW2862" s="3">
        <v>0</v>
      </c>
      <c r="AX2862" s="3">
        <v>0</v>
      </c>
      <c r="AY2862" s="3">
        <v>0</v>
      </c>
      <c r="AZ2862" s="3">
        <v>0</v>
      </c>
      <c r="BA2862" s="3">
        <v>0</v>
      </c>
      <c r="BB2862" s="3">
        <v>0</v>
      </c>
      <c r="BC2862" s="3">
        <v>0</v>
      </c>
      <c r="BD2862" s="3">
        <v>0</v>
      </c>
      <c r="BE2862" s="3">
        <v>0</v>
      </c>
      <c r="BF2862" s="3">
        <v>0</v>
      </c>
      <c r="BG2862" s="3">
        <v>0</v>
      </c>
      <c r="BH2862" s="3">
        <v>1</v>
      </c>
      <c r="BI2862" s="3">
        <v>1</v>
      </c>
      <c r="BJ2862" s="3">
        <v>0.2</v>
      </c>
      <c r="BK2862" s="3">
        <v>1</v>
      </c>
      <c r="BL2862" s="3">
        <v>47.27</v>
      </c>
      <c r="BM2862" s="3">
        <v>7.09</v>
      </c>
      <c r="BN2862" s="3">
        <v>54.36</v>
      </c>
      <c r="BO2862" s="3">
        <v>54.36</v>
      </c>
      <c r="BQ2862" s="3" t="s">
        <v>89</v>
      </c>
      <c r="BR2862" s="3" t="s">
        <v>308</v>
      </c>
      <c r="BS2862" s="4">
        <v>44565</v>
      </c>
      <c r="BT2862" s="5">
        <v>0.44305555555555554</v>
      </c>
      <c r="BU2862" s="3" t="s">
        <v>2012</v>
      </c>
      <c r="BV2862" s="3" t="s">
        <v>87</v>
      </c>
      <c r="BW2862" s="3" t="s">
        <v>278</v>
      </c>
      <c r="BX2862" s="3" t="s">
        <v>1722</v>
      </c>
      <c r="BY2862" s="3">
        <v>1200</v>
      </c>
      <c r="BZ2862" s="3" t="s">
        <v>165</v>
      </c>
      <c r="CA2862" s="3" t="s">
        <v>2601</v>
      </c>
      <c r="CC2862" s="3" t="s">
        <v>98</v>
      </c>
      <c r="CD2862" s="3">
        <v>2090</v>
      </c>
      <c r="CE2862" s="3" t="s">
        <v>93</v>
      </c>
      <c r="CF2862" s="4">
        <v>44566</v>
      </c>
      <c r="CI2862" s="3">
        <v>1</v>
      </c>
      <c r="CJ2862" s="3">
        <v>1</v>
      </c>
      <c r="CK2862" s="3">
        <v>22</v>
      </c>
      <c r="CL2862" s="3" t="s">
        <v>87</v>
      </c>
    </row>
    <row r="2863" spans="1:90" x14ac:dyDescent="0.2">
      <c r="A2863" s="3" t="s">
        <v>72</v>
      </c>
      <c r="B2863" s="3" t="s">
        <v>73</v>
      </c>
      <c r="C2863" s="3" t="s">
        <v>74</v>
      </c>
      <c r="E2863" s="3" t="str">
        <f>"FES1162843244"</f>
        <v>FES1162843244</v>
      </c>
      <c r="F2863" s="4">
        <v>44564</v>
      </c>
      <c r="G2863" s="3">
        <v>202207</v>
      </c>
      <c r="H2863" s="3" t="s">
        <v>75</v>
      </c>
      <c r="I2863" s="3" t="s">
        <v>76</v>
      </c>
      <c r="J2863" s="3" t="s">
        <v>77</v>
      </c>
      <c r="K2863" s="3" t="s">
        <v>78</v>
      </c>
      <c r="L2863" s="3" t="s">
        <v>171</v>
      </c>
      <c r="M2863" s="3" t="s">
        <v>172</v>
      </c>
      <c r="N2863" s="3" t="s">
        <v>200</v>
      </c>
      <c r="O2863" s="3" t="s">
        <v>82</v>
      </c>
      <c r="P2863" s="3" t="str">
        <f>"2170815440                    "</f>
        <v xml:space="preserve">2170815440                    </v>
      </c>
      <c r="Q2863" s="3">
        <v>0</v>
      </c>
      <c r="R2863" s="3">
        <v>0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  <c r="AE2863" s="3">
        <v>0</v>
      </c>
      <c r="AF2863" s="3">
        <v>0</v>
      </c>
      <c r="AG2863" s="3">
        <v>0</v>
      </c>
      <c r="AH2863" s="3">
        <v>0</v>
      </c>
      <c r="AI2863" s="3">
        <v>0</v>
      </c>
      <c r="AJ2863" s="3">
        <v>0</v>
      </c>
      <c r="AK2863" s="3">
        <v>16.98</v>
      </c>
      <c r="AL2863" s="3">
        <v>0</v>
      </c>
      <c r="AM2863" s="3">
        <v>0</v>
      </c>
      <c r="AN2863" s="3">
        <v>0</v>
      </c>
      <c r="AO2863" s="3">
        <v>0</v>
      </c>
      <c r="AP2863" s="3">
        <v>0</v>
      </c>
      <c r="AQ2863" s="3">
        <v>0</v>
      </c>
      <c r="AR2863" s="3">
        <v>0</v>
      </c>
      <c r="AS2863" s="3">
        <v>0</v>
      </c>
      <c r="AT2863" s="3">
        <v>0</v>
      </c>
      <c r="AU2863" s="3">
        <v>0</v>
      </c>
      <c r="AV2863" s="3">
        <v>0</v>
      </c>
      <c r="AW2863" s="3">
        <v>0</v>
      </c>
      <c r="AX2863" s="3">
        <v>0</v>
      </c>
      <c r="AY2863" s="3">
        <v>0</v>
      </c>
      <c r="AZ2863" s="3">
        <v>0</v>
      </c>
      <c r="BA2863" s="3">
        <v>0</v>
      </c>
      <c r="BB2863" s="3">
        <v>0</v>
      </c>
      <c r="BC2863" s="3">
        <v>0</v>
      </c>
      <c r="BD2863" s="3">
        <v>0</v>
      </c>
      <c r="BE2863" s="3">
        <v>0</v>
      </c>
      <c r="BF2863" s="3">
        <v>0</v>
      </c>
      <c r="BG2863" s="3">
        <v>0</v>
      </c>
      <c r="BH2863" s="3">
        <v>1</v>
      </c>
      <c r="BI2863" s="3">
        <v>1</v>
      </c>
      <c r="BJ2863" s="3">
        <v>0.2</v>
      </c>
      <c r="BK2863" s="3">
        <v>1</v>
      </c>
      <c r="BL2863" s="3">
        <v>60.52</v>
      </c>
      <c r="BM2863" s="3">
        <v>9.08</v>
      </c>
      <c r="BN2863" s="3">
        <v>69.599999999999994</v>
      </c>
      <c r="BO2863" s="3">
        <v>69.599999999999994</v>
      </c>
      <c r="BQ2863" s="3" t="s">
        <v>89</v>
      </c>
      <c r="BR2863" s="3" t="s">
        <v>308</v>
      </c>
      <c r="BS2863" s="4">
        <v>44565</v>
      </c>
      <c r="BT2863" s="5">
        <v>0.36527777777777781</v>
      </c>
      <c r="BU2863" s="3" t="s">
        <v>908</v>
      </c>
      <c r="BV2863" s="3" t="s">
        <v>105</v>
      </c>
      <c r="BY2863" s="3">
        <v>1200</v>
      </c>
      <c r="BZ2863" s="3" t="s">
        <v>165</v>
      </c>
      <c r="CA2863" s="3" t="s">
        <v>814</v>
      </c>
      <c r="CC2863" s="3" t="s">
        <v>172</v>
      </c>
      <c r="CD2863" s="3">
        <v>6001</v>
      </c>
      <c r="CE2863" s="3" t="s">
        <v>93</v>
      </c>
      <c r="CF2863" s="4">
        <v>44565</v>
      </c>
      <c r="CI2863" s="3">
        <v>1</v>
      </c>
      <c r="CJ2863" s="3">
        <v>1</v>
      </c>
      <c r="CK2863" s="3">
        <v>21</v>
      </c>
      <c r="CL2863" s="3" t="s">
        <v>87</v>
      </c>
    </row>
    <row r="2864" spans="1:90" x14ac:dyDescent="0.2">
      <c r="A2864" s="3" t="s">
        <v>72</v>
      </c>
      <c r="B2864" s="3" t="s">
        <v>73</v>
      </c>
      <c r="C2864" s="3" t="s">
        <v>74</v>
      </c>
      <c r="E2864" s="3" t="str">
        <f>"FES1162843194"</f>
        <v>FES1162843194</v>
      </c>
      <c r="F2864" s="4">
        <v>44564</v>
      </c>
      <c r="G2864" s="3">
        <v>202207</v>
      </c>
      <c r="H2864" s="3" t="s">
        <v>75</v>
      </c>
      <c r="I2864" s="3" t="s">
        <v>76</v>
      </c>
      <c r="J2864" s="3" t="s">
        <v>77</v>
      </c>
      <c r="K2864" s="3" t="s">
        <v>78</v>
      </c>
      <c r="L2864" s="3" t="s">
        <v>1179</v>
      </c>
      <c r="M2864" s="3" t="s">
        <v>1180</v>
      </c>
      <c r="N2864" s="3" t="s">
        <v>1181</v>
      </c>
      <c r="O2864" s="3" t="s">
        <v>82</v>
      </c>
      <c r="P2864" s="3" t="str">
        <f>"2170813036                    "</f>
        <v xml:space="preserve">2170813036                    </v>
      </c>
      <c r="Q2864" s="3">
        <v>0</v>
      </c>
      <c r="R2864" s="3">
        <v>0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  <c r="AE2864" s="3">
        <v>0</v>
      </c>
      <c r="AF2864" s="3">
        <v>0</v>
      </c>
      <c r="AG2864" s="3">
        <v>0</v>
      </c>
      <c r="AH2864" s="3">
        <v>0</v>
      </c>
      <c r="AI2864" s="3">
        <v>0</v>
      </c>
      <c r="AJ2864" s="3">
        <v>0</v>
      </c>
      <c r="AK2864" s="3">
        <v>32.9</v>
      </c>
      <c r="AL2864" s="3">
        <v>0</v>
      </c>
      <c r="AM2864" s="3">
        <v>0</v>
      </c>
      <c r="AN2864" s="3">
        <v>0</v>
      </c>
      <c r="AO2864" s="3">
        <v>0</v>
      </c>
      <c r="AP2864" s="3">
        <v>0</v>
      </c>
      <c r="AQ2864" s="3">
        <v>15</v>
      </c>
      <c r="AR2864" s="3">
        <v>0</v>
      </c>
      <c r="AS2864" s="3">
        <v>0</v>
      </c>
      <c r="AT2864" s="3">
        <v>0</v>
      </c>
      <c r="AU2864" s="3">
        <v>0</v>
      </c>
      <c r="AV2864" s="3">
        <v>0</v>
      </c>
      <c r="AW2864" s="3">
        <v>0</v>
      </c>
      <c r="AX2864" s="3">
        <v>0</v>
      </c>
      <c r="AY2864" s="3">
        <v>0</v>
      </c>
      <c r="AZ2864" s="3">
        <v>0</v>
      </c>
      <c r="BA2864" s="3">
        <v>0</v>
      </c>
      <c r="BB2864" s="3">
        <v>0</v>
      </c>
      <c r="BC2864" s="3">
        <v>0</v>
      </c>
      <c r="BD2864" s="3">
        <v>0</v>
      </c>
      <c r="BE2864" s="3">
        <v>0</v>
      </c>
      <c r="BF2864" s="3">
        <v>0</v>
      </c>
      <c r="BG2864" s="3">
        <v>0</v>
      </c>
      <c r="BH2864" s="3">
        <v>1</v>
      </c>
      <c r="BI2864" s="3">
        <v>1</v>
      </c>
      <c r="BJ2864" s="3">
        <v>0.2</v>
      </c>
      <c r="BK2864" s="3">
        <v>1</v>
      </c>
      <c r="BL2864" s="3">
        <v>132.26</v>
      </c>
      <c r="BM2864" s="3">
        <v>19.84</v>
      </c>
      <c r="BN2864" s="3">
        <v>152.1</v>
      </c>
      <c r="BO2864" s="3">
        <v>152.1</v>
      </c>
      <c r="BQ2864" s="3" t="s">
        <v>83</v>
      </c>
      <c r="BR2864" s="3" t="s">
        <v>308</v>
      </c>
      <c r="BS2864" s="4">
        <v>44568</v>
      </c>
      <c r="BT2864" s="5">
        <v>0.63888888888888895</v>
      </c>
      <c r="BU2864" s="3" t="s">
        <v>1744</v>
      </c>
      <c r="BV2864" s="3" t="s">
        <v>87</v>
      </c>
      <c r="BW2864" s="3" t="s">
        <v>353</v>
      </c>
      <c r="BX2864" s="3" t="s">
        <v>758</v>
      </c>
      <c r="BY2864" s="3">
        <v>1200</v>
      </c>
      <c r="BZ2864" s="3" t="s">
        <v>446</v>
      </c>
      <c r="CC2864" s="3" t="s">
        <v>1180</v>
      </c>
      <c r="CD2864" s="3">
        <v>208</v>
      </c>
      <c r="CE2864" s="3" t="s">
        <v>93</v>
      </c>
      <c r="CF2864" s="4">
        <v>44568</v>
      </c>
      <c r="CI2864" s="3">
        <v>1</v>
      </c>
      <c r="CJ2864" s="3">
        <v>4</v>
      </c>
      <c r="CK2864" s="3">
        <v>23</v>
      </c>
      <c r="CL2864" s="3" t="s">
        <v>87</v>
      </c>
    </row>
    <row r="2865" spans="1:90" x14ac:dyDescent="0.2">
      <c r="A2865" s="3" t="s">
        <v>72</v>
      </c>
      <c r="B2865" s="3" t="s">
        <v>73</v>
      </c>
      <c r="C2865" s="3" t="s">
        <v>74</v>
      </c>
      <c r="E2865" s="3" t="str">
        <f>"FES1162843263"</f>
        <v>FES1162843263</v>
      </c>
      <c r="F2865" s="4">
        <v>44564</v>
      </c>
      <c r="G2865" s="3">
        <v>202207</v>
      </c>
      <c r="H2865" s="3" t="s">
        <v>75</v>
      </c>
      <c r="I2865" s="3" t="s">
        <v>76</v>
      </c>
      <c r="J2865" s="3" t="s">
        <v>77</v>
      </c>
      <c r="K2865" s="3" t="s">
        <v>78</v>
      </c>
      <c r="L2865" s="3" t="s">
        <v>94</v>
      </c>
      <c r="M2865" s="3" t="s">
        <v>95</v>
      </c>
      <c r="N2865" s="3" t="s">
        <v>179</v>
      </c>
      <c r="O2865" s="3" t="s">
        <v>82</v>
      </c>
      <c r="P2865" s="3" t="str">
        <f>"2170815506                    "</f>
        <v xml:space="preserve">2170815506                    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  <c r="AE2865" s="3">
        <v>0</v>
      </c>
      <c r="AF2865" s="3">
        <v>0</v>
      </c>
      <c r="AG2865" s="3">
        <v>0</v>
      </c>
      <c r="AH2865" s="3">
        <v>0</v>
      </c>
      <c r="AI2865" s="3">
        <v>0</v>
      </c>
      <c r="AJ2865" s="3">
        <v>0</v>
      </c>
      <c r="AK2865" s="3">
        <v>16.98</v>
      </c>
      <c r="AL2865" s="3">
        <v>0</v>
      </c>
      <c r="AM2865" s="3">
        <v>0</v>
      </c>
      <c r="AN2865" s="3">
        <v>0</v>
      </c>
      <c r="AO2865" s="3">
        <v>0</v>
      </c>
      <c r="AP2865" s="3">
        <v>0</v>
      </c>
      <c r="AQ2865" s="3">
        <v>0</v>
      </c>
      <c r="AR2865" s="3">
        <v>0</v>
      </c>
      <c r="AS2865" s="3">
        <v>0</v>
      </c>
      <c r="AT2865" s="3">
        <v>0</v>
      </c>
      <c r="AU2865" s="3">
        <v>0</v>
      </c>
      <c r="AV2865" s="3">
        <v>0</v>
      </c>
      <c r="AW2865" s="3">
        <v>0</v>
      </c>
      <c r="AX2865" s="3">
        <v>0</v>
      </c>
      <c r="AY2865" s="3">
        <v>0</v>
      </c>
      <c r="AZ2865" s="3">
        <v>0</v>
      </c>
      <c r="BA2865" s="3">
        <v>0</v>
      </c>
      <c r="BB2865" s="3">
        <v>0</v>
      </c>
      <c r="BC2865" s="3">
        <v>0</v>
      </c>
      <c r="BD2865" s="3">
        <v>0</v>
      </c>
      <c r="BE2865" s="3">
        <v>0</v>
      </c>
      <c r="BF2865" s="3">
        <v>0</v>
      </c>
      <c r="BG2865" s="3">
        <v>0</v>
      </c>
      <c r="BH2865" s="3">
        <v>1</v>
      </c>
      <c r="BI2865" s="3">
        <v>1</v>
      </c>
      <c r="BJ2865" s="3">
        <v>0.2</v>
      </c>
      <c r="BK2865" s="3">
        <v>1</v>
      </c>
      <c r="BL2865" s="3">
        <v>60.52</v>
      </c>
      <c r="BM2865" s="3">
        <v>9.08</v>
      </c>
      <c r="BN2865" s="3">
        <v>69.599999999999994</v>
      </c>
      <c r="BO2865" s="3">
        <v>69.599999999999994</v>
      </c>
      <c r="BQ2865" s="3" t="s">
        <v>83</v>
      </c>
      <c r="BR2865" s="3" t="s">
        <v>308</v>
      </c>
      <c r="BS2865" s="4">
        <v>44565</v>
      </c>
      <c r="BT2865" s="5">
        <v>0.39583333333333331</v>
      </c>
      <c r="BU2865" s="3" t="s">
        <v>2697</v>
      </c>
      <c r="BV2865" s="3" t="s">
        <v>105</v>
      </c>
      <c r="BY2865" s="3">
        <v>1200</v>
      </c>
      <c r="BZ2865" s="3" t="s">
        <v>165</v>
      </c>
      <c r="CA2865" s="3" t="s">
        <v>328</v>
      </c>
      <c r="CC2865" s="3" t="s">
        <v>95</v>
      </c>
      <c r="CD2865" s="3">
        <v>3201</v>
      </c>
      <c r="CE2865" s="3" t="s">
        <v>93</v>
      </c>
      <c r="CF2865" s="4">
        <v>44567</v>
      </c>
      <c r="CI2865" s="3">
        <v>1</v>
      </c>
      <c r="CJ2865" s="3">
        <v>1</v>
      </c>
      <c r="CK2865" s="3">
        <v>21</v>
      </c>
      <c r="CL2865" s="3" t="s">
        <v>87</v>
      </c>
    </row>
    <row r="2866" spans="1:90" x14ac:dyDescent="0.2">
      <c r="A2866" s="3" t="s">
        <v>72</v>
      </c>
      <c r="B2866" s="3" t="s">
        <v>73</v>
      </c>
      <c r="C2866" s="3" t="s">
        <v>74</v>
      </c>
      <c r="E2866" s="3" t="str">
        <f>"FES1162843229"</f>
        <v>FES1162843229</v>
      </c>
      <c r="F2866" s="4">
        <v>44564</v>
      </c>
      <c r="G2866" s="3">
        <v>202207</v>
      </c>
      <c r="H2866" s="3" t="s">
        <v>75</v>
      </c>
      <c r="I2866" s="3" t="s">
        <v>76</v>
      </c>
      <c r="J2866" s="3" t="s">
        <v>77</v>
      </c>
      <c r="K2866" s="3" t="s">
        <v>78</v>
      </c>
      <c r="L2866" s="3" t="s">
        <v>167</v>
      </c>
      <c r="M2866" s="3" t="s">
        <v>168</v>
      </c>
      <c r="N2866" s="3" t="s">
        <v>169</v>
      </c>
      <c r="O2866" s="3" t="s">
        <v>82</v>
      </c>
      <c r="P2866" s="3" t="str">
        <f>"2170814376                    "</f>
        <v xml:space="preserve">2170814376                    </v>
      </c>
      <c r="Q2866" s="3">
        <v>0</v>
      </c>
      <c r="R2866" s="3">
        <v>0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  <c r="AE2866" s="3">
        <v>0</v>
      </c>
      <c r="AF2866" s="3">
        <v>0</v>
      </c>
      <c r="AG2866" s="3">
        <v>0</v>
      </c>
      <c r="AH2866" s="3">
        <v>0</v>
      </c>
      <c r="AI2866" s="3">
        <v>0</v>
      </c>
      <c r="AJ2866" s="3">
        <v>0</v>
      </c>
      <c r="AK2866" s="3">
        <v>16.98</v>
      </c>
      <c r="AL2866" s="3">
        <v>0</v>
      </c>
      <c r="AM2866" s="3">
        <v>0</v>
      </c>
      <c r="AN2866" s="3">
        <v>0</v>
      </c>
      <c r="AO2866" s="3">
        <v>0</v>
      </c>
      <c r="AP2866" s="3">
        <v>0</v>
      </c>
      <c r="AQ2866" s="3">
        <v>0</v>
      </c>
      <c r="AR2866" s="3">
        <v>0</v>
      </c>
      <c r="AS2866" s="3">
        <v>0</v>
      </c>
      <c r="AT2866" s="3">
        <v>0</v>
      </c>
      <c r="AU2866" s="3">
        <v>0</v>
      </c>
      <c r="AV2866" s="3">
        <v>0</v>
      </c>
      <c r="AW2866" s="3">
        <v>0</v>
      </c>
      <c r="AX2866" s="3">
        <v>0</v>
      </c>
      <c r="AY2866" s="3">
        <v>0</v>
      </c>
      <c r="AZ2866" s="3">
        <v>0</v>
      </c>
      <c r="BA2866" s="3">
        <v>0</v>
      </c>
      <c r="BB2866" s="3">
        <v>0</v>
      </c>
      <c r="BC2866" s="3">
        <v>0</v>
      </c>
      <c r="BD2866" s="3">
        <v>0</v>
      </c>
      <c r="BE2866" s="3">
        <v>0</v>
      </c>
      <c r="BF2866" s="3">
        <v>0</v>
      </c>
      <c r="BG2866" s="3">
        <v>0</v>
      </c>
      <c r="BH2866" s="3">
        <v>1</v>
      </c>
      <c r="BI2866" s="3">
        <v>1</v>
      </c>
      <c r="BJ2866" s="3">
        <v>0.2</v>
      </c>
      <c r="BK2866" s="3">
        <v>1</v>
      </c>
      <c r="BL2866" s="3">
        <v>60.52</v>
      </c>
      <c r="BM2866" s="3">
        <v>9.08</v>
      </c>
      <c r="BN2866" s="3">
        <v>69.599999999999994</v>
      </c>
      <c r="BO2866" s="3">
        <v>69.599999999999994</v>
      </c>
      <c r="BQ2866" s="3" t="s">
        <v>83</v>
      </c>
      <c r="BR2866" s="3" t="s">
        <v>308</v>
      </c>
      <c r="BS2866" s="4">
        <v>44566</v>
      </c>
      <c r="BT2866" s="5">
        <v>0.4381944444444445</v>
      </c>
      <c r="BU2866" s="3" t="s">
        <v>2567</v>
      </c>
      <c r="BV2866" s="3" t="s">
        <v>87</v>
      </c>
      <c r="BW2866" s="3" t="s">
        <v>457</v>
      </c>
      <c r="BX2866" s="3" t="s">
        <v>2558</v>
      </c>
      <c r="BY2866" s="3">
        <v>1200</v>
      </c>
      <c r="BZ2866" s="3" t="s">
        <v>165</v>
      </c>
      <c r="CA2866" s="3" t="s">
        <v>263</v>
      </c>
      <c r="CC2866" s="3" t="s">
        <v>168</v>
      </c>
      <c r="CD2866" s="3">
        <v>6220</v>
      </c>
      <c r="CE2866" s="3" t="s">
        <v>93</v>
      </c>
      <c r="CF2866" s="4">
        <v>44566</v>
      </c>
      <c r="CI2866" s="3">
        <v>1</v>
      </c>
      <c r="CJ2866" s="3">
        <v>2</v>
      </c>
      <c r="CK2866" s="3">
        <v>21</v>
      </c>
      <c r="CL2866" s="3" t="s">
        <v>87</v>
      </c>
    </row>
    <row r="2867" spans="1:90" x14ac:dyDescent="0.2">
      <c r="A2867" s="3" t="s">
        <v>72</v>
      </c>
      <c r="B2867" s="3" t="s">
        <v>73</v>
      </c>
      <c r="C2867" s="3" t="s">
        <v>74</v>
      </c>
      <c r="E2867" s="3" t="str">
        <f>"FES1162843181"</f>
        <v>FES1162843181</v>
      </c>
      <c r="F2867" s="4">
        <v>44564</v>
      </c>
      <c r="G2867" s="3">
        <v>202207</v>
      </c>
      <c r="H2867" s="3" t="s">
        <v>75</v>
      </c>
      <c r="I2867" s="3" t="s">
        <v>76</v>
      </c>
      <c r="J2867" s="3" t="s">
        <v>77</v>
      </c>
      <c r="K2867" s="3" t="s">
        <v>78</v>
      </c>
      <c r="L2867" s="3" t="s">
        <v>97</v>
      </c>
      <c r="M2867" s="3" t="s">
        <v>98</v>
      </c>
      <c r="N2867" s="3" t="s">
        <v>183</v>
      </c>
      <c r="O2867" s="3" t="s">
        <v>82</v>
      </c>
      <c r="P2867" s="3" t="str">
        <f>"2170812895                    "</f>
        <v xml:space="preserve">2170812895                    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  <c r="AE2867" s="3">
        <v>0</v>
      </c>
      <c r="AF2867" s="3">
        <v>0</v>
      </c>
      <c r="AG2867" s="3">
        <v>0</v>
      </c>
      <c r="AH2867" s="3">
        <v>0</v>
      </c>
      <c r="AI2867" s="3">
        <v>0</v>
      </c>
      <c r="AJ2867" s="3">
        <v>0</v>
      </c>
      <c r="AK2867" s="3">
        <v>13.26</v>
      </c>
      <c r="AL2867" s="3">
        <v>0</v>
      </c>
      <c r="AM2867" s="3">
        <v>0</v>
      </c>
      <c r="AN2867" s="3">
        <v>0</v>
      </c>
      <c r="AO2867" s="3">
        <v>0</v>
      </c>
      <c r="AP2867" s="3">
        <v>0</v>
      </c>
      <c r="AQ2867" s="3">
        <v>0</v>
      </c>
      <c r="AR2867" s="3">
        <v>0</v>
      </c>
      <c r="AS2867" s="3">
        <v>0</v>
      </c>
      <c r="AT2867" s="3">
        <v>0</v>
      </c>
      <c r="AU2867" s="3">
        <v>0</v>
      </c>
      <c r="AV2867" s="3">
        <v>0</v>
      </c>
      <c r="AW2867" s="3">
        <v>0</v>
      </c>
      <c r="AX2867" s="3">
        <v>0</v>
      </c>
      <c r="AY2867" s="3">
        <v>0</v>
      </c>
      <c r="AZ2867" s="3">
        <v>0</v>
      </c>
      <c r="BA2867" s="3">
        <v>0</v>
      </c>
      <c r="BB2867" s="3">
        <v>0</v>
      </c>
      <c r="BC2867" s="3">
        <v>0</v>
      </c>
      <c r="BD2867" s="3">
        <v>0</v>
      </c>
      <c r="BE2867" s="3">
        <v>0</v>
      </c>
      <c r="BF2867" s="3">
        <v>0</v>
      </c>
      <c r="BG2867" s="3">
        <v>0</v>
      </c>
      <c r="BH2867" s="3">
        <v>1</v>
      </c>
      <c r="BI2867" s="3">
        <v>1</v>
      </c>
      <c r="BJ2867" s="3">
        <v>0.2</v>
      </c>
      <c r="BK2867" s="3">
        <v>1</v>
      </c>
      <c r="BL2867" s="3">
        <v>47.27</v>
      </c>
      <c r="BM2867" s="3">
        <v>7.09</v>
      </c>
      <c r="BN2867" s="3">
        <v>54.36</v>
      </c>
      <c r="BO2867" s="3">
        <v>54.36</v>
      </c>
      <c r="BQ2867" s="3" t="s">
        <v>89</v>
      </c>
      <c r="BR2867" s="3" t="s">
        <v>308</v>
      </c>
      <c r="BS2867" s="4">
        <v>44565</v>
      </c>
      <c r="BT2867" s="5">
        <v>0.44305555555555554</v>
      </c>
      <c r="BU2867" s="3" t="s">
        <v>2012</v>
      </c>
      <c r="BV2867" s="3" t="s">
        <v>87</v>
      </c>
      <c r="BW2867" s="3" t="s">
        <v>278</v>
      </c>
      <c r="BX2867" s="3" t="s">
        <v>1722</v>
      </c>
      <c r="BY2867" s="3">
        <v>1200</v>
      </c>
      <c r="BZ2867" s="3" t="s">
        <v>165</v>
      </c>
      <c r="CA2867" s="3" t="s">
        <v>2601</v>
      </c>
      <c r="CC2867" s="3" t="s">
        <v>98</v>
      </c>
      <c r="CD2867" s="3">
        <v>2090</v>
      </c>
      <c r="CE2867" s="3" t="s">
        <v>93</v>
      </c>
      <c r="CF2867" s="4">
        <v>44566</v>
      </c>
      <c r="CI2867" s="3">
        <v>1</v>
      </c>
      <c r="CJ2867" s="3">
        <v>1</v>
      </c>
      <c r="CK2867" s="3">
        <v>22</v>
      </c>
      <c r="CL2867" s="3" t="s">
        <v>87</v>
      </c>
    </row>
    <row r="2868" spans="1:90" x14ac:dyDescent="0.2">
      <c r="A2868" s="3" t="s">
        <v>72</v>
      </c>
      <c r="B2868" s="3" t="s">
        <v>73</v>
      </c>
      <c r="C2868" s="3" t="s">
        <v>74</v>
      </c>
      <c r="E2868" s="3" t="str">
        <f>"FES1162843262"</f>
        <v>FES1162843262</v>
      </c>
      <c r="F2868" s="4">
        <v>44564</v>
      </c>
      <c r="G2868" s="3">
        <v>202207</v>
      </c>
      <c r="H2868" s="3" t="s">
        <v>75</v>
      </c>
      <c r="I2868" s="3" t="s">
        <v>76</v>
      </c>
      <c r="J2868" s="3" t="s">
        <v>77</v>
      </c>
      <c r="K2868" s="3" t="s">
        <v>78</v>
      </c>
      <c r="L2868" s="3" t="s">
        <v>90</v>
      </c>
      <c r="M2868" s="3" t="s">
        <v>91</v>
      </c>
      <c r="N2868" s="3" t="s">
        <v>791</v>
      </c>
      <c r="O2868" s="3" t="s">
        <v>82</v>
      </c>
      <c r="P2868" s="3" t="str">
        <f>"2170815505                    "</f>
        <v xml:space="preserve">2170815505                    </v>
      </c>
      <c r="Q2868" s="3">
        <v>0</v>
      </c>
      <c r="R2868" s="3">
        <v>0</v>
      </c>
      <c r="S2868" s="3">
        <v>0</v>
      </c>
      <c r="T2868" s="3">
        <v>0</v>
      </c>
      <c r="U2868" s="3">
        <v>0</v>
      </c>
      <c r="V2868" s="3">
        <v>0</v>
      </c>
      <c r="W2868" s="3">
        <v>0</v>
      </c>
      <c r="X2868" s="3">
        <v>0</v>
      </c>
      <c r="Y2868" s="3">
        <v>0</v>
      </c>
      <c r="Z2868" s="3">
        <v>0</v>
      </c>
      <c r="AA2868" s="3">
        <v>0</v>
      </c>
      <c r="AB2868" s="3">
        <v>0</v>
      </c>
      <c r="AC2868" s="3">
        <v>0</v>
      </c>
      <c r="AD2868" s="3">
        <v>0</v>
      </c>
      <c r="AE2868" s="3">
        <v>0</v>
      </c>
      <c r="AF2868" s="3">
        <v>0</v>
      </c>
      <c r="AG2868" s="3">
        <v>0</v>
      </c>
      <c r="AH2868" s="3">
        <v>0</v>
      </c>
      <c r="AI2868" s="3">
        <v>0</v>
      </c>
      <c r="AJ2868" s="3">
        <v>0</v>
      </c>
      <c r="AK2868" s="3">
        <v>16.98</v>
      </c>
      <c r="AL2868" s="3">
        <v>0</v>
      </c>
      <c r="AM2868" s="3">
        <v>0</v>
      </c>
      <c r="AN2868" s="3">
        <v>0</v>
      </c>
      <c r="AO2868" s="3">
        <v>0</v>
      </c>
      <c r="AP2868" s="3">
        <v>0</v>
      </c>
      <c r="AQ2868" s="3">
        <v>0</v>
      </c>
      <c r="AR2868" s="3">
        <v>0</v>
      </c>
      <c r="AS2868" s="3">
        <v>0</v>
      </c>
      <c r="AT2868" s="3">
        <v>0</v>
      </c>
      <c r="AU2868" s="3">
        <v>0</v>
      </c>
      <c r="AV2868" s="3">
        <v>0</v>
      </c>
      <c r="AW2868" s="3">
        <v>0</v>
      </c>
      <c r="AX2868" s="3">
        <v>0</v>
      </c>
      <c r="AY2868" s="3">
        <v>0</v>
      </c>
      <c r="AZ2868" s="3">
        <v>0</v>
      </c>
      <c r="BA2868" s="3">
        <v>0</v>
      </c>
      <c r="BB2868" s="3">
        <v>0</v>
      </c>
      <c r="BC2868" s="3">
        <v>0</v>
      </c>
      <c r="BD2868" s="3">
        <v>0</v>
      </c>
      <c r="BE2868" s="3">
        <v>0</v>
      </c>
      <c r="BF2868" s="3">
        <v>0</v>
      </c>
      <c r="BG2868" s="3">
        <v>0</v>
      </c>
      <c r="BH2868" s="3">
        <v>1</v>
      </c>
      <c r="BI2868" s="3">
        <v>1</v>
      </c>
      <c r="BJ2868" s="3">
        <v>0.2</v>
      </c>
      <c r="BK2868" s="3">
        <v>1</v>
      </c>
      <c r="BL2868" s="3">
        <v>60.52</v>
      </c>
      <c r="BM2868" s="3">
        <v>9.08</v>
      </c>
      <c r="BN2868" s="3">
        <v>69.599999999999994</v>
      </c>
      <c r="BO2868" s="3">
        <v>69.599999999999994</v>
      </c>
      <c r="BQ2868" s="3" t="s">
        <v>145</v>
      </c>
      <c r="BR2868" s="3" t="s">
        <v>308</v>
      </c>
      <c r="BS2868" s="4">
        <v>44565</v>
      </c>
      <c r="BT2868" s="5">
        <v>0.37847222222222227</v>
      </c>
      <c r="BU2868" s="3" t="s">
        <v>2698</v>
      </c>
      <c r="BV2868" s="3" t="s">
        <v>105</v>
      </c>
      <c r="BY2868" s="3">
        <v>1200</v>
      </c>
      <c r="BZ2868" s="3" t="s">
        <v>165</v>
      </c>
      <c r="CA2868" s="3" t="s">
        <v>623</v>
      </c>
      <c r="CC2868" s="3" t="s">
        <v>91</v>
      </c>
      <c r="CD2868" s="3">
        <v>7945</v>
      </c>
      <c r="CE2868" s="3" t="s">
        <v>93</v>
      </c>
      <c r="CF2868" s="4">
        <v>44566</v>
      </c>
      <c r="CI2868" s="3">
        <v>1</v>
      </c>
      <c r="CJ2868" s="3">
        <v>1</v>
      </c>
      <c r="CK2868" s="3">
        <v>21</v>
      </c>
      <c r="CL2868" s="3" t="s">
        <v>87</v>
      </c>
    </row>
    <row r="2869" spans="1:90" x14ac:dyDescent="0.2">
      <c r="A2869" s="3" t="s">
        <v>72</v>
      </c>
      <c r="B2869" s="3" t="s">
        <v>73</v>
      </c>
      <c r="C2869" s="3" t="s">
        <v>74</v>
      </c>
      <c r="E2869" s="3" t="str">
        <f>"FES1162843160"</f>
        <v>FES1162843160</v>
      </c>
      <c r="F2869" s="4">
        <v>44564</v>
      </c>
      <c r="G2869" s="3">
        <v>202207</v>
      </c>
      <c r="H2869" s="3" t="s">
        <v>75</v>
      </c>
      <c r="I2869" s="3" t="s">
        <v>76</v>
      </c>
      <c r="J2869" s="3" t="s">
        <v>77</v>
      </c>
      <c r="K2869" s="3" t="s">
        <v>78</v>
      </c>
      <c r="L2869" s="3" t="s">
        <v>90</v>
      </c>
      <c r="M2869" s="3" t="s">
        <v>91</v>
      </c>
      <c r="N2869" s="3" t="s">
        <v>2495</v>
      </c>
      <c r="O2869" s="3" t="s">
        <v>82</v>
      </c>
      <c r="P2869" s="3" t="str">
        <f>"2170812632                    "</f>
        <v xml:space="preserve">2170812632                    </v>
      </c>
      <c r="Q2869" s="3">
        <v>0</v>
      </c>
      <c r="R2869" s="3">
        <v>0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  <c r="AE2869" s="3">
        <v>0</v>
      </c>
      <c r="AF2869" s="3">
        <v>0</v>
      </c>
      <c r="AG2869" s="3">
        <v>0</v>
      </c>
      <c r="AH2869" s="3">
        <v>0</v>
      </c>
      <c r="AI2869" s="3">
        <v>0</v>
      </c>
      <c r="AJ2869" s="3">
        <v>0</v>
      </c>
      <c r="AK2869" s="3">
        <v>16.98</v>
      </c>
      <c r="AL2869" s="3">
        <v>0</v>
      </c>
      <c r="AM2869" s="3">
        <v>0</v>
      </c>
      <c r="AN2869" s="3">
        <v>0</v>
      </c>
      <c r="AO2869" s="3">
        <v>0</v>
      </c>
      <c r="AP2869" s="3">
        <v>0</v>
      </c>
      <c r="AQ2869" s="3">
        <v>0</v>
      </c>
      <c r="AR2869" s="3">
        <v>0</v>
      </c>
      <c r="AS2869" s="3">
        <v>0</v>
      </c>
      <c r="AT2869" s="3">
        <v>0</v>
      </c>
      <c r="AU2869" s="3">
        <v>0</v>
      </c>
      <c r="AV2869" s="3">
        <v>0</v>
      </c>
      <c r="AW2869" s="3">
        <v>0</v>
      </c>
      <c r="AX2869" s="3">
        <v>0</v>
      </c>
      <c r="AY2869" s="3">
        <v>0</v>
      </c>
      <c r="AZ2869" s="3">
        <v>0</v>
      </c>
      <c r="BA2869" s="3">
        <v>0</v>
      </c>
      <c r="BB2869" s="3">
        <v>0</v>
      </c>
      <c r="BC2869" s="3">
        <v>0</v>
      </c>
      <c r="BD2869" s="3">
        <v>0</v>
      </c>
      <c r="BE2869" s="3">
        <v>0</v>
      </c>
      <c r="BF2869" s="3">
        <v>0</v>
      </c>
      <c r="BG2869" s="3">
        <v>0</v>
      </c>
      <c r="BH2869" s="3">
        <v>1</v>
      </c>
      <c r="BI2869" s="3">
        <v>1</v>
      </c>
      <c r="BJ2869" s="3">
        <v>0.2</v>
      </c>
      <c r="BK2869" s="3">
        <v>1</v>
      </c>
      <c r="BL2869" s="3">
        <v>60.52</v>
      </c>
      <c r="BM2869" s="3">
        <v>9.08</v>
      </c>
      <c r="BN2869" s="3">
        <v>69.599999999999994</v>
      </c>
      <c r="BO2869" s="3">
        <v>69.599999999999994</v>
      </c>
      <c r="BQ2869" s="3" t="s">
        <v>83</v>
      </c>
      <c r="BR2869" s="3" t="s">
        <v>308</v>
      </c>
      <c r="BS2869" s="4">
        <v>44565</v>
      </c>
      <c r="BT2869" s="5">
        <v>0.36249999999999999</v>
      </c>
      <c r="BU2869" s="3" t="s">
        <v>2496</v>
      </c>
      <c r="BV2869" s="3" t="s">
        <v>105</v>
      </c>
      <c r="BY2869" s="3">
        <v>1200</v>
      </c>
      <c r="BZ2869" s="3" t="s">
        <v>165</v>
      </c>
      <c r="CA2869" s="3" t="s">
        <v>289</v>
      </c>
      <c r="CC2869" s="3" t="s">
        <v>91</v>
      </c>
      <c r="CD2869" s="3">
        <v>7915</v>
      </c>
      <c r="CE2869" s="3" t="s">
        <v>93</v>
      </c>
      <c r="CF2869" s="4">
        <v>44566</v>
      </c>
      <c r="CI2869" s="3">
        <v>1</v>
      </c>
      <c r="CJ2869" s="3">
        <v>1</v>
      </c>
      <c r="CK2869" s="3">
        <v>21</v>
      </c>
      <c r="CL2869" s="3" t="s">
        <v>87</v>
      </c>
    </row>
    <row r="2870" spans="1:90" x14ac:dyDescent="0.2">
      <c r="A2870" s="3" t="s">
        <v>72</v>
      </c>
      <c r="B2870" s="3" t="s">
        <v>73</v>
      </c>
      <c r="C2870" s="3" t="s">
        <v>74</v>
      </c>
      <c r="E2870" s="3" t="str">
        <f>"FES1162843150"</f>
        <v>FES1162843150</v>
      </c>
      <c r="F2870" s="4">
        <v>44564</v>
      </c>
      <c r="G2870" s="3">
        <v>202207</v>
      </c>
      <c r="H2870" s="3" t="s">
        <v>75</v>
      </c>
      <c r="I2870" s="3" t="s">
        <v>76</v>
      </c>
      <c r="J2870" s="3" t="s">
        <v>77</v>
      </c>
      <c r="K2870" s="3" t="s">
        <v>78</v>
      </c>
      <c r="L2870" s="3" t="s">
        <v>2699</v>
      </c>
      <c r="M2870" s="3" t="s">
        <v>2700</v>
      </c>
      <c r="N2870" s="3" t="s">
        <v>2701</v>
      </c>
      <c r="O2870" s="3" t="s">
        <v>82</v>
      </c>
      <c r="P2870" s="3" t="str">
        <f>"2170812572                    "</f>
        <v xml:space="preserve">2170812572                    </v>
      </c>
      <c r="Q2870" s="3">
        <v>0</v>
      </c>
      <c r="R2870" s="3">
        <v>0</v>
      </c>
      <c r="S2870" s="3">
        <v>0</v>
      </c>
      <c r="T2870" s="3">
        <v>0</v>
      </c>
      <c r="U2870" s="3">
        <v>0</v>
      </c>
      <c r="V2870" s="3">
        <v>0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0</v>
      </c>
      <c r="AC2870" s="3">
        <v>0</v>
      </c>
      <c r="AD2870" s="3">
        <v>0</v>
      </c>
      <c r="AE2870" s="3">
        <v>0</v>
      </c>
      <c r="AF2870" s="3">
        <v>0</v>
      </c>
      <c r="AG2870" s="3">
        <v>0</v>
      </c>
      <c r="AH2870" s="3">
        <v>0</v>
      </c>
      <c r="AI2870" s="3">
        <v>0</v>
      </c>
      <c r="AJ2870" s="3">
        <v>0</v>
      </c>
      <c r="AK2870" s="3">
        <v>23.88</v>
      </c>
      <c r="AL2870" s="3">
        <v>0</v>
      </c>
      <c r="AM2870" s="3">
        <v>0</v>
      </c>
      <c r="AN2870" s="3">
        <v>0</v>
      </c>
      <c r="AO2870" s="3">
        <v>0</v>
      </c>
      <c r="AP2870" s="3">
        <v>0</v>
      </c>
      <c r="AQ2870" s="3">
        <v>0</v>
      </c>
      <c r="AR2870" s="3">
        <v>0</v>
      </c>
      <c r="AS2870" s="3">
        <v>0</v>
      </c>
      <c r="AT2870" s="3">
        <v>0</v>
      </c>
      <c r="AU2870" s="3">
        <v>0</v>
      </c>
      <c r="AV2870" s="3">
        <v>0</v>
      </c>
      <c r="AW2870" s="3">
        <v>0</v>
      </c>
      <c r="AX2870" s="3">
        <v>0</v>
      </c>
      <c r="AY2870" s="3">
        <v>0</v>
      </c>
      <c r="AZ2870" s="3">
        <v>0</v>
      </c>
      <c r="BA2870" s="3">
        <v>0</v>
      </c>
      <c r="BB2870" s="3">
        <v>0</v>
      </c>
      <c r="BC2870" s="3">
        <v>0</v>
      </c>
      <c r="BD2870" s="3">
        <v>0</v>
      </c>
      <c r="BE2870" s="3">
        <v>0</v>
      </c>
      <c r="BF2870" s="3">
        <v>0</v>
      </c>
      <c r="BG2870" s="3">
        <v>0</v>
      </c>
      <c r="BH2870" s="3">
        <v>1</v>
      </c>
      <c r="BI2870" s="3">
        <v>1</v>
      </c>
      <c r="BJ2870" s="3">
        <v>0.2</v>
      </c>
      <c r="BK2870" s="3">
        <v>1</v>
      </c>
      <c r="BL2870" s="3">
        <v>85.12</v>
      </c>
      <c r="BM2870" s="3">
        <v>12.77</v>
      </c>
      <c r="BN2870" s="3">
        <v>97.89</v>
      </c>
      <c r="BO2870" s="3">
        <v>97.89</v>
      </c>
      <c r="BQ2870" s="3" t="s">
        <v>126</v>
      </c>
      <c r="BR2870" s="3" t="s">
        <v>308</v>
      </c>
      <c r="BS2870" s="4">
        <v>44565</v>
      </c>
      <c r="BT2870" s="5">
        <v>0.45833333333333331</v>
      </c>
      <c r="BU2870" s="3" t="s">
        <v>2702</v>
      </c>
      <c r="BV2870" s="3" t="s">
        <v>105</v>
      </c>
      <c r="BY2870" s="3">
        <v>1200</v>
      </c>
      <c r="BZ2870" s="3" t="s">
        <v>165</v>
      </c>
      <c r="CA2870" s="3" t="s">
        <v>2703</v>
      </c>
      <c r="CC2870" s="3" t="s">
        <v>2700</v>
      </c>
      <c r="CD2870" s="3">
        <v>2500</v>
      </c>
      <c r="CE2870" s="3" t="s">
        <v>93</v>
      </c>
      <c r="CF2870" s="4">
        <v>44565</v>
      </c>
      <c r="CI2870" s="3">
        <v>1</v>
      </c>
      <c r="CJ2870" s="3">
        <v>1</v>
      </c>
      <c r="CK2870" s="3">
        <v>24</v>
      </c>
      <c r="CL2870" s="3" t="s">
        <v>87</v>
      </c>
    </row>
    <row r="2871" spans="1:90" x14ac:dyDescent="0.2">
      <c r="A2871" s="3" t="s">
        <v>72</v>
      </c>
      <c r="B2871" s="3" t="s">
        <v>73</v>
      </c>
      <c r="C2871" s="3" t="s">
        <v>74</v>
      </c>
      <c r="E2871" s="3" t="str">
        <f>"FES1162843141"</f>
        <v>FES1162843141</v>
      </c>
      <c r="F2871" s="4">
        <v>44564</v>
      </c>
      <c r="G2871" s="3">
        <v>202207</v>
      </c>
      <c r="H2871" s="3" t="s">
        <v>75</v>
      </c>
      <c r="I2871" s="3" t="s">
        <v>76</v>
      </c>
      <c r="J2871" s="3" t="s">
        <v>77</v>
      </c>
      <c r="K2871" s="3" t="s">
        <v>78</v>
      </c>
      <c r="L2871" s="3" t="s">
        <v>90</v>
      </c>
      <c r="M2871" s="3" t="s">
        <v>91</v>
      </c>
      <c r="N2871" s="3" t="s">
        <v>1095</v>
      </c>
      <c r="O2871" s="3" t="s">
        <v>82</v>
      </c>
      <c r="P2871" s="3" t="str">
        <f>"2170811988                    "</f>
        <v xml:space="preserve">2170811988                    </v>
      </c>
      <c r="Q2871" s="3">
        <v>0</v>
      </c>
      <c r="R2871" s="3">
        <v>0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  <c r="AE2871" s="3">
        <v>0</v>
      </c>
      <c r="AF2871" s="3">
        <v>0</v>
      </c>
      <c r="AG2871" s="3">
        <v>0</v>
      </c>
      <c r="AH2871" s="3">
        <v>0</v>
      </c>
      <c r="AI2871" s="3">
        <v>0</v>
      </c>
      <c r="AJ2871" s="3">
        <v>0</v>
      </c>
      <c r="AK2871" s="3">
        <v>16.98</v>
      </c>
      <c r="AL2871" s="3">
        <v>0</v>
      </c>
      <c r="AM2871" s="3">
        <v>0</v>
      </c>
      <c r="AN2871" s="3">
        <v>0</v>
      </c>
      <c r="AO2871" s="3">
        <v>0</v>
      </c>
      <c r="AP2871" s="3">
        <v>0</v>
      </c>
      <c r="AQ2871" s="3">
        <v>0</v>
      </c>
      <c r="AR2871" s="3">
        <v>0</v>
      </c>
      <c r="AS2871" s="3">
        <v>0</v>
      </c>
      <c r="AT2871" s="3">
        <v>0</v>
      </c>
      <c r="AU2871" s="3">
        <v>0</v>
      </c>
      <c r="AV2871" s="3">
        <v>0</v>
      </c>
      <c r="AW2871" s="3">
        <v>0</v>
      </c>
      <c r="AX2871" s="3">
        <v>0</v>
      </c>
      <c r="AY2871" s="3">
        <v>0</v>
      </c>
      <c r="AZ2871" s="3">
        <v>0</v>
      </c>
      <c r="BA2871" s="3">
        <v>0</v>
      </c>
      <c r="BB2871" s="3">
        <v>0</v>
      </c>
      <c r="BC2871" s="3">
        <v>0</v>
      </c>
      <c r="BD2871" s="3">
        <v>0</v>
      </c>
      <c r="BE2871" s="3">
        <v>0</v>
      </c>
      <c r="BF2871" s="3">
        <v>0</v>
      </c>
      <c r="BG2871" s="3">
        <v>0</v>
      </c>
      <c r="BH2871" s="3">
        <v>1</v>
      </c>
      <c r="BI2871" s="3">
        <v>1</v>
      </c>
      <c r="BJ2871" s="3">
        <v>0.2</v>
      </c>
      <c r="BK2871" s="3">
        <v>1</v>
      </c>
      <c r="BL2871" s="3">
        <v>60.52</v>
      </c>
      <c r="BM2871" s="3">
        <v>9.08</v>
      </c>
      <c r="BN2871" s="3">
        <v>69.599999999999994</v>
      </c>
      <c r="BO2871" s="3">
        <v>69.599999999999994</v>
      </c>
      <c r="BQ2871" s="3" t="s">
        <v>83</v>
      </c>
      <c r="BR2871" s="3" t="s">
        <v>308</v>
      </c>
      <c r="BS2871" s="4">
        <v>44571</v>
      </c>
      <c r="BT2871" s="5">
        <v>0.39652777777777781</v>
      </c>
      <c r="BU2871" s="3" t="s">
        <v>538</v>
      </c>
      <c r="BV2871" s="3" t="s">
        <v>87</v>
      </c>
      <c r="BW2871" s="3" t="s">
        <v>493</v>
      </c>
      <c r="BX2871" s="3" t="s">
        <v>354</v>
      </c>
      <c r="BY2871" s="3">
        <v>1200</v>
      </c>
      <c r="BZ2871" s="3" t="s">
        <v>165</v>
      </c>
      <c r="CA2871" s="3" t="s">
        <v>289</v>
      </c>
      <c r="CC2871" s="3" t="s">
        <v>91</v>
      </c>
      <c r="CD2871" s="3">
        <v>7441</v>
      </c>
      <c r="CE2871" s="3" t="s">
        <v>93</v>
      </c>
      <c r="CF2871" s="4">
        <v>44572</v>
      </c>
      <c r="CI2871" s="3">
        <v>1</v>
      </c>
      <c r="CJ2871" s="3">
        <v>5</v>
      </c>
      <c r="CK2871" s="3">
        <v>21</v>
      </c>
      <c r="CL2871" s="3" t="s">
        <v>87</v>
      </c>
    </row>
    <row r="2872" spans="1:90" x14ac:dyDescent="0.2">
      <c r="A2872" s="3" t="s">
        <v>72</v>
      </c>
      <c r="B2872" s="3" t="s">
        <v>73</v>
      </c>
      <c r="C2872" s="3" t="s">
        <v>74</v>
      </c>
      <c r="E2872" s="3" t="str">
        <f>"FES1162843232"</f>
        <v>FES1162843232</v>
      </c>
      <c r="F2872" s="4">
        <v>44564</v>
      </c>
      <c r="G2872" s="3">
        <v>202207</v>
      </c>
      <c r="H2872" s="3" t="s">
        <v>75</v>
      </c>
      <c r="I2872" s="3" t="s">
        <v>76</v>
      </c>
      <c r="J2872" s="3" t="s">
        <v>77</v>
      </c>
      <c r="K2872" s="3" t="s">
        <v>78</v>
      </c>
      <c r="L2872" s="3" t="s">
        <v>158</v>
      </c>
      <c r="M2872" s="3" t="s">
        <v>159</v>
      </c>
      <c r="N2872" s="3" t="s">
        <v>1691</v>
      </c>
      <c r="O2872" s="3" t="s">
        <v>82</v>
      </c>
      <c r="P2872" s="3" t="str">
        <f>"2170814706                    "</f>
        <v xml:space="preserve">2170814706                    </v>
      </c>
      <c r="Q2872" s="3">
        <v>0</v>
      </c>
      <c r="R2872" s="3">
        <v>0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  <c r="AE2872" s="3">
        <v>0</v>
      </c>
      <c r="AF2872" s="3">
        <v>0</v>
      </c>
      <c r="AG2872" s="3">
        <v>0</v>
      </c>
      <c r="AH2872" s="3">
        <v>0</v>
      </c>
      <c r="AI2872" s="3">
        <v>0</v>
      </c>
      <c r="AJ2872" s="3">
        <v>0</v>
      </c>
      <c r="AK2872" s="3">
        <v>13.26</v>
      </c>
      <c r="AL2872" s="3">
        <v>0</v>
      </c>
      <c r="AM2872" s="3">
        <v>0</v>
      </c>
      <c r="AN2872" s="3">
        <v>0</v>
      </c>
      <c r="AO2872" s="3">
        <v>0</v>
      </c>
      <c r="AP2872" s="3">
        <v>0</v>
      </c>
      <c r="AQ2872" s="3">
        <v>0</v>
      </c>
      <c r="AR2872" s="3">
        <v>0</v>
      </c>
      <c r="AS2872" s="3">
        <v>0</v>
      </c>
      <c r="AT2872" s="3">
        <v>0</v>
      </c>
      <c r="AU2872" s="3">
        <v>0</v>
      </c>
      <c r="AV2872" s="3">
        <v>0</v>
      </c>
      <c r="AW2872" s="3">
        <v>0</v>
      </c>
      <c r="AX2872" s="3">
        <v>0</v>
      </c>
      <c r="AY2872" s="3">
        <v>0</v>
      </c>
      <c r="AZ2872" s="3">
        <v>0</v>
      </c>
      <c r="BA2872" s="3">
        <v>0</v>
      </c>
      <c r="BB2872" s="3">
        <v>0</v>
      </c>
      <c r="BC2872" s="3">
        <v>0</v>
      </c>
      <c r="BD2872" s="3">
        <v>0</v>
      </c>
      <c r="BE2872" s="3">
        <v>0</v>
      </c>
      <c r="BF2872" s="3">
        <v>0</v>
      </c>
      <c r="BG2872" s="3">
        <v>0</v>
      </c>
      <c r="BH2872" s="3">
        <v>1</v>
      </c>
      <c r="BI2872" s="3">
        <v>1</v>
      </c>
      <c r="BJ2872" s="3">
        <v>0.2</v>
      </c>
      <c r="BK2872" s="3">
        <v>1</v>
      </c>
      <c r="BL2872" s="3">
        <v>47.27</v>
      </c>
      <c r="BM2872" s="3">
        <v>7.09</v>
      </c>
      <c r="BN2872" s="3">
        <v>54.36</v>
      </c>
      <c r="BO2872" s="3">
        <v>54.36</v>
      </c>
      <c r="BQ2872" s="3" t="s">
        <v>83</v>
      </c>
      <c r="BR2872" s="3" t="s">
        <v>308</v>
      </c>
      <c r="BS2872" s="4">
        <v>44565</v>
      </c>
      <c r="BT2872" s="5">
        <v>0.4375</v>
      </c>
      <c r="BU2872" s="3" t="s">
        <v>1218</v>
      </c>
      <c r="BV2872" s="3" t="s">
        <v>105</v>
      </c>
      <c r="BY2872" s="3">
        <v>1200</v>
      </c>
      <c r="BZ2872" s="3" t="s">
        <v>165</v>
      </c>
      <c r="CA2872" s="3" t="s">
        <v>678</v>
      </c>
      <c r="CC2872" s="3" t="s">
        <v>159</v>
      </c>
      <c r="CD2872" s="3">
        <v>1460</v>
      </c>
      <c r="CE2872" s="3" t="s">
        <v>93</v>
      </c>
      <c r="CF2872" s="4">
        <v>44566</v>
      </c>
      <c r="CI2872" s="3">
        <v>1</v>
      </c>
      <c r="CJ2872" s="3">
        <v>1</v>
      </c>
      <c r="CK2872" s="3">
        <v>22</v>
      </c>
      <c r="CL2872" s="3" t="s">
        <v>87</v>
      </c>
    </row>
    <row r="2873" spans="1:90" x14ac:dyDescent="0.2">
      <c r="A2873" s="3" t="s">
        <v>72</v>
      </c>
      <c r="B2873" s="3" t="s">
        <v>73</v>
      </c>
      <c r="C2873" s="3" t="s">
        <v>74</v>
      </c>
      <c r="E2873" s="3" t="str">
        <f>"FES1162843189"</f>
        <v>FES1162843189</v>
      </c>
      <c r="F2873" s="4">
        <v>44564</v>
      </c>
      <c r="G2873" s="3">
        <v>202207</v>
      </c>
      <c r="H2873" s="3" t="s">
        <v>75</v>
      </c>
      <c r="I2873" s="3" t="s">
        <v>76</v>
      </c>
      <c r="J2873" s="3" t="s">
        <v>77</v>
      </c>
      <c r="K2873" s="3" t="s">
        <v>78</v>
      </c>
      <c r="L2873" s="3" t="s">
        <v>464</v>
      </c>
      <c r="M2873" s="3" t="s">
        <v>465</v>
      </c>
      <c r="N2873" s="3" t="s">
        <v>985</v>
      </c>
      <c r="O2873" s="3" t="s">
        <v>82</v>
      </c>
      <c r="P2873" s="3" t="str">
        <f>"2170812985                    "</f>
        <v xml:space="preserve">2170812985                    </v>
      </c>
      <c r="Q2873" s="3">
        <v>0</v>
      </c>
      <c r="R2873" s="3">
        <v>0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  <c r="AE2873" s="3">
        <v>0</v>
      </c>
      <c r="AF2873" s="3">
        <v>0</v>
      </c>
      <c r="AG2873" s="3">
        <v>0</v>
      </c>
      <c r="AH2873" s="3">
        <v>0</v>
      </c>
      <c r="AI2873" s="3">
        <v>0</v>
      </c>
      <c r="AJ2873" s="3">
        <v>0</v>
      </c>
      <c r="AK2873" s="3">
        <v>13.26</v>
      </c>
      <c r="AL2873" s="3">
        <v>0</v>
      </c>
      <c r="AM2873" s="3">
        <v>0</v>
      </c>
      <c r="AN2873" s="3">
        <v>0</v>
      </c>
      <c r="AO2873" s="3">
        <v>0</v>
      </c>
      <c r="AP2873" s="3">
        <v>0</v>
      </c>
      <c r="AQ2873" s="3">
        <v>0</v>
      </c>
      <c r="AR2873" s="3">
        <v>0</v>
      </c>
      <c r="AS2873" s="3">
        <v>0</v>
      </c>
      <c r="AT2873" s="3">
        <v>0</v>
      </c>
      <c r="AU2873" s="3">
        <v>0</v>
      </c>
      <c r="AV2873" s="3">
        <v>0</v>
      </c>
      <c r="AW2873" s="3">
        <v>0</v>
      </c>
      <c r="AX2873" s="3">
        <v>0</v>
      </c>
      <c r="AY2873" s="3">
        <v>0</v>
      </c>
      <c r="AZ2873" s="3">
        <v>0</v>
      </c>
      <c r="BA2873" s="3">
        <v>0</v>
      </c>
      <c r="BB2873" s="3">
        <v>0</v>
      </c>
      <c r="BC2873" s="3">
        <v>0</v>
      </c>
      <c r="BD2873" s="3">
        <v>0</v>
      </c>
      <c r="BE2873" s="3">
        <v>0</v>
      </c>
      <c r="BF2873" s="3">
        <v>0</v>
      </c>
      <c r="BG2873" s="3">
        <v>0</v>
      </c>
      <c r="BH2873" s="3">
        <v>1</v>
      </c>
      <c r="BI2873" s="3">
        <v>1</v>
      </c>
      <c r="BJ2873" s="3">
        <v>0.2</v>
      </c>
      <c r="BK2873" s="3">
        <v>1</v>
      </c>
      <c r="BL2873" s="3">
        <v>47.27</v>
      </c>
      <c r="BM2873" s="3">
        <v>7.09</v>
      </c>
      <c r="BN2873" s="3">
        <v>54.36</v>
      </c>
      <c r="BO2873" s="3">
        <v>54.36</v>
      </c>
      <c r="BQ2873" s="3" t="s">
        <v>89</v>
      </c>
      <c r="BR2873" s="3" t="s">
        <v>308</v>
      </c>
      <c r="BS2873" s="4">
        <v>44565</v>
      </c>
      <c r="BT2873" s="5">
        <v>0.30763888888888891</v>
      </c>
      <c r="BU2873" s="3" t="s">
        <v>2704</v>
      </c>
      <c r="BV2873" s="3" t="s">
        <v>105</v>
      </c>
      <c r="BY2873" s="3">
        <v>1200</v>
      </c>
      <c r="BZ2873" s="3" t="s">
        <v>165</v>
      </c>
      <c r="CA2873" s="3" t="s">
        <v>1684</v>
      </c>
      <c r="CC2873" s="3" t="s">
        <v>465</v>
      </c>
      <c r="CD2873" s="3">
        <v>1501</v>
      </c>
      <c r="CE2873" s="3" t="s">
        <v>93</v>
      </c>
      <c r="CF2873" s="4">
        <v>44565</v>
      </c>
      <c r="CI2873" s="3">
        <v>1</v>
      </c>
      <c r="CJ2873" s="3">
        <v>1</v>
      </c>
      <c r="CK2873" s="3">
        <v>22</v>
      </c>
      <c r="CL2873" s="3" t="s">
        <v>87</v>
      </c>
    </row>
    <row r="2874" spans="1:90" x14ac:dyDescent="0.2">
      <c r="A2874" s="3" t="s">
        <v>72</v>
      </c>
      <c r="B2874" s="3" t="s">
        <v>73</v>
      </c>
      <c r="C2874" s="3" t="s">
        <v>74</v>
      </c>
      <c r="E2874" s="3" t="str">
        <f>"FES1162843174"</f>
        <v>FES1162843174</v>
      </c>
      <c r="F2874" s="4">
        <v>44564</v>
      </c>
      <c r="G2874" s="3">
        <v>202207</v>
      </c>
      <c r="H2874" s="3" t="s">
        <v>75</v>
      </c>
      <c r="I2874" s="3" t="s">
        <v>76</v>
      </c>
      <c r="J2874" s="3" t="s">
        <v>77</v>
      </c>
      <c r="K2874" s="3" t="s">
        <v>78</v>
      </c>
      <c r="L2874" s="3" t="s">
        <v>176</v>
      </c>
      <c r="M2874" s="3" t="s">
        <v>177</v>
      </c>
      <c r="N2874" s="3" t="s">
        <v>178</v>
      </c>
      <c r="O2874" s="3" t="s">
        <v>82</v>
      </c>
      <c r="P2874" s="3" t="str">
        <f>"2170812782                    "</f>
        <v xml:space="preserve">2170812782                    </v>
      </c>
      <c r="Q2874" s="3">
        <v>0</v>
      </c>
      <c r="R2874" s="3">
        <v>0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  <c r="AE2874" s="3">
        <v>0</v>
      </c>
      <c r="AF2874" s="3">
        <v>0</v>
      </c>
      <c r="AG2874" s="3">
        <v>0</v>
      </c>
      <c r="AH2874" s="3">
        <v>0</v>
      </c>
      <c r="AI2874" s="3">
        <v>0</v>
      </c>
      <c r="AJ2874" s="3">
        <v>0</v>
      </c>
      <c r="AK2874" s="3">
        <v>16.98</v>
      </c>
      <c r="AL2874" s="3">
        <v>0</v>
      </c>
      <c r="AM2874" s="3">
        <v>0</v>
      </c>
      <c r="AN2874" s="3">
        <v>0</v>
      </c>
      <c r="AO2874" s="3">
        <v>0</v>
      </c>
      <c r="AP2874" s="3">
        <v>0</v>
      </c>
      <c r="AQ2874" s="3">
        <v>0</v>
      </c>
      <c r="AR2874" s="3">
        <v>0</v>
      </c>
      <c r="AS2874" s="3">
        <v>0</v>
      </c>
      <c r="AT2874" s="3">
        <v>0</v>
      </c>
      <c r="AU2874" s="3">
        <v>0</v>
      </c>
      <c r="AV2874" s="3">
        <v>0</v>
      </c>
      <c r="AW2874" s="3">
        <v>0</v>
      </c>
      <c r="AX2874" s="3">
        <v>0</v>
      </c>
      <c r="AY2874" s="3">
        <v>0</v>
      </c>
      <c r="AZ2874" s="3">
        <v>0</v>
      </c>
      <c r="BA2874" s="3">
        <v>0</v>
      </c>
      <c r="BB2874" s="3">
        <v>0</v>
      </c>
      <c r="BC2874" s="3">
        <v>0</v>
      </c>
      <c r="BD2874" s="3">
        <v>0</v>
      </c>
      <c r="BE2874" s="3">
        <v>0</v>
      </c>
      <c r="BF2874" s="3">
        <v>0</v>
      </c>
      <c r="BG2874" s="3">
        <v>0</v>
      </c>
      <c r="BH2874" s="3">
        <v>1</v>
      </c>
      <c r="BI2874" s="3">
        <v>1</v>
      </c>
      <c r="BJ2874" s="3">
        <v>0.2</v>
      </c>
      <c r="BK2874" s="3">
        <v>1</v>
      </c>
      <c r="BL2874" s="3">
        <v>60.52</v>
      </c>
      <c r="BM2874" s="3">
        <v>9.08</v>
      </c>
      <c r="BN2874" s="3">
        <v>69.599999999999994</v>
      </c>
      <c r="BO2874" s="3">
        <v>69.599999999999994</v>
      </c>
      <c r="BQ2874" s="3" t="s">
        <v>83</v>
      </c>
      <c r="BR2874" s="3" t="s">
        <v>308</v>
      </c>
      <c r="BS2874" s="4">
        <v>44565</v>
      </c>
      <c r="BT2874" s="5">
        <v>0.43611111111111112</v>
      </c>
      <c r="BU2874" s="3" t="s">
        <v>614</v>
      </c>
      <c r="BV2874" s="3" t="s">
        <v>105</v>
      </c>
      <c r="BY2874" s="3">
        <v>1200</v>
      </c>
      <c r="BZ2874" s="3" t="s">
        <v>165</v>
      </c>
      <c r="CA2874" s="3" t="s">
        <v>615</v>
      </c>
      <c r="CC2874" s="3" t="s">
        <v>177</v>
      </c>
      <c r="CD2874" s="3">
        <v>4026</v>
      </c>
      <c r="CE2874" s="3" t="s">
        <v>93</v>
      </c>
      <c r="CF2874" s="4">
        <v>44565</v>
      </c>
      <c r="CI2874" s="3">
        <v>1</v>
      </c>
      <c r="CJ2874" s="3">
        <v>1</v>
      </c>
      <c r="CK2874" s="3">
        <v>21</v>
      </c>
      <c r="CL2874" s="3" t="s">
        <v>87</v>
      </c>
    </row>
    <row r="2875" spans="1:90" x14ac:dyDescent="0.2">
      <c r="A2875" s="3" t="s">
        <v>72</v>
      </c>
      <c r="B2875" s="3" t="s">
        <v>73</v>
      </c>
      <c r="C2875" s="3" t="s">
        <v>74</v>
      </c>
      <c r="E2875" s="3" t="str">
        <f>"FES1162843278"</f>
        <v>FES1162843278</v>
      </c>
      <c r="F2875" s="4">
        <v>44564</v>
      </c>
      <c r="G2875" s="3">
        <v>202207</v>
      </c>
      <c r="H2875" s="3" t="s">
        <v>75</v>
      </c>
      <c r="I2875" s="3" t="s">
        <v>76</v>
      </c>
      <c r="J2875" s="3" t="s">
        <v>77</v>
      </c>
      <c r="K2875" s="3" t="s">
        <v>78</v>
      </c>
      <c r="L2875" s="3" t="s">
        <v>90</v>
      </c>
      <c r="M2875" s="3" t="s">
        <v>91</v>
      </c>
      <c r="N2875" s="3" t="s">
        <v>1755</v>
      </c>
      <c r="O2875" s="3" t="s">
        <v>82</v>
      </c>
      <c r="P2875" s="3" t="str">
        <f>"2170815522                    "</f>
        <v xml:space="preserve">2170815522                    </v>
      </c>
      <c r="Q2875" s="3">
        <v>0</v>
      </c>
      <c r="R2875" s="3">
        <v>0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  <c r="AE2875" s="3">
        <v>0</v>
      </c>
      <c r="AF2875" s="3">
        <v>0</v>
      </c>
      <c r="AG2875" s="3">
        <v>0</v>
      </c>
      <c r="AH2875" s="3">
        <v>0</v>
      </c>
      <c r="AI2875" s="3">
        <v>0</v>
      </c>
      <c r="AJ2875" s="3">
        <v>0</v>
      </c>
      <c r="AK2875" s="3">
        <v>25.47</v>
      </c>
      <c r="AL2875" s="3">
        <v>0</v>
      </c>
      <c r="AM2875" s="3">
        <v>0</v>
      </c>
      <c r="AN2875" s="3">
        <v>0</v>
      </c>
      <c r="AO2875" s="3">
        <v>0</v>
      </c>
      <c r="AP2875" s="3">
        <v>0</v>
      </c>
      <c r="AQ2875" s="3">
        <v>0</v>
      </c>
      <c r="AR2875" s="3">
        <v>0</v>
      </c>
      <c r="AS2875" s="3">
        <v>0</v>
      </c>
      <c r="AT2875" s="3">
        <v>0</v>
      </c>
      <c r="AU2875" s="3">
        <v>0</v>
      </c>
      <c r="AV2875" s="3">
        <v>0</v>
      </c>
      <c r="AW2875" s="3">
        <v>0</v>
      </c>
      <c r="AX2875" s="3">
        <v>0</v>
      </c>
      <c r="AY2875" s="3">
        <v>0</v>
      </c>
      <c r="AZ2875" s="3">
        <v>0</v>
      </c>
      <c r="BA2875" s="3">
        <v>0</v>
      </c>
      <c r="BB2875" s="3">
        <v>0</v>
      </c>
      <c r="BC2875" s="3">
        <v>0</v>
      </c>
      <c r="BD2875" s="3">
        <v>0</v>
      </c>
      <c r="BE2875" s="3">
        <v>0</v>
      </c>
      <c r="BF2875" s="3">
        <v>0</v>
      </c>
      <c r="BG2875" s="3">
        <v>0</v>
      </c>
      <c r="BH2875" s="3">
        <v>1</v>
      </c>
      <c r="BI2875" s="3">
        <v>3</v>
      </c>
      <c r="BJ2875" s="3">
        <v>2</v>
      </c>
      <c r="BK2875" s="3">
        <v>3</v>
      </c>
      <c r="BL2875" s="3">
        <v>90.77</v>
      </c>
      <c r="BM2875" s="3">
        <v>13.62</v>
      </c>
      <c r="BN2875" s="3">
        <v>104.39</v>
      </c>
      <c r="BO2875" s="3">
        <v>104.39</v>
      </c>
      <c r="BR2875" s="3" t="s">
        <v>308</v>
      </c>
      <c r="BS2875" s="4">
        <v>44565</v>
      </c>
      <c r="BT2875" s="5">
        <v>0.31736111111111115</v>
      </c>
      <c r="BU2875" s="3" t="s">
        <v>2705</v>
      </c>
      <c r="BV2875" s="3" t="s">
        <v>105</v>
      </c>
      <c r="BY2875" s="3">
        <v>10192</v>
      </c>
      <c r="BZ2875" s="3" t="s">
        <v>165</v>
      </c>
      <c r="CA2875" s="3" t="s">
        <v>543</v>
      </c>
      <c r="CC2875" s="3" t="s">
        <v>91</v>
      </c>
      <c r="CD2875" s="3">
        <v>7530</v>
      </c>
      <c r="CE2875" s="3" t="s">
        <v>86</v>
      </c>
      <c r="CF2875" s="4">
        <v>44566</v>
      </c>
      <c r="CI2875" s="3">
        <v>1</v>
      </c>
      <c r="CJ2875" s="3">
        <v>1</v>
      </c>
      <c r="CK2875" s="3">
        <v>21</v>
      </c>
      <c r="CL2875" s="3" t="s">
        <v>87</v>
      </c>
    </row>
    <row r="2876" spans="1:90" x14ac:dyDescent="0.2">
      <c r="A2876" s="3" t="s">
        <v>72</v>
      </c>
      <c r="B2876" s="3" t="s">
        <v>73</v>
      </c>
      <c r="C2876" s="3" t="s">
        <v>74</v>
      </c>
      <c r="E2876" s="3" t="str">
        <f>"FES1162843165"</f>
        <v>FES1162843165</v>
      </c>
      <c r="F2876" s="4">
        <v>44564</v>
      </c>
      <c r="G2876" s="3">
        <v>202207</v>
      </c>
      <c r="H2876" s="3" t="s">
        <v>75</v>
      </c>
      <c r="I2876" s="3" t="s">
        <v>76</v>
      </c>
      <c r="J2876" s="3" t="s">
        <v>77</v>
      </c>
      <c r="K2876" s="3" t="s">
        <v>78</v>
      </c>
      <c r="L2876" s="3" t="s">
        <v>75</v>
      </c>
      <c r="M2876" s="3" t="s">
        <v>76</v>
      </c>
      <c r="N2876" s="3" t="s">
        <v>2706</v>
      </c>
      <c r="O2876" s="3" t="s">
        <v>82</v>
      </c>
      <c r="P2876" s="3" t="str">
        <f>"2170812683                    "</f>
        <v xml:space="preserve">2170812683                    </v>
      </c>
      <c r="Q2876" s="3">
        <v>0</v>
      </c>
      <c r="R2876" s="3">
        <v>0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  <c r="AE2876" s="3">
        <v>0</v>
      </c>
      <c r="AF2876" s="3">
        <v>0</v>
      </c>
      <c r="AG2876" s="3">
        <v>0</v>
      </c>
      <c r="AH2876" s="3">
        <v>0</v>
      </c>
      <c r="AI2876" s="3">
        <v>0</v>
      </c>
      <c r="AJ2876" s="3">
        <v>0</v>
      </c>
      <c r="AK2876" s="3">
        <v>13.26</v>
      </c>
      <c r="AL2876" s="3">
        <v>0</v>
      </c>
      <c r="AM2876" s="3">
        <v>0</v>
      </c>
      <c r="AN2876" s="3">
        <v>0</v>
      </c>
      <c r="AO2876" s="3">
        <v>0</v>
      </c>
      <c r="AP2876" s="3">
        <v>0</v>
      </c>
      <c r="AQ2876" s="3">
        <v>0</v>
      </c>
      <c r="AR2876" s="3">
        <v>0</v>
      </c>
      <c r="AS2876" s="3">
        <v>0</v>
      </c>
      <c r="AT2876" s="3">
        <v>0</v>
      </c>
      <c r="AU2876" s="3">
        <v>0</v>
      </c>
      <c r="AV2876" s="3">
        <v>0</v>
      </c>
      <c r="AW2876" s="3">
        <v>0</v>
      </c>
      <c r="AX2876" s="3">
        <v>0</v>
      </c>
      <c r="AY2876" s="3">
        <v>0</v>
      </c>
      <c r="AZ2876" s="3">
        <v>0</v>
      </c>
      <c r="BA2876" s="3">
        <v>0</v>
      </c>
      <c r="BB2876" s="3">
        <v>0</v>
      </c>
      <c r="BC2876" s="3">
        <v>0</v>
      </c>
      <c r="BD2876" s="3">
        <v>0</v>
      </c>
      <c r="BE2876" s="3">
        <v>0</v>
      </c>
      <c r="BF2876" s="3">
        <v>0</v>
      </c>
      <c r="BG2876" s="3">
        <v>0</v>
      </c>
      <c r="BH2876" s="3">
        <v>1</v>
      </c>
      <c r="BI2876" s="3">
        <v>2</v>
      </c>
      <c r="BJ2876" s="3">
        <v>1.1000000000000001</v>
      </c>
      <c r="BK2876" s="3">
        <v>2</v>
      </c>
      <c r="BL2876" s="3">
        <v>47.27</v>
      </c>
      <c r="BM2876" s="3">
        <v>7.09</v>
      </c>
      <c r="BN2876" s="3">
        <v>54.36</v>
      </c>
      <c r="BO2876" s="3">
        <v>54.36</v>
      </c>
      <c r="BQ2876" s="3" t="s">
        <v>2707</v>
      </c>
      <c r="BR2876" s="3" t="s">
        <v>308</v>
      </c>
      <c r="BS2876" s="4">
        <v>44565</v>
      </c>
      <c r="BT2876" s="5">
        <v>0.375</v>
      </c>
      <c r="BU2876" s="3" t="s">
        <v>2708</v>
      </c>
      <c r="BV2876" s="3" t="s">
        <v>105</v>
      </c>
      <c r="BY2876" s="3">
        <v>5320</v>
      </c>
      <c r="BZ2876" s="3" t="s">
        <v>165</v>
      </c>
      <c r="CA2876" s="3" t="s">
        <v>227</v>
      </c>
      <c r="CC2876" s="3" t="s">
        <v>76</v>
      </c>
      <c r="CD2876" s="3">
        <v>1600</v>
      </c>
      <c r="CE2876" s="3" t="s">
        <v>86</v>
      </c>
      <c r="CF2876" s="4">
        <v>44565</v>
      </c>
      <c r="CI2876" s="3">
        <v>1</v>
      </c>
      <c r="CJ2876" s="3">
        <v>1</v>
      </c>
      <c r="CK2876" s="3">
        <v>22</v>
      </c>
      <c r="CL2876" s="3" t="s">
        <v>87</v>
      </c>
    </row>
    <row r="2877" spans="1:90" x14ac:dyDescent="0.2">
      <c r="A2877" s="3" t="s">
        <v>72</v>
      </c>
      <c r="B2877" s="3" t="s">
        <v>73</v>
      </c>
      <c r="C2877" s="3" t="s">
        <v>74</v>
      </c>
      <c r="E2877" s="3" t="str">
        <f>"FES1162843159"</f>
        <v>FES1162843159</v>
      </c>
      <c r="F2877" s="4">
        <v>44564</v>
      </c>
      <c r="G2877" s="3">
        <v>202207</v>
      </c>
      <c r="H2877" s="3" t="s">
        <v>75</v>
      </c>
      <c r="I2877" s="3" t="s">
        <v>76</v>
      </c>
      <c r="J2877" s="3" t="s">
        <v>77</v>
      </c>
      <c r="K2877" s="3" t="s">
        <v>78</v>
      </c>
      <c r="L2877" s="3" t="s">
        <v>138</v>
      </c>
      <c r="M2877" s="3" t="s">
        <v>139</v>
      </c>
      <c r="N2877" s="3" t="s">
        <v>2709</v>
      </c>
      <c r="O2877" s="3" t="s">
        <v>82</v>
      </c>
      <c r="P2877" s="3" t="str">
        <f>"2170812628                    "</f>
        <v xml:space="preserve">2170812628                    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  <c r="AE2877" s="3">
        <v>0</v>
      </c>
      <c r="AF2877" s="3">
        <v>0</v>
      </c>
      <c r="AG2877" s="3">
        <v>0</v>
      </c>
      <c r="AH2877" s="3">
        <v>0</v>
      </c>
      <c r="AI2877" s="3">
        <v>0</v>
      </c>
      <c r="AJ2877" s="3">
        <v>0</v>
      </c>
      <c r="AK2877" s="3">
        <v>25.47</v>
      </c>
      <c r="AL2877" s="3">
        <v>0</v>
      </c>
      <c r="AM2877" s="3">
        <v>0</v>
      </c>
      <c r="AN2877" s="3">
        <v>0</v>
      </c>
      <c r="AO2877" s="3">
        <v>0</v>
      </c>
      <c r="AP2877" s="3">
        <v>0</v>
      </c>
      <c r="AQ2877" s="3">
        <v>0</v>
      </c>
      <c r="AR2877" s="3">
        <v>0</v>
      </c>
      <c r="AS2877" s="3">
        <v>0</v>
      </c>
      <c r="AT2877" s="3">
        <v>0</v>
      </c>
      <c r="AU2877" s="3">
        <v>0</v>
      </c>
      <c r="AV2877" s="3">
        <v>0</v>
      </c>
      <c r="AW2877" s="3">
        <v>0</v>
      </c>
      <c r="AX2877" s="3">
        <v>0</v>
      </c>
      <c r="AY2877" s="3">
        <v>0</v>
      </c>
      <c r="AZ2877" s="3">
        <v>0</v>
      </c>
      <c r="BA2877" s="3">
        <v>0</v>
      </c>
      <c r="BB2877" s="3">
        <v>0</v>
      </c>
      <c r="BC2877" s="3">
        <v>0</v>
      </c>
      <c r="BD2877" s="3">
        <v>0</v>
      </c>
      <c r="BE2877" s="3">
        <v>0</v>
      </c>
      <c r="BF2877" s="3">
        <v>0</v>
      </c>
      <c r="BG2877" s="3">
        <v>0</v>
      </c>
      <c r="BH2877" s="3">
        <v>1</v>
      </c>
      <c r="BI2877" s="3">
        <v>3</v>
      </c>
      <c r="BJ2877" s="3">
        <v>2</v>
      </c>
      <c r="BK2877" s="3">
        <v>3</v>
      </c>
      <c r="BL2877" s="3">
        <v>90.77</v>
      </c>
      <c r="BM2877" s="3">
        <v>13.62</v>
      </c>
      <c r="BN2877" s="3">
        <v>104.39</v>
      </c>
      <c r="BO2877" s="3">
        <v>104.39</v>
      </c>
      <c r="BR2877" s="3" t="s">
        <v>308</v>
      </c>
      <c r="BS2877" s="4">
        <v>44565</v>
      </c>
      <c r="BT2877" s="5">
        <v>0.41250000000000003</v>
      </c>
      <c r="BU2877" s="3" t="s">
        <v>2710</v>
      </c>
      <c r="BV2877" s="3" t="s">
        <v>105</v>
      </c>
      <c r="BY2877" s="3">
        <v>9900</v>
      </c>
      <c r="BZ2877" s="3" t="s">
        <v>165</v>
      </c>
      <c r="CA2877" s="3" t="s">
        <v>303</v>
      </c>
      <c r="CC2877" s="3" t="s">
        <v>139</v>
      </c>
      <c r="CD2877" s="3">
        <v>3610</v>
      </c>
      <c r="CE2877" s="3" t="s">
        <v>86</v>
      </c>
      <c r="CF2877" s="4">
        <v>44565</v>
      </c>
      <c r="CI2877" s="3">
        <v>1</v>
      </c>
      <c r="CJ2877" s="3">
        <v>1</v>
      </c>
      <c r="CK2877" s="3">
        <v>21</v>
      </c>
      <c r="CL2877" s="3" t="s">
        <v>87</v>
      </c>
    </row>
    <row r="2878" spans="1:90" x14ac:dyDescent="0.2">
      <c r="A2878" s="3" t="s">
        <v>72</v>
      </c>
      <c r="B2878" s="3" t="s">
        <v>73</v>
      </c>
      <c r="C2878" s="3" t="s">
        <v>74</v>
      </c>
      <c r="E2878" s="3" t="str">
        <f>"FES1162843207"</f>
        <v>FES1162843207</v>
      </c>
      <c r="F2878" s="4">
        <v>44564</v>
      </c>
      <c r="G2878" s="3">
        <v>202207</v>
      </c>
      <c r="H2878" s="3" t="s">
        <v>75</v>
      </c>
      <c r="I2878" s="3" t="s">
        <v>76</v>
      </c>
      <c r="J2878" s="3" t="s">
        <v>77</v>
      </c>
      <c r="K2878" s="3" t="s">
        <v>78</v>
      </c>
      <c r="L2878" s="3" t="s">
        <v>101</v>
      </c>
      <c r="M2878" s="3" t="s">
        <v>102</v>
      </c>
      <c r="N2878" s="3" t="s">
        <v>272</v>
      </c>
      <c r="O2878" s="3" t="s">
        <v>82</v>
      </c>
      <c r="P2878" s="3" t="str">
        <f>"2170813133                    "</f>
        <v xml:space="preserve">2170813133                    </v>
      </c>
      <c r="Q2878" s="3">
        <v>0</v>
      </c>
      <c r="R2878" s="3">
        <v>0</v>
      </c>
      <c r="S2878" s="3">
        <v>0</v>
      </c>
      <c r="T2878" s="3">
        <v>0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0</v>
      </c>
      <c r="AA2878" s="3">
        <v>0</v>
      </c>
      <c r="AB2878" s="3">
        <v>0</v>
      </c>
      <c r="AC2878" s="3">
        <v>0</v>
      </c>
      <c r="AD2878" s="3">
        <v>0</v>
      </c>
      <c r="AE2878" s="3">
        <v>0</v>
      </c>
      <c r="AF2878" s="3">
        <v>0</v>
      </c>
      <c r="AG2878" s="3">
        <v>0</v>
      </c>
      <c r="AH2878" s="3">
        <v>0</v>
      </c>
      <c r="AI2878" s="3">
        <v>0</v>
      </c>
      <c r="AJ2878" s="3">
        <v>0</v>
      </c>
      <c r="AK2878" s="3">
        <v>38.200000000000003</v>
      </c>
      <c r="AL2878" s="3">
        <v>0</v>
      </c>
      <c r="AM2878" s="3">
        <v>0</v>
      </c>
      <c r="AN2878" s="3">
        <v>0</v>
      </c>
      <c r="AO2878" s="3">
        <v>0</v>
      </c>
      <c r="AP2878" s="3">
        <v>0</v>
      </c>
      <c r="AQ2878" s="3">
        <v>0</v>
      </c>
      <c r="AR2878" s="3">
        <v>0</v>
      </c>
      <c r="AS2878" s="3">
        <v>0</v>
      </c>
      <c r="AT2878" s="3">
        <v>0</v>
      </c>
      <c r="AU2878" s="3">
        <v>0</v>
      </c>
      <c r="AV2878" s="3">
        <v>0</v>
      </c>
      <c r="AW2878" s="3">
        <v>0</v>
      </c>
      <c r="AX2878" s="3">
        <v>0</v>
      </c>
      <c r="AY2878" s="3">
        <v>0</v>
      </c>
      <c r="AZ2878" s="3">
        <v>0</v>
      </c>
      <c r="BA2878" s="3">
        <v>0</v>
      </c>
      <c r="BB2878" s="3">
        <v>0</v>
      </c>
      <c r="BC2878" s="3">
        <v>0</v>
      </c>
      <c r="BD2878" s="3">
        <v>0</v>
      </c>
      <c r="BE2878" s="3">
        <v>0</v>
      </c>
      <c r="BF2878" s="3">
        <v>0</v>
      </c>
      <c r="BG2878" s="3">
        <v>0</v>
      </c>
      <c r="BH2878" s="3">
        <v>1</v>
      </c>
      <c r="BI2878" s="3">
        <v>4</v>
      </c>
      <c r="BJ2878" s="3">
        <v>4.0999999999999996</v>
      </c>
      <c r="BK2878" s="3">
        <v>4.5</v>
      </c>
      <c r="BL2878" s="3">
        <v>136.13999999999999</v>
      </c>
      <c r="BM2878" s="3">
        <v>20.420000000000002</v>
      </c>
      <c r="BN2878" s="3">
        <v>156.56</v>
      </c>
      <c r="BO2878" s="3">
        <v>156.56</v>
      </c>
      <c r="BQ2878" s="3" t="s">
        <v>273</v>
      </c>
      <c r="BR2878" s="3" t="s">
        <v>308</v>
      </c>
      <c r="BS2878" s="4">
        <v>44565</v>
      </c>
      <c r="BT2878" s="5">
        <v>0.41250000000000003</v>
      </c>
      <c r="BU2878" s="3" t="s">
        <v>274</v>
      </c>
      <c r="BV2878" s="3" t="s">
        <v>105</v>
      </c>
      <c r="BY2878" s="3">
        <v>20358</v>
      </c>
      <c r="BZ2878" s="3" t="s">
        <v>165</v>
      </c>
      <c r="CA2878" s="3" t="s">
        <v>275</v>
      </c>
      <c r="CC2878" s="3" t="s">
        <v>102</v>
      </c>
      <c r="CD2878" s="3">
        <v>4000</v>
      </c>
      <c r="CE2878" s="3" t="s">
        <v>86</v>
      </c>
      <c r="CF2878" s="4">
        <v>44565</v>
      </c>
      <c r="CI2878" s="3">
        <v>1</v>
      </c>
      <c r="CJ2878" s="3">
        <v>1</v>
      </c>
      <c r="CK2878" s="3">
        <v>21</v>
      </c>
      <c r="CL2878" s="3" t="s">
        <v>87</v>
      </c>
    </row>
    <row r="2879" spans="1:90" x14ac:dyDescent="0.2">
      <c r="A2879" s="3" t="s">
        <v>72</v>
      </c>
      <c r="B2879" s="3" t="s">
        <v>73</v>
      </c>
      <c r="C2879" s="3" t="s">
        <v>74</v>
      </c>
      <c r="E2879" s="3" t="str">
        <f>"FES1162843158"</f>
        <v>FES1162843158</v>
      </c>
      <c r="F2879" s="4">
        <v>44564</v>
      </c>
      <c r="G2879" s="3">
        <v>202207</v>
      </c>
      <c r="H2879" s="3" t="s">
        <v>75</v>
      </c>
      <c r="I2879" s="3" t="s">
        <v>76</v>
      </c>
      <c r="J2879" s="3" t="s">
        <v>77</v>
      </c>
      <c r="K2879" s="3" t="s">
        <v>78</v>
      </c>
      <c r="L2879" s="3" t="s">
        <v>138</v>
      </c>
      <c r="M2879" s="3" t="s">
        <v>139</v>
      </c>
      <c r="N2879" s="3" t="s">
        <v>2709</v>
      </c>
      <c r="O2879" s="3" t="s">
        <v>82</v>
      </c>
      <c r="P2879" s="3" t="str">
        <f>"2170812625                    "</f>
        <v xml:space="preserve">2170812625                    </v>
      </c>
      <c r="Q2879" s="3">
        <v>0</v>
      </c>
      <c r="R2879" s="3">
        <v>0</v>
      </c>
      <c r="S2879" s="3">
        <v>0</v>
      </c>
      <c r="T2879" s="3">
        <v>0</v>
      </c>
      <c r="U2879" s="3">
        <v>0</v>
      </c>
      <c r="V2879" s="3">
        <v>0</v>
      </c>
      <c r="W2879" s="3">
        <v>0</v>
      </c>
      <c r="X2879" s="3">
        <v>0</v>
      </c>
      <c r="Y2879" s="3">
        <v>0</v>
      </c>
      <c r="Z2879" s="3">
        <v>0</v>
      </c>
      <c r="AA2879" s="3">
        <v>0</v>
      </c>
      <c r="AB2879" s="3">
        <v>0</v>
      </c>
      <c r="AC2879" s="3">
        <v>0</v>
      </c>
      <c r="AD2879" s="3">
        <v>0</v>
      </c>
      <c r="AE2879" s="3">
        <v>0</v>
      </c>
      <c r="AF2879" s="3">
        <v>0</v>
      </c>
      <c r="AG2879" s="3">
        <v>0</v>
      </c>
      <c r="AH2879" s="3">
        <v>0</v>
      </c>
      <c r="AI2879" s="3">
        <v>0</v>
      </c>
      <c r="AJ2879" s="3">
        <v>0</v>
      </c>
      <c r="AK2879" s="3">
        <v>38.200000000000003</v>
      </c>
      <c r="AL2879" s="3">
        <v>0</v>
      </c>
      <c r="AM2879" s="3">
        <v>0</v>
      </c>
      <c r="AN2879" s="3">
        <v>0</v>
      </c>
      <c r="AO2879" s="3">
        <v>0</v>
      </c>
      <c r="AP2879" s="3">
        <v>0</v>
      </c>
      <c r="AQ2879" s="3">
        <v>0</v>
      </c>
      <c r="AR2879" s="3">
        <v>0</v>
      </c>
      <c r="AS2879" s="3">
        <v>0</v>
      </c>
      <c r="AT2879" s="3">
        <v>0</v>
      </c>
      <c r="AU2879" s="3">
        <v>0</v>
      </c>
      <c r="AV2879" s="3">
        <v>0</v>
      </c>
      <c r="AW2879" s="3">
        <v>0</v>
      </c>
      <c r="AX2879" s="3">
        <v>0</v>
      </c>
      <c r="AY2879" s="3">
        <v>0</v>
      </c>
      <c r="AZ2879" s="3">
        <v>0</v>
      </c>
      <c r="BA2879" s="3">
        <v>0</v>
      </c>
      <c r="BB2879" s="3">
        <v>0</v>
      </c>
      <c r="BC2879" s="3">
        <v>0</v>
      </c>
      <c r="BD2879" s="3">
        <v>0</v>
      </c>
      <c r="BE2879" s="3">
        <v>0</v>
      </c>
      <c r="BF2879" s="3">
        <v>0</v>
      </c>
      <c r="BG2879" s="3">
        <v>0</v>
      </c>
      <c r="BH2879" s="3">
        <v>1</v>
      </c>
      <c r="BI2879" s="3">
        <v>2</v>
      </c>
      <c r="BJ2879" s="3">
        <v>4.0999999999999996</v>
      </c>
      <c r="BK2879" s="3">
        <v>4.5</v>
      </c>
      <c r="BL2879" s="3">
        <v>136.13999999999999</v>
      </c>
      <c r="BM2879" s="3">
        <v>20.420000000000002</v>
      </c>
      <c r="BN2879" s="3">
        <v>156.56</v>
      </c>
      <c r="BO2879" s="3">
        <v>156.56</v>
      </c>
      <c r="BR2879" s="3" t="s">
        <v>308</v>
      </c>
      <c r="BS2879" s="4">
        <v>44565</v>
      </c>
      <c r="BT2879" s="5">
        <v>0.41319444444444442</v>
      </c>
      <c r="BU2879" s="3" t="s">
        <v>2710</v>
      </c>
      <c r="BV2879" s="3" t="s">
        <v>105</v>
      </c>
      <c r="BY2879" s="3">
        <v>20358</v>
      </c>
      <c r="BZ2879" s="3" t="s">
        <v>165</v>
      </c>
      <c r="CA2879" s="3" t="s">
        <v>303</v>
      </c>
      <c r="CC2879" s="3" t="s">
        <v>139</v>
      </c>
      <c r="CD2879" s="3">
        <v>3610</v>
      </c>
      <c r="CE2879" s="3" t="s">
        <v>86</v>
      </c>
      <c r="CF2879" s="4">
        <v>44565</v>
      </c>
      <c r="CI2879" s="3">
        <v>1</v>
      </c>
      <c r="CJ2879" s="3">
        <v>1</v>
      </c>
      <c r="CK2879" s="3">
        <v>21</v>
      </c>
      <c r="CL2879" s="3" t="s">
        <v>87</v>
      </c>
    </row>
    <row r="2880" spans="1:90" x14ac:dyDescent="0.2">
      <c r="A2880" s="3" t="s">
        <v>72</v>
      </c>
      <c r="B2880" s="3" t="s">
        <v>73</v>
      </c>
      <c r="C2880" s="3" t="s">
        <v>74</v>
      </c>
      <c r="E2880" s="3" t="str">
        <f>"FES1162843251"</f>
        <v>FES1162843251</v>
      </c>
      <c r="F2880" s="4">
        <v>44564</v>
      </c>
      <c r="G2880" s="3">
        <v>202207</v>
      </c>
      <c r="H2880" s="3" t="s">
        <v>75</v>
      </c>
      <c r="I2880" s="3" t="s">
        <v>76</v>
      </c>
      <c r="J2880" s="3" t="s">
        <v>77</v>
      </c>
      <c r="K2880" s="3" t="s">
        <v>78</v>
      </c>
      <c r="L2880" s="3" t="s">
        <v>184</v>
      </c>
      <c r="M2880" s="3" t="s">
        <v>185</v>
      </c>
      <c r="N2880" s="3" t="s">
        <v>186</v>
      </c>
      <c r="O2880" s="3" t="s">
        <v>82</v>
      </c>
      <c r="P2880" s="3" t="str">
        <f>"2170815487                    "</f>
        <v xml:space="preserve">2170815487                    </v>
      </c>
      <c r="Q2880" s="3">
        <v>0</v>
      </c>
      <c r="R2880" s="3">
        <v>0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  <c r="AE2880" s="3">
        <v>0</v>
      </c>
      <c r="AF2880" s="3">
        <v>0</v>
      </c>
      <c r="AG2880" s="3">
        <v>0</v>
      </c>
      <c r="AH2880" s="3">
        <v>0</v>
      </c>
      <c r="AI2880" s="3">
        <v>0</v>
      </c>
      <c r="AJ2880" s="3">
        <v>0</v>
      </c>
      <c r="AK2880" s="3">
        <v>38.200000000000003</v>
      </c>
      <c r="AL2880" s="3">
        <v>0</v>
      </c>
      <c r="AM2880" s="3">
        <v>0</v>
      </c>
      <c r="AN2880" s="3">
        <v>0</v>
      </c>
      <c r="AO2880" s="3">
        <v>0</v>
      </c>
      <c r="AP2880" s="3">
        <v>0</v>
      </c>
      <c r="AQ2880" s="3">
        <v>0</v>
      </c>
      <c r="AR2880" s="3">
        <v>0</v>
      </c>
      <c r="AS2880" s="3">
        <v>0</v>
      </c>
      <c r="AT2880" s="3">
        <v>0</v>
      </c>
      <c r="AU2880" s="3">
        <v>0</v>
      </c>
      <c r="AV2880" s="3">
        <v>0</v>
      </c>
      <c r="AW2880" s="3">
        <v>0</v>
      </c>
      <c r="AX2880" s="3">
        <v>0</v>
      </c>
      <c r="AY2880" s="3">
        <v>0</v>
      </c>
      <c r="AZ2880" s="3">
        <v>0</v>
      </c>
      <c r="BA2880" s="3">
        <v>0</v>
      </c>
      <c r="BB2880" s="3">
        <v>0</v>
      </c>
      <c r="BC2880" s="3">
        <v>0</v>
      </c>
      <c r="BD2880" s="3">
        <v>0</v>
      </c>
      <c r="BE2880" s="3">
        <v>0</v>
      </c>
      <c r="BF2880" s="3">
        <v>0</v>
      </c>
      <c r="BG2880" s="3">
        <v>0</v>
      </c>
      <c r="BH2880" s="3">
        <v>1</v>
      </c>
      <c r="BI2880" s="3">
        <v>1</v>
      </c>
      <c r="BJ2880" s="3">
        <v>4.2</v>
      </c>
      <c r="BK2880" s="3">
        <v>4.5</v>
      </c>
      <c r="BL2880" s="3">
        <v>136.13999999999999</v>
      </c>
      <c r="BM2880" s="3">
        <v>20.420000000000002</v>
      </c>
      <c r="BN2880" s="3">
        <v>156.56</v>
      </c>
      <c r="BO2880" s="3">
        <v>156.56</v>
      </c>
      <c r="BQ2880" s="3" t="s">
        <v>83</v>
      </c>
      <c r="BR2880" s="3" t="s">
        <v>308</v>
      </c>
      <c r="BS2880" s="4">
        <v>44565</v>
      </c>
      <c r="BT2880" s="5">
        <v>0.40416666666666662</v>
      </c>
      <c r="BU2880" s="3" t="s">
        <v>1024</v>
      </c>
      <c r="BV2880" s="3" t="s">
        <v>105</v>
      </c>
      <c r="BY2880" s="3">
        <v>21150</v>
      </c>
      <c r="BZ2880" s="3" t="s">
        <v>165</v>
      </c>
      <c r="CA2880" s="3" t="s">
        <v>612</v>
      </c>
      <c r="CC2880" s="3" t="s">
        <v>185</v>
      </c>
      <c r="CD2880" s="3">
        <v>5201</v>
      </c>
      <c r="CE2880" s="3" t="s">
        <v>86</v>
      </c>
      <c r="CF2880" s="4">
        <v>44565</v>
      </c>
      <c r="CI2880" s="3">
        <v>1</v>
      </c>
      <c r="CJ2880" s="3">
        <v>1</v>
      </c>
      <c r="CK2880" s="3">
        <v>21</v>
      </c>
      <c r="CL2880" s="3" t="s">
        <v>87</v>
      </c>
    </row>
    <row r="2881" spans="1:90" x14ac:dyDescent="0.2">
      <c r="A2881" s="3" t="s">
        <v>72</v>
      </c>
      <c r="B2881" s="3" t="s">
        <v>73</v>
      </c>
      <c r="C2881" s="3" t="s">
        <v>74</v>
      </c>
      <c r="E2881" s="3" t="str">
        <f>"FES1162843154"</f>
        <v>FES1162843154</v>
      </c>
      <c r="F2881" s="4">
        <v>44564</v>
      </c>
      <c r="G2881" s="3">
        <v>202207</v>
      </c>
      <c r="H2881" s="3" t="s">
        <v>75</v>
      </c>
      <c r="I2881" s="3" t="s">
        <v>76</v>
      </c>
      <c r="J2881" s="3" t="s">
        <v>77</v>
      </c>
      <c r="K2881" s="3" t="s">
        <v>78</v>
      </c>
      <c r="L2881" s="3" t="s">
        <v>97</v>
      </c>
      <c r="M2881" s="3" t="s">
        <v>98</v>
      </c>
      <c r="N2881" s="3" t="s">
        <v>2592</v>
      </c>
      <c r="O2881" s="3" t="s">
        <v>148</v>
      </c>
      <c r="P2881" s="3" t="str">
        <f>"2170812611                    "</f>
        <v xml:space="preserve">2170812611                    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  <c r="AE2881" s="3">
        <v>0</v>
      </c>
      <c r="AF2881" s="3">
        <v>0</v>
      </c>
      <c r="AG2881" s="3">
        <v>0</v>
      </c>
      <c r="AH2881" s="3">
        <v>0</v>
      </c>
      <c r="AI2881" s="3">
        <v>0</v>
      </c>
      <c r="AJ2881" s="3">
        <v>0</v>
      </c>
      <c r="AK2881" s="3">
        <v>28.3</v>
      </c>
      <c r="AL2881" s="3">
        <v>0</v>
      </c>
      <c r="AM2881" s="3">
        <v>0</v>
      </c>
      <c r="AN2881" s="3">
        <v>0</v>
      </c>
      <c r="AO2881" s="3">
        <v>0</v>
      </c>
      <c r="AP2881" s="3">
        <v>0</v>
      </c>
      <c r="AQ2881" s="3">
        <v>0</v>
      </c>
      <c r="AR2881" s="3">
        <v>0</v>
      </c>
      <c r="AS2881" s="3">
        <v>0</v>
      </c>
      <c r="AT2881" s="3">
        <v>0</v>
      </c>
      <c r="AU2881" s="3">
        <v>0</v>
      </c>
      <c r="AV2881" s="3">
        <v>0</v>
      </c>
      <c r="AW2881" s="3">
        <v>0</v>
      </c>
      <c r="AX2881" s="3">
        <v>0</v>
      </c>
      <c r="AY2881" s="3">
        <v>0</v>
      </c>
      <c r="AZ2881" s="3">
        <v>0</v>
      </c>
      <c r="BA2881" s="3">
        <v>0</v>
      </c>
      <c r="BB2881" s="3">
        <v>0</v>
      </c>
      <c r="BC2881" s="3">
        <v>0</v>
      </c>
      <c r="BD2881" s="3">
        <v>0</v>
      </c>
      <c r="BE2881" s="3">
        <v>0</v>
      </c>
      <c r="BF2881" s="3">
        <v>0</v>
      </c>
      <c r="BG2881" s="3">
        <v>0</v>
      </c>
      <c r="BH2881" s="3">
        <v>1</v>
      </c>
      <c r="BI2881" s="3">
        <v>4</v>
      </c>
      <c r="BJ2881" s="3">
        <v>18.3</v>
      </c>
      <c r="BK2881" s="3">
        <v>19</v>
      </c>
      <c r="BL2881" s="3">
        <v>106.12</v>
      </c>
      <c r="BM2881" s="3">
        <v>15.92</v>
      </c>
      <c r="BN2881" s="3">
        <v>122.04</v>
      </c>
      <c r="BO2881" s="3">
        <v>122.04</v>
      </c>
      <c r="BQ2881" s="3" t="s">
        <v>2593</v>
      </c>
      <c r="BR2881" s="3" t="s">
        <v>308</v>
      </c>
      <c r="BS2881" s="4">
        <v>44571</v>
      </c>
      <c r="BT2881" s="5">
        <v>0.34930555555555554</v>
      </c>
      <c r="BU2881" s="3" t="s">
        <v>2594</v>
      </c>
      <c r="BV2881" s="3" t="s">
        <v>87</v>
      </c>
      <c r="BW2881" s="3" t="s">
        <v>278</v>
      </c>
      <c r="BX2881" s="3" t="s">
        <v>723</v>
      </c>
      <c r="BY2881" s="3">
        <v>91264</v>
      </c>
      <c r="BZ2881" s="3" t="s">
        <v>327</v>
      </c>
      <c r="CA2881" s="3" t="s">
        <v>1293</v>
      </c>
      <c r="CC2881" s="3" t="s">
        <v>98</v>
      </c>
      <c r="CD2881" s="3">
        <v>2157</v>
      </c>
      <c r="CE2881" s="3" t="s">
        <v>86</v>
      </c>
      <c r="CF2881" s="4">
        <v>44572</v>
      </c>
      <c r="CI2881" s="3">
        <v>1</v>
      </c>
      <c r="CJ2881" s="3">
        <v>5</v>
      </c>
      <c r="CK2881" s="3">
        <v>42</v>
      </c>
      <c r="CL2881" s="3" t="s">
        <v>87</v>
      </c>
    </row>
    <row r="2882" spans="1:90" x14ac:dyDescent="0.2">
      <c r="A2882" s="3" t="s">
        <v>72</v>
      </c>
      <c r="B2882" s="3" t="s">
        <v>73</v>
      </c>
      <c r="C2882" s="3" t="s">
        <v>74</v>
      </c>
      <c r="E2882" s="3" t="str">
        <f>"FES1162843291"</f>
        <v>FES1162843291</v>
      </c>
      <c r="F2882" s="4">
        <v>44564</v>
      </c>
      <c r="G2882" s="3">
        <v>202207</v>
      </c>
      <c r="H2882" s="3" t="s">
        <v>75</v>
      </c>
      <c r="I2882" s="3" t="s">
        <v>76</v>
      </c>
      <c r="J2882" s="3" t="s">
        <v>77</v>
      </c>
      <c r="K2882" s="3" t="s">
        <v>78</v>
      </c>
      <c r="L2882" s="3" t="s">
        <v>171</v>
      </c>
      <c r="M2882" s="3" t="s">
        <v>172</v>
      </c>
      <c r="N2882" s="3" t="s">
        <v>235</v>
      </c>
      <c r="O2882" s="3" t="s">
        <v>82</v>
      </c>
      <c r="P2882" s="3" t="str">
        <f>"21170815075                   "</f>
        <v xml:space="preserve">21170815075                   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  <c r="AE2882" s="3">
        <v>0</v>
      </c>
      <c r="AF2882" s="3">
        <v>0</v>
      </c>
      <c r="AG2882" s="3">
        <v>0</v>
      </c>
      <c r="AH2882" s="3">
        <v>0</v>
      </c>
      <c r="AI2882" s="3">
        <v>0</v>
      </c>
      <c r="AJ2882" s="3">
        <v>0</v>
      </c>
      <c r="AK2882" s="3">
        <v>38.200000000000003</v>
      </c>
      <c r="AL2882" s="3">
        <v>0</v>
      </c>
      <c r="AM2882" s="3">
        <v>0</v>
      </c>
      <c r="AN2882" s="3">
        <v>0</v>
      </c>
      <c r="AO2882" s="3">
        <v>0</v>
      </c>
      <c r="AP2882" s="3">
        <v>0</v>
      </c>
      <c r="AQ2882" s="3">
        <v>0</v>
      </c>
      <c r="AR2882" s="3">
        <v>0</v>
      </c>
      <c r="AS2882" s="3">
        <v>0</v>
      </c>
      <c r="AT2882" s="3">
        <v>0</v>
      </c>
      <c r="AU2882" s="3">
        <v>0</v>
      </c>
      <c r="AV2882" s="3">
        <v>0</v>
      </c>
      <c r="AW2882" s="3">
        <v>0</v>
      </c>
      <c r="AX2882" s="3">
        <v>0</v>
      </c>
      <c r="AY2882" s="3">
        <v>0</v>
      </c>
      <c r="AZ2882" s="3">
        <v>0</v>
      </c>
      <c r="BA2882" s="3">
        <v>0</v>
      </c>
      <c r="BB2882" s="3">
        <v>0</v>
      </c>
      <c r="BC2882" s="3">
        <v>0</v>
      </c>
      <c r="BD2882" s="3">
        <v>0</v>
      </c>
      <c r="BE2882" s="3">
        <v>0</v>
      </c>
      <c r="BF2882" s="3">
        <v>0</v>
      </c>
      <c r="BG2882" s="3">
        <v>0</v>
      </c>
      <c r="BH2882" s="3">
        <v>1</v>
      </c>
      <c r="BI2882" s="3">
        <v>1</v>
      </c>
      <c r="BJ2882" s="3">
        <v>4.0999999999999996</v>
      </c>
      <c r="BK2882" s="3">
        <v>4.5</v>
      </c>
      <c r="BL2882" s="3">
        <v>136.13999999999999</v>
      </c>
      <c r="BM2882" s="3">
        <v>20.420000000000002</v>
      </c>
      <c r="BN2882" s="3">
        <v>156.56</v>
      </c>
      <c r="BO2882" s="3">
        <v>156.56</v>
      </c>
      <c r="BQ2882" s="3" t="s">
        <v>89</v>
      </c>
      <c r="BR2882" s="3" t="s">
        <v>308</v>
      </c>
      <c r="BS2882" s="4">
        <v>44566</v>
      </c>
      <c r="BT2882" s="5">
        <v>0.51458333333333328</v>
      </c>
      <c r="BU2882" s="3" t="s">
        <v>2557</v>
      </c>
      <c r="BV2882" s="3" t="s">
        <v>87</v>
      </c>
      <c r="BW2882" s="3" t="s">
        <v>457</v>
      </c>
      <c r="BX2882" s="3" t="s">
        <v>2558</v>
      </c>
      <c r="BY2882" s="3">
        <v>20358</v>
      </c>
      <c r="BZ2882" s="3" t="s">
        <v>165</v>
      </c>
      <c r="CA2882" s="3" t="s">
        <v>263</v>
      </c>
      <c r="CC2882" s="3" t="s">
        <v>172</v>
      </c>
      <c r="CD2882" s="3">
        <v>6001</v>
      </c>
      <c r="CE2882" s="3" t="s">
        <v>86</v>
      </c>
      <c r="CF2882" s="4">
        <v>44566</v>
      </c>
      <c r="CI2882" s="3">
        <v>1</v>
      </c>
      <c r="CJ2882" s="3">
        <v>2</v>
      </c>
      <c r="CK2882" s="3">
        <v>21</v>
      </c>
      <c r="CL2882" s="3" t="s">
        <v>87</v>
      </c>
    </row>
    <row r="2883" spans="1:90" x14ac:dyDescent="0.2">
      <c r="A2883" s="3" t="s">
        <v>72</v>
      </c>
      <c r="B2883" s="3" t="s">
        <v>73</v>
      </c>
      <c r="C2883" s="3" t="s">
        <v>74</v>
      </c>
      <c r="E2883" s="3" t="str">
        <f>"FES1162843276"</f>
        <v>FES1162843276</v>
      </c>
      <c r="F2883" s="4">
        <v>44564</v>
      </c>
      <c r="G2883" s="3">
        <v>202207</v>
      </c>
      <c r="H2883" s="3" t="s">
        <v>75</v>
      </c>
      <c r="I2883" s="3" t="s">
        <v>76</v>
      </c>
      <c r="J2883" s="3" t="s">
        <v>77</v>
      </c>
      <c r="K2883" s="3" t="s">
        <v>78</v>
      </c>
      <c r="L2883" s="3" t="s">
        <v>90</v>
      </c>
      <c r="M2883" s="3" t="s">
        <v>91</v>
      </c>
      <c r="N2883" s="3" t="s">
        <v>132</v>
      </c>
      <c r="O2883" s="3" t="s">
        <v>148</v>
      </c>
      <c r="P2883" s="3" t="str">
        <f>"2170815520                    "</f>
        <v xml:space="preserve">2170815520                    </v>
      </c>
      <c r="Q2883" s="3">
        <v>0</v>
      </c>
      <c r="R2883" s="3">
        <v>0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  <c r="AE2883" s="3">
        <v>0</v>
      </c>
      <c r="AF2883" s="3">
        <v>0</v>
      </c>
      <c r="AG2883" s="3">
        <v>0</v>
      </c>
      <c r="AH2883" s="3">
        <v>0</v>
      </c>
      <c r="AI2883" s="3">
        <v>0</v>
      </c>
      <c r="AJ2883" s="3">
        <v>0</v>
      </c>
      <c r="AK2883" s="3">
        <v>38.25</v>
      </c>
      <c r="AL2883" s="3">
        <v>0</v>
      </c>
      <c r="AM2883" s="3">
        <v>0</v>
      </c>
      <c r="AN2883" s="3">
        <v>0</v>
      </c>
      <c r="AO2883" s="3">
        <v>0</v>
      </c>
      <c r="AP2883" s="3">
        <v>0</v>
      </c>
      <c r="AQ2883" s="3">
        <v>0</v>
      </c>
      <c r="AR2883" s="3">
        <v>0</v>
      </c>
      <c r="AS2883" s="3">
        <v>0</v>
      </c>
      <c r="AT2883" s="3">
        <v>0</v>
      </c>
      <c r="AU2883" s="3">
        <v>0</v>
      </c>
      <c r="AV2883" s="3">
        <v>0</v>
      </c>
      <c r="AW2883" s="3">
        <v>0</v>
      </c>
      <c r="AX2883" s="3">
        <v>0</v>
      </c>
      <c r="AY2883" s="3">
        <v>0</v>
      </c>
      <c r="AZ2883" s="3">
        <v>0</v>
      </c>
      <c r="BA2883" s="3">
        <v>0</v>
      </c>
      <c r="BB2883" s="3">
        <v>0</v>
      </c>
      <c r="BC2883" s="3">
        <v>0</v>
      </c>
      <c r="BD2883" s="3">
        <v>0</v>
      </c>
      <c r="BE2883" s="3">
        <v>0</v>
      </c>
      <c r="BF2883" s="3">
        <v>0</v>
      </c>
      <c r="BG2883" s="3">
        <v>0</v>
      </c>
      <c r="BH2883" s="3">
        <v>1</v>
      </c>
      <c r="BI2883" s="3">
        <v>17</v>
      </c>
      <c r="BJ2883" s="3">
        <v>18.3</v>
      </c>
      <c r="BK2883" s="3">
        <v>19</v>
      </c>
      <c r="BL2883" s="3">
        <v>141.58000000000001</v>
      </c>
      <c r="BM2883" s="3">
        <v>21.24</v>
      </c>
      <c r="BN2883" s="3">
        <v>162.82</v>
      </c>
      <c r="BO2883" s="3">
        <v>162.82</v>
      </c>
      <c r="BQ2883" s="3" t="s">
        <v>83</v>
      </c>
      <c r="BR2883" s="3" t="s">
        <v>308</v>
      </c>
      <c r="BS2883" s="4">
        <v>44566</v>
      </c>
      <c r="BT2883" s="5">
        <v>0.40208333333333335</v>
      </c>
      <c r="BU2883" s="3" t="s">
        <v>2621</v>
      </c>
      <c r="BV2883" s="3" t="s">
        <v>105</v>
      </c>
      <c r="BY2883" s="3">
        <v>91264</v>
      </c>
      <c r="BZ2883" s="3" t="s">
        <v>327</v>
      </c>
      <c r="CA2883" s="3" t="s">
        <v>641</v>
      </c>
      <c r="CC2883" s="3" t="s">
        <v>91</v>
      </c>
      <c r="CD2883" s="3">
        <v>7530</v>
      </c>
      <c r="CE2883" s="3" t="s">
        <v>86</v>
      </c>
      <c r="CF2883" s="4">
        <v>44567</v>
      </c>
      <c r="CI2883" s="3">
        <v>2</v>
      </c>
      <c r="CJ2883" s="3">
        <v>2</v>
      </c>
      <c r="CK2883" s="3">
        <v>41</v>
      </c>
      <c r="CL2883" s="3" t="s">
        <v>87</v>
      </c>
    </row>
    <row r="2884" spans="1:90" x14ac:dyDescent="0.2">
      <c r="A2884" s="3" t="s">
        <v>72</v>
      </c>
      <c r="B2884" s="3" t="s">
        <v>73</v>
      </c>
      <c r="C2884" s="3" t="s">
        <v>74</v>
      </c>
      <c r="E2884" s="3" t="str">
        <f>"FES1162843170"</f>
        <v>FES1162843170</v>
      </c>
      <c r="F2884" s="4">
        <v>44564</v>
      </c>
      <c r="G2884" s="3">
        <v>202207</v>
      </c>
      <c r="H2884" s="3" t="s">
        <v>75</v>
      </c>
      <c r="I2884" s="3" t="s">
        <v>76</v>
      </c>
      <c r="J2884" s="3" t="s">
        <v>77</v>
      </c>
      <c r="K2884" s="3" t="s">
        <v>78</v>
      </c>
      <c r="L2884" s="3" t="s">
        <v>138</v>
      </c>
      <c r="M2884" s="3" t="s">
        <v>139</v>
      </c>
      <c r="N2884" s="3" t="s">
        <v>2687</v>
      </c>
      <c r="O2884" s="3" t="s">
        <v>82</v>
      </c>
      <c r="P2884" s="3" t="str">
        <f>"2170812710                    "</f>
        <v xml:space="preserve">2170812710                    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  <c r="AE2884" s="3">
        <v>0</v>
      </c>
      <c r="AF2884" s="3">
        <v>0</v>
      </c>
      <c r="AG2884" s="3">
        <v>0</v>
      </c>
      <c r="AH2884" s="3">
        <v>0</v>
      </c>
      <c r="AI2884" s="3">
        <v>0</v>
      </c>
      <c r="AJ2884" s="3">
        <v>0</v>
      </c>
      <c r="AK2884" s="3">
        <v>38.200000000000003</v>
      </c>
      <c r="AL2884" s="3">
        <v>0</v>
      </c>
      <c r="AM2884" s="3">
        <v>0</v>
      </c>
      <c r="AN2884" s="3">
        <v>0</v>
      </c>
      <c r="AO2884" s="3">
        <v>0</v>
      </c>
      <c r="AP2884" s="3">
        <v>0</v>
      </c>
      <c r="AQ2884" s="3">
        <v>0</v>
      </c>
      <c r="AR2884" s="3">
        <v>0</v>
      </c>
      <c r="AS2884" s="3">
        <v>0</v>
      </c>
      <c r="AT2884" s="3">
        <v>0</v>
      </c>
      <c r="AU2884" s="3">
        <v>0</v>
      </c>
      <c r="AV2884" s="3">
        <v>0</v>
      </c>
      <c r="AW2884" s="3">
        <v>0</v>
      </c>
      <c r="AX2884" s="3">
        <v>0</v>
      </c>
      <c r="AY2884" s="3">
        <v>0</v>
      </c>
      <c r="AZ2884" s="3">
        <v>0</v>
      </c>
      <c r="BA2884" s="3">
        <v>0</v>
      </c>
      <c r="BB2884" s="3">
        <v>0</v>
      </c>
      <c r="BC2884" s="3">
        <v>0</v>
      </c>
      <c r="BD2884" s="3">
        <v>0</v>
      </c>
      <c r="BE2884" s="3">
        <v>0</v>
      </c>
      <c r="BF2884" s="3">
        <v>0</v>
      </c>
      <c r="BG2884" s="3">
        <v>0</v>
      </c>
      <c r="BH2884" s="3">
        <v>1</v>
      </c>
      <c r="BI2884" s="3">
        <v>3</v>
      </c>
      <c r="BJ2884" s="3">
        <v>4.0999999999999996</v>
      </c>
      <c r="BK2884" s="3">
        <v>4.5</v>
      </c>
      <c r="BL2884" s="3">
        <v>136.13999999999999</v>
      </c>
      <c r="BM2884" s="3">
        <v>20.420000000000002</v>
      </c>
      <c r="BN2884" s="3">
        <v>156.56</v>
      </c>
      <c r="BO2884" s="3">
        <v>156.56</v>
      </c>
      <c r="BR2884" s="3" t="s">
        <v>308</v>
      </c>
      <c r="BS2884" s="4">
        <v>44565</v>
      </c>
      <c r="BT2884" s="5">
        <v>0.39027777777777778</v>
      </c>
      <c r="BU2884" s="3" t="s">
        <v>1212</v>
      </c>
      <c r="BV2884" s="3" t="s">
        <v>105</v>
      </c>
      <c r="BY2884" s="3">
        <v>20358</v>
      </c>
      <c r="BZ2884" s="3" t="s">
        <v>165</v>
      </c>
      <c r="CA2884" s="3" t="s">
        <v>303</v>
      </c>
      <c r="CC2884" s="3" t="s">
        <v>139</v>
      </c>
      <c r="CD2884" s="3">
        <v>3610</v>
      </c>
      <c r="CE2884" s="3" t="s">
        <v>86</v>
      </c>
      <c r="CF2884" s="4">
        <v>44565</v>
      </c>
      <c r="CI2884" s="3">
        <v>1</v>
      </c>
      <c r="CJ2884" s="3">
        <v>1</v>
      </c>
      <c r="CK2884" s="3">
        <v>21</v>
      </c>
      <c r="CL2884" s="3" t="s">
        <v>87</v>
      </c>
    </row>
    <row r="2885" spans="1:90" x14ac:dyDescent="0.2">
      <c r="A2885" s="3" t="s">
        <v>72</v>
      </c>
      <c r="B2885" s="3" t="s">
        <v>73</v>
      </c>
      <c r="C2885" s="3" t="s">
        <v>74</v>
      </c>
      <c r="E2885" s="3" t="str">
        <f>"FES1162843138"</f>
        <v>FES1162843138</v>
      </c>
      <c r="F2885" s="4">
        <v>44564</v>
      </c>
      <c r="G2885" s="3">
        <v>202207</v>
      </c>
      <c r="H2885" s="3" t="s">
        <v>75</v>
      </c>
      <c r="I2885" s="3" t="s">
        <v>76</v>
      </c>
      <c r="J2885" s="3" t="s">
        <v>77</v>
      </c>
      <c r="K2885" s="3" t="s">
        <v>78</v>
      </c>
      <c r="L2885" s="3" t="s">
        <v>90</v>
      </c>
      <c r="M2885" s="3" t="s">
        <v>91</v>
      </c>
      <c r="N2885" s="3" t="s">
        <v>541</v>
      </c>
      <c r="O2885" s="3" t="s">
        <v>82</v>
      </c>
      <c r="P2885" s="3" t="str">
        <f>"2170809168                    "</f>
        <v xml:space="preserve">2170809168                    </v>
      </c>
      <c r="Q2885" s="3">
        <v>0</v>
      </c>
      <c r="R2885" s="3">
        <v>0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  <c r="AE2885" s="3">
        <v>0</v>
      </c>
      <c r="AF2885" s="3">
        <v>0</v>
      </c>
      <c r="AG2885" s="3">
        <v>0</v>
      </c>
      <c r="AH2885" s="3">
        <v>0</v>
      </c>
      <c r="AI2885" s="3">
        <v>0</v>
      </c>
      <c r="AJ2885" s="3">
        <v>0</v>
      </c>
      <c r="AK2885" s="3">
        <v>46.68</v>
      </c>
      <c r="AL2885" s="3">
        <v>0</v>
      </c>
      <c r="AM2885" s="3">
        <v>0</v>
      </c>
      <c r="AN2885" s="3">
        <v>0</v>
      </c>
      <c r="AO2885" s="3">
        <v>0</v>
      </c>
      <c r="AP2885" s="3">
        <v>0</v>
      </c>
      <c r="AQ2885" s="3">
        <v>0</v>
      </c>
      <c r="AR2885" s="3">
        <v>0</v>
      </c>
      <c r="AS2885" s="3">
        <v>0</v>
      </c>
      <c r="AT2885" s="3">
        <v>0</v>
      </c>
      <c r="AU2885" s="3">
        <v>0</v>
      </c>
      <c r="AV2885" s="3">
        <v>0</v>
      </c>
      <c r="AW2885" s="3">
        <v>0</v>
      </c>
      <c r="AX2885" s="3">
        <v>0</v>
      </c>
      <c r="AY2885" s="3">
        <v>0</v>
      </c>
      <c r="AZ2885" s="3">
        <v>0</v>
      </c>
      <c r="BA2885" s="3">
        <v>0</v>
      </c>
      <c r="BB2885" s="3">
        <v>0</v>
      </c>
      <c r="BC2885" s="3">
        <v>0</v>
      </c>
      <c r="BD2885" s="3">
        <v>0</v>
      </c>
      <c r="BE2885" s="3">
        <v>0</v>
      </c>
      <c r="BF2885" s="3">
        <v>0</v>
      </c>
      <c r="BG2885" s="3">
        <v>0</v>
      </c>
      <c r="BH2885" s="3">
        <v>1</v>
      </c>
      <c r="BI2885" s="3">
        <v>5</v>
      </c>
      <c r="BJ2885" s="3">
        <v>5.0999999999999996</v>
      </c>
      <c r="BK2885" s="3">
        <v>5.5</v>
      </c>
      <c r="BL2885" s="3">
        <v>166.38</v>
      </c>
      <c r="BM2885" s="3">
        <v>24.96</v>
      </c>
      <c r="BN2885" s="3">
        <v>191.34</v>
      </c>
      <c r="BO2885" s="3">
        <v>191.34</v>
      </c>
      <c r="BQ2885" s="3" t="s">
        <v>89</v>
      </c>
      <c r="BR2885" s="3" t="s">
        <v>308</v>
      </c>
      <c r="BS2885" s="4">
        <v>44565</v>
      </c>
      <c r="BT2885" s="5">
        <v>0.38472222222222219</v>
      </c>
      <c r="BU2885" s="3" t="s">
        <v>2711</v>
      </c>
      <c r="BV2885" s="3" t="s">
        <v>105</v>
      </c>
      <c r="BY2885" s="3">
        <v>25480</v>
      </c>
      <c r="BZ2885" s="3" t="s">
        <v>165</v>
      </c>
      <c r="CA2885" s="3" t="s">
        <v>543</v>
      </c>
      <c r="CC2885" s="3" t="s">
        <v>91</v>
      </c>
      <c r="CD2885" s="3">
        <v>7561</v>
      </c>
      <c r="CE2885" s="3" t="s">
        <v>86</v>
      </c>
      <c r="CF2885" s="4">
        <v>44566</v>
      </c>
      <c r="CI2885" s="3">
        <v>1</v>
      </c>
      <c r="CJ2885" s="3">
        <v>1</v>
      </c>
      <c r="CK2885" s="3">
        <v>21</v>
      </c>
      <c r="CL2885" s="3" t="s">
        <v>87</v>
      </c>
    </row>
    <row r="2886" spans="1:90" x14ac:dyDescent="0.2">
      <c r="A2886" s="3" t="s">
        <v>72</v>
      </c>
      <c r="B2886" s="3" t="s">
        <v>73</v>
      </c>
      <c r="C2886" s="3" t="s">
        <v>74</v>
      </c>
      <c r="E2886" s="3" t="str">
        <f>"FES1162843191"</f>
        <v>FES1162843191</v>
      </c>
      <c r="F2886" s="4">
        <v>44564</v>
      </c>
      <c r="G2886" s="3">
        <v>202207</v>
      </c>
      <c r="H2886" s="3" t="s">
        <v>75</v>
      </c>
      <c r="I2886" s="3" t="s">
        <v>76</v>
      </c>
      <c r="J2886" s="3" t="s">
        <v>77</v>
      </c>
      <c r="K2886" s="3" t="s">
        <v>78</v>
      </c>
      <c r="L2886" s="3" t="s">
        <v>171</v>
      </c>
      <c r="M2886" s="3" t="s">
        <v>172</v>
      </c>
      <c r="N2886" s="3" t="s">
        <v>199</v>
      </c>
      <c r="O2886" s="3" t="s">
        <v>82</v>
      </c>
      <c r="P2886" s="3" t="str">
        <f>"2170813027                    "</f>
        <v xml:space="preserve">2170813027                    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  <c r="AE2886" s="3">
        <v>0</v>
      </c>
      <c r="AF2886" s="3">
        <v>0</v>
      </c>
      <c r="AG2886" s="3">
        <v>0</v>
      </c>
      <c r="AH2886" s="3">
        <v>0</v>
      </c>
      <c r="AI2886" s="3">
        <v>0</v>
      </c>
      <c r="AJ2886" s="3">
        <v>0</v>
      </c>
      <c r="AK2886" s="3">
        <v>16.98</v>
      </c>
      <c r="AL2886" s="3">
        <v>0</v>
      </c>
      <c r="AM2886" s="3">
        <v>0</v>
      </c>
      <c r="AN2886" s="3">
        <v>0</v>
      </c>
      <c r="AO2886" s="3">
        <v>0</v>
      </c>
      <c r="AP2886" s="3">
        <v>0</v>
      </c>
      <c r="AQ2886" s="3">
        <v>0</v>
      </c>
      <c r="AR2886" s="3">
        <v>0</v>
      </c>
      <c r="AS2886" s="3">
        <v>0</v>
      </c>
      <c r="AT2886" s="3">
        <v>0</v>
      </c>
      <c r="AU2886" s="3">
        <v>0</v>
      </c>
      <c r="AV2886" s="3">
        <v>0</v>
      </c>
      <c r="AW2886" s="3">
        <v>0</v>
      </c>
      <c r="AX2886" s="3">
        <v>0</v>
      </c>
      <c r="AY2886" s="3">
        <v>0</v>
      </c>
      <c r="AZ2886" s="3">
        <v>0</v>
      </c>
      <c r="BA2886" s="3">
        <v>0</v>
      </c>
      <c r="BB2886" s="3">
        <v>0</v>
      </c>
      <c r="BC2886" s="3">
        <v>0</v>
      </c>
      <c r="BD2886" s="3">
        <v>0</v>
      </c>
      <c r="BE2886" s="3">
        <v>0</v>
      </c>
      <c r="BF2886" s="3">
        <v>0</v>
      </c>
      <c r="BG2886" s="3">
        <v>0</v>
      </c>
      <c r="BH2886" s="3">
        <v>1</v>
      </c>
      <c r="BI2886" s="3">
        <v>2</v>
      </c>
      <c r="BJ2886" s="3">
        <v>0.9</v>
      </c>
      <c r="BK2886" s="3">
        <v>2</v>
      </c>
      <c r="BL2886" s="3">
        <v>60.52</v>
      </c>
      <c r="BM2886" s="3">
        <v>9.08</v>
      </c>
      <c r="BN2886" s="3">
        <v>69.599999999999994</v>
      </c>
      <c r="BO2886" s="3">
        <v>69.599999999999994</v>
      </c>
      <c r="BR2886" s="3" t="s">
        <v>308</v>
      </c>
      <c r="BS2886" s="4">
        <v>44565</v>
      </c>
      <c r="BT2886" s="5">
        <v>0.31111111111111112</v>
      </c>
      <c r="BU2886" s="3" t="s">
        <v>2574</v>
      </c>
      <c r="BV2886" s="3" t="s">
        <v>105</v>
      </c>
      <c r="BY2886" s="3">
        <v>4275</v>
      </c>
      <c r="BZ2886" s="3" t="s">
        <v>165</v>
      </c>
      <c r="CA2886" s="3" t="s">
        <v>408</v>
      </c>
      <c r="CC2886" s="3" t="s">
        <v>172</v>
      </c>
      <c r="CD2886" s="3">
        <v>6000</v>
      </c>
      <c r="CE2886" s="3" t="s">
        <v>86</v>
      </c>
      <c r="CF2886" s="4">
        <v>44565</v>
      </c>
      <c r="CI2886" s="3">
        <v>1</v>
      </c>
      <c r="CJ2886" s="3">
        <v>1</v>
      </c>
      <c r="CK2886" s="3">
        <v>21</v>
      </c>
      <c r="CL2886" s="3" t="s">
        <v>87</v>
      </c>
    </row>
    <row r="2887" spans="1:90" x14ac:dyDescent="0.2">
      <c r="A2887" s="3" t="s">
        <v>72</v>
      </c>
      <c r="B2887" s="3" t="s">
        <v>73</v>
      </c>
      <c r="C2887" s="3" t="s">
        <v>74</v>
      </c>
      <c r="E2887" s="3" t="str">
        <f>"FES1162843177"</f>
        <v>FES1162843177</v>
      </c>
      <c r="F2887" s="4">
        <v>44564</v>
      </c>
      <c r="G2887" s="3">
        <v>202207</v>
      </c>
      <c r="H2887" s="3" t="s">
        <v>75</v>
      </c>
      <c r="I2887" s="3" t="s">
        <v>76</v>
      </c>
      <c r="J2887" s="3" t="s">
        <v>77</v>
      </c>
      <c r="K2887" s="3" t="s">
        <v>78</v>
      </c>
      <c r="L2887" s="3" t="s">
        <v>211</v>
      </c>
      <c r="M2887" s="3" t="s">
        <v>212</v>
      </c>
      <c r="N2887" s="3" t="s">
        <v>213</v>
      </c>
      <c r="O2887" s="3" t="s">
        <v>148</v>
      </c>
      <c r="P2887" s="3" t="str">
        <f>"2170812825                    "</f>
        <v xml:space="preserve">2170812825                    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  <c r="AE2887" s="3">
        <v>0</v>
      </c>
      <c r="AF2887" s="3">
        <v>0</v>
      </c>
      <c r="AG2887" s="3">
        <v>0</v>
      </c>
      <c r="AH2887" s="3">
        <v>0</v>
      </c>
      <c r="AI2887" s="3">
        <v>0</v>
      </c>
      <c r="AJ2887" s="3">
        <v>0</v>
      </c>
      <c r="AK2887" s="3">
        <v>34.229999999999997</v>
      </c>
      <c r="AL2887" s="3">
        <v>0</v>
      </c>
      <c r="AM2887" s="3">
        <v>0</v>
      </c>
      <c r="AN2887" s="3">
        <v>0</v>
      </c>
      <c r="AO2887" s="3">
        <v>0</v>
      </c>
      <c r="AP2887" s="3">
        <v>0</v>
      </c>
      <c r="AQ2887" s="3">
        <v>0</v>
      </c>
      <c r="AR2887" s="3">
        <v>0</v>
      </c>
      <c r="AS2887" s="3">
        <v>0</v>
      </c>
      <c r="AT2887" s="3">
        <v>0</v>
      </c>
      <c r="AU2887" s="3">
        <v>0</v>
      </c>
      <c r="AV2887" s="3">
        <v>0</v>
      </c>
      <c r="AW2887" s="3">
        <v>0</v>
      </c>
      <c r="AX2887" s="3">
        <v>0</v>
      </c>
      <c r="AY2887" s="3">
        <v>0</v>
      </c>
      <c r="AZ2887" s="3">
        <v>0</v>
      </c>
      <c r="BA2887" s="3">
        <v>0</v>
      </c>
      <c r="BB2887" s="3">
        <v>0</v>
      </c>
      <c r="BC2887" s="3">
        <v>0</v>
      </c>
      <c r="BD2887" s="3">
        <v>0</v>
      </c>
      <c r="BE2887" s="3">
        <v>0</v>
      </c>
      <c r="BF2887" s="3">
        <v>0</v>
      </c>
      <c r="BG2887" s="3">
        <v>0</v>
      </c>
      <c r="BH2887" s="3">
        <v>1</v>
      </c>
      <c r="BI2887" s="3">
        <v>27</v>
      </c>
      <c r="BJ2887" s="3">
        <v>9.1</v>
      </c>
      <c r="BK2887" s="3">
        <v>27</v>
      </c>
      <c r="BL2887" s="3">
        <v>127.25</v>
      </c>
      <c r="BM2887" s="3">
        <v>19.09</v>
      </c>
      <c r="BN2887" s="3">
        <v>146.34</v>
      </c>
      <c r="BO2887" s="3">
        <v>146.34</v>
      </c>
      <c r="BQ2887" s="3" t="s">
        <v>126</v>
      </c>
      <c r="BR2887" s="3" t="s">
        <v>308</v>
      </c>
      <c r="BS2887" s="4">
        <v>44565</v>
      </c>
      <c r="BT2887" s="5">
        <v>0.375</v>
      </c>
      <c r="BU2887" s="3" t="s">
        <v>1252</v>
      </c>
      <c r="BV2887" s="3" t="s">
        <v>105</v>
      </c>
      <c r="BY2887" s="3">
        <v>45632</v>
      </c>
      <c r="BZ2887" s="3" t="s">
        <v>327</v>
      </c>
      <c r="CA2887" s="3" t="s">
        <v>345</v>
      </c>
      <c r="CC2887" s="3" t="s">
        <v>212</v>
      </c>
      <c r="CD2887" s="3">
        <v>2162</v>
      </c>
      <c r="CE2887" s="3" t="s">
        <v>86</v>
      </c>
      <c r="CF2887" s="4">
        <v>44565</v>
      </c>
      <c r="CI2887" s="3">
        <v>1</v>
      </c>
      <c r="CJ2887" s="3">
        <v>1</v>
      </c>
      <c r="CK2887" s="3">
        <v>42</v>
      </c>
      <c r="CL2887" s="3" t="s">
        <v>87</v>
      </c>
    </row>
    <row r="2888" spans="1:90" x14ac:dyDescent="0.2">
      <c r="A2888" s="3" t="s">
        <v>72</v>
      </c>
      <c r="B2888" s="3" t="s">
        <v>73</v>
      </c>
      <c r="C2888" s="3" t="s">
        <v>74</v>
      </c>
      <c r="E2888" s="3" t="str">
        <f>"FES1162843231"</f>
        <v>FES1162843231</v>
      </c>
      <c r="F2888" s="4">
        <v>44564</v>
      </c>
      <c r="G2888" s="3">
        <v>202207</v>
      </c>
      <c r="H2888" s="3" t="s">
        <v>75</v>
      </c>
      <c r="I2888" s="3" t="s">
        <v>76</v>
      </c>
      <c r="J2888" s="3" t="s">
        <v>77</v>
      </c>
      <c r="K2888" s="3" t="s">
        <v>78</v>
      </c>
      <c r="L2888" s="3" t="s">
        <v>79</v>
      </c>
      <c r="M2888" s="3" t="s">
        <v>80</v>
      </c>
      <c r="N2888" s="3" t="s">
        <v>2712</v>
      </c>
      <c r="O2888" s="3" t="s">
        <v>82</v>
      </c>
      <c r="P2888" s="3" t="str">
        <f>"2170814655                    "</f>
        <v xml:space="preserve">2170814655                    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  <c r="AE2888" s="3">
        <v>0</v>
      </c>
      <c r="AF2888" s="3">
        <v>0</v>
      </c>
      <c r="AG2888" s="3">
        <v>0</v>
      </c>
      <c r="AH2888" s="3">
        <v>0</v>
      </c>
      <c r="AI2888" s="3">
        <v>0</v>
      </c>
      <c r="AJ2888" s="3">
        <v>0</v>
      </c>
      <c r="AK2888" s="3">
        <v>16.98</v>
      </c>
      <c r="AL2888" s="3">
        <v>0</v>
      </c>
      <c r="AM2888" s="3">
        <v>0</v>
      </c>
      <c r="AN2888" s="3">
        <v>0</v>
      </c>
      <c r="AO2888" s="3">
        <v>0</v>
      </c>
      <c r="AP2888" s="3">
        <v>0</v>
      </c>
      <c r="AQ2888" s="3">
        <v>0</v>
      </c>
      <c r="AR2888" s="3">
        <v>0</v>
      </c>
      <c r="AS2888" s="3">
        <v>0</v>
      </c>
      <c r="AT2888" s="3">
        <v>0</v>
      </c>
      <c r="AU2888" s="3">
        <v>0</v>
      </c>
      <c r="AV2888" s="3">
        <v>0</v>
      </c>
      <c r="AW2888" s="3">
        <v>0</v>
      </c>
      <c r="AX2888" s="3">
        <v>0</v>
      </c>
      <c r="AY2888" s="3">
        <v>0</v>
      </c>
      <c r="AZ2888" s="3">
        <v>0</v>
      </c>
      <c r="BA2888" s="3">
        <v>0</v>
      </c>
      <c r="BB2888" s="3">
        <v>0</v>
      </c>
      <c r="BC2888" s="3">
        <v>0</v>
      </c>
      <c r="BD2888" s="3">
        <v>0</v>
      </c>
      <c r="BE2888" s="3">
        <v>0</v>
      </c>
      <c r="BF2888" s="3">
        <v>0</v>
      </c>
      <c r="BG2888" s="3">
        <v>0</v>
      </c>
      <c r="BH2888" s="3">
        <v>1</v>
      </c>
      <c r="BI2888" s="3">
        <v>1</v>
      </c>
      <c r="BJ2888" s="3">
        <v>0.2</v>
      </c>
      <c r="BK2888" s="3">
        <v>1</v>
      </c>
      <c r="BL2888" s="3">
        <v>60.52</v>
      </c>
      <c r="BM2888" s="3">
        <v>9.08</v>
      </c>
      <c r="BN2888" s="3">
        <v>69.599999999999994</v>
      </c>
      <c r="BO2888" s="3">
        <v>69.599999999999994</v>
      </c>
      <c r="BR2888" s="3" t="s">
        <v>308</v>
      </c>
      <c r="BS2888" s="4">
        <v>44565</v>
      </c>
      <c r="BT2888" s="5">
        <v>0.3576388888888889</v>
      </c>
      <c r="BU2888" s="3" t="s">
        <v>2713</v>
      </c>
      <c r="BV2888" s="3" t="s">
        <v>105</v>
      </c>
      <c r="BY2888" s="3">
        <v>1200</v>
      </c>
      <c r="BZ2888" s="3" t="s">
        <v>165</v>
      </c>
      <c r="CA2888" s="3" t="s">
        <v>1499</v>
      </c>
      <c r="CC2888" s="3" t="s">
        <v>80</v>
      </c>
      <c r="CD2888" s="3">
        <v>184</v>
      </c>
      <c r="CE2888" s="3" t="s">
        <v>93</v>
      </c>
      <c r="CF2888" s="4">
        <v>44565</v>
      </c>
      <c r="CI2888" s="3">
        <v>1</v>
      </c>
      <c r="CJ2888" s="3">
        <v>1</v>
      </c>
      <c r="CK2888" s="3">
        <v>21</v>
      </c>
      <c r="CL2888" s="3" t="s">
        <v>87</v>
      </c>
    </row>
    <row r="2889" spans="1:90" x14ac:dyDescent="0.2">
      <c r="A2889" s="3" t="s">
        <v>72</v>
      </c>
      <c r="B2889" s="3" t="s">
        <v>73</v>
      </c>
      <c r="C2889" s="3" t="s">
        <v>74</v>
      </c>
      <c r="E2889" s="3" t="str">
        <f>"FES1162843145"</f>
        <v>FES1162843145</v>
      </c>
      <c r="F2889" s="4">
        <v>44564</v>
      </c>
      <c r="G2889" s="3">
        <v>202207</v>
      </c>
      <c r="H2889" s="3" t="s">
        <v>75</v>
      </c>
      <c r="I2889" s="3" t="s">
        <v>76</v>
      </c>
      <c r="J2889" s="3" t="s">
        <v>77</v>
      </c>
      <c r="K2889" s="3" t="s">
        <v>78</v>
      </c>
      <c r="L2889" s="3" t="s">
        <v>90</v>
      </c>
      <c r="M2889" s="3" t="s">
        <v>91</v>
      </c>
      <c r="N2889" s="3" t="s">
        <v>1918</v>
      </c>
      <c r="O2889" s="3" t="s">
        <v>82</v>
      </c>
      <c r="P2889" s="3" t="str">
        <f>"2170812522                    "</f>
        <v xml:space="preserve">2170812522                    </v>
      </c>
      <c r="Q2889" s="3">
        <v>0</v>
      </c>
      <c r="R2889" s="3">
        <v>0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  <c r="AE2889" s="3">
        <v>0</v>
      </c>
      <c r="AF2889" s="3">
        <v>0</v>
      </c>
      <c r="AG2889" s="3">
        <v>0</v>
      </c>
      <c r="AH2889" s="3">
        <v>0</v>
      </c>
      <c r="AI2889" s="3">
        <v>0</v>
      </c>
      <c r="AJ2889" s="3">
        <v>0</v>
      </c>
      <c r="AK2889" s="3">
        <v>16.98</v>
      </c>
      <c r="AL2889" s="3">
        <v>0</v>
      </c>
      <c r="AM2889" s="3">
        <v>0</v>
      </c>
      <c r="AN2889" s="3">
        <v>0</v>
      </c>
      <c r="AO2889" s="3">
        <v>0</v>
      </c>
      <c r="AP2889" s="3">
        <v>0</v>
      </c>
      <c r="AQ2889" s="3">
        <v>0</v>
      </c>
      <c r="AR2889" s="3">
        <v>0</v>
      </c>
      <c r="AS2889" s="3">
        <v>0</v>
      </c>
      <c r="AT2889" s="3">
        <v>0</v>
      </c>
      <c r="AU2889" s="3">
        <v>0</v>
      </c>
      <c r="AV2889" s="3">
        <v>0</v>
      </c>
      <c r="AW2889" s="3">
        <v>0</v>
      </c>
      <c r="AX2889" s="3">
        <v>0</v>
      </c>
      <c r="AY2889" s="3">
        <v>0</v>
      </c>
      <c r="AZ2889" s="3">
        <v>0</v>
      </c>
      <c r="BA2889" s="3">
        <v>0</v>
      </c>
      <c r="BB2889" s="3">
        <v>0</v>
      </c>
      <c r="BC2889" s="3">
        <v>0</v>
      </c>
      <c r="BD2889" s="3">
        <v>0</v>
      </c>
      <c r="BE2889" s="3">
        <v>0</v>
      </c>
      <c r="BF2889" s="3">
        <v>0</v>
      </c>
      <c r="BG2889" s="3">
        <v>0</v>
      </c>
      <c r="BH2889" s="3">
        <v>1</v>
      </c>
      <c r="BI2889" s="3">
        <v>1</v>
      </c>
      <c r="BJ2889" s="3">
        <v>0.2</v>
      </c>
      <c r="BK2889" s="3">
        <v>1</v>
      </c>
      <c r="BL2889" s="3">
        <v>60.52</v>
      </c>
      <c r="BM2889" s="3">
        <v>9.08</v>
      </c>
      <c r="BN2889" s="3">
        <v>69.599999999999994</v>
      </c>
      <c r="BO2889" s="3">
        <v>69.599999999999994</v>
      </c>
      <c r="BQ2889" s="3" t="s">
        <v>145</v>
      </c>
      <c r="BR2889" s="3" t="s">
        <v>308</v>
      </c>
      <c r="BS2889" s="4">
        <v>44565</v>
      </c>
      <c r="BT2889" s="5">
        <v>0.38541666666666669</v>
      </c>
      <c r="BU2889" s="3" t="s">
        <v>2714</v>
      </c>
      <c r="BV2889" s="3" t="s">
        <v>105</v>
      </c>
      <c r="BY2889" s="3">
        <v>1200</v>
      </c>
      <c r="BZ2889" s="3" t="s">
        <v>165</v>
      </c>
      <c r="CA2889" s="3" t="s">
        <v>2604</v>
      </c>
      <c r="CC2889" s="3" t="s">
        <v>91</v>
      </c>
      <c r="CD2889" s="3">
        <v>7460</v>
      </c>
      <c r="CE2889" s="3" t="s">
        <v>93</v>
      </c>
      <c r="CF2889" s="4">
        <v>44566</v>
      </c>
      <c r="CI2889" s="3">
        <v>1</v>
      </c>
      <c r="CJ2889" s="3">
        <v>1</v>
      </c>
      <c r="CK2889" s="3">
        <v>21</v>
      </c>
      <c r="CL2889" s="3" t="s">
        <v>87</v>
      </c>
    </row>
    <row r="2890" spans="1:90" x14ac:dyDescent="0.2">
      <c r="A2890" s="3" t="s">
        <v>72</v>
      </c>
      <c r="B2890" s="3" t="s">
        <v>73</v>
      </c>
      <c r="C2890" s="3" t="s">
        <v>74</v>
      </c>
      <c r="E2890" s="3" t="str">
        <f>"FES1162843167"</f>
        <v>FES1162843167</v>
      </c>
      <c r="F2890" s="4">
        <v>44564</v>
      </c>
      <c r="G2890" s="3">
        <v>202207</v>
      </c>
      <c r="H2890" s="3" t="s">
        <v>75</v>
      </c>
      <c r="I2890" s="3" t="s">
        <v>76</v>
      </c>
      <c r="J2890" s="3" t="s">
        <v>77</v>
      </c>
      <c r="K2890" s="3" t="s">
        <v>78</v>
      </c>
      <c r="L2890" s="3" t="s">
        <v>162</v>
      </c>
      <c r="M2890" s="3" t="s">
        <v>163</v>
      </c>
      <c r="N2890" s="3" t="s">
        <v>164</v>
      </c>
      <c r="O2890" s="3" t="s">
        <v>82</v>
      </c>
      <c r="P2890" s="3" t="str">
        <f>"2170812691                    "</f>
        <v xml:space="preserve">2170812691                    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  <c r="AE2890" s="3">
        <v>0</v>
      </c>
      <c r="AF2890" s="3">
        <v>0</v>
      </c>
      <c r="AG2890" s="3">
        <v>0</v>
      </c>
      <c r="AH2890" s="3">
        <v>0</v>
      </c>
      <c r="AI2890" s="3">
        <v>0</v>
      </c>
      <c r="AJ2890" s="3">
        <v>0</v>
      </c>
      <c r="AK2890" s="3">
        <v>13.26</v>
      </c>
      <c r="AL2890" s="3">
        <v>0</v>
      </c>
      <c r="AM2890" s="3">
        <v>0</v>
      </c>
      <c r="AN2890" s="3">
        <v>0</v>
      </c>
      <c r="AO2890" s="3">
        <v>0</v>
      </c>
      <c r="AP2890" s="3">
        <v>0</v>
      </c>
      <c r="AQ2890" s="3">
        <v>0</v>
      </c>
      <c r="AR2890" s="3">
        <v>0</v>
      </c>
      <c r="AS2890" s="3">
        <v>0</v>
      </c>
      <c r="AT2890" s="3">
        <v>0</v>
      </c>
      <c r="AU2890" s="3">
        <v>0</v>
      </c>
      <c r="AV2890" s="3">
        <v>0</v>
      </c>
      <c r="AW2890" s="3">
        <v>0</v>
      </c>
      <c r="AX2890" s="3">
        <v>0</v>
      </c>
      <c r="AY2890" s="3">
        <v>0</v>
      </c>
      <c r="AZ2890" s="3">
        <v>0</v>
      </c>
      <c r="BA2890" s="3">
        <v>0</v>
      </c>
      <c r="BB2890" s="3">
        <v>0</v>
      </c>
      <c r="BC2890" s="3">
        <v>0</v>
      </c>
      <c r="BD2890" s="3">
        <v>0</v>
      </c>
      <c r="BE2890" s="3">
        <v>0</v>
      </c>
      <c r="BF2890" s="3">
        <v>0</v>
      </c>
      <c r="BG2890" s="3">
        <v>0</v>
      </c>
      <c r="BH2890" s="3">
        <v>1</v>
      </c>
      <c r="BI2890" s="3">
        <v>1</v>
      </c>
      <c r="BJ2890" s="3">
        <v>0.2</v>
      </c>
      <c r="BK2890" s="3">
        <v>1</v>
      </c>
      <c r="BL2890" s="3">
        <v>47.27</v>
      </c>
      <c r="BM2890" s="3">
        <v>7.09</v>
      </c>
      <c r="BN2890" s="3">
        <v>54.36</v>
      </c>
      <c r="BO2890" s="3">
        <v>54.36</v>
      </c>
      <c r="BQ2890" s="3" t="s">
        <v>89</v>
      </c>
      <c r="BR2890" s="3" t="s">
        <v>308</v>
      </c>
      <c r="BS2890" s="4">
        <v>44565</v>
      </c>
      <c r="BT2890" s="5">
        <v>0.47083333333333338</v>
      </c>
      <c r="BU2890" s="3" t="s">
        <v>2715</v>
      </c>
      <c r="BV2890" s="3" t="s">
        <v>87</v>
      </c>
      <c r="BW2890" s="3" t="s">
        <v>278</v>
      </c>
      <c r="BX2890" s="3" t="s">
        <v>1722</v>
      </c>
      <c r="BY2890" s="3">
        <v>1200</v>
      </c>
      <c r="BZ2890" s="3" t="s">
        <v>165</v>
      </c>
      <c r="CA2890" s="3" t="s">
        <v>2686</v>
      </c>
      <c r="CC2890" s="3" t="s">
        <v>163</v>
      </c>
      <c r="CD2890" s="3">
        <v>1428</v>
      </c>
      <c r="CE2890" s="3" t="s">
        <v>93</v>
      </c>
      <c r="CF2890" s="4">
        <v>44566</v>
      </c>
      <c r="CI2890" s="3">
        <v>1</v>
      </c>
      <c r="CJ2890" s="3">
        <v>1</v>
      </c>
      <c r="CK2890" s="3">
        <v>22</v>
      </c>
      <c r="CL2890" s="3" t="s">
        <v>87</v>
      </c>
    </row>
    <row r="2891" spans="1:90" x14ac:dyDescent="0.2">
      <c r="A2891" s="3" t="s">
        <v>72</v>
      </c>
      <c r="B2891" s="3" t="s">
        <v>73</v>
      </c>
      <c r="C2891" s="3" t="s">
        <v>74</v>
      </c>
      <c r="E2891" s="3" t="str">
        <f>"FES1162843148"</f>
        <v>FES1162843148</v>
      </c>
      <c r="F2891" s="4">
        <v>44564</v>
      </c>
      <c r="G2891" s="3">
        <v>202207</v>
      </c>
      <c r="H2891" s="3" t="s">
        <v>75</v>
      </c>
      <c r="I2891" s="3" t="s">
        <v>76</v>
      </c>
      <c r="J2891" s="3" t="s">
        <v>77</v>
      </c>
      <c r="K2891" s="3" t="s">
        <v>78</v>
      </c>
      <c r="L2891" s="3" t="s">
        <v>171</v>
      </c>
      <c r="M2891" s="3" t="s">
        <v>172</v>
      </c>
      <c r="N2891" s="3" t="s">
        <v>2627</v>
      </c>
      <c r="O2891" s="3" t="s">
        <v>82</v>
      </c>
      <c r="P2891" s="3" t="str">
        <f>"2170812554                    "</f>
        <v xml:space="preserve">2170812554                    </v>
      </c>
      <c r="Q2891" s="3">
        <v>0</v>
      </c>
      <c r="R2891" s="3">
        <v>0</v>
      </c>
      <c r="S2891" s="3">
        <v>0</v>
      </c>
      <c r="T2891" s="3">
        <v>0</v>
      </c>
      <c r="U2891" s="3">
        <v>0</v>
      </c>
      <c r="V2891" s="3">
        <v>0</v>
      </c>
      <c r="W2891" s="3">
        <v>0</v>
      </c>
      <c r="X2891" s="3">
        <v>0</v>
      </c>
      <c r="Y2891" s="3">
        <v>0</v>
      </c>
      <c r="Z2891" s="3">
        <v>0</v>
      </c>
      <c r="AA2891" s="3">
        <v>0</v>
      </c>
      <c r="AB2891" s="3">
        <v>0</v>
      </c>
      <c r="AC2891" s="3">
        <v>0</v>
      </c>
      <c r="AD2891" s="3">
        <v>0</v>
      </c>
      <c r="AE2891" s="3">
        <v>0</v>
      </c>
      <c r="AF2891" s="3">
        <v>0</v>
      </c>
      <c r="AG2891" s="3">
        <v>0</v>
      </c>
      <c r="AH2891" s="3">
        <v>0</v>
      </c>
      <c r="AI2891" s="3">
        <v>0</v>
      </c>
      <c r="AJ2891" s="3">
        <v>0</v>
      </c>
      <c r="AK2891" s="3">
        <v>16.98</v>
      </c>
      <c r="AL2891" s="3">
        <v>0</v>
      </c>
      <c r="AM2891" s="3">
        <v>0</v>
      </c>
      <c r="AN2891" s="3">
        <v>0</v>
      </c>
      <c r="AO2891" s="3">
        <v>0</v>
      </c>
      <c r="AP2891" s="3">
        <v>0</v>
      </c>
      <c r="AQ2891" s="3">
        <v>0</v>
      </c>
      <c r="AR2891" s="3">
        <v>0</v>
      </c>
      <c r="AS2891" s="3">
        <v>0</v>
      </c>
      <c r="AT2891" s="3">
        <v>0</v>
      </c>
      <c r="AU2891" s="3">
        <v>0</v>
      </c>
      <c r="AV2891" s="3">
        <v>0</v>
      </c>
      <c r="AW2891" s="3">
        <v>0</v>
      </c>
      <c r="AX2891" s="3">
        <v>0</v>
      </c>
      <c r="AY2891" s="3">
        <v>0</v>
      </c>
      <c r="AZ2891" s="3">
        <v>0</v>
      </c>
      <c r="BA2891" s="3">
        <v>0</v>
      </c>
      <c r="BB2891" s="3">
        <v>0</v>
      </c>
      <c r="BC2891" s="3">
        <v>0</v>
      </c>
      <c r="BD2891" s="3">
        <v>0</v>
      </c>
      <c r="BE2891" s="3">
        <v>0</v>
      </c>
      <c r="BF2891" s="3">
        <v>0</v>
      </c>
      <c r="BG2891" s="3">
        <v>0</v>
      </c>
      <c r="BH2891" s="3">
        <v>1</v>
      </c>
      <c r="BI2891" s="3">
        <v>1</v>
      </c>
      <c r="BJ2891" s="3">
        <v>0.2</v>
      </c>
      <c r="BK2891" s="3">
        <v>1</v>
      </c>
      <c r="BL2891" s="3">
        <v>60.52</v>
      </c>
      <c r="BM2891" s="3">
        <v>9.08</v>
      </c>
      <c r="BN2891" s="3">
        <v>69.599999999999994</v>
      </c>
      <c r="BO2891" s="3">
        <v>69.599999999999994</v>
      </c>
      <c r="BQ2891" s="3" t="s">
        <v>83</v>
      </c>
      <c r="BR2891" s="3" t="s">
        <v>308</v>
      </c>
      <c r="BS2891" s="4">
        <v>44565</v>
      </c>
      <c r="BT2891" s="5">
        <v>0.35694444444444445</v>
      </c>
      <c r="BU2891" s="3" t="s">
        <v>508</v>
      </c>
      <c r="BV2891" s="3" t="s">
        <v>105</v>
      </c>
      <c r="BY2891" s="3">
        <v>1200</v>
      </c>
      <c r="BZ2891" s="3" t="s">
        <v>165</v>
      </c>
      <c r="CA2891" s="3" t="s">
        <v>509</v>
      </c>
      <c r="CC2891" s="3" t="s">
        <v>172</v>
      </c>
      <c r="CD2891" s="3">
        <v>6001</v>
      </c>
      <c r="CE2891" s="3" t="s">
        <v>93</v>
      </c>
      <c r="CF2891" s="4">
        <v>44565</v>
      </c>
      <c r="CI2891" s="3">
        <v>1</v>
      </c>
      <c r="CJ2891" s="3">
        <v>1</v>
      </c>
      <c r="CK2891" s="3">
        <v>21</v>
      </c>
      <c r="CL2891" s="3" t="s">
        <v>87</v>
      </c>
    </row>
    <row r="2892" spans="1:90" x14ac:dyDescent="0.2">
      <c r="A2892" s="3" t="s">
        <v>72</v>
      </c>
      <c r="B2892" s="3" t="s">
        <v>73</v>
      </c>
      <c r="C2892" s="3" t="s">
        <v>74</v>
      </c>
      <c r="E2892" s="3" t="str">
        <f>"FES1162843132"</f>
        <v>FES1162843132</v>
      </c>
      <c r="F2892" s="4">
        <v>44564</v>
      </c>
      <c r="G2892" s="3">
        <v>202207</v>
      </c>
      <c r="H2892" s="3" t="s">
        <v>75</v>
      </c>
      <c r="I2892" s="3" t="s">
        <v>76</v>
      </c>
      <c r="J2892" s="3" t="s">
        <v>77</v>
      </c>
      <c r="K2892" s="3" t="s">
        <v>78</v>
      </c>
      <c r="L2892" s="3" t="s">
        <v>90</v>
      </c>
      <c r="M2892" s="3" t="s">
        <v>91</v>
      </c>
      <c r="N2892" s="3" t="s">
        <v>157</v>
      </c>
      <c r="O2892" s="3" t="s">
        <v>82</v>
      </c>
      <c r="P2892" s="3" t="str">
        <f>"2170799493                    "</f>
        <v xml:space="preserve">2170799493                    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  <c r="AE2892" s="3">
        <v>0</v>
      </c>
      <c r="AF2892" s="3">
        <v>0</v>
      </c>
      <c r="AG2892" s="3">
        <v>0</v>
      </c>
      <c r="AH2892" s="3">
        <v>0</v>
      </c>
      <c r="AI2892" s="3">
        <v>0</v>
      </c>
      <c r="AJ2892" s="3">
        <v>0</v>
      </c>
      <c r="AK2892" s="3">
        <v>16.98</v>
      </c>
      <c r="AL2892" s="3">
        <v>0</v>
      </c>
      <c r="AM2892" s="3">
        <v>0</v>
      </c>
      <c r="AN2892" s="3">
        <v>0</v>
      </c>
      <c r="AO2892" s="3">
        <v>0</v>
      </c>
      <c r="AP2892" s="3">
        <v>0</v>
      </c>
      <c r="AQ2892" s="3">
        <v>0</v>
      </c>
      <c r="AR2892" s="3">
        <v>0</v>
      </c>
      <c r="AS2892" s="3">
        <v>0</v>
      </c>
      <c r="AT2892" s="3">
        <v>0</v>
      </c>
      <c r="AU2892" s="3">
        <v>0</v>
      </c>
      <c r="AV2892" s="3">
        <v>0</v>
      </c>
      <c r="AW2892" s="3">
        <v>0</v>
      </c>
      <c r="AX2892" s="3">
        <v>0</v>
      </c>
      <c r="AY2892" s="3">
        <v>0</v>
      </c>
      <c r="AZ2892" s="3">
        <v>0</v>
      </c>
      <c r="BA2892" s="3">
        <v>0</v>
      </c>
      <c r="BB2892" s="3">
        <v>0</v>
      </c>
      <c r="BC2892" s="3">
        <v>0</v>
      </c>
      <c r="BD2892" s="3">
        <v>0</v>
      </c>
      <c r="BE2892" s="3">
        <v>0</v>
      </c>
      <c r="BF2892" s="3">
        <v>0</v>
      </c>
      <c r="BG2892" s="3">
        <v>0</v>
      </c>
      <c r="BH2892" s="3">
        <v>1</v>
      </c>
      <c r="BI2892" s="3">
        <v>1</v>
      </c>
      <c r="BJ2892" s="3">
        <v>1.1000000000000001</v>
      </c>
      <c r="BK2892" s="3">
        <v>1.5</v>
      </c>
      <c r="BL2892" s="3">
        <v>60.52</v>
      </c>
      <c r="BM2892" s="3">
        <v>9.08</v>
      </c>
      <c r="BN2892" s="3">
        <v>69.599999999999994</v>
      </c>
      <c r="BO2892" s="3">
        <v>69.599999999999994</v>
      </c>
      <c r="BQ2892" s="3" t="s">
        <v>89</v>
      </c>
      <c r="BR2892" s="3" t="s">
        <v>308</v>
      </c>
      <c r="BS2892" s="4">
        <v>44565</v>
      </c>
      <c r="BT2892" s="5">
        <v>0.36180555555555555</v>
      </c>
      <c r="BU2892" s="3" t="s">
        <v>1825</v>
      </c>
      <c r="BV2892" s="3" t="s">
        <v>105</v>
      </c>
      <c r="BY2892" s="3">
        <v>5320</v>
      </c>
      <c r="BZ2892" s="3" t="s">
        <v>165</v>
      </c>
      <c r="CA2892" s="3" t="s">
        <v>289</v>
      </c>
      <c r="CC2892" s="3" t="s">
        <v>91</v>
      </c>
      <c r="CD2892" s="3">
        <v>7441</v>
      </c>
      <c r="CE2892" s="3" t="s">
        <v>86</v>
      </c>
      <c r="CF2892" s="4">
        <v>44566</v>
      </c>
      <c r="CI2892" s="3">
        <v>1</v>
      </c>
      <c r="CJ2892" s="3">
        <v>1</v>
      </c>
      <c r="CK2892" s="3">
        <v>21</v>
      </c>
      <c r="CL2892" s="3" t="s">
        <v>87</v>
      </c>
    </row>
    <row r="2893" spans="1:90" x14ac:dyDescent="0.2">
      <c r="A2893" s="3" t="s">
        <v>72</v>
      </c>
      <c r="B2893" s="3" t="s">
        <v>73</v>
      </c>
      <c r="C2893" s="3" t="s">
        <v>74</v>
      </c>
      <c r="E2893" s="3" t="str">
        <f>"FES1162843121"</f>
        <v>FES1162843121</v>
      </c>
      <c r="F2893" s="4">
        <v>44564</v>
      </c>
      <c r="G2893" s="3">
        <v>202207</v>
      </c>
      <c r="H2893" s="3" t="s">
        <v>75</v>
      </c>
      <c r="I2893" s="3" t="s">
        <v>76</v>
      </c>
      <c r="J2893" s="3" t="s">
        <v>77</v>
      </c>
      <c r="K2893" s="3" t="s">
        <v>78</v>
      </c>
      <c r="L2893" s="3" t="s">
        <v>799</v>
      </c>
      <c r="M2893" s="3" t="s">
        <v>800</v>
      </c>
      <c r="N2893" s="3" t="s">
        <v>801</v>
      </c>
      <c r="O2893" s="3" t="s">
        <v>82</v>
      </c>
      <c r="P2893" s="3" t="str">
        <f>"2170815415                    "</f>
        <v xml:space="preserve">2170815415                    </v>
      </c>
      <c r="Q2893" s="3">
        <v>0</v>
      </c>
      <c r="R2893" s="3">
        <v>0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  <c r="AE2893" s="3">
        <v>0</v>
      </c>
      <c r="AF2893" s="3">
        <v>0</v>
      </c>
      <c r="AG2893" s="3">
        <v>0</v>
      </c>
      <c r="AH2893" s="3">
        <v>0</v>
      </c>
      <c r="AI2893" s="3">
        <v>0</v>
      </c>
      <c r="AJ2893" s="3">
        <v>0</v>
      </c>
      <c r="AK2893" s="3">
        <v>23.88</v>
      </c>
      <c r="AL2893" s="3">
        <v>0</v>
      </c>
      <c r="AM2893" s="3">
        <v>0</v>
      </c>
      <c r="AN2893" s="3">
        <v>0</v>
      </c>
      <c r="AO2893" s="3">
        <v>0</v>
      </c>
      <c r="AP2893" s="3">
        <v>0</v>
      </c>
      <c r="AQ2893" s="3">
        <v>0</v>
      </c>
      <c r="AR2893" s="3">
        <v>0</v>
      </c>
      <c r="AS2893" s="3">
        <v>0</v>
      </c>
      <c r="AT2893" s="3">
        <v>0</v>
      </c>
      <c r="AU2893" s="3">
        <v>0</v>
      </c>
      <c r="AV2893" s="3">
        <v>0</v>
      </c>
      <c r="AW2893" s="3">
        <v>0</v>
      </c>
      <c r="AX2893" s="3">
        <v>0</v>
      </c>
      <c r="AY2893" s="3">
        <v>0</v>
      </c>
      <c r="AZ2893" s="3">
        <v>0</v>
      </c>
      <c r="BA2893" s="3">
        <v>0</v>
      </c>
      <c r="BB2893" s="3">
        <v>0</v>
      </c>
      <c r="BC2893" s="3">
        <v>0</v>
      </c>
      <c r="BD2893" s="3">
        <v>0</v>
      </c>
      <c r="BE2893" s="3">
        <v>0</v>
      </c>
      <c r="BF2893" s="3">
        <v>0</v>
      </c>
      <c r="BG2893" s="3">
        <v>0</v>
      </c>
      <c r="BH2893" s="3">
        <v>1</v>
      </c>
      <c r="BI2893" s="3">
        <v>1</v>
      </c>
      <c r="BJ2893" s="3">
        <v>1.4</v>
      </c>
      <c r="BK2893" s="3">
        <v>1.5</v>
      </c>
      <c r="BL2893" s="3">
        <v>85.12</v>
      </c>
      <c r="BM2893" s="3">
        <v>12.77</v>
      </c>
      <c r="BN2893" s="3">
        <v>97.89</v>
      </c>
      <c r="BO2893" s="3">
        <v>97.89</v>
      </c>
      <c r="BQ2893" s="3" t="s">
        <v>89</v>
      </c>
      <c r="BR2893" s="3" t="s">
        <v>308</v>
      </c>
      <c r="BS2893" s="4">
        <v>44565</v>
      </c>
      <c r="BT2893" s="5">
        <v>0.43194444444444446</v>
      </c>
      <c r="BU2893" s="3" t="s">
        <v>1392</v>
      </c>
      <c r="BV2893" s="3" t="s">
        <v>105</v>
      </c>
      <c r="BY2893" s="3">
        <v>7200</v>
      </c>
      <c r="BZ2893" s="3" t="s">
        <v>165</v>
      </c>
      <c r="CA2893" s="3" t="s">
        <v>803</v>
      </c>
      <c r="CC2893" s="3" t="s">
        <v>800</v>
      </c>
      <c r="CD2893" s="3">
        <v>2210</v>
      </c>
      <c r="CE2893" s="3" t="s">
        <v>86</v>
      </c>
      <c r="CF2893" s="4">
        <v>44566</v>
      </c>
      <c r="CI2893" s="3">
        <v>1</v>
      </c>
      <c r="CJ2893" s="3">
        <v>1</v>
      </c>
      <c r="CK2893" s="3">
        <v>24</v>
      </c>
      <c r="CL2893" s="3" t="s">
        <v>87</v>
      </c>
    </row>
    <row r="2894" spans="1:90" x14ac:dyDescent="0.2">
      <c r="A2894" s="3" t="s">
        <v>72</v>
      </c>
      <c r="B2894" s="3" t="s">
        <v>73</v>
      </c>
      <c r="C2894" s="3" t="s">
        <v>74</v>
      </c>
      <c r="E2894" s="3" t="str">
        <f>"FES1162843225"</f>
        <v>FES1162843225</v>
      </c>
      <c r="F2894" s="4">
        <v>44564</v>
      </c>
      <c r="G2894" s="3">
        <v>202207</v>
      </c>
      <c r="H2894" s="3" t="s">
        <v>75</v>
      </c>
      <c r="I2894" s="3" t="s">
        <v>76</v>
      </c>
      <c r="J2894" s="3" t="s">
        <v>77</v>
      </c>
      <c r="K2894" s="3" t="s">
        <v>78</v>
      </c>
      <c r="L2894" s="3" t="s">
        <v>694</v>
      </c>
      <c r="M2894" s="3" t="s">
        <v>695</v>
      </c>
      <c r="N2894" s="3" t="s">
        <v>696</v>
      </c>
      <c r="O2894" s="3" t="s">
        <v>82</v>
      </c>
      <c r="P2894" s="3" t="str">
        <f>"2170813709                    "</f>
        <v xml:space="preserve">2170813709                    </v>
      </c>
      <c r="Q2894" s="3">
        <v>0</v>
      </c>
      <c r="R2894" s="3">
        <v>0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  <c r="AE2894" s="3">
        <v>0</v>
      </c>
      <c r="AF2894" s="3">
        <v>0</v>
      </c>
      <c r="AG2894" s="3">
        <v>0</v>
      </c>
      <c r="AH2894" s="3">
        <v>0</v>
      </c>
      <c r="AI2894" s="3">
        <v>0</v>
      </c>
      <c r="AJ2894" s="3">
        <v>0</v>
      </c>
      <c r="AK2894" s="3">
        <v>32.9</v>
      </c>
      <c r="AL2894" s="3">
        <v>0</v>
      </c>
      <c r="AM2894" s="3">
        <v>0</v>
      </c>
      <c r="AN2894" s="3">
        <v>0</v>
      </c>
      <c r="AO2894" s="3">
        <v>0</v>
      </c>
      <c r="AP2894" s="3">
        <v>0</v>
      </c>
      <c r="AQ2894" s="3">
        <v>0</v>
      </c>
      <c r="AR2894" s="3">
        <v>0</v>
      </c>
      <c r="AS2894" s="3">
        <v>0</v>
      </c>
      <c r="AT2894" s="3">
        <v>0</v>
      </c>
      <c r="AU2894" s="3">
        <v>0</v>
      </c>
      <c r="AV2894" s="3">
        <v>0</v>
      </c>
      <c r="AW2894" s="3">
        <v>0</v>
      </c>
      <c r="AX2894" s="3">
        <v>0</v>
      </c>
      <c r="AY2894" s="3">
        <v>0</v>
      </c>
      <c r="AZ2894" s="3">
        <v>0</v>
      </c>
      <c r="BA2894" s="3">
        <v>0</v>
      </c>
      <c r="BB2894" s="3">
        <v>0</v>
      </c>
      <c r="BC2894" s="3">
        <v>0</v>
      </c>
      <c r="BD2894" s="3">
        <v>0</v>
      </c>
      <c r="BE2894" s="3">
        <v>0</v>
      </c>
      <c r="BF2894" s="3">
        <v>0</v>
      </c>
      <c r="BG2894" s="3">
        <v>0</v>
      </c>
      <c r="BH2894" s="3">
        <v>1</v>
      </c>
      <c r="BI2894" s="3">
        <v>1</v>
      </c>
      <c r="BJ2894" s="3">
        <v>1.1000000000000001</v>
      </c>
      <c r="BK2894" s="3">
        <v>1.5</v>
      </c>
      <c r="BL2894" s="3">
        <v>117.26</v>
      </c>
      <c r="BM2894" s="3">
        <v>17.59</v>
      </c>
      <c r="BN2894" s="3">
        <v>134.85</v>
      </c>
      <c r="BO2894" s="3">
        <v>134.85</v>
      </c>
      <c r="BR2894" s="3" t="s">
        <v>308</v>
      </c>
      <c r="BS2894" s="4">
        <v>44565</v>
      </c>
      <c r="BT2894" s="5">
        <v>0.44166666666666665</v>
      </c>
      <c r="BU2894" s="3" t="s">
        <v>1536</v>
      </c>
      <c r="BV2894" s="3" t="s">
        <v>105</v>
      </c>
      <c r="BY2894" s="3">
        <v>5320</v>
      </c>
      <c r="BZ2894" s="3" t="s">
        <v>165</v>
      </c>
      <c r="CA2894" s="3" t="s">
        <v>698</v>
      </c>
      <c r="CC2894" s="3" t="s">
        <v>695</v>
      </c>
      <c r="CD2894" s="3">
        <v>4430</v>
      </c>
      <c r="CE2894" s="3" t="s">
        <v>86</v>
      </c>
      <c r="CF2894" s="4">
        <v>44565</v>
      </c>
      <c r="CI2894" s="3">
        <v>1</v>
      </c>
      <c r="CJ2894" s="3">
        <v>1</v>
      </c>
      <c r="CK2894" s="3">
        <v>23</v>
      </c>
      <c r="CL2894" s="3" t="s">
        <v>87</v>
      </c>
    </row>
    <row r="2895" spans="1:90" x14ac:dyDescent="0.2">
      <c r="A2895" s="3" t="s">
        <v>72</v>
      </c>
      <c r="B2895" s="3" t="s">
        <v>73</v>
      </c>
      <c r="C2895" s="3" t="s">
        <v>74</v>
      </c>
      <c r="E2895" s="3" t="str">
        <f>"FES1162843129"</f>
        <v>FES1162843129</v>
      </c>
      <c r="F2895" s="4">
        <v>44564</v>
      </c>
      <c r="G2895" s="3">
        <v>202207</v>
      </c>
      <c r="H2895" s="3" t="s">
        <v>75</v>
      </c>
      <c r="I2895" s="3" t="s">
        <v>76</v>
      </c>
      <c r="J2895" s="3" t="s">
        <v>77</v>
      </c>
      <c r="K2895" s="3" t="s">
        <v>78</v>
      </c>
      <c r="L2895" s="3" t="s">
        <v>115</v>
      </c>
      <c r="M2895" s="3" t="s">
        <v>116</v>
      </c>
      <c r="N2895" s="3" t="s">
        <v>164</v>
      </c>
      <c r="O2895" s="3" t="s">
        <v>82</v>
      </c>
      <c r="P2895" s="3" t="str">
        <f>"2170815468                    "</f>
        <v xml:space="preserve">2170815468                    </v>
      </c>
      <c r="Q2895" s="3">
        <v>0</v>
      </c>
      <c r="R2895" s="3">
        <v>0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  <c r="AE2895" s="3">
        <v>0</v>
      </c>
      <c r="AF2895" s="3">
        <v>0</v>
      </c>
      <c r="AG2895" s="3">
        <v>0</v>
      </c>
      <c r="AH2895" s="3">
        <v>0</v>
      </c>
      <c r="AI2895" s="3">
        <v>0</v>
      </c>
      <c r="AJ2895" s="3">
        <v>0</v>
      </c>
      <c r="AK2895" s="3">
        <v>13.26</v>
      </c>
      <c r="AL2895" s="3">
        <v>0</v>
      </c>
      <c r="AM2895" s="3">
        <v>0</v>
      </c>
      <c r="AN2895" s="3">
        <v>0</v>
      </c>
      <c r="AO2895" s="3">
        <v>0</v>
      </c>
      <c r="AP2895" s="3">
        <v>0</v>
      </c>
      <c r="AQ2895" s="3">
        <v>0</v>
      </c>
      <c r="AR2895" s="3">
        <v>0</v>
      </c>
      <c r="AS2895" s="3">
        <v>0</v>
      </c>
      <c r="AT2895" s="3">
        <v>0</v>
      </c>
      <c r="AU2895" s="3">
        <v>0</v>
      </c>
      <c r="AV2895" s="3">
        <v>0</v>
      </c>
      <c r="AW2895" s="3">
        <v>0</v>
      </c>
      <c r="AX2895" s="3">
        <v>0</v>
      </c>
      <c r="AY2895" s="3">
        <v>0</v>
      </c>
      <c r="AZ2895" s="3">
        <v>0</v>
      </c>
      <c r="BA2895" s="3">
        <v>0</v>
      </c>
      <c r="BB2895" s="3">
        <v>0</v>
      </c>
      <c r="BC2895" s="3">
        <v>0</v>
      </c>
      <c r="BD2895" s="3">
        <v>0</v>
      </c>
      <c r="BE2895" s="3">
        <v>0</v>
      </c>
      <c r="BF2895" s="3">
        <v>0</v>
      </c>
      <c r="BG2895" s="3">
        <v>0</v>
      </c>
      <c r="BH2895" s="3">
        <v>1</v>
      </c>
      <c r="BI2895" s="3">
        <v>2</v>
      </c>
      <c r="BJ2895" s="3">
        <v>2</v>
      </c>
      <c r="BK2895" s="3">
        <v>2</v>
      </c>
      <c r="BL2895" s="3">
        <v>47.27</v>
      </c>
      <c r="BM2895" s="3">
        <v>7.09</v>
      </c>
      <c r="BN2895" s="3">
        <v>54.36</v>
      </c>
      <c r="BO2895" s="3">
        <v>54.36</v>
      </c>
      <c r="BQ2895" s="3" t="s">
        <v>89</v>
      </c>
      <c r="BR2895" s="3" t="s">
        <v>308</v>
      </c>
      <c r="BS2895" s="4">
        <v>44565</v>
      </c>
      <c r="BT2895" s="5">
        <v>0.4284722222222222</v>
      </c>
      <c r="BU2895" s="3" t="s">
        <v>2606</v>
      </c>
      <c r="BV2895" s="3" t="s">
        <v>105</v>
      </c>
      <c r="BY2895" s="3">
        <v>9900</v>
      </c>
      <c r="BZ2895" s="3" t="s">
        <v>165</v>
      </c>
      <c r="CA2895" s="3" t="s">
        <v>119</v>
      </c>
      <c r="CC2895" s="3" t="s">
        <v>116</v>
      </c>
      <c r="CD2895" s="3">
        <v>1559</v>
      </c>
      <c r="CE2895" s="3" t="s">
        <v>86</v>
      </c>
      <c r="CF2895" s="4">
        <v>44565</v>
      </c>
      <c r="CI2895" s="3">
        <v>1</v>
      </c>
      <c r="CJ2895" s="3">
        <v>1</v>
      </c>
      <c r="CK2895" s="3">
        <v>22</v>
      </c>
      <c r="CL2895" s="3" t="s">
        <v>87</v>
      </c>
    </row>
    <row r="2896" spans="1:90" x14ac:dyDescent="0.2">
      <c r="A2896" s="3" t="s">
        <v>72</v>
      </c>
      <c r="B2896" s="3" t="s">
        <v>73</v>
      </c>
      <c r="C2896" s="3" t="s">
        <v>74</v>
      </c>
      <c r="E2896" s="3" t="str">
        <f>"FES1162843053"</f>
        <v>FES1162843053</v>
      </c>
      <c r="F2896" s="4">
        <v>44564</v>
      </c>
      <c r="G2896" s="3">
        <v>202207</v>
      </c>
      <c r="H2896" s="3" t="s">
        <v>75</v>
      </c>
      <c r="I2896" s="3" t="s">
        <v>76</v>
      </c>
      <c r="J2896" s="3" t="s">
        <v>77</v>
      </c>
      <c r="K2896" s="3" t="s">
        <v>78</v>
      </c>
      <c r="L2896" s="3" t="s">
        <v>97</v>
      </c>
      <c r="M2896" s="3" t="s">
        <v>98</v>
      </c>
      <c r="N2896" s="3" t="s">
        <v>295</v>
      </c>
      <c r="O2896" s="3" t="s">
        <v>82</v>
      </c>
      <c r="P2896" s="3" t="str">
        <f>"2170812209                    "</f>
        <v xml:space="preserve">2170812209                    </v>
      </c>
      <c r="Q2896" s="3">
        <v>0</v>
      </c>
      <c r="R2896" s="3">
        <v>0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  <c r="AE2896" s="3">
        <v>0</v>
      </c>
      <c r="AF2896" s="3">
        <v>0</v>
      </c>
      <c r="AG2896" s="3">
        <v>0</v>
      </c>
      <c r="AH2896" s="3">
        <v>0</v>
      </c>
      <c r="AI2896" s="3">
        <v>0</v>
      </c>
      <c r="AJ2896" s="3">
        <v>0</v>
      </c>
      <c r="AK2896" s="3">
        <v>13.26</v>
      </c>
      <c r="AL2896" s="3">
        <v>0</v>
      </c>
      <c r="AM2896" s="3">
        <v>0</v>
      </c>
      <c r="AN2896" s="3">
        <v>0</v>
      </c>
      <c r="AO2896" s="3">
        <v>0</v>
      </c>
      <c r="AP2896" s="3">
        <v>0</v>
      </c>
      <c r="AQ2896" s="3">
        <v>0</v>
      </c>
      <c r="AR2896" s="3">
        <v>0</v>
      </c>
      <c r="AS2896" s="3">
        <v>0</v>
      </c>
      <c r="AT2896" s="3">
        <v>0</v>
      </c>
      <c r="AU2896" s="3">
        <v>0</v>
      </c>
      <c r="AV2896" s="3">
        <v>0</v>
      </c>
      <c r="AW2896" s="3">
        <v>0</v>
      </c>
      <c r="AX2896" s="3">
        <v>0</v>
      </c>
      <c r="AY2896" s="3">
        <v>0</v>
      </c>
      <c r="AZ2896" s="3">
        <v>0</v>
      </c>
      <c r="BA2896" s="3">
        <v>0</v>
      </c>
      <c r="BB2896" s="3">
        <v>0</v>
      </c>
      <c r="BC2896" s="3">
        <v>0</v>
      </c>
      <c r="BD2896" s="3">
        <v>0</v>
      </c>
      <c r="BE2896" s="3">
        <v>0</v>
      </c>
      <c r="BF2896" s="3">
        <v>0</v>
      </c>
      <c r="BG2896" s="3">
        <v>0</v>
      </c>
      <c r="BH2896" s="3">
        <v>1</v>
      </c>
      <c r="BI2896" s="3">
        <v>1</v>
      </c>
      <c r="BJ2896" s="3">
        <v>1.1000000000000001</v>
      </c>
      <c r="BK2896" s="3">
        <v>1.5</v>
      </c>
      <c r="BL2896" s="3">
        <v>47.27</v>
      </c>
      <c r="BM2896" s="3">
        <v>7.09</v>
      </c>
      <c r="BN2896" s="3">
        <v>54.36</v>
      </c>
      <c r="BO2896" s="3">
        <v>54.36</v>
      </c>
      <c r="BR2896" s="3" t="s">
        <v>308</v>
      </c>
      <c r="BS2896" s="4">
        <v>44565</v>
      </c>
      <c r="BT2896" s="5">
        <v>0.58472222222222225</v>
      </c>
      <c r="BU2896" s="3" t="s">
        <v>296</v>
      </c>
      <c r="BV2896" s="3" t="s">
        <v>87</v>
      </c>
      <c r="BW2896" s="3" t="s">
        <v>353</v>
      </c>
      <c r="BX2896" s="3" t="s">
        <v>618</v>
      </c>
      <c r="BY2896" s="3">
        <v>5320</v>
      </c>
      <c r="BZ2896" s="3" t="s">
        <v>165</v>
      </c>
      <c r="CA2896" s="3" t="s">
        <v>952</v>
      </c>
      <c r="CC2896" s="3" t="s">
        <v>98</v>
      </c>
      <c r="CD2896" s="3">
        <v>2013</v>
      </c>
      <c r="CE2896" s="3" t="s">
        <v>86</v>
      </c>
      <c r="CF2896" s="4">
        <v>44565</v>
      </c>
      <c r="CI2896" s="3">
        <v>1</v>
      </c>
      <c r="CJ2896" s="3">
        <v>1</v>
      </c>
      <c r="CK2896" s="3">
        <v>22</v>
      </c>
      <c r="CL2896" s="3" t="s">
        <v>87</v>
      </c>
    </row>
    <row r="2897" spans="1:90" x14ac:dyDescent="0.2">
      <c r="A2897" s="3" t="s">
        <v>72</v>
      </c>
      <c r="B2897" s="3" t="s">
        <v>73</v>
      </c>
      <c r="C2897" s="3" t="s">
        <v>74</v>
      </c>
      <c r="E2897" s="3" t="str">
        <f>"FES1162843240"</f>
        <v>FES1162843240</v>
      </c>
      <c r="F2897" s="4">
        <v>44564</v>
      </c>
      <c r="G2897" s="3">
        <v>202207</v>
      </c>
      <c r="H2897" s="3" t="s">
        <v>75</v>
      </c>
      <c r="I2897" s="3" t="s">
        <v>76</v>
      </c>
      <c r="J2897" s="3" t="s">
        <v>77</v>
      </c>
      <c r="K2897" s="3" t="s">
        <v>78</v>
      </c>
      <c r="L2897" s="3" t="s">
        <v>171</v>
      </c>
      <c r="M2897" s="3" t="s">
        <v>172</v>
      </c>
      <c r="N2897" s="3" t="s">
        <v>249</v>
      </c>
      <c r="O2897" s="3" t="s">
        <v>82</v>
      </c>
      <c r="P2897" s="3" t="str">
        <f>"2170815228                    "</f>
        <v xml:space="preserve">2170815228                    </v>
      </c>
      <c r="Q2897" s="3">
        <v>0</v>
      </c>
      <c r="R2897" s="3">
        <v>0</v>
      </c>
      <c r="S2897" s="3">
        <v>0</v>
      </c>
      <c r="T2897" s="3">
        <v>0</v>
      </c>
      <c r="U2897" s="3">
        <v>0</v>
      </c>
      <c r="V2897" s="3">
        <v>0</v>
      </c>
      <c r="W2897" s="3">
        <v>0</v>
      </c>
      <c r="X2897" s="3">
        <v>0</v>
      </c>
      <c r="Y2897" s="3">
        <v>0</v>
      </c>
      <c r="Z2897" s="3">
        <v>0</v>
      </c>
      <c r="AA2897" s="3">
        <v>0</v>
      </c>
      <c r="AB2897" s="3">
        <v>0</v>
      </c>
      <c r="AC2897" s="3">
        <v>0</v>
      </c>
      <c r="AD2897" s="3">
        <v>0</v>
      </c>
      <c r="AE2897" s="3">
        <v>0</v>
      </c>
      <c r="AF2897" s="3">
        <v>0</v>
      </c>
      <c r="AG2897" s="3">
        <v>0</v>
      </c>
      <c r="AH2897" s="3">
        <v>0</v>
      </c>
      <c r="AI2897" s="3">
        <v>0</v>
      </c>
      <c r="AJ2897" s="3">
        <v>0</v>
      </c>
      <c r="AK2897" s="3">
        <v>16.98</v>
      </c>
      <c r="AL2897" s="3">
        <v>0</v>
      </c>
      <c r="AM2897" s="3">
        <v>0</v>
      </c>
      <c r="AN2897" s="3">
        <v>0</v>
      </c>
      <c r="AO2897" s="3">
        <v>0</v>
      </c>
      <c r="AP2897" s="3">
        <v>0</v>
      </c>
      <c r="AQ2897" s="3">
        <v>0</v>
      </c>
      <c r="AR2897" s="3">
        <v>0</v>
      </c>
      <c r="AS2897" s="3">
        <v>0</v>
      </c>
      <c r="AT2897" s="3">
        <v>0</v>
      </c>
      <c r="AU2897" s="3">
        <v>0</v>
      </c>
      <c r="AV2897" s="3">
        <v>0</v>
      </c>
      <c r="AW2897" s="3">
        <v>0</v>
      </c>
      <c r="AX2897" s="3">
        <v>0</v>
      </c>
      <c r="AY2897" s="3">
        <v>0</v>
      </c>
      <c r="AZ2897" s="3">
        <v>0</v>
      </c>
      <c r="BA2897" s="3">
        <v>0</v>
      </c>
      <c r="BB2897" s="3">
        <v>0</v>
      </c>
      <c r="BC2897" s="3">
        <v>0</v>
      </c>
      <c r="BD2897" s="3">
        <v>0</v>
      </c>
      <c r="BE2897" s="3">
        <v>0</v>
      </c>
      <c r="BF2897" s="3">
        <v>0</v>
      </c>
      <c r="BG2897" s="3">
        <v>0</v>
      </c>
      <c r="BH2897" s="3">
        <v>1</v>
      </c>
      <c r="BI2897" s="3">
        <v>1</v>
      </c>
      <c r="BJ2897" s="3">
        <v>0.2</v>
      </c>
      <c r="BK2897" s="3">
        <v>1</v>
      </c>
      <c r="BL2897" s="3">
        <v>60.52</v>
      </c>
      <c r="BM2897" s="3">
        <v>9.08</v>
      </c>
      <c r="BN2897" s="3">
        <v>69.599999999999994</v>
      </c>
      <c r="BO2897" s="3">
        <v>69.599999999999994</v>
      </c>
      <c r="BQ2897" s="3" t="s">
        <v>89</v>
      </c>
      <c r="BR2897" s="3" t="s">
        <v>308</v>
      </c>
      <c r="BS2897" s="4">
        <v>44565</v>
      </c>
      <c r="BT2897" s="5">
        <v>0.3520833333333333</v>
      </c>
      <c r="BU2897" s="3" t="s">
        <v>2243</v>
      </c>
      <c r="BV2897" s="3" t="s">
        <v>105</v>
      </c>
      <c r="BY2897" s="3">
        <v>1200</v>
      </c>
      <c r="BZ2897" s="3" t="s">
        <v>165</v>
      </c>
      <c r="CA2897" s="3" t="s">
        <v>509</v>
      </c>
      <c r="CC2897" s="3" t="s">
        <v>172</v>
      </c>
      <c r="CD2897" s="3">
        <v>6001</v>
      </c>
      <c r="CE2897" s="3" t="s">
        <v>93</v>
      </c>
      <c r="CF2897" s="4">
        <v>44565</v>
      </c>
      <c r="CI2897" s="3">
        <v>1</v>
      </c>
      <c r="CJ2897" s="3">
        <v>1</v>
      </c>
      <c r="CK2897" s="3">
        <v>21</v>
      </c>
      <c r="CL2897" s="3" t="s">
        <v>87</v>
      </c>
    </row>
    <row r="2898" spans="1:90" x14ac:dyDescent="0.2">
      <c r="A2898" s="3" t="s">
        <v>72</v>
      </c>
      <c r="B2898" s="3" t="s">
        <v>73</v>
      </c>
      <c r="C2898" s="3" t="s">
        <v>74</v>
      </c>
      <c r="E2898" s="3" t="str">
        <f>"FES1162843103"</f>
        <v>FES1162843103</v>
      </c>
      <c r="F2898" s="4">
        <v>44564</v>
      </c>
      <c r="G2898" s="3">
        <v>202207</v>
      </c>
      <c r="H2898" s="3" t="s">
        <v>75</v>
      </c>
      <c r="I2898" s="3" t="s">
        <v>76</v>
      </c>
      <c r="J2898" s="3" t="s">
        <v>77</v>
      </c>
      <c r="K2898" s="3" t="s">
        <v>78</v>
      </c>
      <c r="L2898" s="3" t="s">
        <v>171</v>
      </c>
      <c r="M2898" s="3" t="s">
        <v>172</v>
      </c>
      <c r="N2898" s="3" t="s">
        <v>235</v>
      </c>
      <c r="O2898" s="3" t="s">
        <v>82</v>
      </c>
      <c r="P2898" s="3" t="str">
        <f>"2170810219                    "</f>
        <v xml:space="preserve">2170810219                    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  <c r="AE2898" s="3">
        <v>0</v>
      </c>
      <c r="AF2898" s="3">
        <v>0</v>
      </c>
      <c r="AG2898" s="3">
        <v>0</v>
      </c>
      <c r="AH2898" s="3">
        <v>0</v>
      </c>
      <c r="AI2898" s="3">
        <v>0</v>
      </c>
      <c r="AJ2898" s="3">
        <v>0</v>
      </c>
      <c r="AK2898" s="3">
        <v>33.950000000000003</v>
      </c>
      <c r="AL2898" s="3">
        <v>0</v>
      </c>
      <c r="AM2898" s="3">
        <v>0</v>
      </c>
      <c r="AN2898" s="3">
        <v>0</v>
      </c>
      <c r="AO2898" s="3">
        <v>0</v>
      </c>
      <c r="AP2898" s="3">
        <v>0</v>
      </c>
      <c r="AQ2898" s="3">
        <v>0</v>
      </c>
      <c r="AR2898" s="3">
        <v>0</v>
      </c>
      <c r="AS2898" s="3">
        <v>0</v>
      </c>
      <c r="AT2898" s="3">
        <v>0</v>
      </c>
      <c r="AU2898" s="3">
        <v>0</v>
      </c>
      <c r="AV2898" s="3">
        <v>0</v>
      </c>
      <c r="AW2898" s="3">
        <v>0</v>
      </c>
      <c r="AX2898" s="3">
        <v>0</v>
      </c>
      <c r="AY2898" s="3">
        <v>0</v>
      </c>
      <c r="AZ2898" s="3">
        <v>0</v>
      </c>
      <c r="BA2898" s="3">
        <v>0</v>
      </c>
      <c r="BB2898" s="3">
        <v>0</v>
      </c>
      <c r="BC2898" s="3">
        <v>0</v>
      </c>
      <c r="BD2898" s="3">
        <v>0</v>
      </c>
      <c r="BE2898" s="3">
        <v>0</v>
      </c>
      <c r="BF2898" s="3">
        <v>0</v>
      </c>
      <c r="BG2898" s="3">
        <v>0</v>
      </c>
      <c r="BH2898" s="3">
        <v>1</v>
      </c>
      <c r="BI2898" s="3">
        <v>4</v>
      </c>
      <c r="BJ2898" s="3">
        <v>2</v>
      </c>
      <c r="BK2898" s="3">
        <v>4</v>
      </c>
      <c r="BL2898" s="3">
        <v>121.01</v>
      </c>
      <c r="BM2898" s="3">
        <v>18.149999999999999</v>
      </c>
      <c r="BN2898" s="3">
        <v>139.16</v>
      </c>
      <c r="BO2898" s="3">
        <v>139.16</v>
      </c>
      <c r="BQ2898" s="3" t="s">
        <v>83</v>
      </c>
      <c r="BR2898" s="3" t="s">
        <v>308</v>
      </c>
      <c r="BS2898" s="4">
        <v>44566</v>
      </c>
      <c r="BT2898" s="5">
        <v>0.5131944444444444</v>
      </c>
      <c r="BU2898" s="3" t="s">
        <v>2557</v>
      </c>
      <c r="BV2898" s="3" t="s">
        <v>87</v>
      </c>
      <c r="BW2898" s="3" t="s">
        <v>457</v>
      </c>
      <c r="BX2898" s="3" t="s">
        <v>2558</v>
      </c>
      <c r="BY2898" s="3">
        <v>9918</v>
      </c>
      <c r="BZ2898" s="3" t="s">
        <v>165</v>
      </c>
      <c r="CA2898" s="3" t="s">
        <v>263</v>
      </c>
      <c r="CC2898" s="3" t="s">
        <v>172</v>
      </c>
      <c r="CD2898" s="3">
        <v>6001</v>
      </c>
      <c r="CE2898" s="3" t="s">
        <v>86</v>
      </c>
      <c r="CF2898" s="4">
        <v>44566</v>
      </c>
      <c r="CI2898" s="3">
        <v>1</v>
      </c>
      <c r="CJ2898" s="3">
        <v>2</v>
      </c>
      <c r="CK2898" s="3">
        <v>21</v>
      </c>
      <c r="CL2898" s="3" t="s">
        <v>87</v>
      </c>
    </row>
    <row r="2899" spans="1:90" x14ac:dyDescent="0.2">
      <c r="A2899" s="3" t="s">
        <v>72</v>
      </c>
      <c r="B2899" s="3" t="s">
        <v>73</v>
      </c>
      <c r="C2899" s="3" t="s">
        <v>74</v>
      </c>
      <c r="E2899" s="3" t="str">
        <f>"FES1162843243"</f>
        <v>FES1162843243</v>
      </c>
      <c r="F2899" s="4">
        <v>44564</v>
      </c>
      <c r="G2899" s="3">
        <v>202207</v>
      </c>
      <c r="H2899" s="3" t="s">
        <v>75</v>
      </c>
      <c r="I2899" s="3" t="s">
        <v>76</v>
      </c>
      <c r="J2899" s="3" t="s">
        <v>77</v>
      </c>
      <c r="K2899" s="3" t="s">
        <v>78</v>
      </c>
      <c r="L2899" s="3" t="s">
        <v>79</v>
      </c>
      <c r="M2899" s="3" t="s">
        <v>80</v>
      </c>
      <c r="N2899" s="3" t="s">
        <v>248</v>
      </c>
      <c r="O2899" s="3" t="s">
        <v>82</v>
      </c>
      <c r="P2899" s="3" t="str">
        <f>"2170815398                    "</f>
        <v xml:space="preserve">2170815398                    </v>
      </c>
      <c r="Q2899" s="3">
        <v>0</v>
      </c>
      <c r="R2899" s="3">
        <v>0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  <c r="AE2899" s="3">
        <v>0</v>
      </c>
      <c r="AF2899" s="3">
        <v>0</v>
      </c>
      <c r="AG2899" s="3">
        <v>0</v>
      </c>
      <c r="AH2899" s="3">
        <v>0</v>
      </c>
      <c r="AI2899" s="3">
        <v>0</v>
      </c>
      <c r="AJ2899" s="3">
        <v>0</v>
      </c>
      <c r="AK2899" s="3">
        <v>16.98</v>
      </c>
      <c r="AL2899" s="3">
        <v>0</v>
      </c>
      <c r="AM2899" s="3">
        <v>0</v>
      </c>
      <c r="AN2899" s="3">
        <v>0</v>
      </c>
      <c r="AO2899" s="3">
        <v>0</v>
      </c>
      <c r="AP2899" s="3">
        <v>0</v>
      </c>
      <c r="AQ2899" s="3">
        <v>0</v>
      </c>
      <c r="AR2899" s="3">
        <v>0</v>
      </c>
      <c r="AS2899" s="3">
        <v>0</v>
      </c>
      <c r="AT2899" s="3">
        <v>0</v>
      </c>
      <c r="AU2899" s="3">
        <v>0</v>
      </c>
      <c r="AV2899" s="3">
        <v>0</v>
      </c>
      <c r="AW2899" s="3">
        <v>0</v>
      </c>
      <c r="AX2899" s="3">
        <v>0</v>
      </c>
      <c r="AY2899" s="3">
        <v>0</v>
      </c>
      <c r="AZ2899" s="3">
        <v>0</v>
      </c>
      <c r="BA2899" s="3">
        <v>0</v>
      </c>
      <c r="BB2899" s="3">
        <v>0</v>
      </c>
      <c r="BC2899" s="3">
        <v>0</v>
      </c>
      <c r="BD2899" s="3">
        <v>0</v>
      </c>
      <c r="BE2899" s="3">
        <v>0</v>
      </c>
      <c r="BF2899" s="3">
        <v>0</v>
      </c>
      <c r="BG2899" s="3">
        <v>0</v>
      </c>
      <c r="BH2899" s="3">
        <v>1</v>
      </c>
      <c r="BI2899" s="3">
        <v>1</v>
      </c>
      <c r="BJ2899" s="3">
        <v>0.2</v>
      </c>
      <c r="BK2899" s="3">
        <v>1</v>
      </c>
      <c r="BL2899" s="3">
        <v>60.52</v>
      </c>
      <c r="BM2899" s="3">
        <v>9.08</v>
      </c>
      <c r="BN2899" s="3">
        <v>69.599999999999994</v>
      </c>
      <c r="BO2899" s="3">
        <v>69.599999999999994</v>
      </c>
      <c r="BQ2899" s="3" t="s">
        <v>83</v>
      </c>
      <c r="BR2899" s="3" t="s">
        <v>308</v>
      </c>
      <c r="BS2899" s="4">
        <v>44565</v>
      </c>
      <c r="BT2899" s="5">
        <v>0.39444444444444443</v>
      </c>
      <c r="BU2899" s="3" t="s">
        <v>361</v>
      </c>
      <c r="BV2899" s="3" t="s">
        <v>105</v>
      </c>
      <c r="BY2899" s="3">
        <v>1200</v>
      </c>
      <c r="BZ2899" s="3" t="s">
        <v>165</v>
      </c>
      <c r="CA2899" s="3" t="s">
        <v>362</v>
      </c>
      <c r="CC2899" s="3" t="s">
        <v>80</v>
      </c>
      <c r="CD2899" s="3">
        <v>1</v>
      </c>
      <c r="CE2899" s="3" t="s">
        <v>93</v>
      </c>
      <c r="CF2899" s="4">
        <v>44565</v>
      </c>
      <c r="CI2899" s="3">
        <v>1</v>
      </c>
      <c r="CJ2899" s="3">
        <v>1</v>
      </c>
      <c r="CK2899" s="3">
        <v>21</v>
      </c>
      <c r="CL2899" s="3" t="s">
        <v>87</v>
      </c>
    </row>
    <row r="2900" spans="1:90" x14ac:dyDescent="0.2">
      <c r="A2900" s="3" t="s">
        <v>72</v>
      </c>
      <c r="B2900" s="3" t="s">
        <v>73</v>
      </c>
      <c r="C2900" s="3" t="s">
        <v>74</v>
      </c>
      <c r="E2900" s="3" t="str">
        <f>"FES1162843065"</f>
        <v>FES1162843065</v>
      </c>
      <c r="F2900" s="4">
        <v>44564</v>
      </c>
      <c r="G2900" s="3">
        <v>202207</v>
      </c>
      <c r="H2900" s="3" t="s">
        <v>75</v>
      </c>
      <c r="I2900" s="3" t="s">
        <v>76</v>
      </c>
      <c r="J2900" s="3" t="s">
        <v>77</v>
      </c>
      <c r="K2900" s="3" t="s">
        <v>78</v>
      </c>
      <c r="L2900" s="3" t="s">
        <v>138</v>
      </c>
      <c r="M2900" s="3" t="s">
        <v>139</v>
      </c>
      <c r="N2900" s="3" t="s">
        <v>2716</v>
      </c>
      <c r="O2900" s="3" t="s">
        <v>82</v>
      </c>
      <c r="P2900" s="3" t="str">
        <f>"2170811638                    "</f>
        <v xml:space="preserve">2170811638                    </v>
      </c>
      <c r="Q2900" s="3">
        <v>0</v>
      </c>
      <c r="R2900" s="3">
        <v>0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  <c r="AE2900" s="3">
        <v>0</v>
      </c>
      <c r="AF2900" s="3">
        <v>0</v>
      </c>
      <c r="AG2900" s="3">
        <v>0</v>
      </c>
      <c r="AH2900" s="3">
        <v>0</v>
      </c>
      <c r="AI2900" s="3">
        <v>0</v>
      </c>
      <c r="AJ2900" s="3">
        <v>0</v>
      </c>
      <c r="AK2900" s="3">
        <v>93.36</v>
      </c>
      <c r="AL2900" s="3">
        <v>0</v>
      </c>
      <c r="AM2900" s="3">
        <v>0</v>
      </c>
      <c r="AN2900" s="3">
        <v>0</v>
      </c>
      <c r="AO2900" s="3">
        <v>0</v>
      </c>
      <c r="AP2900" s="3">
        <v>0</v>
      </c>
      <c r="AQ2900" s="3">
        <v>0</v>
      </c>
      <c r="AR2900" s="3">
        <v>0</v>
      </c>
      <c r="AS2900" s="3">
        <v>0</v>
      </c>
      <c r="AT2900" s="3">
        <v>0</v>
      </c>
      <c r="AU2900" s="3">
        <v>0</v>
      </c>
      <c r="AV2900" s="3">
        <v>0</v>
      </c>
      <c r="AW2900" s="3">
        <v>0</v>
      </c>
      <c r="AX2900" s="3">
        <v>0</v>
      </c>
      <c r="AY2900" s="3">
        <v>0</v>
      </c>
      <c r="AZ2900" s="3">
        <v>0</v>
      </c>
      <c r="BA2900" s="3">
        <v>0</v>
      </c>
      <c r="BB2900" s="3">
        <v>0</v>
      </c>
      <c r="BC2900" s="3">
        <v>0</v>
      </c>
      <c r="BD2900" s="3">
        <v>0</v>
      </c>
      <c r="BE2900" s="3">
        <v>0</v>
      </c>
      <c r="BF2900" s="3">
        <v>0</v>
      </c>
      <c r="BG2900" s="3">
        <v>0</v>
      </c>
      <c r="BH2900" s="3">
        <v>1</v>
      </c>
      <c r="BI2900" s="3">
        <v>11</v>
      </c>
      <c r="BJ2900" s="3">
        <v>4.5999999999999996</v>
      </c>
      <c r="BK2900" s="3">
        <v>11</v>
      </c>
      <c r="BL2900" s="3">
        <v>332.74</v>
      </c>
      <c r="BM2900" s="3">
        <v>49.91</v>
      </c>
      <c r="BN2900" s="3">
        <v>382.65</v>
      </c>
      <c r="BO2900" s="3">
        <v>382.65</v>
      </c>
      <c r="BQ2900" s="3" t="s">
        <v>83</v>
      </c>
      <c r="BR2900" s="3" t="s">
        <v>308</v>
      </c>
      <c r="BS2900" s="4">
        <v>44565</v>
      </c>
      <c r="BT2900" s="5">
        <v>0.36874999999999997</v>
      </c>
      <c r="BU2900" s="3" t="s">
        <v>2717</v>
      </c>
      <c r="BV2900" s="3" t="s">
        <v>105</v>
      </c>
      <c r="BY2900" s="3">
        <v>22800</v>
      </c>
      <c r="BZ2900" s="3" t="s">
        <v>165</v>
      </c>
      <c r="CA2900" s="3" t="s">
        <v>334</v>
      </c>
      <c r="CC2900" s="3" t="s">
        <v>139</v>
      </c>
      <c r="CD2900" s="3">
        <v>3610</v>
      </c>
      <c r="CE2900" s="3" t="s">
        <v>86</v>
      </c>
      <c r="CF2900" s="4">
        <v>44565</v>
      </c>
      <c r="CI2900" s="3">
        <v>1</v>
      </c>
      <c r="CJ2900" s="3">
        <v>1</v>
      </c>
      <c r="CK2900" s="3">
        <v>21</v>
      </c>
      <c r="CL2900" s="3" t="s">
        <v>87</v>
      </c>
    </row>
    <row r="2901" spans="1:90" x14ac:dyDescent="0.2">
      <c r="A2901" s="3" t="s">
        <v>72</v>
      </c>
      <c r="B2901" s="3" t="s">
        <v>73</v>
      </c>
      <c r="C2901" s="3" t="s">
        <v>74</v>
      </c>
      <c r="E2901" s="3" t="str">
        <f>"FES1162843172"</f>
        <v>FES1162843172</v>
      </c>
      <c r="F2901" s="4">
        <v>44564</v>
      </c>
      <c r="G2901" s="3">
        <v>202207</v>
      </c>
      <c r="H2901" s="3" t="s">
        <v>75</v>
      </c>
      <c r="I2901" s="3" t="s">
        <v>76</v>
      </c>
      <c r="J2901" s="3" t="s">
        <v>77</v>
      </c>
      <c r="K2901" s="3" t="s">
        <v>78</v>
      </c>
      <c r="L2901" s="3" t="s">
        <v>171</v>
      </c>
      <c r="M2901" s="3" t="s">
        <v>172</v>
      </c>
      <c r="N2901" s="3" t="s">
        <v>539</v>
      </c>
      <c r="O2901" s="3" t="s">
        <v>82</v>
      </c>
      <c r="P2901" s="3" t="str">
        <f>"2170812732                    "</f>
        <v xml:space="preserve">2170812732                    </v>
      </c>
      <c r="Q2901" s="3">
        <v>0</v>
      </c>
      <c r="R2901" s="3">
        <v>0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  <c r="AE2901" s="3">
        <v>0</v>
      </c>
      <c r="AF2901" s="3">
        <v>0</v>
      </c>
      <c r="AG2901" s="3">
        <v>0</v>
      </c>
      <c r="AH2901" s="3">
        <v>0</v>
      </c>
      <c r="AI2901" s="3">
        <v>0</v>
      </c>
      <c r="AJ2901" s="3">
        <v>0</v>
      </c>
      <c r="AK2901" s="3">
        <v>16.98</v>
      </c>
      <c r="AL2901" s="3">
        <v>0</v>
      </c>
      <c r="AM2901" s="3">
        <v>0</v>
      </c>
      <c r="AN2901" s="3">
        <v>0</v>
      </c>
      <c r="AO2901" s="3">
        <v>0</v>
      </c>
      <c r="AP2901" s="3">
        <v>0</v>
      </c>
      <c r="AQ2901" s="3">
        <v>0</v>
      </c>
      <c r="AR2901" s="3">
        <v>0</v>
      </c>
      <c r="AS2901" s="3">
        <v>0</v>
      </c>
      <c r="AT2901" s="3">
        <v>0</v>
      </c>
      <c r="AU2901" s="3">
        <v>0</v>
      </c>
      <c r="AV2901" s="3">
        <v>0</v>
      </c>
      <c r="AW2901" s="3">
        <v>0</v>
      </c>
      <c r="AX2901" s="3">
        <v>0</v>
      </c>
      <c r="AY2901" s="3">
        <v>0</v>
      </c>
      <c r="AZ2901" s="3">
        <v>0</v>
      </c>
      <c r="BA2901" s="3">
        <v>0</v>
      </c>
      <c r="BB2901" s="3">
        <v>0</v>
      </c>
      <c r="BC2901" s="3">
        <v>0</v>
      </c>
      <c r="BD2901" s="3">
        <v>0</v>
      </c>
      <c r="BE2901" s="3">
        <v>0</v>
      </c>
      <c r="BF2901" s="3">
        <v>0</v>
      </c>
      <c r="BG2901" s="3">
        <v>0</v>
      </c>
      <c r="BH2901" s="3">
        <v>1</v>
      </c>
      <c r="BI2901" s="3">
        <v>1</v>
      </c>
      <c r="BJ2901" s="3">
        <v>1.1000000000000001</v>
      </c>
      <c r="BK2901" s="3">
        <v>1.5</v>
      </c>
      <c r="BL2901" s="3">
        <v>60.52</v>
      </c>
      <c r="BM2901" s="3">
        <v>9.08</v>
      </c>
      <c r="BN2901" s="3">
        <v>69.599999999999994</v>
      </c>
      <c r="BO2901" s="3">
        <v>69.599999999999994</v>
      </c>
      <c r="BQ2901" s="3" t="s">
        <v>83</v>
      </c>
      <c r="BR2901" s="3" t="s">
        <v>308</v>
      </c>
      <c r="BS2901" s="4">
        <v>44566</v>
      </c>
      <c r="BT2901" s="5">
        <v>0.55555555555555558</v>
      </c>
      <c r="BU2901" s="3" t="s">
        <v>2591</v>
      </c>
      <c r="BV2901" s="3" t="s">
        <v>87</v>
      </c>
      <c r="BW2901" s="3" t="s">
        <v>457</v>
      </c>
      <c r="BX2901" s="3" t="s">
        <v>2558</v>
      </c>
      <c r="BY2901" s="3">
        <v>5265</v>
      </c>
      <c r="BZ2901" s="3" t="s">
        <v>165</v>
      </c>
      <c r="CA2901" s="3" t="s">
        <v>263</v>
      </c>
      <c r="CC2901" s="3" t="s">
        <v>172</v>
      </c>
      <c r="CD2901" s="3">
        <v>6012</v>
      </c>
      <c r="CE2901" s="3" t="s">
        <v>86</v>
      </c>
      <c r="CF2901" s="4">
        <v>44566</v>
      </c>
      <c r="CI2901" s="3">
        <v>1</v>
      </c>
      <c r="CJ2901" s="3">
        <v>2</v>
      </c>
      <c r="CK2901" s="3">
        <v>21</v>
      </c>
      <c r="CL2901" s="3" t="s">
        <v>87</v>
      </c>
    </row>
    <row r="2902" spans="1:90" x14ac:dyDescent="0.2">
      <c r="A2902" s="3" t="s">
        <v>72</v>
      </c>
      <c r="B2902" s="3" t="s">
        <v>73</v>
      </c>
      <c r="C2902" s="3" t="s">
        <v>74</v>
      </c>
      <c r="E2902" s="3" t="str">
        <f>"FES1162843096"</f>
        <v>FES1162843096</v>
      </c>
      <c r="F2902" s="4">
        <v>44564</v>
      </c>
      <c r="G2902" s="3">
        <v>202207</v>
      </c>
      <c r="H2902" s="3" t="s">
        <v>75</v>
      </c>
      <c r="I2902" s="3" t="s">
        <v>76</v>
      </c>
      <c r="J2902" s="3" t="s">
        <v>77</v>
      </c>
      <c r="K2902" s="3" t="s">
        <v>78</v>
      </c>
      <c r="L2902" s="3" t="s">
        <v>162</v>
      </c>
      <c r="M2902" s="3" t="s">
        <v>163</v>
      </c>
      <c r="N2902" s="3" t="s">
        <v>2718</v>
      </c>
      <c r="O2902" s="3" t="s">
        <v>82</v>
      </c>
      <c r="P2902" s="3" t="str">
        <f>"2170810444                    "</f>
        <v xml:space="preserve">2170810444                    </v>
      </c>
      <c r="Q2902" s="3">
        <v>0</v>
      </c>
      <c r="R2902" s="3">
        <v>0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  <c r="AE2902" s="3">
        <v>0</v>
      </c>
      <c r="AF2902" s="3">
        <v>0</v>
      </c>
      <c r="AG2902" s="3">
        <v>0</v>
      </c>
      <c r="AH2902" s="3">
        <v>0</v>
      </c>
      <c r="AI2902" s="3">
        <v>0</v>
      </c>
      <c r="AJ2902" s="3">
        <v>0</v>
      </c>
      <c r="AK2902" s="3">
        <v>13.26</v>
      </c>
      <c r="AL2902" s="3">
        <v>0</v>
      </c>
      <c r="AM2902" s="3">
        <v>0</v>
      </c>
      <c r="AN2902" s="3">
        <v>0</v>
      </c>
      <c r="AO2902" s="3">
        <v>0</v>
      </c>
      <c r="AP2902" s="3">
        <v>0</v>
      </c>
      <c r="AQ2902" s="3">
        <v>0</v>
      </c>
      <c r="AR2902" s="3">
        <v>0</v>
      </c>
      <c r="AS2902" s="3">
        <v>0</v>
      </c>
      <c r="AT2902" s="3">
        <v>0</v>
      </c>
      <c r="AU2902" s="3">
        <v>0</v>
      </c>
      <c r="AV2902" s="3">
        <v>0</v>
      </c>
      <c r="AW2902" s="3">
        <v>0</v>
      </c>
      <c r="AX2902" s="3">
        <v>0</v>
      </c>
      <c r="AY2902" s="3">
        <v>0</v>
      </c>
      <c r="AZ2902" s="3">
        <v>0</v>
      </c>
      <c r="BA2902" s="3">
        <v>0</v>
      </c>
      <c r="BB2902" s="3">
        <v>0</v>
      </c>
      <c r="BC2902" s="3">
        <v>0</v>
      </c>
      <c r="BD2902" s="3">
        <v>0</v>
      </c>
      <c r="BE2902" s="3">
        <v>0</v>
      </c>
      <c r="BF2902" s="3">
        <v>0</v>
      </c>
      <c r="BG2902" s="3">
        <v>0</v>
      </c>
      <c r="BH2902" s="3">
        <v>1</v>
      </c>
      <c r="BI2902" s="3">
        <v>3</v>
      </c>
      <c r="BJ2902" s="3">
        <v>0.6</v>
      </c>
      <c r="BK2902" s="3">
        <v>3</v>
      </c>
      <c r="BL2902" s="3">
        <v>47.27</v>
      </c>
      <c r="BM2902" s="3">
        <v>7.09</v>
      </c>
      <c r="BN2902" s="3">
        <v>54.36</v>
      </c>
      <c r="BO2902" s="3">
        <v>54.36</v>
      </c>
      <c r="BQ2902" s="3" t="s">
        <v>89</v>
      </c>
      <c r="BR2902" s="3" t="s">
        <v>308</v>
      </c>
      <c r="BS2902" s="4">
        <v>44565</v>
      </c>
      <c r="BT2902" s="5">
        <v>0.39513888888888887</v>
      </c>
      <c r="BU2902" s="3" t="s">
        <v>2719</v>
      </c>
      <c r="BV2902" s="3" t="s">
        <v>105</v>
      </c>
      <c r="BY2902" s="3">
        <v>2808</v>
      </c>
      <c r="BZ2902" s="3" t="s">
        <v>165</v>
      </c>
      <c r="CA2902" s="3" t="s">
        <v>523</v>
      </c>
      <c r="CC2902" s="3" t="s">
        <v>163</v>
      </c>
      <c r="CD2902" s="3">
        <v>1400</v>
      </c>
      <c r="CE2902" s="3" t="s">
        <v>86</v>
      </c>
      <c r="CF2902" s="4">
        <v>44565</v>
      </c>
      <c r="CI2902" s="3">
        <v>1</v>
      </c>
      <c r="CJ2902" s="3">
        <v>1</v>
      </c>
      <c r="CK2902" s="3">
        <v>22</v>
      </c>
      <c r="CL2902" s="3" t="s">
        <v>87</v>
      </c>
    </row>
    <row r="2903" spans="1:90" x14ac:dyDescent="0.2">
      <c r="A2903" s="3" t="s">
        <v>72</v>
      </c>
      <c r="B2903" s="3" t="s">
        <v>73</v>
      </c>
      <c r="C2903" s="3" t="s">
        <v>74</v>
      </c>
      <c r="E2903" s="3" t="str">
        <f>"FES1162843149"</f>
        <v>FES1162843149</v>
      </c>
      <c r="F2903" s="4">
        <v>44564</v>
      </c>
      <c r="G2903" s="3">
        <v>202207</v>
      </c>
      <c r="H2903" s="3" t="s">
        <v>75</v>
      </c>
      <c r="I2903" s="3" t="s">
        <v>76</v>
      </c>
      <c r="J2903" s="3" t="s">
        <v>77</v>
      </c>
      <c r="K2903" s="3" t="s">
        <v>78</v>
      </c>
      <c r="L2903" s="3" t="s">
        <v>110</v>
      </c>
      <c r="M2903" s="3" t="s">
        <v>110</v>
      </c>
      <c r="N2903" s="3" t="s">
        <v>764</v>
      </c>
      <c r="O2903" s="3" t="s">
        <v>82</v>
      </c>
      <c r="P2903" s="3" t="str">
        <f>"2170812560                    "</f>
        <v xml:space="preserve">2170812560                    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0</v>
      </c>
      <c r="W2903" s="3">
        <v>0</v>
      </c>
      <c r="X2903" s="3">
        <v>0</v>
      </c>
      <c r="Y2903" s="3">
        <v>0</v>
      </c>
      <c r="Z2903" s="3">
        <v>0</v>
      </c>
      <c r="AA2903" s="3">
        <v>0</v>
      </c>
      <c r="AB2903" s="3">
        <v>0</v>
      </c>
      <c r="AC2903" s="3">
        <v>0</v>
      </c>
      <c r="AD2903" s="3">
        <v>0</v>
      </c>
      <c r="AE2903" s="3">
        <v>0</v>
      </c>
      <c r="AF2903" s="3">
        <v>0</v>
      </c>
      <c r="AG2903" s="3">
        <v>0</v>
      </c>
      <c r="AH2903" s="3">
        <v>0</v>
      </c>
      <c r="AI2903" s="3">
        <v>0</v>
      </c>
      <c r="AJ2903" s="3">
        <v>0</v>
      </c>
      <c r="AK2903" s="3">
        <v>32.9</v>
      </c>
      <c r="AL2903" s="3">
        <v>0</v>
      </c>
      <c r="AM2903" s="3">
        <v>0</v>
      </c>
      <c r="AN2903" s="3">
        <v>0</v>
      </c>
      <c r="AO2903" s="3">
        <v>0</v>
      </c>
      <c r="AP2903" s="3">
        <v>0</v>
      </c>
      <c r="AQ2903" s="3">
        <v>0</v>
      </c>
      <c r="AR2903" s="3">
        <v>0</v>
      </c>
      <c r="AS2903" s="3">
        <v>0</v>
      </c>
      <c r="AT2903" s="3">
        <v>0</v>
      </c>
      <c r="AU2903" s="3">
        <v>0</v>
      </c>
      <c r="AV2903" s="3">
        <v>0</v>
      </c>
      <c r="AW2903" s="3">
        <v>0</v>
      </c>
      <c r="AX2903" s="3">
        <v>0</v>
      </c>
      <c r="AY2903" s="3">
        <v>0</v>
      </c>
      <c r="AZ2903" s="3">
        <v>0</v>
      </c>
      <c r="BA2903" s="3">
        <v>0</v>
      </c>
      <c r="BB2903" s="3">
        <v>0</v>
      </c>
      <c r="BC2903" s="3">
        <v>0</v>
      </c>
      <c r="BD2903" s="3">
        <v>0</v>
      </c>
      <c r="BE2903" s="3">
        <v>0</v>
      </c>
      <c r="BF2903" s="3">
        <v>0</v>
      </c>
      <c r="BG2903" s="3">
        <v>0</v>
      </c>
      <c r="BH2903" s="3">
        <v>1</v>
      </c>
      <c r="BI2903" s="3">
        <v>1</v>
      </c>
      <c r="BJ2903" s="3">
        <v>0.2</v>
      </c>
      <c r="BK2903" s="3">
        <v>1</v>
      </c>
      <c r="BL2903" s="3">
        <v>117.26</v>
      </c>
      <c r="BM2903" s="3">
        <v>17.59</v>
      </c>
      <c r="BN2903" s="3">
        <v>134.85</v>
      </c>
      <c r="BO2903" s="3">
        <v>134.85</v>
      </c>
      <c r="BQ2903" s="3" t="s">
        <v>83</v>
      </c>
      <c r="BR2903" s="3" t="s">
        <v>308</v>
      </c>
      <c r="BS2903" s="4">
        <v>44565</v>
      </c>
      <c r="BT2903" s="5">
        <v>0.4993055555555555</v>
      </c>
      <c r="BU2903" s="3" t="s">
        <v>1176</v>
      </c>
      <c r="BV2903" s="3" t="s">
        <v>105</v>
      </c>
      <c r="BY2903" s="3">
        <v>1200</v>
      </c>
      <c r="BZ2903" s="3" t="s">
        <v>165</v>
      </c>
      <c r="CA2903" s="3" t="s">
        <v>360</v>
      </c>
      <c r="CC2903" s="3" t="s">
        <v>110</v>
      </c>
      <c r="CD2903" s="3">
        <v>7646</v>
      </c>
      <c r="CE2903" s="3" t="s">
        <v>93</v>
      </c>
      <c r="CF2903" s="4">
        <v>44566</v>
      </c>
      <c r="CI2903" s="3">
        <v>1</v>
      </c>
      <c r="CJ2903" s="3">
        <v>1</v>
      </c>
      <c r="CK2903" s="3">
        <v>23</v>
      </c>
      <c r="CL2903" s="3" t="s">
        <v>87</v>
      </c>
    </row>
    <row r="2904" spans="1:90" x14ac:dyDescent="0.2">
      <c r="A2904" s="3" t="s">
        <v>72</v>
      </c>
      <c r="B2904" s="3" t="s">
        <v>73</v>
      </c>
      <c r="C2904" s="3" t="s">
        <v>74</v>
      </c>
      <c r="E2904" s="3" t="str">
        <f>"FES1162843184"</f>
        <v>FES1162843184</v>
      </c>
      <c r="F2904" s="4">
        <v>44564</v>
      </c>
      <c r="G2904" s="3">
        <v>202207</v>
      </c>
      <c r="H2904" s="3" t="s">
        <v>75</v>
      </c>
      <c r="I2904" s="3" t="s">
        <v>76</v>
      </c>
      <c r="J2904" s="3" t="s">
        <v>77</v>
      </c>
      <c r="K2904" s="3" t="s">
        <v>78</v>
      </c>
      <c r="L2904" s="3" t="s">
        <v>75</v>
      </c>
      <c r="M2904" s="3" t="s">
        <v>76</v>
      </c>
      <c r="N2904" s="3" t="s">
        <v>688</v>
      </c>
      <c r="O2904" s="3" t="s">
        <v>82</v>
      </c>
      <c r="P2904" s="3" t="str">
        <f>"2170812934                    "</f>
        <v xml:space="preserve">2170812934                    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  <c r="AE2904" s="3">
        <v>0</v>
      </c>
      <c r="AF2904" s="3">
        <v>0</v>
      </c>
      <c r="AG2904" s="3">
        <v>0</v>
      </c>
      <c r="AH2904" s="3">
        <v>0</v>
      </c>
      <c r="AI2904" s="3">
        <v>0</v>
      </c>
      <c r="AJ2904" s="3">
        <v>0</v>
      </c>
      <c r="AK2904" s="3">
        <v>13.26</v>
      </c>
      <c r="AL2904" s="3">
        <v>0</v>
      </c>
      <c r="AM2904" s="3">
        <v>0</v>
      </c>
      <c r="AN2904" s="3">
        <v>0</v>
      </c>
      <c r="AO2904" s="3">
        <v>0</v>
      </c>
      <c r="AP2904" s="3">
        <v>0</v>
      </c>
      <c r="AQ2904" s="3">
        <v>0</v>
      </c>
      <c r="AR2904" s="3">
        <v>0</v>
      </c>
      <c r="AS2904" s="3">
        <v>0</v>
      </c>
      <c r="AT2904" s="3">
        <v>0</v>
      </c>
      <c r="AU2904" s="3">
        <v>0</v>
      </c>
      <c r="AV2904" s="3">
        <v>0</v>
      </c>
      <c r="AW2904" s="3">
        <v>0</v>
      </c>
      <c r="AX2904" s="3">
        <v>0</v>
      </c>
      <c r="AY2904" s="3">
        <v>0</v>
      </c>
      <c r="AZ2904" s="3">
        <v>0</v>
      </c>
      <c r="BA2904" s="3">
        <v>0</v>
      </c>
      <c r="BB2904" s="3">
        <v>0</v>
      </c>
      <c r="BC2904" s="3">
        <v>0</v>
      </c>
      <c r="BD2904" s="3">
        <v>0</v>
      </c>
      <c r="BE2904" s="3">
        <v>0</v>
      </c>
      <c r="BF2904" s="3">
        <v>0</v>
      </c>
      <c r="BG2904" s="3">
        <v>0</v>
      </c>
      <c r="BH2904" s="3">
        <v>1</v>
      </c>
      <c r="BI2904" s="3">
        <v>2</v>
      </c>
      <c r="BJ2904" s="3">
        <v>2</v>
      </c>
      <c r="BK2904" s="3">
        <v>2</v>
      </c>
      <c r="BL2904" s="3">
        <v>47.27</v>
      </c>
      <c r="BM2904" s="3">
        <v>7.09</v>
      </c>
      <c r="BN2904" s="3">
        <v>54.36</v>
      </c>
      <c r="BO2904" s="3">
        <v>54.36</v>
      </c>
      <c r="BQ2904" s="3" t="s">
        <v>83</v>
      </c>
      <c r="BR2904" s="3" t="s">
        <v>308</v>
      </c>
      <c r="BS2904" s="4">
        <v>44565</v>
      </c>
      <c r="BT2904" s="5">
        <v>0.40277777777777773</v>
      </c>
      <c r="BU2904" s="3" t="s">
        <v>689</v>
      </c>
      <c r="BV2904" s="3" t="s">
        <v>105</v>
      </c>
      <c r="BY2904" s="3">
        <v>9918</v>
      </c>
      <c r="BZ2904" s="3" t="s">
        <v>165</v>
      </c>
      <c r="CA2904" s="3" t="s">
        <v>227</v>
      </c>
      <c r="CC2904" s="3" t="s">
        <v>76</v>
      </c>
      <c r="CD2904" s="3">
        <v>1620</v>
      </c>
      <c r="CE2904" s="3" t="s">
        <v>86</v>
      </c>
      <c r="CF2904" s="4">
        <v>44565</v>
      </c>
      <c r="CI2904" s="3">
        <v>1</v>
      </c>
      <c r="CJ2904" s="3">
        <v>1</v>
      </c>
      <c r="CK2904" s="3">
        <v>22</v>
      </c>
      <c r="CL2904" s="3" t="s">
        <v>87</v>
      </c>
    </row>
    <row r="2905" spans="1:90" x14ac:dyDescent="0.2">
      <c r="A2905" s="3" t="s">
        <v>72</v>
      </c>
      <c r="B2905" s="3" t="s">
        <v>73</v>
      </c>
      <c r="C2905" s="3" t="s">
        <v>74</v>
      </c>
      <c r="E2905" s="3" t="str">
        <f>"FES1162843305"</f>
        <v>FES1162843305</v>
      </c>
      <c r="F2905" s="4">
        <v>44564</v>
      </c>
      <c r="G2905" s="3">
        <v>202207</v>
      </c>
      <c r="H2905" s="3" t="s">
        <v>75</v>
      </c>
      <c r="I2905" s="3" t="s">
        <v>76</v>
      </c>
      <c r="J2905" s="3" t="s">
        <v>77</v>
      </c>
      <c r="K2905" s="3" t="s">
        <v>78</v>
      </c>
      <c r="L2905" s="3" t="s">
        <v>101</v>
      </c>
      <c r="M2905" s="3" t="s">
        <v>102</v>
      </c>
      <c r="N2905" s="3" t="s">
        <v>272</v>
      </c>
      <c r="O2905" s="3" t="s">
        <v>82</v>
      </c>
      <c r="P2905" s="3" t="str">
        <f>"2170815554                    "</f>
        <v xml:space="preserve">2170815554                    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0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0</v>
      </c>
      <c r="AC2905" s="3">
        <v>0</v>
      </c>
      <c r="AD2905" s="3">
        <v>0</v>
      </c>
      <c r="AE2905" s="3">
        <v>0</v>
      </c>
      <c r="AF2905" s="3">
        <v>0</v>
      </c>
      <c r="AG2905" s="3">
        <v>0</v>
      </c>
      <c r="AH2905" s="3">
        <v>0</v>
      </c>
      <c r="AI2905" s="3">
        <v>0</v>
      </c>
      <c r="AJ2905" s="3">
        <v>0</v>
      </c>
      <c r="AK2905" s="3">
        <v>16.98</v>
      </c>
      <c r="AL2905" s="3">
        <v>0</v>
      </c>
      <c r="AM2905" s="3">
        <v>0</v>
      </c>
      <c r="AN2905" s="3">
        <v>0</v>
      </c>
      <c r="AO2905" s="3">
        <v>0</v>
      </c>
      <c r="AP2905" s="3">
        <v>0</v>
      </c>
      <c r="AQ2905" s="3">
        <v>0</v>
      </c>
      <c r="AR2905" s="3">
        <v>0</v>
      </c>
      <c r="AS2905" s="3">
        <v>0</v>
      </c>
      <c r="AT2905" s="3">
        <v>0</v>
      </c>
      <c r="AU2905" s="3">
        <v>0</v>
      </c>
      <c r="AV2905" s="3">
        <v>0</v>
      </c>
      <c r="AW2905" s="3">
        <v>0</v>
      </c>
      <c r="AX2905" s="3">
        <v>0</v>
      </c>
      <c r="AY2905" s="3">
        <v>0</v>
      </c>
      <c r="AZ2905" s="3">
        <v>0</v>
      </c>
      <c r="BA2905" s="3">
        <v>0</v>
      </c>
      <c r="BB2905" s="3">
        <v>0</v>
      </c>
      <c r="BC2905" s="3">
        <v>0</v>
      </c>
      <c r="BD2905" s="3">
        <v>0</v>
      </c>
      <c r="BE2905" s="3">
        <v>0</v>
      </c>
      <c r="BF2905" s="3">
        <v>0</v>
      </c>
      <c r="BG2905" s="3">
        <v>0</v>
      </c>
      <c r="BH2905" s="3">
        <v>1</v>
      </c>
      <c r="BI2905" s="3">
        <v>1</v>
      </c>
      <c r="BJ2905" s="3">
        <v>0.2</v>
      </c>
      <c r="BK2905" s="3">
        <v>1</v>
      </c>
      <c r="BL2905" s="3">
        <v>60.52</v>
      </c>
      <c r="BM2905" s="3">
        <v>9.08</v>
      </c>
      <c r="BN2905" s="3">
        <v>69.599999999999994</v>
      </c>
      <c r="BO2905" s="3">
        <v>69.599999999999994</v>
      </c>
      <c r="BQ2905" s="3" t="s">
        <v>273</v>
      </c>
      <c r="BR2905" s="3" t="s">
        <v>308</v>
      </c>
      <c r="BS2905" s="4">
        <v>44565</v>
      </c>
      <c r="BT2905" s="5">
        <v>0.41250000000000003</v>
      </c>
      <c r="BU2905" s="3" t="s">
        <v>274</v>
      </c>
      <c r="BV2905" s="3" t="s">
        <v>105</v>
      </c>
      <c r="BY2905" s="3">
        <v>1200</v>
      </c>
      <c r="BZ2905" s="3" t="s">
        <v>165</v>
      </c>
      <c r="CA2905" s="3" t="s">
        <v>275</v>
      </c>
      <c r="CC2905" s="3" t="s">
        <v>102</v>
      </c>
      <c r="CD2905" s="3">
        <v>4000</v>
      </c>
      <c r="CE2905" s="3" t="s">
        <v>93</v>
      </c>
      <c r="CF2905" s="4">
        <v>44565</v>
      </c>
      <c r="CI2905" s="3">
        <v>1</v>
      </c>
      <c r="CJ2905" s="3">
        <v>1</v>
      </c>
      <c r="CK2905" s="3">
        <v>21</v>
      </c>
      <c r="CL2905" s="3" t="s">
        <v>87</v>
      </c>
    </row>
    <row r="2906" spans="1:90" x14ac:dyDescent="0.2">
      <c r="A2906" s="3" t="s">
        <v>72</v>
      </c>
      <c r="B2906" s="3" t="s">
        <v>73</v>
      </c>
      <c r="C2906" s="3" t="s">
        <v>74</v>
      </c>
      <c r="E2906" s="3" t="str">
        <f>"FES1162843151"</f>
        <v>FES1162843151</v>
      </c>
      <c r="F2906" s="4">
        <v>44564</v>
      </c>
      <c r="G2906" s="3">
        <v>202207</v>
      </c>
      <c r="H2906" s="3" t="s">
        <v>75</v>
      </c>
      <c r="I2906" s="3" t="s">
        <v>76</v>
      </c>
      <c r="J2906" s="3" t="s">
        <v>77</v>
      </c>
      <c r="K2906" s="3" t="s">
        <v>78</v>
      </c>
      <c r="L2906" s="3" t="s">
        <v>158</v>
      </c>
      <c r="M2906" s="3" t="s">
        <v>159</v>
      </c>
      <c r="N2906" s="3" t="s">
        <v>1156</v>
      </c>
      <c r="O2906" s="3" t="s">
        <v>82</v>
      </c>
      <c r="P2906" s="3" t="str">
        <f>"2170812575                    "</f>
        <v xml:space="preserve">2170812575                    </v>
      </c>
      <c r="Q2906" s="3">
        <v>0</v>
      </c>
      <c r="R2906" s="3">
        <v>0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  <c r="AE2906" s="3">
        <v>0</v>
      </c>
      <c r="AF2906" s="3">
        <v>0</v>
      </c>
      <c r="AG2906" s="3">
        <v>0</v>
      </c>
      <c r="AH2906" s="3">
        <v>0</v>
      </c>
      <c r="AI2906" s="3">
        <v>0</v>
      </c>
      <c r="AJ2906" s="3">
        <v>0</v>
      </c>
      <c r="AK2906" s="3">
        <v>13.26</v>
      </c>
      <c r="AL2906" s="3">
        <v>0</v>
      </c>
      <c r="AM2906" s="3">
        <v>0</v>
      </c>
      <c r="AN2906" s="3">
        <v>0</v>
      </c>
      <c r="AO2906" s="3">
        <v>0</v>
      </c>
      <c r="AP2906" s="3">
        <v>0</v>
      </c>
      <c r="AQ2906" s="3">
        <v>0</v>
      </c>
      <c r="AR2906" s="3">
        <v>0</v>
      </c>
      <c r="AS2906" s="3">
        <v>0</v>
      </c>
      <c r="AT2906" s="3">
        <v>0</v>
      </c>
      <c r="AU2906" s="3">
        <v>0</v>
      </c>
      <c r="AV2906" s="3">
        <v>0</v>
      </c>
      <c r="AW2906" s="3">
        <v>0</v>
      </c>
      <c r="AX2906" s="3">
        <v>0</v>
      </c>
      <c r="AY2906" s="3">
        <v>0</v>
      </c>
      <c r="AZ2906" s="3">
        <v>0</v>
      </c>
      <c r="BA2906" s="3">
        <v>0</v>
      </c>
      <c r="BB2906" s="3">
        <v>0</v>
      </c>
      <c r="BC2906" s="3">
        <v>0</v>
      </c>
      <c r="BD2906" s="3">
        <v>0</v>
      </c>
      <c r="BE2906" s="3">
        <v>0</v>
      </c>
      <c r="BF2906" s="3">
        <v>0</v>
      </c>
      <c r="BG2906" s="3">
        <v>0</v>
      </c>
      <c r="BH2906" s="3">
        <v>1</v>
      </c>
      <c r="BI2906" s="3">
        <v>2</v>
      </c>
      <c r="BJ2906" s="3">
        <v>2</v>
      </c>
      <c r="BK2906" s="3">
        <v>2</v>
      </c>
      <c r="BL2906" s="3">
        <v>47.27</v>
      </c>
      <c r="BM2906" s="3">
        <v>7.09</v>
      </c>
      <c r="BN2906" s="3">
        <v>54.36</v>
      </c>
      <c r="BO2906" s="3">
        <v>54.36</v>
      </c>
      <c r="BQ2906" s="3" t="s">
        <v>83</v>
      </c>
      <c r="BR2906" s="3" t="s">
        <v>308</v>
      </c>
      <c r="BS2906" s="4">
        <v>44565</v>
      </c>
      <c r="BT2906" s="5">
        <v>0.4513888888888889</v>
      </c>
      <c r="BU2906" s="3" t="s">
        <v>2720</v>
      </c>
      <c r="BV2906" s="3" t="s">
        <v>87</v>
      </c>
      <c r="BW2906" s="3" t="s">
        <v>278</v>
      </c>
      <c r="BX2906" s="3" t="s">
        <v>1722</v>
      </c>
      <c r="BY2906" s="3">
        <v>9918</v>
      </c>
      <c r="BZ2906" s="3" t="s">
        <v>165</v>
      </c>
      <c r="CA2906" s="3" t="s">
        <v>678</v>
      </c>
      <c r="CC2906" s="3" t="s">
        <v>159</v>
      </c>
      <c r="CD2906" s="3">
        <v>1459</v>
      </c>
      <c r="CE2906" s="3" t="s">
        <v>86</v>
      </c>
      <c r="CF2906" s="4">
        <v>44566</v>
      </c>
      <c r="CI2906" s="3">
        <v>1</v>
      </c>
      <c r="CJ2906" s="3">
        <v>1</v>
      </c>
      <c r="CK2906" s="3">
        <v>22</v>
      </c>
      <c r="CL2906" s="3" t="s">
        <v>87</v>
      </c>
    </row>
    <row r="2907" spans="1:90" x14ac:dyDescent="0.2">
      <c r="A2907" s="3" t="s">
        <v>72</v>
      </c>
      <c r="B2907" s="3" t="s">
        <v>73</v>
      </c>
      <c r="C2907" s="3" t="s">
        <v>74</v>
      </c>
      <c r="E2907" s="3" t="str">
        <f>"FES1162843125"</f>
        <v>FES1162843125</v>
      </c>
      <c r="F2907" s="4">
        <v>44564</v>
      </c>
      <c r="G2907" s="3">
        <v>202207</v>
      </c>
      <c r="H2907" s="3" t="s">
        <v>75</v>
      </c>
      <c r="I2907" s="3" t="s">
        <v>76</v>
      </c>
      <c r="J2907" s="3" t="s">
        <v>77</v>
      </c>
      <c r="K2907" s="3" t="s">
        <v>78</v>
      </c>
      <c r="L2907" s="3" t="s">
        <v>162</v>
      </c>
      <c r="M2907" s="3" t="s">
        <v>163</v>
      </c>
      <c r="N2907" s="3" t="s">
        <v>1048</v>
      </c>
      <c r="O2907" s="3" t="s">
        <v>82</v>
      </c>
      <c r="P2907" s="3" t="str">
        <f>"2170815429                    "</f>
        <v xml:space="preserve">2170815429                    </v>
      </c>
      <c r="Q2907" s="3">
        <v>0</v>
      </c>
      <c r="R2907" s="3">
        <v>0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  <c r="AE2907" s="3">
        <v>0</v>
      </c>
      <c r="AF2907" s="3">
        <v>0</v>
      </c>
      <c r="AG2907" s="3">
        <v>0</v>
      </c>
      <c r="AH2907" s="3">
        <v>0</v>
      </c>
      <c r="AI2907" s="3">
        <v>0</v>
      </c>
      <c r="AJ2907" s="3">
        <v>0</v>
      </c>
      <c r="AK2907" s="3">
        <v>13.26</v>
      </c>
      <c r="AL2907" s="3">
        <v>0</v>
      </c>
      <c r="AM2907" s="3">
        <v>0</v>
      </c>
      <c r="AN2907" s="3">
        <v>0</v>
      </c>
      <c r="AO2907" s="3">
        <v>0</v>
      </c>
      <c r="AP2907" s="3">
        <v>0</v>
      </c>
      <c r="AQ2907" s="3">
        <v>0</v>
      </c>
      <c r="AR2907" s="3">
        <v>0</v>
      </c>
      <c r="AS2907" s="3">
        <v>0</v>
      </c>
      <c r="AT2907" s="3">
        <v>0</v>
      </c>
      <c r="AU2907" s="3">
        <v>0</v>
      </c>
      <c r="AV2907" s="3">
        <v>0</v>
      </c>
      <c r="AW2907" s="3">
        <v>0</v>
      </c>
      <c r="AX2907" s="3">
        <v>0</v>
      </c>
      <c r="AY2907" s="3">
        <v>0</v>
      </c>
      <c r="AZ2907" s="3">
        <v>0</v>
      </c>
      <c r="BA2907" s="3">
        <v>0</v>
      </c>
      <c r="BB2907" s="3">
        <v>0</v>
      </c>
      <c r="BC2907" s="3">
        <v>0</v>
      </c>
      <c r="BD2907" s="3">
        <v>0</v>
      </c>
      <c r="BE2907" s="3">
        <v>0</v>
      </c>
      <c r="BF2907" s="3">
        <v>0</v>
      </c>
      <c r="BG2907" s="3">
        <v>0</v>
      </c>
      <c r="BH2907" s="3">
        <v>1</v>
      </c>
      <c r="BI2907" s="3">
        <v>1</v>
      </c>
      <c r="BJ2907" s="3">
        <v>0.2</v>
      </c>
      <c r="BK2907" s="3">
        <v>1</v>
      </c>
      <c r="BL2907" s="3">
        <v>47.27</v>
      </c>
      <c r="BM2907" s="3">
        <v>7.09</v>
      </c>
      <c r="BN2907" s="3">
        <v>54.36</v>
      </c>
      <c r="BO2907" s="3">
        <v>54.36</v>
      </c>
      <c r="BQ2907" s="3" t="s">
        <v>1049</v>
      </c>
      <c r="BR2907" s="3" t="s">
        <v>308</v>
      </c>
      <c r="BS2907" s="4">
        <v>44565</v>
      </c>
      <c r="BT2907" s="5">
        <v>0.40208333333333335</v>
      </c>
      <c r="BU2907" s="3" t="s">
        <v>2721</v>
      </c>
      <c r="BV2907" s="3" t="s">
        <v>105</v>
      </c>
      <c r="BY2907" s="3">
        <v>1200</v>
      </c>
      <c r="BZ2907" s="3" t="s">
        <v>165</v>
      </c>
      <c r="CA2907" s="3" t="s">
        <v>523</v>
      </c>
      <c r="CC2907" s="3" t="s">
        <v>163</v>
      </c>
      <c r="CD2907" s="3">
        <v>1406</v>
      </c>
      <c r="CE2907" s="3" t="s">
        <v>93</v>
      </c>
      <c r="CF2907" s="4">
        <v>44565</v>
      </c>
      <c r="CI2907" s="3">
        <v>1</v>
      </c>
      <c r="CJ2907" s="3">
        <v>1</v>
      </c>
      <c r="CK2907" s="3">
        <v>22</v>
      </c>
      <c r="CL2907" s="3" t="s">
        <v>87</v>
      </c>
    </row>
    <row r="2908" spans="1:90" x14ac:dyDescent="0.2">
      <c r="A2908" s="3" t="s">
        <v>72</v>
      </c>
      <c r="B2908" s="3" t="s">
        <v>73</v>
      </c>
      <c r="C2908" s="3" t="s">
        <v>74</v>
      </c>
      <c r="E2908" s="3" t="str">
        <f>"FES1162843219"</f>
        <v>FES1162843219</v>
      </c>
      <c r="F2908" s="4">
        <v>44564</v>
      </c>
      <c r="G2908" s="3">
        <v>202207</v>
      </c>
      <c r="H2908" s="3" t="s">
        <v>75</v>
      </c>
      <c r="I2908" s="3" t="s">
        <v>76</v>
      </c>
      <c r="J2908" s="3" t="s">
        <v>77</v>
      </c>
      <c r="K2908" s="3" t="s">
        <v>78</v>
      </c>
      <c r="L2908" s="3" t="s">
        <v>90</v>
      </c>
      <c r="M2908" s="3" t="s">
        <v>91</v>
      </c>
      <c r="N2908" s="3" t="s">
        <v>541</v>
      </c>
      <c r="O2908" s="3" t="s">
        <v>82</v>
      </c>
      <c r="P2908" s="3" t="str">
        <f>"2170813346                    "</f>
        <v xml:space="preserve">2170813346                    </v>
      </c>
      <c r="Q2908" s="3">
        <v>0</v>
      </c>
      <c r="R2908" s="3">
        <v>0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  <c r="AE2908" s="3">
        <v>0</v>
      </c>
      <c r="AF2908" s="3">
        <v>0</v>
      </c>
      <c r="AG2908" s="3">
        <v>0</v>
      </c>
      <c r="AH2908" s="3">
        <v>0</v>
      </c>
      <c r="AI2908" s="3">
        <v>0</v>
      </c>
      <c r="AJ2908" s="3">
        <v>0</v>
      </c>
      <c r="AK2908" s="3">
        <v>16.98</v>
      </c>
      <c r="AL2908" s="3">
        <v>0</v>
      </c>
      <c r="AM2908" s="3">
        <v>0</v>
      </c>
      <c r="AN2908" s="3">
        <v>0</v>
      </c>
      <c r="AO2908" s="3">
        <v>0</v>
      </c>
      <c r="AP2908" s="3">
        <v>0</v>
      </c>
      <c r="AQ2908" s="3">
        <v>0</v>
      </c>
      <c r="AR2908" s="3">
        <v>0</v>
      </c>
      <c r="AS2908" s="3">
        <v>0</v>
      </c>
      <c r="AT2908" s="3">
        <v>0</v>
      </c>
      <c r="AU2908" s="3">
        <v>0</v>
      </c>
      <c r="AV2908" s="3">
        <v>0</v>
      </c>
      <c r="AW2908" s="3">
        <v>0</v>
      </c>
      <c r="AX2908" s="3">
        <v>0</v>
      </c>
      <c r="AY2908" s="3">
        <v>0</v>
      </c>
      <c r="AZ2908" s="3">
        <v>0</v>
      </c>
      <c r="BA2908" s="3">
        <v>0</v>
      </c>
      <c r="BB2908" s="3">
        <v>0</v>
      </c>
      <c r="BC2908" s="3">
        <v>0</v>
      </c>
      <c r="BD2908" s="3">
        <v>0</v>
      </c>
      <c r="BE2908" s="3">
        <v>0</v>
      </c>
      <c r="BF2908" s="3">
        <v>0</v>
      </c>
      <c r="BG2908" s="3">
        <v>0</v>
      </c>
      <c r="BH2908" s="3">
        <v>1</v>
      </c>
      <c r="BI2908" s="3">
        <v>1</v>
      </c>
      <c r="BJ2908" s="3">
        <v>0.2</v>
      </c>
      <c r="BK2908" s="3">
        <v>1</v>
      </c>
      <c r="BL2908" s="3">
        <v>60.52</v>
      </c>
      <c r="BM2908" s="3">
        <v>9.08</v>
      </c>
      <c r="BN2908" s="3">
        <v>69.599999999999994</v>
      </c>
      <c r="BO2908" s="3">
        <v>69.599999999999994</v>
      </c>
      <c r="BQ2908" s="3" t="s">
        <v>89</v>
      </c>
      <c r="BR2908" s="3" t="s">
        <v>308</v>
      </c>
      <c r="BS2908" s="4">
        <v>44565</v>
      </c>
      <c r="BT2908" s="5">
        <v>0.38472222222222219</v>
      </c>
      <c r="BU2908" s="3" t="s">
        <v>2711</v>
      </c>
      <c r="BV2908" s="3" t="s">
        <v>105</v>
      </c>
      <c r="BY2908" s="3">
        <v>1200</v>
      </c>
      <c r="BZ2908" s="3" t="s">
        <v>165</v>
      </c>
      <c r="CA2908" s="3" t="s">
        <v>543</v>
      </c>
      <c r="CC2908" s="3" t="s">
        <v>91</v>
      </c>
      <c r="CD2908" s="3">
        <v>7561</v>
      </c>
      <c r="CE2908" s="3" t="s">
        <v>93</v>
      </c>
      <c r="CF2908" s="4">
        <v>44566</v>
      </c>
      <c r="CI2908" s="3">
        <v>1</v>
      </c>
      <c r="CJ2908" s="3">
        <v>1</v>
      </c>
      <c r="CK2908" s="3">
        <v>21</v>
      </c>
      <c r="CL2908" s="3" t="s">
        <v>87</v>
      </c>
    </row>
    <row r="2909" spans="1:90" x14ac:dyDescent="0.2">
      <c r="A2909" s="3" t="s">
        <v>72</v>
      </c>
      <c r="B2909" s="3" t="s">
        <v>73</v>
      </c>
      <c r="C2909" s="3" t="s">
        <v>74</v>
      </c>
      <c r="E2909" s="3" t="str">
        <f>"FES1162843249"</f>
        <v>FES1162843249</v>
      </c>
      <c r="F2909" s="4">
        <v>44564</v>
      </c>
      <c r="G2909" s="3">
        <v>202207</v>
      </c>
      <c r="H2909" s="3" t="s">
        <v>75</v>
      </c>
      <c r="I2909" s="3" t="s">
        <v>76</v>
      </c>
      <c r="J2909" s="3" t="s">
        <v>77</v>
      </c>
      <c r="K2909" s="3" t="s">
        <v>78</v>
      </c>
      <c r="L2909" s="3" t="s">
        <v>694</v>
      </c>
      <c r="M2909" s="3" t="s">
        <v>695</v>
      </c>
      <c r="N2909" s="3" t="s">
        <v>699</v>
      </c>
      <c r="O2909" s="3" t="s">
        <v>82</v>
      </c>
      <c r="P2909" s="3" t="str">
        <f>"2170815485                    "</f>
        <v xml:space="preserve">2170815485                    </v>
      </c>
      <c r="Q2909" s="3">
        <v>0</v>
      </c>
      <c r="R2909" s="3">
        <v>0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  <c r="AE2909" s="3">
        <v>0</v>
      </c>
      <c r="AF2909" s="3">
        <v>0</v>
      </c>
      <c r="AG2909" s="3">
        <v>0</v>
      </c>
      <c r="AH2909" s="3">
        <v>0</v>
      </c>
      <c r="AI2909" s="3">
        <v>0</v>
      </c>
      <c r="AJ2909" s="3">
        <v>0</v>
      </c>
      <c r="AK2909" s="3">
        <v>32.9</v>
      </c>
      <c r="AL2909" s="3">
        <v>0</v>
      </c>
      <c r="AM2909" s="3">
        <v>0</v>
      </c>
      <c r="AN2909" s="3">
        <v>0</v>
      </c>
      <c r="AO2909" s="3">
        <v>0</v>
      </c>
      <c r="AP2909" s="3">
        <v>0</v>
      </c>
      <c r="AQ2909" s="3">
        <v>0</v>
      </c>
      <c r="AR2909" s="3">
        <v>0</v>
      </c>
      <c r="AS2909" s="3">
        <v>0</v>
      </c>
      <c r="AT2909" s="3">
        <v>0</v>
      </c>
      <c r="AU2909" s="3">
        <v>0</v>
      </c>
      <c r="AV2909" s="3">
        <v>0</v>
      </c>
      <c r="AW2909" s="3">
        <v>0</v>
      </c>
      <c r="AX2909" s="3">
        <v>0</v>
      </c>
      <c r="AY2909" s="3">
        <v>0</v>
      </c>
      <c r="AZ2909" s="3">
        <v>0</v>
      </c>
      <c r="BA2909" s="3">
        <v>0</v>
      </c>
      <c r="BB2909" s="3">
        <v>0</v>
      </c>
      <c r="BC2909" s="3">
        <v>0</v>
      </c>
      <c r="BD2909" s="3">
        <v>0</v>
      </c>
      <c r="BE2909" s="3">
        <v>0</v>
      </c>
      <c r="BF2909" s="3">
        <v>0</v>
      </c>
      <c r="BG2909" s="3">
        <v>0</v>
      </c>
      <c r="BH2909" s="3">
        <v>1</v>
      </c>
      <c r="BI2909" s="3">
        <v>1</v>
      </c>
      <c r="BJ2909" s="3">
        <v>0.2</v>
      </c>
      <c r="BK2909" s="3">
        <v>1</v>
      </c>
      <c r="BL2909" s="3">
        <v>117.26</v>
      </c>
      <c r="BM2909" s="3">
        <v>17.59</v>
      </c>
      <c r="BN2909" s="3">
        <v>134.85</v>
      </c>
      <c r="BO2909" s="3">
        <v>134.85</v>
      </c>
      <c r="BQ2909" s="3" t="s">
        <v>83</v>
      </c>
      <c r="BR2909" s="3" t="s">
        <v>308</v>
      </c>
      <c r="BS2909" s="4">
        <v>44565</v>
      </c>
      <c r="BT2909" s="5">
        <v>0.52430555555555558</v>
      </c>
      <c r="BU2909" s="3" t="s">
        <v>700</v>
      </c>
      <c r="BV2909" s="3" t="s">
        <v>105</v>
      </c>
      <c r="BY2909" s="3">
        <v>1200</v>
      </c>
      <c r="BZ2909" s="3" t="s">
        <v>165</v>
      </c>
      <c r="CA2909" s="3" t="s">
        <v>698</v>
      </c>
      <c r="CC2909" s="3" t="s">
        <v>695</v>
      </c>
      <c r="CD2909" s="3">
        <v>4449</v>
      </c>
      <c r="CE2909" s="3" t="s">
        <v>93</v>
      </c>
      <c r="CF2909" s="4">
        <v>44565</v>
      </c>
      <c r="CI2909" s="3">
        <v>1</v>
      </c>
      <c r="CJ2909" s="3">
        <v>1</v>
      </c>
      <c r="CK2909" s="3">
        <v>23</v>
      </c>
      <c r="CL2909" s="3" t="s">
        <v>87</v>
      </c>
    </row>
    <row r="2910" spans="1:90" x14ac:dyDescent="0.2">
      <c r="A2910" s="3" t="s">
        <v>72</v>
      </c>
      <c r="B2910" s="3" t="s">
        <v>73</v>
      </c>
      <c r="C2910" s="3" t="s">
        <v>74</v>
      </c>
      <c r="E2910" s="3" t="str">
        <f>"FES1162843236"</f>
        <v>FES1162843236</v>
      </c>
      <c r="F2910" s="4">
        <v>44564</v>
      </c>
      <c r="G2910" s="3">
        <v>202207</v>
      </c>
      <c r="H2910" s="3" t="s">
        <v>75</v>
      </c>
      <c r="I2910" s="3" t="s">
        <v>76</v>
      </c>
      <c r="J2910" s="3" t="s">
        <v>77</v>
      </c>
      <c r="K2910" s="3" t="s">
        <v>78</v>
      </c>
      <c r="L2910" s="3" t="s">
        <v>171</v>
      </c>
      <c r="M2910" s="3" t="s">
        <v>172</v>
      </c>
      <c r="N2910" s="3" t="s">
        <v>624</v>
      </c>
      <c r="O2910" s="3" t="s">
        <v>82</v>
      </c>
      <c r="P2910" s="3" t="str">
        <f>"2170815037                    "</f>
        <v xml:space="preserve">2170815037                    </v>
      </c>
      <c r="Q2910" s="3">
        <v>0</v>
      </c>
      <c r="R2910" s="3">
        <v>0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  <c r="AE2910" s="3">
        <v>0</v>
      </c>
      <c r="AF2910" s="3">
        <v>0</v>
      </c>
      <c r="AG2910" s="3">
        <v>0</v>
      </c>
      <c r="AH2910" s="3">
        <v>0</v>
      </c>
      <c r="AI2910" s="3">
        <v>0</v>
      </c>
      <c r="AJ2910" s="3">
        <v>0</v>
      </c>
      <c r="AK2910" s="3">
        <v>16.98</v>
      </c>
      <c r="AL2910" s="3">
        <v>0</v>
      </c>
      <c r="AM2910" s="3">
        <v>0</v>
      </c>
      <c r="AN2910" s="3">
        <v>0</v>
      </c>
      <c r="AO2910" s="3">
        <v>0</v>
      </c>
      <c r="AP2910" s="3">
        <v>0</v>
      </c>
      <c r="AQ2910" s="3">
        <v>0</v>
      </c>
      <c r="AR2910" s="3">
        <v>0</v>
      </c>
      <c r="AS2910" s="3">
        <v>0</v>
      </c>
      <c r="AT2910" s="3">
        <v>0</v>
      </c>
      <c r="AU2910" s="3">
        <v>0</v>
      </c>
      <c r="AV2910" s="3">
        <v>0</v>
      </c>
      <c r="AW2910" s="3">
        <v>0</v>
      </c>
      <c r="AX2910" s="3">
        <v>0</v>
      </c>
      <c r="AY2910" s="3">
        <v>0</v>
      </c>
      <c r="AZ2910" s="3">
        <v>0</v>
      </c>
      <c r="BA2910" s="3">
        <v>0</v>
      </c>
      <c r="BB2910" s="3">
        <v>0</v>
      </c>
      <c r="BC2910" s="3">
        <v>0</v>
      </c>
      <c r="BD2910" s="3">
        <v>0</v>
      </c>
      <c r="BE2910" s="3">
        <v>0</v>
      </c>
      <c r="BF2910" s="3">
        <v>0</v>
      </c>
      <c r="BG2910" s="3">
        <v>0</v>
      </c>
      <c r="BH2910" s="3">
        <v>1</v>
      </c>
      <c r="BI2910" s="3">
        <v>1</v>
      </c>
      <c r="BJ2910" s="3">
        <v>0.2</v>
      </c>
      <c r="BK2910" s="3">
        <v>1</v>
      </c>
      <c r="BL2910" s="3">
        <v>60.52</v>
      </c>
      <c r="BM2910" s="3">
        <v>9.08</v>
      </c>
      <c r="BN2910" s="3">
        <v>69.599999999999994</v>
      </c>
      <c r="BO2910" s="3">
        <v>69.599999999999994</v>
      </c>
      <c r="BQ2910" s="3" t="s">
        <v>89</v>
      </c>
      <c r="BR2910" s="3" t="s">
        <v>308</v>
      </c>
      <c r="BS2910" s="4">
        <v>44565</v>
      </c>
      <c r="BT2910" s="5">
        <v>0.36736111111111108</v>
      </c>
      <c r="BU2910" s="3" t="s">
        <v>2680</v>
      </c>
      <c r="BV2910" s="3" t="s">
        <v>105</v>
      </c>
      <c r="BY2910" s="3">
        <v>1200</v>
      </c>
      <c r="BZ2910" s="3" t="s">
        <v>165</v>
      </c>
      <c r="CA2910" s="3" t="s">
        <v>331</v>
      </c>
      <c r="CC2910" s="3" t="s">
        <v>172</v>
      </c>
      <c r="CD2910" s="3">
        <v>6001</v>
      </c>
      <c r="CE2910" s="3" t="s">
        <v>93</v>
      </c>
      <c r="CF2910" s="4">
        <v>44565</v>
      </c>
      <c r="CI2910" s="3">
        <v>1</v>
      </c>
      <c r="CJ2910" s="3">
        <v>1</v>
      </c>
      <c r="CK2910" s="3">
        <v>21</v>
      </c>
      <c r="CL2910" s="3" t="s">
        <v>87</v>
      </c>
    </row>
    <row r="2911" spans="1:90" x14ac:dyDescent="0.2">
      <c r="A2911" s="3" t="s">
        <v>72</v>
      </c>
      <c r="B2911" s="3" t="s">
        <v>73</v>
      </c>
      <c r="C2911" s="3" t="s">
        <v>74</v>
      </c>
      <c r="E2911" s="3" t="str">
        <f>"FES1162843237"</f>
        <v>FES1162843237</v>
      </c>
      <c r="F2911" s="4">
        <v>44564</v>
      </c>
      <c r="G2911" s="3">
        <v>202207</v>
      </c>
      <c r="H2911" s="3" t="s">
        <v>75</v>
      </c>
      <c r="I2911" s="3" t="s">
        <v>76</v>
      </c>
      <c r="J2911" s="3" t="s">
        <v>77</v>
      </c>
      <c r="K2911" s="3" t="s">
        <v>78</v>
      </c>
      <c r="L2911" s="3" t="s">
        <v>101</v>
      </c>
      <c r="M2911" s="3" t="s">
        <v>102</v>
      </c>
      <c r="N2911" s="3" t="s">
        <v>103</v>
      </c>
      <c r="O2911" s="3" t="s">
        <v>82</v>
      </c>
      <c r="P2911" s="3" t="str">
        <f>"2170815086                    "</f>
        <v xml:space="preserve">2170815086                    </v>
      </c>
      <c r="Q2911" s="3">
        <v>0</v>
      </c>
      <c r="R2911" s="3">
        <v>0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  <c r="AE2911" s="3">
        <v>0</v>
      </c>
      <c r="AF2911" s="3">
        <v>0</v>
      </c>
      <c r="AG2911" s="3">
        <v>0</v>
      </c>
      <c r="AH2911" s="3">
        <v>0</v>
      </c>
      <c r="AI2911" s="3">
        <v>0</v>
      </c>
      <c r="AJ2911" s="3">
        <v>0</v>
      </c>
      <c r="AK2911" s="3">
        <v>16.98</v>
      </c>
      <c r="AL2911" s="3">
        <v>0</v>
      </c>
      <c r="AM2911" s="3">
        <v>0</v>
      </c>
      <c r="AN2911" s="3">
        <v>0</v>
      </c>
      <c r="AO2911" s="3">
        <v>0</v>
      </c>
      <c r="AP2911" s="3">
        <v>0</v>
      </c>
      <c r="AQ2911" s="3">
        <v>0</v>
      </c>
      <c r="AR2911" s="3">
        <v>0</v>
      </c>
      <c r="AS2911" s="3">
        <v>0</v>
      </c>
      <c r="AT2911" s="3">
        <v>0</v>
      </c>
      <c r="AU2911" s="3">
        <v>0</v>
      </c>
      <c r="AV2911" s="3">
        <v>0</v>
      </c>
      <c r="AW2911" s="3">
        <v>0</v>
      </c>
      <c r="AX2911" s="3">
        <v>0</v>
      </c>
      <c r="AY2911" s="3">
        <v>0</v>
      </c>
      <c r="AZ2911" s="3">
        <v>0</v>
      </c>
      <c r="BA2911" s="3">
        <v>0</v>
      </c>
      <c r="BB2911" s="3">
        <v>0</v>
      </c>
      <c r="BC2911" s="3">
        <v>0</v>
      </c>
      <c r="BD2911" s="3">
        <v>0</v>
      </c>
      <c r="BE2911" s="3">
        <v>0</v>
      </c>
      <c r="BF2911" s="3">
        <v>0</v>
      </c>
      <c r="BG2911" s="3">
        <v>0</v>
      </c>
      <c r="BH2911" s="3">
        <v>1</v>
      </c>
      <c r="BI2911" s="3">
        <v>1</v>
      </c>
      <c r="BJ2911" s="3">
        <v>0.2</v>
      </c>
      <c r="BK2911" s="3">
        <v>1</v>
      </c>
      <c r="BL2911" s="3">
        <v>60.52</v>
      </c>
      <c r="BM2911" s="3">
        <v>9.08</v>
      </c>
      <c r="BN2911" s="3">
        <v>69.599999999999994</v>
      </c>
      <c r="BO2911" s="3">
        <v>69.599999999999994</v>
      </c>
      <c r="BQ2911" s="3" t="s">
        <v>83</v>
      </c>
      <c r="BR2911" s="3" t="s">
        <v>308</v>
      </c>
      <c r="BS2911" s="4">
        <v>44565</v>
      </c>
      <c r="BT2911" s="5">
        <v>0.33611111111111108</v>
      </c>
      <c r="BU2911" s="3" t="s">
        <v>1629</v>
      </c>
      <c r="BV2911" s="3" t="s">
        <v>105</v>
      </c>
      <c r="BY2911" s="3">
        <v>1200</v>
      </c>
      <c r="BZ2911" s="3" t="s">
        <v>165</v>
      </c>
      <c r="CA2911" s="3" t="s">
        <v>334</v>
      </c>
      <c r="CC2911" s="3" t="s">
        <v>102</v>
      </c>
      <c r="CD2911" s="3">
        <v>4001</v>
      </c>
      <c r="CE2911" s="3" t="s">
        <v>93</v>
      </c>
      <c r="CF2911" s="4">
        <v>44565</v>
      </c>
      <c r="CI2911" s="3">
        <v>1</v>
      </c>
      <c r="CJ2911" s="3">
        <v>1</v>
      </c>
      <c r="CK2911" s="3">
        <v>21</v>
      </c>
      <c r="CL2911" s="3" t="s">
        <v>87</v>
      </c>
    </row>
    <row r="2912" spans="1:90" x14ac:dyDescent="0.2">
      <c r="A2912" s="3" t="s">
        <v>72</v>
      </c>
      <c r="B2912" s="3" t="s">
        <v>73</v>
      </c>
      <c r="C2912" s="3" t="s">
        <v>74</v>
      </c>
      <c r="E2912" s="3" t="str">
        <f>"FES1162843218"</f>
        <v>FES1162843218</v>
      </c>
      <c r="F2912" s="4">
        <v>44564</v>
      </c>
      <c r="G2912" s="3">
        <v>202207</v>
      </c>
      <c r="H2912" s="3" t="s">
        <v>75</v>
      </c>
      <c r="I2912" s="3" t="s">
        <v>76</v>
      </c>
      <c r="J2912" s="3" t="s">
        <v>77</v>
      </c>
      <c r="K2912" s="3" t="s">
        <v>78</v>
      </c>
      <c r="L2912" s="3" t="s">
        <v>75</v>
      </c>
      <c r="M2912" s="3" t="s">
        <v>76</v>
      </c>
      <c r="N2912" s="3" t="s">
        <v>2722</v>
      </c>
      <c r="O2912" s="3" t="s">
        <v>82</v>
      </c>
      <c r="P2912" s="3" t="str">
        <f>"2170813288                    "</f>
        <v xml:space="preserve">2170813288                    </v>
      </c>
      <c r="Q2912" s="3">
        <v>0</v>
      </c>
      <c r="R2912" s="3">
        <v>0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  <c r="AE2912" s="3">
        <v>0</v>
      </c>
      <c r="AF2912" s="3">
        <v>0</v>
      </c>
      <c r="AG2912" s="3">
        <v>0</v>
      </c>
      <c r="AH2912" s="3">
        <v>0</v>
      </c>
      <c r="AI2912" s="3">
        <v>0</v>
      </c>
      <c r="AJ2912" s="3">
        <v>0</v>
      </c>
      <c r="AK2912" s="3">
        <v>13.26</v>
      </c>
      <c r="AL2912" s="3">
        <v>0</v>
      </c>
      <c r="AM2912" s="3">
        <v>0</v>
      </c>
      <c r="AN2912" s="3">
        <v>0</v>
      </c>
      <c r="AO2912" s="3">
        <v>0</v>
      </c>
      <c r="AP2912" s="3">
        <v>0</v>
      </c>
      <c r="AQ2912" s="3">
        <v>0</v>
      </c>
      <c r="AR2912" s="3">
        <v>0</v>
      </c>
      <c r="AS2912" s="3">
        <v>0</v>
      </c>
      <c r="AT2912" s="3">
        <v>0</v>
      </c>
      <c r="AU2912" s="3">
        <v>0</v>
      </c>
      <c r="AV2912" s="3">
        <v>0</v>
      </c>
      <c r="AW2912" s="3">
        <v>0</v>
      </c>
      <c r="AX2912" s="3">
        <v>0</v>
      </c>
      <c r="AY2912" s="3">
        <v>0</v>
      </c>
      <c r="AZ2912" s="3">
        <v>0</v>
      </c>
      <c r="BA2912" s="3">
        <v>0</v>
      </c>
      <c r="BB2912" s="3">
        <v>0</v>
      </c>
      <c r="BC2912" s="3">
        <v>0</v>
      </c>
      <c r="BD2912" s="3">
        <v>0</v>
      </c>
      <c r="BE2912" s="3">
        <v>0</v>
      </c>
      <c r="BF2912" s="3">
        <v>0</v>
      </c>
      <c r="BG2912" s="3">
        <v>0</v>
      </c>
      <c r="BH2912" s="3">
        <v>1</v>
      </c>
      <c r="BI2912" s="3">
        <v>1</v>
      </c>
      <c r="BJ2912" s="3">
        <v>0.2</v>
      </c>
      <c r="BK2912" s="3">
        <v>1</v>
      </c>
      <c r="BL2912" s="3">
        <v>47.27</v>
      </c>
      <c r="BM2912" s="3">
        <v>7.09</v>
      </c>
      <c r="BN2912" s="3">
        <v>54.36</v>
      </c>
      <c r="BO2912" s="3">
        <v>54.36</v>
      </c>
      <c r="BR2912" s="3" t="s">
        <v>308</v>
      </c>
      <c r="BS2912" s="4">
        <v>44565</v>
      </c>
      <c r="BT2912" s="5">
        <v>0.38055555555555554</v>
      </c>
      <c r="BU2912" s="3" t="s">
        <v>2723</v>
      </c>
      <c r="BV2912" s="3" t="s">
        <v>105</v>
      </c>
      <c r="BY2912" s="3">
        <v>1200</v>
      </c>
      <c r="BZ2912" s="3" t="s">
        <v>165</v>
      </c>
      <c r="CA2912" s="3" t="s">
        <v>227</v>
      </c>
      <c r="CC2912" s="3" t="s">
        <v>76</v>
      </c>
      <c r="CD2912" s="3">
        <v>1600</v>
      </c>
      <c r="CE2912" s="3" t="s">
        <v>93</v>
      </c>
      <c r="CF2912" s="4">
        <v>44565</v>
      </c>
      <c r="CI2912" s="3">
        <v>1</v>
      </c>
      <c r="CJ2912" s="3">
        <v>1</v>
      </c>
      <c r="CK2912" s="3">
        <v>22</v>
      </c>
      <c r="CL2912" s="3" t="s">
        <v>87</v>
      </c>
    </row>
    <row r="2913" spans="1:90" x14ac:dyDescent="0.2">
      <c r="A2913" s="3" t="s">
        <v>72</v>
      </c>
      <c r="B2913" s="3" t="s">
        <v>73</v>
      </c>
      <c r="C2913" s="3" t="s">
        <v>74</v>
      </c>
      <c r="E2913" s="3" t="str">
        <f>"FES1162843196"</f>
        <v>FES1162843196</v>
      </c>
      <c r="F2913" s="4">
        <v>44564</v>
      </c>
      <c r="G2913" s="3">
        <v>202207</v>
      </c>
      <c r="H2913" s="3" t="s">
        <v>75</v>
      </c>
      <c r="I2913" s="3" t="s">
        <v>76</v>
      </c>
      <c r="J2913" s="3" t="s">
        <v>77</v>
      </c>
      <c r="K2913" s="3" t="s">
        <v>78</v>
      </c>
      <c r="L2913" s="3" t="s">
        <v>167</v>
      </c>
      <c r="M2913" s="3" t="s">
        <v>168</v>
      </c>
      <c r="N2913" s="3" t="s">
        <v>247</v>
      </c>
      <c r="O2913" s="3" t="s">
        <v>82</v>
      </c>
      <c r="P2913" s="3" t="str">
        <f>"2170813039                    "</f>
        <v xml:space="preserve">2170813039                    </v>
      </c>
      <c r="Q2913" s="3">
        <v>0</v>
      </c>
      <c r="R2913" s="3">
        <v>0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  <c r="AE2913" s="3">
        <v>0</v>
      </c>
      <c r="AF2913" s="3">
        <v>0</v>
      </c>
      <c r="AG2913" s="3">
        <v>0</v>
      </c>
      <c r="AH2913" s="3">
        <v>0</v>
      </c>
      <c r="AI2913" s="3">
        <v>0</v>
      </c>
      <c r="AJ2913" s="3">
        <v>0</v>
      </c>
      <c r="AK2913" s="3">
        <v>16.98</v>
      </c>
      <c r="AL2913" s="3">
        <v>0</v>
      </c>
      <c r="AM2913" s="3">
        <v>0</v>
      </c>
      <c r="AN2913" s="3">
        <v>0</v>
      </c>
      <c r="AO2913" s="3">
        <v>0</v>
      </c>
      <c r="AP2913" s="3">
        <v>0</v>
      </c>
      <c r="AQ2913" s="3">
        <v>0</v>
      </c>
      <c r="AR2913" s="3">
        <v>0</v>
      </c>
      <c r="AS2913" s="3">
        <v>0</v>
      </c>
      <c r="AT2913" s="3">
        <v>0</v>
      </c>
      <c r="AU2913" s="3">
        <v>0</v>
      </c>
      <c r="AV2913" s="3">
        <v>0</v>
      </c>
      <c r="AW2913" s="3">
        <v>0</v>
      </c>
      <c r="AX2913" s="3">
        <v>0</v>
      </c>
      <c r="AY2913" s="3">
        <v>0</v>
      </c>
      <c r="AZ2913" s="3">
        <v>0</v>
      </c>
      <c r="BA2913" s="3">
        <v>0</v>
      </c>
      <c r="BB2913" s="3">
        <v>0</v>
      </c>
      <c r="BC2913" s="3">
        <v>0</v>
      </c>
      <c r="BD2913" s="3">
        <v>0</v>
      </c>
      <c r="BE2913" s="3">
        <v>0</v>
      </c>
      <c r="BF2913" s="3">
        <v>0</v>
      </c>
      <c r="BG2913" s="3">
        <v>0</v>
      </c>
      <c r="BH2913" s="3">
        <v>1</v>
      </c>
      <c r="BI2913" s="3">
        <v>1</v>
      </c>
      <c r="BJ2913" s="3">
        <v>0.2</v>
      </c>
      <c r="BK2913" s="3">
        <v>1</v>
      </c>
      <c r="BL2913" s="3">
        <v>60.52</v>
      </c>
      <c r="BM2913" s="3">
        <v>9.08</v>
      </c>
      <c r="BN2913" s="3">
        <v>69.599999999999994</v>
      </c>
      <c r="BO2913" s="3">
        <v>69.599999999999994</v>
      </c>
      <c r="BQ2913" s="3" t="s">
        <v>89</v>
      </c>
      <c r="BR2913" s="3" t="s">
        <v>308</v>
      </c>
      <c r="BS2913" s="4">
        <v>44565</v>
      </c>
      <c r="BT2913" s="5">
        <v>0.42986111111111108</v>
      </c>
      <c r="BU2913" s="3" t="s">
        <v>2644</v>
      </c>
      <c r="BV2913" s="3" t="s">
        <v>105</v>
      </c>
      <c r="BY2913" s="3">
        <v>1200</v>
      </c>
      <c r="BZ2913" s="3" t="s">
        <v>165</v>
      </c>
      <c r="CA2913" s="3" t="s">
        <v>553</v>
      </c>
      <c r="CC2913" s="3" t="s">
        <v>168</v>
      </c>
      <c r="CD2913" s="3">
        <v>6229</v>
      </c>
      <c r="CE2913" s="3" t="s">
        <v>93</v>
      </c>
      <c r="CF2913" s="4">
        <v>44565</v>
      </c>
      <c r="CI2913" s="3">
        <v>1</v>
      </c>
      <c r="CJ2913" s="3">
        <v>1</v>
      </c>
      <c r="CK2913" s="3">
        <v>21</v>
      </c>
      <c r="CL2913" s="3" t="s">
        <v>87</v>
      </c>
    </row>
    <row r="2914" spans="1:90" x14ac:dyDescent="0.2">
      <c r="A2914" s="3" t="s">
        <v>72</v>
      </c>
      <c r="B2914" s="3" t="s">
        <v>73</v>
      </c>
      <c r="C2914" s="3" t="s">
        <v>74</v>
      </c>
      <c r="E2914" s="3" t="str">
        <f>"FES1162843221"</f>
        <v>FES1162843221</v>
      </c>
      <c r="F2914" s="4">
        <v>44564</v>
      </c>
      <c r="G2914" s="3">
        <v>202207</v>
      </c>
      <c r="H2914" s="3" t="s">
        <v>75</v>
      </c>
      <c r="I2914" s="3" t="s">
        <v>76</v>
      </c>
      <c r="J2914" s="3" t="s">
        <v>77</v>
      </c>
      <c r="K2914" s="3" t="s">
        <v>78</v>
      </c>
      <c r="L2914" s="3" t="s">
        <v>162</v>
      </c>
      <c r="M2914" s="3" t="s">
        <v>163</v>
      </c>
      <c r="N2914" s="3" t="s">
        <v>2724</v>
      </c>
      <c r="O2914" s="3" t="s">
        <v>82</v>
      </c>
      <c r="P2914" s="3" t="str">
        <f>"2170813524                    "</f>
        <v xml:space="preserve">2170813524                    </v>
      </c>
      <c r="Q2914" s="3">
        <v>0</v>
      </c>
      <c r="R2914" s="3">
        <v>0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  <c r="AE2914" s="3">
        <v>0</v>
      </c>
      <c r="AF2914" s="3">
        <v>0</v>
      </c>
      <c r="AG2914" s="3">
        <v>0</v>
      </c>
      <c r="AH2914" s="3">
        <v>0</v>
      </c>
      <c r="AI2914" s="3">
        <v>0</v>
      </c>
      <c r="AJ2914" s="3">
        <v>0</v>
      </c>
      <c r="AK2914" s="3">
        <v>13.26</v>
      </c>
      <c r="AL2914" s="3">
        <v>0</v>
      </c>
      <c r="AM2914" s="3">
        <v>0</v>
      </c>
      <c r="AN2914" s="3">
        <v>0</v>
      </c>
      <c r="AO2914" s="3">
        <v>0</v>
      </c>
      <c r="AP2914" s="3">
        <v>0</v>
      </c>
      <c r="AQ2914" s="3">
        <v>0</v>
      </c>
      <c r="AR2914" s="3">
        <v>0</v>
      </c>
      <c r="AS2914" s="3">
        <v>0</v>
      </c>
      <c r="AT2914" s="3">
        <v>0</v>
      </c>
      <c r="AU2914" s="3">
        <v>0</v>
      </c>
      <c r="AV2914" s="3">
        <v>0</v>
      </c>
      <c r="AW2914" s="3">
        <v>0</v>
      </c>
      <c r="AX2914" s="3">
        <v>0</v>
      </c>
      <c r="AY2914" s="3">
        <v>0</v>
      </c>
      <c r="AZ2914" s="3">
        <v>0</v>
      </c>
      <c r="BA2914" s="3">
        <v>0</v>
      </c>
      <c r="BB2914" s="3">
        <v>0</v>
      </c>
      <c r="BC2914" s="3">
        <v>0</v>
      </c>
      <c r="BD2914" s="3">
        <v>0</v>
      </c>
      <c r="BE2914" s="3">
        <v>0</v>
      </c>
      <c r="BF2914" s="3">
        <v>0</v>
      </c>
      <c r="BG2914" s="3">
        <v>0</v>
      </c>
      <c r="BH2914" s="3">
        <v>1</v>
      </c>
      <c r="BI2914" s="3">
        <v>1</v>
      </c>
      <c r="BJ2914" s="3">
        <v>0.2</v>
      </c>
      <c r="BK2914" s="3">
        <v>1</v>
      </c>
      <c r="BL2914" s="3">
        <v>47.27</v>
      </c>
      <c r="BM2914" s="3">
        <v>7.09</v>
      </c>
      <c r="BN2914" s="3">
        <v>54.36</v>
      </c>
      <c r="BO2914" s="3">
        <v>54.36</v>
      </c>
      <c r="BQ2914" s="3" t="s">
        <v>83</v>
      </c>
      <c r="BR2914" s="3" t="s">
        <v>308</v>
      </c>
      <c r="BS2914" s="4">
        <v>44565</v>
      </c>
      <c r="BT2914" s="5">
        <v>0.40833333333333338</v>
      </c>
      <c r="BU2914" s="3" t="s">
        <v>2159</v>
      </c>
      <c r="BV2914" s="3" t="s">
        <v>105</v>
      </c>
      <c r="BY2914" s="3">
        <v>1200</v>
      </c>
      <c r="BZ2914" s="3" t="s">
        <v>165</v>
      </c>
      <c r="CA2914" s="3" t="s">
        <v>523</v>
      </c>
      <c r="CC2914" s="3" t="s">
        <v>163</v>
      </c>
      <c r="CD2914" s="3">
        <v>1401</v>
      </c>
      <c r="CE2914" s="3" t="s">
        <v>93</v>
      </c>
      <c r="CF2914" s="4">
        <v>44565</v>
      </c>
      <c r="CI2914" s="3">
        <v>1</v>
      </c>
      <c r="CJ2914" s="3">
        <v>1</v>
      </c>
      <c r="CK2914" s="3">
        <v>22</v>
      </c>
      <c r="CL2914" s="3" t="s">
        <v>87</v>
      </c>
    </row>
    <row r="2915" spans="1:90" x14ac:dyDescent="0.2">
      <c r="A2915" s="3" t="s">
        <v>72</v>
      </c>
      <c r="B2915" s="3" t="s">
        <v>73</v>
      </c>
      <c r="C2915" s="3" t="s">
        <v>74</v>
      </c>
      <c r="E2915" s="3" t="str">
        <f>"FES1162843214"</f>
        <v>FES1162843214</v>
      </c>
      <c r="F2915" s="4">
        <v>44564</v>
      </c>
      <c r="G2915" s="3">
        <v>202207</v>
      </c>
      <c r="H2915" s="3" t="s">
        <v>75</v>
      </c>
      <c r="I2915" s="3" t="s">
        <v>76</v>
      </c>
      <c r="J2915" s="3" t="s">
        <v>77</v>
      </c>
      <c r="K2915" s="3" t="s">
        <v>78</v>
      </c>
      <c r="L2915" s="3" t="s">
        <v>90</v>
      </c>
      <c r="M2915" s="3" t="s">
        <v>91</v>
      </c>
      <c r="N2915" s="3" t="s">
        <v>444</v>
      </c>
      <c r="O2915" s="3" t="s">
        <v>82</v>
      </c>
      <c r="P2915" s="3" t="str">
        <f>"2170813216                    "</f>
        <v xml:space="preserve">2170813216                    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  <c r="AE2915" s="3">
        <v>0</v>
      </c>
      <c r="AF2915" s="3">
        <v>0</v>
      </c>
      <c r="AG2915" s="3">
        <v>0</v>
      </c>
      <c r="AH2915" s="3">
        <v>0</v>
      </c>
      <c r="AI2915" s="3">
        <v>0</v>
      </c>
      <c r="AJ2915" s="3">
        <v>0</v>
      </c>
      <c r="AK2915" s="3">
        <v>16.98</v>
      </c>
      <c r="AL2915" s="3">
        <v>0</v>
      </c>
      <c r="AM2915" s="3">
        <v>0</v>
      </c>
      <c r="AN2915" s="3">
        <v>0</v>
      </c>
      <c r="AO2915" s="3">
        <v>0</v>
      </c>
      <c r="AP2915" s="3">
        <v>0</v>
      </c>
      <c r="AQ2915" s="3">
        <v>0</v>
      </c>
      <c r="AR2915" s="3">
        <v>0</v>
      </c>
      <c r="AS2915" s="3">
        <v>0</v>
      </c>
      <c r="AT2915" s="3">
        <v>0</v>
      </c>
      <c r="AU2915" s="3">
        <v>0</v>
      </c>
      <c r="AV2915" s="3">
        <v>0</v>
      </c>
      <c r="AW2915" s="3">
        <v>0</v>
      </c>
      <c r="AX2915" s="3">
        <v>0</v>
      </c>
      <c r="AY2915" s="3">
        <v>0</v>
      </c>
      <c r="AZ2915" s="3">
        <v>0</v>
      </c>
      <c r="BA2915" s="3">
        <v>0</v>
      </c>
      <c r="BB2915" s="3">
        <v>0</v>
      </c>
      <c r="BC2915" s="3">
        <v>0</v>
      </c>
      <c r="BD2915" s="3">
        <v>0</v>
      </c>
      <c r="BE2915" s="3">
        <v>0</v>
      </c>
      <c r="BF2915" s="3">
        <v>0</v>
      </c>
      <c r="BG2915" s="3">
        <v>0</v>
      </c>
      <c r="BH2915" s="3">
        <v>1</v>
      </c>
      <c r="BI2915" s="3">
        <v>1</v>
      </c>
      <c r="BJ2915" s="3">
        <v>0.2</v>
      </c>
      <c r="BK2915" s="3">
        <v>1</v>
      </c>
      <c r="BL2915" s="3">
        <v>60.52</v>
      </c>
      <c r="BM2915" s="3">
        <v>9.08</v>
      </c>
      <c r="BN2915" s="3">
        <v>69.599999999999994</v>
      </c>
      <c r="BO2915" s="3">
        <v>69.599999999999994</v>
      </c>
      <c r="BQ2915" s="3" t="s">
        <v>145</v>
      </c>
      <c r="BR2915" s="3" t="s">
        <v>308</v>
      </c>
      <c r="BS2915" s="4">
        <v>44571</v>
      </c>
      <c r="BT2915" s="5">
        <v>0.4284722222222222</v>
      </c>
      <c r="BU2915" s="3" t="s">
        <v>747</v>
      </c>
      <c r="BV2915" s="3" t="s">
        <v>87</v>
      </c>
      <c r="BW2915" s="3" t="s">
        <v>493</v>
      </c>
      <c r="BX2915" s="3" t="s">
        <v>354</v>
      </c>
      <c r="BY2915" s="3">
        <v>1200</v>
      </c>
      <c r="BZ2915" s="3" t="s">
        <v>165</v>
      </c>
      <c r="CA2915" s="3" t="s">
        <v>1993</v>
      </c>
      <c r="CC2915" s="3" t="s">
        <v>91</v>
      </c>
      <c r="CD2915" s="3">
        <v>7500</v>
      </c>
      <c r="CE2915" s="3" t="s">
        <v>93</v>
      </c>
      <c r="CF2915" s="4">
        <v>44572</v>
      </c>
      <c r="CI2915" s="3">
        <v>1</v>
      </c>
      <c r="CJ2915" s="3">
        <v>5</v>
      </c>
      <c r="CK2915" s="3">
        <v>21</v>
      </c>
      <c r="CL2915" s="3" t="s">
        <v>87</v>
      </c>
    </row>
    <row r="2916" spans="1:90" x14ac:dyDescent="0.2">
      <c r="A2916" s="3" t="s">
        <v>72</v>
      </c>
      <c r="B2916" s="3" t="s">
        <v>73</v>
      </c>
      <c r="C2916" s="3" t="s">
        <v>74</v>
      </c>
      <c r="E2916" s="3" t="str">
        <f>"FES1162843210"</f>
        <v>FES1162843210</v>
      </c>
      <c r="F2916" s="4">
        <v>44564</v>
      </c>
      <c r="G2916" s="3">
        <v>202207</v>
      </c>
      <c r="H2916" s="3" t="s">
        <v>75</v>
      </c>
      <c r="I2916" s="3" t="s">
        <v>76</v>
      </c>
      <c r="J2916" s="3" t="s">
        <v>77</v>
      </c>
      <c r="K2916" s="3" t="s">
        <v>78</v>
      </c>
      <c r="L2916" s="3" t="s">
        <v>171</v>
      </c>
      <c r="M2916" s="3" t="s">
        <v>172</v>
      </c>
      <c r="N2916" s="3" t="s">
        <v>200</v>
      </c>
      <c r="O2916" s="3" t="s">
        <v>82</v>
      </c>
      <c r="P2916" s="3" t="str">
        <f>"2170813173                    "</f>
        <v xml:space="preserve">2170813173                    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  <c r="AE2916" s="3">
        <v>0</v>
      </c>
      <c r="AF2916" s="3">
        <v>0</v>
      </c>
      <c r="AG2916" s="3">
        <v>0</v>
      </c>
      <c r="AH2916" s="3">
        <v>0</v>
      </c>
      <c r="AI2916" s="3">
        <v>0</v>
      </c>
      <c r="AJ2916" s="3">
        <v>0</v>
      </c>
      <c r="AK2916" s="3">
        <v>16.98</v>
      </c>
      <c r="AL2916" s="3">
        <v>0</v>
      </c>
      <c r="AM2916" s="3">
        <v>0</v>
      </c>
      <c r="AN2916" s="3">
        <v>0</v>
      </c>
      <c r="AO2916" s="3">
        <v>0</v>
      </c>
      <c r="AP2916" s="3">
        <v>0</v>
      </c>
      <c r="AQ2916" s="3">
        <v>0</v>
      </c>
      <c r="AR2916" s="3">
        <v>0</v>
      </c>
      <c r="AS2916" s="3">
        <v>0</v>
      </c>
      <c r="AT2916" s="3">
        <v>0</v>
      </c>
      <c r="AU2916" s="3">
        <v>0</v>
      </c>
      <c r="AV2916" s="3">
        <v>0</v>
      </c>
      <c r="AW2916" s="3">
        <v>0</v>
      </c>
      <c r="AX2916" s="3">
        <v>0</v>
      </c>
      <c r="AY2916" s="3">
        <v>0</v>
      </c>
      <c r="AZ2916" s="3">
        <v>0</v>
      </c>
      <c r="BA2916" s="3">
        <v>0</v>
      </c>
      <c r="BB2916" s="3">
        <v>0</v>
      </c>
      <c r="BC2916" s="3">
        <v>0</v>
      </c>
      <c r="BD2916" s="3">
        <v>0</v>
      </c>
      <c r="BE2916" s="3">
        <v>0</v>
      </c>
      <c r="BF2916" s="3">
        <v>0</v>
      </c>
      <c r="BG2916" s="3">
        <v>0</v>
      </c>
      <c r="BH2916" s="3">
        <v>1</v>
      </c>
      <c r="BI2916" s="3">
        <v>1</v>
      </c>
      <c r="BJ2916" s="3">
        <v>0.2</v>
      </c>
      <c r="BK2916" s="3">
        <v>1</v>
      </c>
      <c r="BL2916" s="3">
        <v>60.52</v>
      </c>
      <c r="BM2916" s="3">
        <v>9.08</v>
      </c>
      <c r="BN2916" s="3">
        <v>69.599999999999994</v>
      </c>
      <c r="BO2916" s="3">
        <v>69.599999999999994</v>
      </c>
      <c r="BQ2916" s="3" t="s">
        <v>89</v>
      </c>
      <c r="BR2916" s="3" t="s">
        <v>308</v>
      </c>
      <c r="BS2916" s="4">
        <v>44565</v>
      </c>
      <c r="BT2916" s="5">
        <v>0.36388888888888887</v>
      </c>
      <c r="BU2916" s="3" t="s">
        <v>908</v>
      </c>
      <c r="BV2916" s="3" t="s">
        <v>105</v>
      </c>
      <c r="BY2916" s="3">
        <v>1200</v>
      </c>
      <c r="BZ2916" s="3" t="s">
        <v>165</v>
      </c>
      <c r="CA2916" s="3" t="s">
        <v>814</v>
      </c>
      <c r="CC2916" s="3" t="s">
        <v>172</v>
      </c>
      <c r="CD2916" s="3">
        <v>6001</v>
      </c>
      <c r="CE2916" s="3" t="s">
        <v>93</v>
      </c>
      <c r="CF2916" s="4">
        <v>44565</v>
      </c>
      <c r="CI2916" s="3">
        <v>1</v>
      </c>
      <c r="CJ2916" s="3">
        <v>1</v>
      </c>
      <c r="CK2916" s="3">
        <v>21</v>
      </c>
      <c r="CL2916" s="3" t="s">
        <v>87</v>
      </c>
    </row>
    <row r="2917" spans="1:90" x14ac:dyDescent="0.2">
      <c r="A2917" s="3" t="s">
        <v>72</v>
      </c>
      <c r="B2917" s="3" t="s">
        <v>73</v>
      </c>
      <c r="C2917" s="3" t="s">
        <v>74</v>
      </c>
      <c r="E2917" s="3" t="str">
        <f>"FES1162843168"</f>
        <v>FES1162843168</v>
      </c>
      <c r="F2917" s="4">
        <v>44564</v>
      </c>
      <c r="G2917" s="3">
        <v>202207</v>
      </c>
      <c r="H2917" s="3" t="s">
        <v>75</v>
      </c>
      <c r="I2917" s="3" t="s">
        <v>76</v>
      </c>
      <c r="J2917" s="3" t="s">
        <v>77</v>
      </c>
      <c r="K2917" s="3" t="s">
        <v>78</v>
      </c>
      <c r="L2917" s="3" t="s">
        <v>90</v>
      </c>
      <c r="M2917" s="3" t="s">
        <v>91</v>
      </c>
      <c r="N2917" s="3" t="s">
        <v>981</v>
      </c>
      <c r="O2917" s="3" t="s">
        <v>82</v>
      </c>
      <c r="P2917" s="3" t="str">
        <f>"2170812694                    "</f>
        <v xml:space="preserve">2170812694                    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  <c r="AE2917" s="3">
        <v>0</v>
      </c>
      <c r="AF2917" s="3">
        <v>0</v>
      </c>
      <c r="AG2917" s="3">
        <v>0</v>
      </c>
      <c r="AH2917" s="3">
        <v>0</v>
      </c>
      <c r="AI2917" s="3">
        <v>0</v>
      </c>
      <c r="AJ2917" s="3">
        <v>0</v>
      </c>
      <c r="AK2917" s="3">
        <v>16.98</v>
      </c>
      <c r="AL2917" s="3">
        <v>0</v>
      </c>
      <c r="AM2917" s="3">
        <v>0</v>
      </c>
      <c r="AN2917" s="3">
        <v>0</v>
      </c>
      <c r="AO2917" s="3">
        <v>0</v>
      </c>
      <c r="AP2917" s="3">
        <v>0</v>
      </c>
      <c r="AQ2917" s="3">
        <v>0</v>
      </c>
      <c r="AR2917" s="3">
        <v>0</v>
      </c>
      <c r="AS2917" s="3">
        <v>0</v>
      </c>
      <c r="AT2917" s="3">
        <v>0</v>
      </c>
      <c r="AU2917" s="3">
        <v>0</v>
      </c>
      <c r="AV2917" s="3">
        <v>0</v>
      </c>
      <c r="AW2917" s="3">
        <v>0</v>
      </c>
      <c r="AX2917" s="3">
        <v>0</v>
      </c>
      <c r="AY2917" s="3">
        <v>0</v>
      </c>
      <c r="AZ2917" s="3">
        <v>0</v>
      </c>
      <c r="BA2917" s="3">
        <v>0</v>
      </c>
      <c r="BB2917" s="3">
        <v>0</v>
      </c>
      <c r="BC2917" s="3">
        <v>0</v>
      </c>
      <c r="BD2917" s="3">
        <v>0</v>
      </c>
      <c r="BE2917" s="3">
        <v>0</v>
      </c>
      <c r="BF2917" s="3">
        <v>0</v>
      </c>
      <c r="BG2917" s="3">
        <v>0</v>
      </c>
      <c r="BH2917" s="3">
        <v>1</v>
      </c>
      <c r="BI2917" s="3">
        <v>1</v>
      </c>
      <c r="BJ2917" s="3">
        <v>0.2</v>
      </c>
      <c r="BK2917" s="3">
        <v>1</v>
      </c>
      <c r="BL2917" s="3">
        <v>60.52</v>
      </c>
      <c r="BM2917" s="3">
        <v>9.08</v>
      </c>
      <c r="BN2917" s="3">
        <v>69.599999999999994</v>
      </c>
      <c r="BO2917" s="3">
        <v>69.599999999999994</v>
      </c>
      <c r="BQ2917" s="3" t="s">
        <v>83</v>
      </c>
      <c r="BR2917" s="3" t="s">
        <v>308</v>
      </c>
      <c r="BS2917" s="4">
        <v>44565</v>
      </c>
      <c r="BT2917" s="5">
        <v>0.37083333333333335</v>
      </c>
      <c r="BU2917" s="3" t="s">
        <v>2725</v>
      </c>
      <c r="BV2917" s="3" t="s">
        <v>105</v>
      </c>
      <c r="BY2917" s="3">
        <v>1200</v>
      </c>
      <c r="BZ2917" s="3" t="s">
        <v>165</v>
      </c>
      <c r="CA2917" s="3" t="s">
        <v>623</v>
      </c>
      <c r="CC2917" s="3" t="s">
        <v>91</v>
      </c>
      <c r="CD2917" s="3">
        <v>7945</v>
      </c>
      <c r="CE2917" s="3" t="s">
        <v>93</v>
      </c>
      <c r="CF2917" s="4">
        <v>44566</v>
      </c>
      <c r="CI2917" s="3">
        <v>1</v>
      </c>
      <c r="CJ2917" s="3">
        <v>1</v>
      </c>
      <c r="CK2917" s="3">
        <v>21</v>
      </c>
      <c r="CL2917" s="3" t="s">
        <v>87</v>
      </c>
    </row>
    <row r="2918" spans="1:90" x14ac:dyDescent="0.2">
      <c r="A2918" s="3" t="s">
        <v>72</v>
      </c>
      <c r="B2918" s="3" t="s">
        <v>73</v>
      </c>
      <c r="C2918" s="3" t="s">
        <v>74</v>
      </c>
      <c r="E2918" s="3" t="str">
        <f>"FES1162843152"</f>
        <v>FES1162843152</v>
      </c>
      <c r="F2918" s="4">
        <v>44564</v>
      </c>
      <c r="G2918" s="3">
        <v>202207</v>
      </c>
      <c r="H2918" s="3" t="s">
        <v>75</v>
      </c>
      <c r="I2918" s="3" t="s">
        <v>76</v>
      </c>
      <c r="J2918" s="3" t="s">
        <v>77</v>
      </c>
      <c r="K2918" s="3" t="s">
        <v>78</v>
      </c>
      <c r="L2918" s="3" t="s">
        <v>79</v>
      </c>
      <c r="M2918" s="3" t="s">
        <v>80</v>
      </c>
      <c r="N2918" s="3" t="s">
        <v>136</v>
      </c>
      <c r="O2918" s="3" t="s">
        <v>82</v>
      </c>
      <c r="P2918" s="3" t="str">
        <f>"2170812580                    "</f>
        <v xml:space="preserve">2170812580                    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  <c r="AE2918" s="3">
        <v>0</v>
      </c>
      <c r="AF2918" s="3">
        <v>0</v>
      </c>
      <c r="AG2918" s="3">
        <v>0</v>
      </c>
      <c r="AH2918" s="3">
        <v>0</v>
      </c>
      <c r="AI2918" s="3">
        <v>0</v>
      </c>
      <c r="AJ2918" s="3">
        <v>0</v>
      </c>
      <c r="AK2918" s="3">
        <v>16.98</v>
      </c>
      <c r="AL2918" s="3">
        <v>0</v>
      </c>
      <c r="AM2918" s="3">
        <v>0</v>
      </c>
      <c r="AN2918" s="3">
        <v>0</v>
      </c>
      <c r="AO2918" s="3">
        <v>0</v>
      </c>
      <c r="AP2918" s="3">
        <v>0</v>
      </c>
      <c r="AQ2918" s="3">
        <v>0</v>
      </c>
      <c r="AR2918" s="3">
        <v>0</v>
      </c>
      <c r="AS2918" s="3">
        <v>0</v>
      </c>
      <c r="AT2918" s="3">
        <v>0</v>
      </c>
      <c r="AU2918" s="3">
        <v>0</v>
      </c>
      <c r="AV2918" s="3">
        <v>0</v>
      </c>
      <c r="AW2918" s="3">
        <v>0</v>
      </c>
      <c r="AX2918" s="3">
        <v>0</v>
      </c>
      <c r="AY2918" s="3">
        <v>0</v>
      </c>
      <c r="AZ2918" s="3">
        <v>0</v>
      </c>
      <c r="BA2918" s="3">
        <v>0</v>
      </c>
      <c r="BB2918" s="3">
        <v>0</v>
      </c>
      <c r="BC2918" s="3">
        <v>0</v>
      </c>
      <c r="BD2918" s="3">
        <v>0</v>
      </c>
      <c r="BE2918" s="3">
        <v>0</v>
      </c>
      <c r="BF2918" s="3">
        <v>0</v>
      </c>
      <c r="BG2918" s="3">
        <v>0</v>
      </c>
      <c r="BH2918" s="3">
        <v>1</v>
      </c>
      <c r="BI2918" s="3">
        <v>1</v>
      </c>
      <c r="BJ2918" s="3">
        <v>0.2</v>
      </c>
      <c r="BK2918" s="3">
        <v>1</v>
      </c>
      <c r="BL2918" s="3">
        <v>60.52</v>
      </c>
      <c r="BM2918" s="3">
        <v>9.08</v>
      </c>
      <c r="BN2918" s="3">
        <v>69.599999999999994</v>
      </c>
      <c r="BO2918" s="3">
        <v>69.599999999999994</v>
      </c>
      <c r="BQ2918" s="3" t="s">
        <v>89</v>
      </c>
      <c r="BR2918" s="3" t="s">
        <v>308</v>
      </c>
      <c r="BS2918" s="4">
        <v>44565</v>
      </c>
      <c r="BT2918" s="5">
        <v>0.39444444444444443</v>
      </c>
      <c r="BU2918" s="3" t="s">
        <v>2726</v>
      </c>
      <c r="BV2918" s="3" t="s">
        <v>105</v>
      </c>
      <c r="BY2918" s="3">
        <v>1200</v>
      </c>
      <c r="BZ2918" s="3" t="s">
        <v>165</v>
      </c>
      <c r="CA2918" s="3" t="s">
        <v>1966</v>
      </c>
      <c r="CC2918" s="3" t="s">
        <v>80</v>
      </c>
      <c r="CD2918" s="3">
        <v>82</v>
      </c>
      <c r="CE2918" s="3" t="s">
        <v>93</v>
      </c>
      <c r="CF2918" s="4">
        <v>44565</v>
      </c>
      <c r="CI2918" s="3">
        <v>1</v>
      </c>
      <c r="CJ2918" s="3">
        <v>1</v>
      </c>
      <c r="CK2918" s="3">
        <v>21</v>
      </c>
      <c r="CL2918" s="3" t="s">
        <v>87</v>
      </c>
    </row>
    <row r="2919" spans="1:90" x14ac:dyDescent="0.2">
      <c r="A2919" s="3" t="s">
        <v>72</v>
      </c>
      <c r="B2919" s="3" t="s">
        <v>73</v>
      </c>
      <c r="C2919" s="3" t="s">
        <v>74</v>
      </c>
      <c r="E2919" s="3" t="str">
        <f>"FES1162843516"</f>
        <v>FES1162843516</v>
      </c>
      <c r="F2919" s="4">
        <v>44565</v>
      </c>
      <c r="G2919" s="3">
        <v>202207</v>
      </c>
      <c r="H2919" s="3" t="s">
        <v>75</v>
      </c>
      <c r="I2919" s="3" t="s">
        <v>76</v>
      </c>
      <c r="J2919" s="3" t="s">
        <v>77</v>
      </c>
      <c r="K2919" s="3" t="s">
        <v>78</v>
      </c>
      <c r="L2919" s="3" t="s">
        <v>75</v>
      </c>
      <c r="M2919" s="3" t="s">
        <v>76</v>
      </c>
      <c r="N2919" s="3" t="s">
        <v>153</v>
      </c>
      <c r="O2919" s="3" t="s">
        <v>82</v>
      </c>
      <c r="P2919" s="3" t="str">
        <f>"2170810353                    "</f>
        <v xml:space="preserve">2170810353                    </v>
      </c>
      <c r="Q2919" s="3">
        <v>0</v>
      </c>
      <c r="R2919" s="3">
        <v>0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  <c r="AE2919" s="3">
        <v>0</v>
      </c>
      <c r="AF2919" s="3">
        <v>0</v>
      </c>
      <c r="AG2919" s="3">
        <v>0</v>
      </c>
      <c r="AH2919" s="3">
        <v>0</v>
      </c>
      <c r="AI2919" s="3">
        <v>0</v>
      </c>
      <c r="AJ2919" s="3">
        <v>0</v>
      </c>
      <c r="AK2919" s="3">
        <v>13.26</v>
      </c>
      <c r="AL2919" s="3">
        <v>0</v>
      </c>
      <c r="AM2919" s="3">
        <v>0</v>
      </c>
      <c r="AN2919" s="3">
        <v>0</v>
      </c>
      <c r="AO2919" s="3">
        <v>0</v>
      </c>
      <c r="AP2919" s="3">
        <v>0</v>
      </c>
      <c r="AQ2919" s="3">
        <v>0</v>
      </c>
      <c r="AR2919" s="3">
        <v>0</v>
      </c>
      <c r="AS2919" s="3">
        <v>0</v>
      </c>
      <c r="AT2919" s="3">
        <v>0</v>
      </c>
      <c r="AU2919" s="3">
        <v>0</v>
      </c>
      <c r="AV2919" s="3">
        <v>0</v>
      </c>
      <c r="AW2919" s="3">
        <v>0</v>
      </c>
      <c r="AX2919" s="3">
        <v>0</v>
      </c>
      <c r="AY2919" s="3">
        <v>0</v>
      </c>
      <c r="AZ2919" s="3">
        <v>0</v>
      </c>
      <c r="BA2919" s="3">
        <v>0</v>
      </c>
      <c r="BB2919" s="3">
        <v>0</v>
      </c>
      <c r="BC2919" s="3">
        <v>0</v>
      </c>
      <c r="BD2919" s="3">
        <v>0</v>
      </c>
      <c r="BE2919" s="3">
        <v>0</v>
      </c>
      <c r="BF2919" s="3">
        <v>0</v>
      </c>
      <c r="BG2919" s="3">
        <v>0</v>
      </c>
      <c r="BH2919" s="3">
        <v>1</v>
      </c>
      <c r="BI2919" s="3">
        <v>1</v>
      </c>
      <c r="BJ2919" s="3">
        <v>1.1000000000000001</v>
      </c>
      <c r="BK2919" s="3">
        <v>1.5</v>
      </c>
      <c r="BL2919" s="3">
        <v>47.27</v>
      </c>
      <c r="BM2919" s="3">
        <v>7.09</v>
      </c>
      <c r="BN2919" s="3">
        <v>54.36</v>
      </c>
      <c r="BO2919" s="3">
        <v>54.36</v>
      </c>
      <c r="BR2919" s="3" t="s">
        <v>308</v>
      </c>
      <c r="BS2919" s="4">
        <v>44566</v>
      </c>
      <c r="BT2919" s="5">
        <v>0.3833333333333333</v>
      </c>
      <c r="BU2919" s="3" t="s">
        <v>2566</v>
      </c>
      <c r="BV2919" s="3" t="s">
        <v>105</v>
      </c>
      <c r="BY2919" s="3">
        <v>5320</v>
      </c>
      <c r="BZ2919" s="3" t="s">
        <v>165</v>
      </c>
      <c r="CA2919" s="3" t="s">
        <v>227</v>
      </c>
      <c r="CC2919" s="3" t="s">
        <v>76</v>
      </c>
      <c r="CD2919" s="3">
        <v>1600</v>
      </c>
      <c r="CE2919" s="3" t="s">
        <v>86</v>
      </c>
      <c r="CF2919" s="4">
        <v>44566</v>
      </c>
      <c r="CI2919" s="3">
        <v>1</v>
      </c>
      <c r="CJ2919" s="3">
        <v>1</v>
      </c>
      <c r="CK2919" s="3">
        <v>22</v>
      </c>
      <c r="CL2919" s="3" t="s">
        <v>87</v>
      </c>
    </row>
    <row r="2920" spans="1:90" x14ac:dyDescent="0.2">
      <c r="A2920" s="3" t="s">
        <v>72</v>
      </c>
      <c r="B2920" s="3" t="s">
        <v>73</v>
      </c>
      <c r="C2920" s="3" t="s">
        <v>74</v>
      </c>
      <c r="E2920" s="3" t="str">
        <f>"FES1162843527"</f>
        <v>FES1162843527</v>
      </c>
      <c r="F2920" s="4">
        <v>44565</v>
      </c>
      <c r="G2920" s="3">
        <v>202207</v>
      </c>
      <c r="H2920" s="3" t="s">
        <v>75</v>
      </c>
      <c r="I2920" s="3" t="s">
        <v>76</v>
      </c>
      <c r="J2920" s="3" t="s">
        <v>77</v>
      </c>
      <c r="K2920" s="3" t="s">
        <v>78</v>
      </c>
      <c r="L2920" s="3" t="s">
        <v>75</v>
      </c>
      <c r="M2920" s="3" t="s">
        <v>76</v>
      </c>
      <c r="N2920" s="3" t="s">
        <v>2722</v>
      </c>
      <c r="O2920" s="3" t="s">
        <v>82</v>
      </c>
      <c r="P2920" s="3" t="str">
        <f>"2170813288                    "</f>
        <v xml:space="preserve">2170813288                    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  <c r="AE2920" s="3">
        <v>0</v>
      </c>
      <c r="AF2920" s="3">
        <v>0</v>
      </c>
      <c r="AG2920" s="3">
        <v>0</v>
      </c>
      <c r="AH2920" s="3">
        <v>0</v>
      </c>
      <c r="AI2920" s="3">
        <v>0</v>
      </c>
      <c r="AJ2920" s="3">
        <v>0</v>
      </c>
      <c r="AK2920" s="3">
        <v>13.26</v>
      </c>
      <c r="AL2920" s="3">
        <v>0</v>
      </c>
      <c r="AM2920" s="3">
        <v>0</v>
      </c>
      <c r="AN2920" s="3">
        <v>0</v>
      </c>
      <c r="AO2920" s="3">
        <v>0</v>
      </c>
      <c r="AP2920" s="3">
        <v>0</v>
      </c>
      <c r="AQ2920" s="3">
        <v>0</v>
      </c>
      <c r="AR2920" s="3">
        <v>0</v>
      </c>
      <c r="AS2920" s="3">
        <v>0</v>
      </c>
      <c r="AT2920" s="3">
        <v>0</v>
      </c>
      <c r="AU2920" s="3">
        <v>0</v>
      </c>
      <c r="AV2920" s="3">
        <v>0</v>
      </c>
      <c r="AW2920" s="3">
        <v>0</v>
      </c>
      <c r="AX2920" s="3">
        <v>0</v>
      </c>
      <c r="AY2920" s="3">
        <v>0</v>
      </c>
      <c r="AZ2920" s="3">
        <v>0</v>
      </c>
      <c r="BA2920" s="3">
        <v>0</v>
      </c>
      <c r="BB2920" s="3">
        <v>0</v>
      </c>
      <c r="BC2920" s="3">
        <v>0</v>
      </c>
      <c r="BD2920" s="3">
        <v>0</v>
      </c>
      <c r="BE2920" s="3">
        <v>0</v>
      </c>
      <c r="BF2920" s="3">
        <v>0</v>
      </c>
      <c r="BG2920" s="3">
        <v>0</v>
      </c>
      <c r="BH2920" s="3">
        <v>1</v>
      </c>
      <c r="BI2920" s="3">
        <v>1</v>
      </c>
      <c r="BJ2920" s="3">
        <v>1.1000000000000001</v>
      </c>
      <c r="BK2920" s="3">
        <v>1.5</v>
      </c>
      <c r="BL2920" s="3">
        <v>47.27</v>
      </c>
      <c r="BM2920" s="3">
        <v>7.09</v>
      </c>
      <c r="BN2920" s="3">
        <v>54.36</v>
      </c>
      <c r="BO2920" s="3">
        <v>54.36</v>
      </c>
      <c r="BR2920" s="3" t="s">
        <v>308</v>
      </c>
      <c r="BS2920" s="4">
        <v>44566</v>
      </c>
      <c r="BT2920" s="5">
        <v>0.3743055555555555</v>
      </c>
      <c r="BU2920" s="3" t="s">
        <v>2727</v>
      </c>
      <c r="BV2920" s="3" t="s">
        <v>105</v>
      </c>
      <c r="BY2920" s="3">
        <v>5320</v>
      </c>
      <c r="BZ2920" s="3" t="s">
        <v>165</v>
      </c>
      <c r="CA2920" s="3" t="s">
        <v>227</v>
      </c>
      <c r="CC2920" s="3" t="s">
        <v>76</v>
      </c>
      <c r="CD2920" s="3">
        <v>1600</v>
      </c>
      <c r="CE2920" s="3" t="s">
        <v>86</v>
      </c>
      <c r="CF2920" s="4">
        <v>44566</v>
      </c>
      <c r="CI2920" s="3">
        <v>1</v>
      </c>
      <c r="CJ2920" s="3">
        <v>1</v>
      </c>
      <c r="CK2920" s="3">
        <v>22</v>
      </c>
      <c r="CL2920" s="3" t="s">
        <v>87</v>
      </c>
    </row>
    <row r="2921" spans="1:90" x14ac:dyDescent="0.2">
      <c r="A2921" s="3" t="s">
        <v>72</v>
      </c>
      <c r="B2921" s="3" t="s">
        <v>73</v>
      </c>
      <c r="C2921" s="3" t="s">
        <v>74</v>
      </c>
      <c r="E2921" s="3" t="str">
        <f>"FES1162843477"</f>
        <v>FES1162843477</v>
      </c>
      <c r="F2921" s="4">
        <v>44565</v>
      </c>
      <c r="G2921" s="3">
        <v>202207</v>
      </c>
      <c r="H2921" s="3" t="s">
        <v>75</v>
      </c>
      <c r="I2921" s="3" t="s">
        <v>76</v>
      </c>
      <c r="J2921" s="3" t="s">
        <v>77</v>
      </c>
      <c r="K2921" s="3" t="s">
        <v>78</v>
      </c>
      <c r="L2921" s="3" t="s">
        <v>97</v>
      </c>
      <c r="M2921" s="3" t="s">
        <v>98</v>
      </c>
      <c r="N2921" s="3" t="s">
        <v>1142</v>
      </c>
      <c r="O2921" s="3" t="s">
        <v>82</v>
      </c>
      <c r="P2921" s="3" t="str">
        <f>"2170814381                    "</f>
        <v xml:space="preserve">2170814381                    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  <c r="AE2921" s="3">
        <v>0</v>
      </c>
      <c r="AF2921" s="3">
        <v>0</v>
      </c>
      <c r="AG2921" s="3">
        <v>0</v>
      </c>
      <c r="AH2921" s="3">
        <v>0</v>
      </c>
      <c r="AI2921" s="3">
        <v>0</v>
      </c>
      <c r="AJ2921" s="3">
        <v>0</v>
      </c>
      <c r="AK2921" s="3">
        <v>13.26</v>
      </c>
      <c r="AL2921" s="3">
        <v>0</v>
      </c>
      <c r="AM2921" s="3">
        <v>0</v>
      </c>
      <c r="AN2921" s="3">
        <v>0</v>
      </c>
      <c r="AO2921" s="3">
        <v>0</v>
      </c>
      <c r="AP2921" s="3">
        <v>0</v>
      </c>
      <c r="AQ2921" s="3">
        <v>0</v>
      </c>
      <c r="AR2921" s="3">
        <v>0</v>
      </c>
      <c r="AS2921" s="3">
        <v>0</v>
      </c>
      <c r="AT2921" s="3">
        <v>0</v>
      </c>
      <c r="AU2921" s="3">
        <v>0</v>
      </c>
      <c r="AV2921" s="3">
        <v>0</v>
      </c>
      <c r="AW2921" s="3">
        <v>0</v>
      </c>
      <c r="AX2921" s="3">
        <v>0</v>
      </c>
      <c r="AY2921" s="3">
        <v>0</v>
      </c>
      <c r="AZ2921" s="3">
        <v>0</v>
      </c>
      <c r="BA2921" s="3">
        <v>0</v>
      </c>
      <c r="BB2921" s="3">
        <v>0</v>
      </c>
      <c r="BC2921" s="3">
        <v>0</v>
      </c>
      <c r="BD2921" s="3">
        <v>0</v>
      </c>
      <c r="BE2921" s="3">
        <v>0</v>
      </c>
      <c r="BF2921" s="3">
        <v>0</v>
      </c>
      <c r="BG2921" s="3">
        <v>0</v>
      </c>
      <c r="BH2921" s="3">
        <v>1</v>
      </c>
      <c r="BI2921" s="3">
        <v>1</v>
      </c>
      <c r="BJ2921" s="3">
        <v>2</v>
      </c>
      <c r="BK2921" s="3">
        <v>2</v>
      </c>
      <c r="BL2921" s="3">
        <v>47.27</v>
      </c>
      <c r="BM2921" s="3">
        <v>7.09</v>
      </c>
      <c r="BN2921" s="3">
        <v>54.36</v>
      </c>
      <c r="BO2921" s="3">
        <v>54.36</v>
      </c>
      <c r="BQ2921" s="3" t="s">
        <v>89</v>
      </c>
      <c r="BR2921" s="3" t="s">
        <v>308</v>
      </c>
      <c r="BS2921" s="4">
        <v>44566</v>
      </c>
      <c r="BT2921" s="5">
        <v>0.43055555555555558</v>
      </c>
      <c r="BU2921" s="3" t="s">
        <v>2728</v>
      </c>
      <c r="BV2921" s="3" t="s">
        <v>105</v>
      </c>
      <c r="BY2921" s="3">
        <v>9918</v>
      </c>
      <c r="BZ2921" s="3" t="s">
        <v>165</v>
      </c>
      <c r="CC2921" s="3" t="s">
        <v>98</v>
      </c>
      <c r="CD2921" s="3">
        <v>2091</v>
      </c>
      <c r="CE2921" s="3" t="s">
        <v>86</v>
      </c>
      <c r="CF2921" s="4">
        <v>44567</v>
      </c>
      <c r="CI2921" s="3">
        <v>1</v>
      </c>
      <c r="CJ2921" s="3">
        <v>1</v>
      </c>
      <c r="CK2921" s="3">
        <v>22</v>
      </c>
      <c r="CL2921" s="3" t="s">
        <v>87</v>
      </c>
    </row>
    <row r="2922" spans="1:90" x14ac:dyDescent="0.2">
      <c r="A2922" s="3" t="s">
        <v>72</v>
      </c>
      <c r="B2922" s="3" t="s">
        <v>73</v>
      </c>
      <c r="C2922" s="3" t="s">
        <v>74</v>
      </c>
      <c r="E2922" s="3" t="str">
        <f>"FES1162843737"</f>
        <v>FES1162843737</v>
      </c>
      <c r="F2922" s="4">
        <v>44566</v>
      </c>
      <c r="G2922" s="3">
        <v>202207</v>
      </c>
      <c r="H2922" s="3" t="s">
        <v>75</v>
      </c>
      <c r="I2922" s="3" t="s">
        <v>76</v>
      </c>
      <c r="J2922" s="3" t="s">
        <v>77</v>
      </c>
      <c r="K2922" s="3" t="s">
        <v>78</v>
      </c>
      <c r="L2922" s="3" t="s">
        <v>97</v>
      </c>
      <c r="M2922" s="3" t="s">
        <v>98</v>
      </c>
      <c r="N2922" s="3" t="s">
        <v>1048</v>
      </c>
      <c r="O2922" s="3" t="s">
        <v>82</v>
      </c>
      <c r="P2922" s="3" t="str">
        <f>"2170813734                    "</f>
        <v xml:space="preserve">2170813734                    </v>
      </c>
      <c r="Q2922" s="3">
        <v>0</v>
      </c>
      <c r="R2922" s="3">
        <v>0</v>
      </c>
      <c r="S2922" s="3">
        <v>0</v>
      </c>
      <c r="T2922" s="3">
        <v>0</v>
      </c>
      <c r="U2922" s="3">
        <v>0</v>
      </c>
      <c r="V2922" s="3">
        <v>0</v>
      </c>
      <c r="W2922" s="3">
        <v>0</v>
      </c>
      <c r="X2922" s="3">
        <v>0</v>
      </c>
      <c r="Y2922" s="3">
        <v>0</v>
      </c>
      <c r="Z2922" s="3">
        <v>0</v>
      </c>
      <c r="AA2922" s="3">
        <v>0</v>
      </c>
      <c r="AB2922" s="3">
        <v>0</v>
      </c>
      <c r="AC2922" s="3">
        <v>0</v>
      </c>
      <c r="AD2922" s="3">
        <v>0</v>
      </c>
      <c r="AE2922" s="3">
        <v>0</v>
      </c>
      <c r="AF2922" s="3">
        <v>0</v>
      </c>
      <c r="AG2922" s="3">
        <v>0</v>
      </c>
      <c r="AH2922" s="3">
        <v>0</v>
      </c>
      <c r="AI2922" s="3">
        <v>0</v>
      </c>
      <c r="AJ2922" s="3">
        <v>0</v>
      </c>
      <c r="AK2922" s="3">
        <v>12.07</v>
      </c>
      <c r="AL2922" s="3">
        <v>0</v>
      </c>
      <c r="AM2922" s="3">
        <v>0</v>
      </c>
      <c r="AN2922" s="3">
        <v>0</v>
      </c>
      <c r="AO2922" s="3">
        <v>0</v>
      </c>
      <c r="AP2922" s="3">
        <v>0</v>
      </c>
      <c r="AQ2922" s="3">
        <v>0</v>
      </c>
      <c r="AR2922" s="3">
        <v>0</v>
      </c>
      <c r="AS2922" s="3">
        <v>0</v>
      </c>
      <c r="AT2922" s="3">
        <v>0</v>
      </c>
      <c r="AU2922" s="3">
        <v>0</v>
      </c>
      <c r="AV2922" s="3">
        <v>0</v>
      </c>
      <c r="AW2922" s="3">
        <v>0</v>
      </c>
      <c r="AX2922" s="3">
        <v>0</v>
      </c>
      <c r="AY2922" s="3">
        <v>0</v>
      </c>
      <c r="AZ2922" s="3">
        <v>0</v>
      </c>
      <c r="BA2922" s="3">
        <v>0</v>
      </c>
      <c r="BB2922" s="3">
        <v>0</v>
      </c>
      <c r="BC2922" s="3">
        <v>0</v>
      </c>
      <c r="BD2922" s="3">
        <v>0</v>
      </c>
      <c r="BE2922" s="3">
        <v>0</v>
      </c>
      <c r="BF2922" s="3">
        <v>0</v>
      </c>
      <c r="BG2922" s="3">
        <v>0</v>
      </c>
      <c r="BH2922" s="3">
        <v>1</v>
      </c>
      <c r="BI2922" s="3">
        <v>1</v>
      </c>
      <c r="BJ2922" s="3">
        <v>0.2</v>
      </c>
      <c r="BK2922" s="3">
        <v>1</v>
      </c>
      <c r="BL2922" s="3">
        <v>46.08</v>
      </c>
      <c r="BM2922" s="3">
        <v>6.91</v>
      </c>
      <c r="BN2922" s="3">
        <v>52.99</v>
      </c>
      <c r="BO2922" s="3">
        <v>52.99</v>
      </c>
      <c r="BQ2922" s="3" t="s">
        <v>2729</v>
      </c>
      <c r="BR2922" s="3" t="s">
        <v>364</v>
      </c>
      <c r="BS2922" s="4">
        <v>44567</v>
      </c>
      <c r="BT2922" s="5">
        <v>0.64513888888888882</v>
      </c>
      <c r="BU2922" s="3" t="s">
        <v>2730</v>
      </c>
      <c r="BV2922" s="3" t="s">
        <v>87</v>
      </c>
      <c r="BW2922" s="3" t="s">
        <v>278</v>
      </c>
      <c r="BX2922" s="3" t="s">
        <v>1722</v>
      </c>
      <c r="BY2922" s="3">
        <v>1200</v>
      </c>
      <c r="BZ2922" s="3" t="s">
        <v>165</v>
      </c>
      <c r="CA2922" s="3" t="s">
        <v>952</v>
      </c>
      <c r="CC2922" s="3" t="s">
        <v>98</v>
      </c>
      <c r="CD2922" s="3">
        <v>2013</v>
      </c>
      <c r="CE2922" s="3" t="s">
        <v>93</v>
      </c>
      <c r="CF2922" s="4">
        <v>44568</v>
      </c>
      <c r="CI2922" s="3">
        <v>1</v>
      </c>
      <c r="CJ2922" s="3">
        <v>1</v>
      </c>
      <c r="CK2922" s="3">
        <v>22</v>
      </c>
      <c r="CL2922" s="3" t="s">
        <v>87</v>
      </c>
    </row>
    <row r="2923" spans="1:90" x14ac:dyDescent="0.2">
      <c r="A2923" s="3" t="s">
        <v>72</v>
      </c>
      <c r="B2923" s="3" t="s">
        <v>73</v>
      </c>
      <c r="C2923" s="3" t="s">
        <v>74</v>
      </c>
      <c r="E2923" s="3" t="str">
        <f>"FES1162843523"</f>
        <v>FES1162843523</v>
      </c>
      <c r="F2923" s="4">
        <v>44565</v>
      </c>
      <c r="G2923" s="3">
        <v>202207</v>
      </c>
      <c r="H2923" s="3" t="s">
        <v>75</v>
      </c>
      <c r="I2923" s="3" t="s">
        <v>76</v>
      </c>
      <c r="J2923" s="3" t="s">
        <v>77</v>
      </c>
      <c r="K2923" s="3" t="s">
        <v>78</v>
      </c>
      <c r="L2923" s="3" t="s">
        <v>184</v>
      </c>
      <c r="M2923" s="3" t="s">
        <v>185</v>
      </c>
      <c r="N2923" s="3" t="s">
        <v>503</v>
      </c>
      <c r="O2923" s="3" t="s">
        <v>82</v>
      </c>
      <c r="P2923" s="3" t="str">
        <f>"2170812906                    "</f>
        <v xml:space="preserve">2170812906                    </v>
      </c>
      <c r="Q2923" s="3">
        <v>0</v>
      </c>
      <c r="R2923" s="3">
        <v>0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  <c r="AE2923" s="3">
        <v>0</v>
      </c>
      <c r="AF2923" s="3">
        <v>0</v>
      </c>
      <c r="AG2923" s="3">
        <v>0</v>
      </c>
      <c r="AH2923" s="3">
        <v>0</v>
      </c>
      <c r="AI2923" s="3">
        <v>0</v>
      </c>
      <c r="AJ2923" s="3">
        <v>0</v>
      </c>
      <c r="AK2923" s="3">
        <v>38.200000000000003</v>
      </c>
      <c r="AL2923" s="3">
        <v>0</v>
      </c>
      <c r="AM2923" s="3">
        <v>0</v>
      </c>
      <c r="AN2923" s="3">
        <v>0</v>
      </c>
      <c r="AO2923" s="3">
        <v>0</v>
      </c>
      <c r="AP2923" s="3">
        <v>0</v>
      </c>
      <c r="AQ2923" s="3">
        <v>0</v>
      </c>
      <c r="AR2923" s="3">
        <v>0</v>
      </c>
      <c r="AS2923" s="3">
        <v>0</v>
      </c>
      <c r="AT2923" s="3">
        <v>0</v>
      </c>
      <c r="AU2923" s="3">
        <v>0</v>
      </c>
      <c r="AV2923" s="3">
        <v>0</v>
      </c>
      <c r="AW2923" s="3">
        <v>0</v>
      </c>
      <c r="AX2923" s="3">
        <v>0</v>
      </c>
      <c r="AY2923" s="3">
        <v>0</v>
      </c>
      <c r="AZ2923" s="3">
        <v>0</v>
      </c>
      <c r="BA2923" s="3">
        <v>0</v>
      </c>
      <c r="BB2923" s="3">
        <v>0</v>
      </c>
      <c r="BC2923" s="3">
        <v>0</v>
      </c>
      <c r="BD2923" s="3">
        <v>0</v>
      </c>
      <c r="BE2923" s="3">
        <v>0</v>
      </c>
      <c r="BF2923" s="3">
        <v>0</v>
      </c>
      <c r="BG2923" s="3">
        <v>0</v>
      </c>
      <c r="BH2923" s="3">
        <v>1</v>
      </c>
      <c r="BI2923" s="3">
        <v>2</v>
      </c>
      <c r="BJ2923" s="3">
        <v>4.0999999999999996</v>
      </c>
      <c r="BK2923" s="3">
        <v>4.5</v>
      </c>
      <c r="BL2923" s="3">
        <v>136.13999999999999</v>
      </c>
      <c r="BM2923" s="3">
        <v>20.420000000000002</v>
      </c>
      <c r="BN2923" s="3">
        <v>156.56</v>
      </c>
      <c r="BO2923" s="3">
        <v>156.56</v>
      </c>
      <c r="BQ2923" s="3" t="s">
        <v>89</v>
      </c>
      <c r="BR2923" s="3" t="s">
        <v>308</v>
      </c>
      <c r="BS2923" s="4">
        <v>44566</v>
      </c>
      <c r="BT2923" s="5">
        <v>0.50486111111111109</v>
      </c>
      <c r="BU2923" s="3" t="s">
        <v>2731</v>
      </c>
      <c r="BV2923" s="3" t="s">
        <v>87</v>
      </c>
      <c r="BW2923" s="3" t="s">
        <v>493</v>
      </c>
      <c r="BX2923" s="3" t="s">
        <v>605</v>
      </c>
      <c r="BY2923" s="3">
        <v>20358</v>
      </c>
      <c r="BZ2923" s="3" t="s">
        <v>165</v>
      </c>
      <c r="CA2923" s="3" t="s">
        <v>1541</v>
      </c>
      <c r="CC2923" s="3" t="s">
        <v>185</v>
      </c>
      <c r="CD2923" s="3">
        <v>5201</v>
      </c>
      <c r="CE2923" s="3" t="s">
        <v>86</v>
      </c>
      <c r="CF2923" s="4">
        <v>44566</v>
      </c>
      <c r="CI2923" s="3">
        <v>1</v>
      </c>
      <c r="CJ2923" s="3">
        <v>1</v>
      </c>
      <c r="CK2923" s="3">
        <v>21</v>
      </c>
      <c r="CL2923" s="3" t="s">
        <v>87</v>
      </c>
    </row>
    <row r="2924" spans="1:90" x14ac:dyDescent="0.2">
      <c r="A2924" s="3" t="s">
        <v>72</v>
      </c>
      <c r="B2924" s="3" t="s">
        <v>73</v>
      </c>
      <c r="C2924" s="3" t="s">
        <v>74</v>
      </c>
      <c r="E2924" s="3" t="str">
        <f>"FES1162843567"</f>
        <v>FES1162843567</v>
      </c>
      <c r="F2924" s="4">
        <v>44566</v>
      </c>
      <c r="G2924" s="3">
        <v>202207</v>
      </c>
      <c r="H2924" s="3" t="s">
        <v>75</v>
      </c>
      <c r="I2924" s="3" t="s">
        <v>76</v>
      </c>
      <c r="J2924" s="3" t="s">
        <v>77</v>
      </c>
      <c r="K2924" s="3" t="s">
        <v>78</v>
      </c>
      <c r="L2924" s="3" t="s">
        <v>167</v>
      </c>
      <c r="M2924" s="3" t="s">
        <v>168</v>
      </c>
      <c r="N2924" s="3" t="s">
        <v>169</v>
      </c>
      <c r="O2924" s="3" t="s">
        <v>82</v>
      </c>
      <c r="P2924" s="3" t="str">
        <f>"2170814898                    "</f>
        <v xml:space="preserve">2170814898                    </v>
      </c>
      <c r="Q2924" s="3">
        <v>0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0</v>
      </c>
      <c r="AC2924" s="3">
        <v>0</v>
      </c>
      <c r="AD2924" s="3">
        <v>0</v>
      </c>
      <c r="AE2924" s="3">
        <v>0</v>
      </c>
      <c r="AF2924" s="3">
        <v>0</v>
      </c>
      <c r="AG2924" s="3">
        <v>0</v>
      </c>
      <c r="AH2924" s="3">
        <v>0</v>
      </c>
      <c r="AI2924" s="3">
        <v>0</v>
      </c>
      <c r="AJ2924" s="3">
        <v>0</v>
      </c>
      <c r="AK2924" s="3">
        <v>15.46</v>
      </c>
      <c r="AL2924" s="3">
        <v>0</v>
      </c>
      <c r="AM2924" s="3">
        <v>0</v>
      </c>
      <c r="AN2924" s="3">
        <v>0</v>
      </c>
      <c r="AO2924" s="3">
        <v>0</v>
      </c>
      <c r="AP2924" s="3">
        <v>0</v>
      </c>
      <c r="AQ2924" s="3">
        <v>0</v>
      </c>
      <c r="AR2924" s="3">
        <v>0</v>
      </c>
      <c r="AS2924" s="3">
        <v>0</v>
      </c>
      <c r="AT2924" s="3">
        <v>0</v>
      </c>
      <c r="AU2924" s="3">
        <v>0</v>
      </c>
      <c r="AV2924" s="3">
        <v>0</v>
      </c>
      <c r="AW2924" s="3">
        <v>0</v>
      </c>
      <c r="AX2924" s="3">
        <v>0</v>
      </c>
      <c r="AY2924" s="3">
        <v>0</v>
      </c>
      <c r="AZ2924" s="3">
        <v>0</v>
      </c>
      <c r="BA2924" s="3">
        <v>0</v>
      </c>
      <c r="BB2924" s="3">
        <v>0</v>
      </c>
      <c r="BC2924" s="3">
        <v>0</v>
      </c>
      <c r="BD2924" s="3">
        <v>0</v>
      </c>
      <c r="BE2924" s="3">
        <v>0</v>
      </c>
      <c r="BF2924" s="3">
        <v>0</v>
      </c>
      <c r="BG2924" s="3">
        <v>0</v>
      </c>
      <c r="BH2924" s="3">
        <v>1</v>
      </c>
      <c r="BI2924" s="3">
        <v>1</v>
      </c>
      <c r="BJ2924" s="3">
        <v>0.2</v>
      </c>
      <c r="BK2924" s="3">
        <v>1</v>
      </c>
      <c r="BL2924" s="3">
        <v>59</v>
      </c>
      <c r="BM2924" s="3">
        <v>8.85</v>
      </c>
      <c r="BN2924" s="3">
        <v>67.849999999999994</v>
      </c>
      <c r="BO2924" s="3">
        <v>67.849999999999994</v>
      </c>
      <c r="BQ2924" s="3" t="s">
        <v>83</v>
      </c>
      <c r="BR2924" s="3" t="s">
        <v>364</v>
      </c>
      <c r="BS2924" s="4">
        <v>44567</v>
      </c>
      <c r="BT2924" s="5">
        <v>0.47222222222222227</v>
      </c>
      <c r="BU2924" s="3" t="s">
        <v>2732</v>
      </c>
      <c r="BV2924" s="3" t="s">
        <v>87</v>
      </c>
      <c r="BW2924" s="3" t="s">
        <v>457</v>
      </c>
      <c r="BX2924" s="3" t="s">
        <v>2542</v>
      </c>
      <c r="BY2924" s="3">
        <v>1200</v>
      </c>
      <c r="BZ2924" s="3" t="s">
        <v>165</v>
      </c>
      <c r="CA2924" s="3" t="s">
        <v>263</v>
      </c>
      <c r="CC2924" s="3" t="s">
        <v>168</v>
      </c>
      <c r="CD2924" s="3">
        <v>6220</v>
      </c>
      <c r="CE2924" s="3" t="s">
        <v>93</v>
      </c>
      <c r="CF2924" s="4">
        <v>44567</v>
      </c>
      <c r="CI2924" s="3">
        <v>1</v>
      </c>
      <c r="CJ2924" s="3">
        <v>1</v>
      </c>
      <c r="CK2924" s="3">
        <v>21</v>
      </c>
      <c r="CL2924" s="3" t="s">
        <v>87</v>
      </c>
    </row>
    <row r="2925" spans="1:90" x14ac:dyDescent="0.2">
      <c r="A2925" s="3" t="s">
        <v>72</v>
      </c>
      <c r="B2925" s="3" t="s">
        <v>73</v>
      </c>
      <c r="C2925" s="3" t="s">
        <v>74</v>
      </c>
      <c r="E2925" s="3" t="str">
        <f>"FES1162843480"</f>
        <v>FES1162843480</v>
      </c>
      <c r="F2925" s="4">
        <v>44565</v>
      </c>
      <c r="G2925" s="3">
        <v>202207</v>
      </c>
      <c r="H2925" s="3" t="s">
        <v>75</v>
      </c>
      <c r="I2925" s="3" t="s">
        <v>76</v>
      </c>
      <c r="J2925" s="3" t="s">
        <v>77</v>
      </c>
      <c r="K2925" s="3" t="s">
        <v>78</v>
      </c>
      <c r="L2925" s="3" t="s">
        <v>162</v>
      </c>
      <c r="M2925" s="3" t="s">
        <v>163</v>
      </c>
      <c r="N2925" s="3" t="s">
        <v>885</v>
      </c>
      <c r="O2925" s="3" t="s">
        <v>82</v>
      </c>
      <c r="P2925" s="3" t="str">
        <f>"2170814400                    "</f>
        <v xml:space="preserve">2170814400                    </v>
      </c>
      <c r="Q2925" s="3">
        <v>0</v>
      </c>
      <c r="R2925" s="3">
        <v>0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  <c r="AE2925" s="3">
        <v>0</v>
      </c>
      <c r="AF2925" s="3">
        <v>0</v>
      </c>
      <c r="AG2925" s="3">
        <v>0</v>
      </c>
      <c r="AH2925" s="3">
        <v>0</v>
      </c>
      <c r="AI2925" s="3">
        <v>0</v>
      </c>
      <c r="AJ2925" s="3">
        <v>0</v>
      </c>
      <c r="AK2925" s="3">
        <v>13.26</v>
      </c>
      <c r="AL2925" s="3">
        <v>0</v>
      </c>
      <c r="AM2925" s="3">
        <v>0</v>
      </c>
      <c r="AN2925" s="3">
        <v>0</v>
      </c>
      <c r="AO2925" s="3">
        <v>0</v>
      </c>
      <c r="AP2925" s="3">
        <v>0</v>
      </c>
      <c r="AQ2925" s="3">
        <v>0</v>
      </c>
      <c r="AR2925" s="3">
        <v>0</v>
      </c>
      <c r="AS2925" s="3">
        <v>0</v>
      </c>
      <c r="AT2925" s="3">
        <v>0</v>
      </c>
      <c r="AU2925" s="3">
        <v>0</v>
      </c>
      <c r="AV2925" s="3">
        <v>0</v>
      </c>
      <c r="AW2925" s="3">
        <v>0</v>
      </c>
      <c r="AX2925" s="3">
        <v>0</v>
      </c>
      <c r="AY2925" s="3">
        <v>0</v>
      </c>
      <c r="AZ2925" s="3">
        <v>0</v>
      </c>
      <c r="BA2925" s="3">
        <v>0</v>
      </c>
      <c r="BB2925" s="3">
        <v>0</v>
      </c>
      <c r="BC2925" s="3">
        <v>0</v>
      </c>
      <c r="BD2925" s="3">
        <v>0</v>
      </c>
      <c r="BE2925" s="3">
        <v>0</v>
      </c>
      <c r="BF2925" s="3">
        <v>0</v>
      </c>
      <c r="BG2925" s="3">
        <v>0</v>
      </c>
      <c r="BH2925" s="3">
        <v>1</v>
      </c>
      <c r="BI2925" s="3">
        <v>1</v>
      </c>
      <c r="BJ2925" s="3">
        <v>0.2</v>
      </c>
      <c r="BK2925" s="3">
        <v>1</v>
      </c>
      <c r="BL2925" s="3">
        <v>47.27</v>
      </c>
      <c r="BM2925" s="3">
        <v>7.09</v>
      </c>
      <c r="BN2925" s="3">
        <v>54.36</v>
      </c>
      <c r="BO2925" s="3">
        <v>54.36</v>
      </c>
      <c r="BQ2925" s="3" t="s">
        <v>83</v>
      </c>
      <c r="BR2925" s="3" t="s">
        <v>308</v>
      </c>
      <c r="BS2925" s="4">
        <v>44571</v>
      </c>
      <c r="BT2925" s="5">
        <v>0.41875000000000001</v>
      </c>
      <c r="BU2925" s="3" t="s">
        <v>2733</v>
      </c>
      <c r="BV2925" s="3" t="s">
        <v>87</v>
      </c>
      <c r="BW2925" s="3" t="s">
        <v>376</v>
      </c>
      <c r="BX2925" s="3" t="s">
        <v>377</v>
      </c>
      <c r="BY2925" s="3">
        <v>1200</v>
      </c>
      <c r="BZ2925" s="3" t="s">
        <v>165</v>
      </c>
      <c r="CA2925" s="3" t="s">
        <v>591</v>
      </c>
      <c r="CC2925" s="3" t="s">
        <v>163</v>
      </c>
      <c r="CD2925" s="3">
        <v>1422</v>
      </c>
      <c r="CE2925" s="3" t="s">
        <v>93</v>
      </c>
      <c r="CF2925" s="4">
        <v>44571</v>
      </c>
      <c r="CI2925" s="3">
        <v>1</v>
      </c>
      <c r="CJ2925" s="3">
        <v>4</v>
      </c>
      <c r="CK2925" s="3">
        <v>22</v>
      </c>
      <c r="CL2925" s="3" t="s">
        <v>87</v>
      </c>
    </row>
    <row r="2926" spans="1:90" x14ac:dyDescent="0.2">
      <c r="A2926" s="3" t="s">
        <v>72</v>
      </c>
      <c r="B2926" s="3" t="s">
        <v>73</v>
      </c>
      <c r="C2926" s="3" t="s">
        <v>74</v>
      </c>
      <c r="E2926" s="3" t="str">
        <f>"FES1162843725"</f>
        <v>FES1162843725</v>
      </c>
      <c r="F2926" s="4">
        <v>44566</v>
      </c>
      <c r="G2926" s="3">
        <v>202207</v>
      </c>
      <c r="H2926" s="3" t="s">
        <v>75</v>
      </c>
      <c r="I2926" s="3" t="s">
        <v>76</v>
      </c>
      <c r="J2926" s="3" t="s">
        <v>77</v>
      </c>
      <c r="K2926" s="3" t="s">
        <v>78</v>
      </c>
      <c r="L2926" s="3" t="s">
        <v>464</v>
      </c>
      <c r="M2926" s="3" t="s">
        <v>465</v>
      </c>
      <c r="N2926" s="3" t="s">
        <v>2364</v>
      </c>
      <c r="O2926" s="3" t="s">
        <v>82</v>
      </c>
      <c r="P2926" s="3" t="str">
        <f>"2170813239                    "</f>
        <v xml:space="preserve">2170813239                    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  <c r="AE2926" s="3">
        <v>0</v>
      </c>
      <c r="AF2926" s="3">
        <v>0</v>
      </c>
      <c r="AG2926" s="3">
        <v>0</v>
      </c>
      <c r="AH2926" s="3">
        <v>0</v>
      </c>
      <c r="AI2926" s="3">
        <v>0</v>
      </c>
      <c r="AJ2926" s="3">
        <v>0</v>
      </c>
      <c r="AK2926" s="3">
        <v>12.07</v>
      </c>
      <c r="AL2926" s="3">
        <v>0</v>
      </c>
      <c r="AM2926" s="3">
        <v>0</v>
      </c>
      <c r="AN2926" s="3">
        <v>0</v>
      </c>
      <c r="AO2926" s="3">
        <v>0</v>
      </c>
      <c r="AP2926" s="3">
        <v>0</v>
      </c>
      <c r="AQ2926" s="3">
        <v>0</v>
      </c>
      <c r="AR2926" s="3">
        <v>0</v>
      </c>
      <c r="AS2926" s="3">
        <v>0</v>
      </c>
      <c r="AT2926" s="3">
        <v>0</v>
      </c>
      <c r="AU2926" s="3">
        <v>0</v>
      </c>
      <c r="AV2926" s="3">
        <v>0</v>
      </c>
      <c r="AW2926" s="3">
        <v>0</v>
      </c>
      <c r="AX2926" s="3">
        <v>0</v>
      </c>
      <c r="AY2926" s="3">
        <v>0</v>
      </c>
      <c r="AZ2926" s="3">
        <v>0</v>
      </c>
      <c r="BA2926" s="3">
        <v>0</v>
      </c>
      <c r="BB2926" s="3">
        <v>0</v>
      </c>
      <c r="BC2926" s="3">
        <v>0</v>
      </c>
      <c r="BD2926" s="3">
        <v>0</v>
      </c>
      <c r="BE2926" s="3">
        <v>0</v>
      </c>
      <c r="BF2926" s="3">
        <v>0</v>
      </c>
      <c r="BG2926" s="3">
        <v>0</v>
      </c>
      <c r="BH2926" s="3">
        <v>1</v>
      </c>
      <c r="BI2926" s="3">
        <v>1</v>
      </c>
      <c r="BJ2926" s="3">
        <v>0.2</v>
      </c>
      <c r="BK2926" s="3">
        <v>1</v>
      </c>
      <c r="BL2926" s="3">
        <v>46.08</v>
      </c>
      <c r="BM2926" s="3">
        <v>6.91</v>
      </c>
      <c r="BN2926" s="3">
        <v>52.99</v>
      </c>
      <c r="BO2926" s="3">
        <v>52.99</v>
      </c>
      <c r="BR2926" s="3" t="s">
        <v>364</v>
      </c>
      <c r="BS2926" s="4">
        <v>44567</v>
      </c>
      <c r="BT2926" s="5">
        <v>0.29166666666666669</v>
      </c>
      <c r="BU2926" s="3" t="s">
        <v>545</v>
      </c>
      <c r="BV2926" s="3" t="s">
        <v>105</v>
      </c>
      <c r="BY2926" s="3">
        <v>1200</v>
      </c>
      <c r="BZ2926" s="3" t="s">
        <v>165</v>
      </c>
      <c r="CA2926" s="3" t="s">
        <v>1684</v>
      </c>
      <c r="CC2926" s="3" t="s">
        <v>465</v>
      </c>
      <c r="CD2926" s="3">
        <v>1501</v>
      </c>
      <c r="CE2926" s="3" t="s">
        <v>93</v>
      </c>
      <c r="CF2926" s="4">
        <v>44567</v>
      </c>
      <c r="CI2926" s="3">
        <v>1</v>
      </c>
      <c r="CJ2926" s="3">
        <v>1</v>
      </c>
      <c r="CK2926" s="3">
        <v>22</v>
      </c>
      <c r="CL2926" s="3" t="s">
        <v>87</v>
      </c>
    </row>
    <row r="2927" spans="1:90" x14ac:dyDescent="0.2">
      <c r="A2927" s="3" t="s">
        <v>72</v>
      </c>
      <c r="B2927" s="3" t="s">
        <v>73</v>
      </c>
      <c r="C2927" s="3" t="s">
        <v>74</v>
      </c>
      <c r="E2927" s="3" t="str">
        <f>"FES1162843522"</f>
        <v>FES1162843522</v>
      </c>
      <c r="F2927" s="4">
        <v>44565</v>
      </c>
      <c r="G2927" s="3">
        <v>202207</v>
      </c>
      <c r="H2927" s="3" t="s">
        <v>75</v>
      </c>
      <c r="I2927" s="3" t="s">
        <v>76</v>
      </c>
      <c r="J2927" s="3" t="s">
        <v>77</v>
      </c>
      <c r="K2927" s="3" t="s">
        <v>78</v>
      </c>
      <c r="L2927" s="3" t="s">
        <v>180</v>
      </c>
      <c r="M2927" s="3" t="s">
        <v>181</v>
      </c>
      <c r="N2927" s="3" t="s">
        <v>1250</v>
      </c>
      <c r="O2927" s="3" t="s">
        <v>82</v>
      </c>
      <c r="P2927" s="3" t="str">
        <f>"2170812734                    "</f>
        <v xml:space="preserve">2170812734                    </v>
      </c>
      <c r="Q2927" s="3">
        <v>0</v>
      </c>
      <c r="R2927" s="3">
        <v>0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  <c r="AE2927" s="3">
        <v>0</v>
      </c>
      <c r="AF2927" s="3">
        <v>0</v>
      </c>
      <c r="AG2927" s="3">
        <v>0</v>
      </c>
      <c r="AH2927" s="3">
        <v>0</v>
      </c>
      <c r="AI2927" s="3">
        <v>0</v>
      </c>
      <c r="AJ2927" s="3">
        <v>0</v>
      </c>
      <c r="AK2927" s="3">
        <v>23.88</v>
      </c>
      <c r="AL2927" s="3">
        <v>0</v>
      </c>
      <c r="AM2927" s="3">
        <v>0</v>
      </c>
      <c r="AN2927" s="3">
        <v>0</v>
      </c>
      <c r="AO2927" s="3">
        <v>0</v>
      </c>
      <c r="AP2927" s="3">
        <v>0</v>
      </c>
      <c r="AQ2927" s="3">
        <v>0</v>
      </c>
      <c r="AR2927" s="3">
        <v>0</v>
      </c>
      <c r="AS2927" s="3">
        <v>0</v>
      </c>
      <c r="AT2927" s="3">
        <v>0</v>
      </c>
      <c r="AU2927" s="3">
        <v>0</v>
      </c>
      <c r="AV2927" s="3">
        <v>0</v>
      </c>
      <c r="AW2927" s="3">
        <v>0</v>
      </c>
      <c r="AX2927" s="3">
        <v>0</v>
      </c>
      <c r="AY2927" s="3">
        <v>0</v>
      </c>
      <c r="AZ2927" s="3">
        <v>0</v>
      </c>
      <c r="BA2927" s="3">
        <v>0</v>
      </c>
      <c r="BB2927" s="3">
        <v>0</v>
      </c>
      <c r="BC2927" s="3">
        <v>0</v>
      </c>
      <c r="BD2927" s="3">
        <v>0</v>
      </c>
      <c r="BE2927" s="3">
        <v>0</v>
      </c>
      <c r="BF2927" s="3">
        <v>0</v>
      </c>
      <c r="BG2927" s="3">
        <v>0</v>
      </c>
      <c r="BH2927" s="3">
        <v>1</v>
      </c>
      <c r="BI2927" s="3">
        <v>1</v>
      </c>
      <c r="BJ2927" s="3">
        <v>0.2</v>
      </c>
      <c r="BK2927" s="3">
        <v>1</v>
      </c>
      <c r="BL2927" s="3">
        <v>85.12</v>
      </c>
      <c r="BM2927" s="3">
        <v>12.77</v>
      </c>
      <c r="BN2927" s="3">
        <v>97.89</v>
      </c>
      <c r="BO2927" s="3">
        <v>97.89</v>
      </c>
      <c r="BQ2927" s="3" t="s">
        <v>83</v>
      </c>
      <c r="BR2927" s="3" t="s">
        <v>308</v>
      </c>
      <c r="BS2927" s="4">
        <v>44566</v>
      </c>
      <c r="BT2927" s="5">
        <v>0.43402777777777773</v>
      </c>
      <c r="BU2927" s="3" t="s">
        <v>1251</v>
      </c>
      <c r="BV2927" s="3" t="s">
        <v>105</v>
      </c>
      <c r="BY2927" s="3">
        <v>1200</v>
      </c>
      <c r="BZ2927" s="3" t="s">
        <v>165</v>
      </c>
      <c r="CA2927" s="3" t="s">
        <v>373</v>
      </c>
      <c r="CC2927" s="3" t="s">
        <v>181</v>
      </c>
      <c r="CD2927" s="3">
        <v>1961</v>
      </c>
      <c r="CE2927" s="3" t="s">
        <v>93</v>
      </c>
      <c r="CF2927" s="4">
        <v>44567</v>
      </c>
      <c r="CI2927" s="3">
        <v>1</v>
      </c>
      <c r="CJ2927" s="3">
        <v>1</v>
      </c>
      <c r="CK2927" s="3">
        <v>24</v>
      </c>
      <c r="CL2927" s="3" t="s">
        <v>87</v>
      </c>
    </row>
    <row r="2928" spans="1:90" x14ac:dyDescent="0.2">
      <c r="A2928" s="3" t="s">
        <v>72</v>
      </c>
      <c r="B2928" s="3" t="s">
        <v>73</v>
      </c>
      <c r="C2928" s="3" t="s">
        <v>74</v>
      </c>
      <c r="E2928" s="3" t="str">
        <f>"FES1162843702"</f>
        <v>FES1162843702</v>
      </c>
      <c r="F2928" s="4">
        <v>44566</v>
      </c>
      <c r="G2928" s="3">
        <v>202207</v>
      </c>
      <c r="H2928" s="3" t="s">
        <v>75</v>
      </c>
      <c r="I2928" s="3" t="s">
        <v>76</v>
      </c>
      <c r="J2928" s="3" t="s">
        <v>77</v>
      </c>
      <c r="K2928" s="3" t="s">
        <v>78</v>
      </c>
      <c r="L2928" s="3" t="s">
        <v>75</v>
      </c>
      <c r="M2928" s="3" t="s">
        <v>76</v>
      </c>
      <c r="N2928" s="3" t="s">
        <v>224</v>
      </c>
      <c r="O2928" s="3" t="s">
        <v>82</v>
      </c>
      <c r="P2928" s="3" t="str">
        <f>"2170814529                    "</f>
        <v xml:space="preserve">2170814529                    </v>
      </c>
      <c r="Q2928" s="3">
        <v>0</v>
      </c>
      <c r="R2928" s="3">
        <v>0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  <c r="AE2928" s="3">
        <v>0</v>
      </c>
      <c r="AF2928" s="3">
        <v>0</v>
      </c>
      <c r="AG2928" s="3">
        <v>0</v>
      </c>
      <c r="AH2928" s="3">
        <v>0</v>
      </c>
      <c r="AI2928" s="3">
        <v>0</v>
      </c>
      <c r="AJ2928" s="3">
        <v>0</v>
      </c>
      <c r="AK2928" s="3">
        <v>12.07</v>
      </c>
      <c r="AL2928" s="3">
        <v>0</v>
      </c>
      <c r="AM2928" s="3">
        <v>0</v>
      </c>
      <c r="AN2928" s="3">
        <v>0</v>
      </c>
      <c r="AO2928" s="3">
        <v>0</v>
      </c>
      <c r="AP2928" s="3">
        <v>0</v>
      </c>
      <c r="AQ2928" s="3">
        <v>0</v>
      </c>
      <c r="AR2928" s="3">
        <v>0</v>
      </c>
      <c r="AS2928" s="3">
        <v>0</v>
      </c>
      <c r="AT2928" s="3">
        <v>0</v>
      </c>
      <c r="AU2928" s="3">
        <v>0</v>
      </c>
      <c r="AV2928" s="3">
        <v>0</v>
      </c>
      <c r="AW2928" s="3">
        <v>0</v>
      </c>
      <c r="AX2928" s="3">
        <v>0</v>
      </c>
      <c r="AY2928" s="3">
        <v>0</v>
      </c>
      <c r="AZ2928" s="3">
        <v>0</v>
      </c>
      <c r="BA2928" s="3">
        <v>0</v>
      </c>
      <c r="BB2928" s="3">
        <v>0</v>
      </c>
      <c r="BC2928" s="3">
        <v>0</v>
      </c>
      <c r="BD2928" s="3">
        <v>0</v>
      </c>
      <c r="BE2928" s="3">
        <v>0</v>
      </c>
      <c r="BF2928" s="3">
        <v>0</v>
      </c>
      <c r="BG2928" s="3">
        <v>0</v>
      </c>
      <c r="BH2928" s="3">
        <v>1</v>
      </c>
      <c r="BI2928" s="3">
        <v>1</v>
      </c>
      <c r="BJ2928" s="3">
        <v>0.2</v>
      </c>
      <c r="BK2928" s="3">
        <v>1</v>
      </c>
      <c r="BL2928" s="3">
        <v>46.08</v>
      </c>
      <c r="BM2928" s="3">
        <v>6.91</v>
      </c>
      <c r="BN2928" s="3">
        <v>52.99</v>
      </c>
      <c r="BO2928" s="3">
        <v>52.99</v>
      </c>
      <c r="BQ2928" s="3" t="s">
        <v>83</v>
      </c>
      <c r="BR2928" s="3" t="s">
        <v>364</v>
      </c>
      <c r="BS2928" s="4">
        <v>44567</v>
      </c>
      <c r="BT2928" s="5">
        <v>0.33958333333333335</v>
      </c>
      <c r="BU2928" s="3" t="s">
        <v>347</v>
      </c>
      <c r="BV2928" s="3" t="s">
        <v>105</v>
      </c>
      <c r="BY2928" s="3">
        <v>1200</v>
      </c>
      <c r="BZ2928" s="3" t="s">
        <v>165</v>
      </c>
      <c r="CA2928" s="3" t="s">
        <v>227</v>
      </c>
      <c r="CC2928" s="3" t="s">
        <v>76</v>
      </c>
      <c r="CD2928" s="3">
        <v>1600</v>
      </c>
      <c r="CE2928" s="3" t="s">
        <v>93</v>
      </c>
      <c r="CF2928" s="4">
        <v>44567</v>
      </c>
      <c r="CI2928" s="3">
        <v>1</v>
      </c>
      <c r="CJ2928" s="3">
        <v>1</v>
      </c>
      <c r="CK2928" s="3">
        <v>22</v>
      </c>
      <c r="CL2928" s="3" t="s">
        <v>87</v>
      </c>
    </row>
    <row r="2929" spans="1:90" x14ac:dyDescent="0.2">
      <c r="A2929" s="3" t="s">
        <v>72</v>
      </c>
      <c r="B2929" s="3" t="s">
        <v>73</v>
      </c>
      <c r="C2929" s="3" t="s">
        <v>74</v>
      </c>
      <c r="E2929" s="3" t="str">
        <f>"FES1162843454"</f>
        <v>FES1162843454</v>
      </c>
      <c r="F2929" s="4">
        <v>44565</v>
      </c>
      <c r="G2929" s="3">
        <v>202207</v>
      </c>
      <c r="H2929" s="3" t="s">
        <v>75</v>
      </c>
      <c r="I2929" s="3" t="s">
        <v>76</v>
      </c>
      <c r="J2929" s="3" t="s">
        <v>77</v>
      </c>
      <c r="K2929" s="3" t="s">
        <v>78</v>
      </c>
      <c r="L2929" s="3" t="s">
        <v>184</v>
      </c>
      <c r="M2929" s="3" t="s">
        <v>185</v>
      </c>
      <c r="N2929" s="3" t="s">
        <v>1938</v>
      </c>
      <c r="O2929" s="3" t="s">
        <v>82</v>
      </c>
      <c r="P2929" s="3" t="str">
        <f>"2170813848                    "</f>
        <v xml:space="preserve">2170813848                    </v>
      </c>
      <c r="Q2929" s="3">
        <v>0</v>
      </c>
      <c r="R2929" s="3">
        <v>0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  <c r="AE2929" s="3">
        <v>0</v>
      </c>
      <c r="AF2929" s="3">
        <v>0</v>
      </c>
      <c r="AG2929" s="3">
        <v>0</v>
      </c>
      <c r="AH2929" s="3">
        <v>0</v>
      </c>
      <c r="AI2929" s="3">
        <v>0</v>
      </c>
      <c r="AJ2929" s="3">
        <v>0</v>
      </c>
      <c r="AK2929" s="3">
        <v>16.98</v>
      </c>
      <c r="AL2929" s="3">
        <v>0</v>
      </c>
      <c r="AM2929" s="3">
        <v>0</v>
      </c>
      <c r="AN2929" s="3">
        <v>0</v>
      </c>
      <c r="AO2929" s="3">
        <v>0</v>
      </c>
      <c r="AP2929" s="3">
        <v>0</v>
      </c>
      <c r="AQ2929" s="3">
        <v>0</v>
      </c>
      <c r="AR2929" s="3">
        <v>0</v>
      </c>
      <c r="AS2929" s="3">
        <v>0</v>
      </c>
      <c r="AT2929" s="3">
        <v>0</v>
      </c>
      <c r="AU2929" s="3">
        <v>0</v>
      </c>
      <c r="AV2929" s="3">
        <v>0</v>
      </c>
      <c r="AW2929" s="3">
        <v>0</v>
      </c>
      <c r="AX2929" s="3">
        <v>0</v>
      </c>
      <c r="AY2929" s="3">
        <v>0</v>
      </c>
      <c r="AZ2929" s="3">
        <v>0</v>
      </c>
      <c r="BA2929" s="3">
        <v>0</v>
      </c>
      <c r="BB2929" s="3">
        <v>0</v>
      </c>
      <c r="BC2929" s="3">
        <v>0</v>
      </c>
      <c r="BD2929" s="3">
        <v>0</v>
      </c>
      <c r="BE2929" s="3">
        <v>0</v>
      </c>
      <c r="BF2929" s="3">
        <v>0</v>
      </c>
      <c r="BG2929" s="3">
        <v>0</v>
      </c>
      <c r="BH2929" s="3">
        <v>1</v>
      </c>
      <c r="BI2929" s="3">
        <v>1</v>
      </c>
      <c r="BJ2929" s="3">
        <v>0.2</v>
      </c>
      <c r="BK2929" s="3">
        <v>1</v>
      </c>
      <c r="BL2929" s="3">
        <v>60.52</v>
      </c>
      <c r="BM2929" s="3">
        <v>9.08</v>
      </c>
      <c r="BN2929" s="3">
        <v>69.599999999999994</v>
      </c>
      <c r="BO2929" s="3">
        <v>69.599999999999994</v>
      </c>
      <c r="BQ2929" s="3" t="s">
        <v>83</v>
      </c>
      <c r="BR2929" s="3" t="s">
        <v>308</v>
      </c>
      <c r="BS2929" s="4">
        <v>44566</v>
      </c>
      <c r="BT2929" s="5">
        <v>0.41597222222222219</v>
      </c>
      <c r="BU2929" s="3" t="s">
        <v>1489</v>
      </c>
      <c r="BV2929" s="3" t="s">
        <v>105</v>
      </c>
      <c r="BY2929" s="3">
        <v>1200</v>
      </c>
      <c r="BZ2929" s="3" t="s">
        <v>165</v>
      </c>
      <c r="CA2929" s="3" t="s">
        <v>2534</v>
      </c>
      <c r="CC2929" s="3" t="s">
        <v>185</v>
      </c>
      <c r="CD2929" s="3">
        <v>5201</v>
      </c>
      <c r="CE2929" s="3" t="s">
        <v>93</v>
      </c>
      <c r="CF2929" s="4">
        <v>44566</v>
      </c>
      <c r="CI2929" s="3">
        <v>1</v>
      </c>
      <c r="CJ2929" s="3">
        <v>1</v>
      </c>
      <c r="CK2929" s="3">
        <v>21</v>
      </c>
      <c r="CL2929" s="3" t="s">
        <v>87</v>
      </c>
    </row>
    <row r="2930" spans="1:90" x14ac:dyDescent="0.2">
      <c r="A2930" s="3" t="s">
        <v>72</v>
      </c>
      <c r="B2930" s="3" t="s">
        <v>73</v>
      </c>
      <c r="C2930" s="3" t="s">
        <v>74</v>
      </c>
      <c r="E2930" s="3" t="str">
        <f>"FES1162843511"</f>
        <v>FES1162843511</v>
      </c>
      <c r="F2930" s="4">
        <v>44566</v>
      </c>
      <c r="G2930" s="3">
        <v>202207</v>
      </c>
      <c r="H2930" s="3" t="s">
        <v>75</v>
      </c>
      <c r="I2930" s="3" t="s">
        <v>76</v>
      </c>
      <c r="J2930" s="3" t="s">
        <v>77</v>
      </c>
      <c r="K2930" s="3" t="s">
        <v>78</v>
      </c>
      <c r="L2930" s="3" t="s">
        <v>211</v>
      </c>
      <c r="M2930" s="3" t="s">
        <v>212</v>
      </c>
      <c r="N2930" s="3" t="s">
        <v>213</v>
      </c>
      <c r="O2930" s="3" t="s">
        <v>82</v>
      </c>
      <c r="P2930" s="3" t="str">
        <f>"2170801081                    "</f>
        <v xml:space="preserve">2170801081                    </v>
      </c>
      <c r="Q2930" s="3">
        <v>0</v>
      </c>
      <c r="R2930" s="3">
        <v>0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  <c r="AE2930" s="3">
        <v>0</v>
      </c>
      <c r="AF2930" s="3">
        <v>0</v>
      </c>
      <c r="AG2930" s="3">
        <v>0</v>
      </c>
      <c r="AH2930" s="3">
        <v>0</v>
      </c>
      <c r="AI2930" s="3">
        <v>0</v>
      </c>
      <c r="AJ2930" s="3">
        <v>0</v>
      </c>
      <c r="AK2930" s="3">
        <v>12.07</v>
      </c>
      <c r="AL2930" s="3">
        <v>0</v>
      </c>
      <c r="AM2930" s="3">
        <v>0</v>
      </c>
      <c r="AN2930" s="3">
        <v>0</v>
      </c>
      <c r="AO2930" s="3">
        <v>0</v>
      </c>
      <c r="AP2930" s="3">
        <v>0</v>
      </c>
      <c r="AQ2930" s="3">
        <v>0</v>
      </c>
      <c r="AR2930" s="3">
        <v>0</v>
      </c>
      <c r="AS2930" s="3">
        <v>0</v>
      </c>
      <c r="AT2930" s="3">
        <v>0</v>
      </c>
      <c r="AU2930" s="3">
        <v>0</v>
      </c>
      <c r="AV2930" s="3">
        <v>0</v>
      </c>
      <c r="AW2930" s="3">
        <v>0</v>
      </c>
      <c r="AX2930" s="3">
        <v>0</v>
      </c>
      <c r="AY2930" s="3">
        <v>0</v>
      </c>
      <c r="AZ2930" s="3">
        <v>0</v>
      </c>
      <c r="BA2930" s="3">
        <v>0</v>
      </c>
      <c r="BB2930" s="3">
        <v>0</v>
      </c>
      <c r="BC2930" s="3">
        <v>0</v>
      </c>
      <c r="BD2930" s="3">
        <v>0</v>
      </c>
      <c r="BE2930" s="3">
        <v>0</v>
      </c>
      <c r="BF2930" s="3">
        <v>0</v>
      </c>
      <c r="BG2930" s="3">
        <v>0</v>
      </c>
      <c r="BH2930" s="3">
        <v>1</v>
      </c>
      <c r="BI2930" s="3">
        <v>4</v>
      </c>
      <c r="BJ2930" s="3">
        <v>7.7</v>
      </c>
      <c r="BK2930" s="3">
        <v>8</v>
      </c>
      <c r="BL2930" s="3">
        <v>46.08</v>
      </c>
      <c r="BM2930" s="3">
        <v>6.91</v>
      </c>
      <c r="BN2930" s="3">
        <v>52.99</v>
      </c>
      <c r="BO2930" s="3">
        <v>52.99</v>
      </c>
      <c r="BQ2930" s="3" t="s">
        <v>126</v>
      </c>
      <c r="BR2930" s="3" t="s">
        <v>364</v>
      </c>
      <c r="BS2930" s="4">
        <v>44567</v>
      </c>
      <c r="BT2930" s="5">
        <v>0.4291666666666667</v>
      </c>
      <c r="BU2930" s="3" t="s">
        <v>2734</v>
      </c>
      <c r="BV2930" s="3" t="s">
        <v>105</v>
      </c>
      <c r="BY2930" s="3">
        <v>38454</v>
      </c>
      <c r="BZ2930" s="3" t="s">
        <v>165</v>
      </c>
      <c r="CA2930" s="3" t="s">
        <v>345</v>
      </c>
      <c r="CC2930" s="3" t="s">
        <v>212</v>
      </c>
      <c r="CD2930" s="3">
        <v>2162</v>
      </c>
      <c r="CE2930" s="3" t="s">
        <v>86</v>
      </c>
      <c r="CF2930" s="4">
        <v>44568</v>
      </c>
      <c r="CI2930" s="3">
        <v>1</v>
      </c>
      <c r="CJ2930" s="3">
        <v>1</v>
      </c>
      <c r="CK2930" s="3">
        <v>22</v>
      </c>
      <c r="CL2930" s="3" t="s">
        <v>87</v>
      </c>
    </row>
    <row r="2931" spans="1:90" x14ac:dyDescent="0.2">
      <c r="A2931" s="3" t="s">
        <v>72</v>
      </c>
      <c r="B2931" s="3" t="s">
        <v>73</v>
      </c>
      <c r="C2931" s="3" t="s">
        <v>74</v>
      </c>
      <c r="E2931" s="3" t="str">
        <f>"FES1162843293"</f>
        <v>FES1162843293</v>
      </c>
      <c r="F2931" s="4">
        <v>44564</v>
      </c>
      <c r="G2931" s="3">
        <v>202207</v>
      </c>
      <c r="H2931" s="3" t="s">
        <v>75</v>
      </c>
      <c r="I2931" s="3" t="s">
        <v>76</v>
      </c>
      <c r="J2931" s="3" t="s">
        <v>77</v>
      </c>
      <c r="K2931" s="3" t="s">
        <v>78</v>
      </c>
      <c r="L2931" s="3" t="s">
        <v>75</v>
      </c>
      <c r="M2931" s="3" t="s">
        <v>76</v>
      </c>
      <c r="N2931" s="3" t="s">
        <v>2143</v>
      </c>
      <c r="O2931" s="3" t="s">
        <v>82</v>
      </c>
      <c r="P2931" s="3" t="str">
        <f>"2170815539                    "</f>
        <v xml:space="preserve">2170815539                    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  <c r="AE2931" s="3">
        <v>0</v>
      </c>
      <c r="AF2931" s="3">
        <v>0</v>
      </c>
      <c r="AG2931" s="3">
        <v>0</v>
      </c>
      <c r="AH2931" s="3">
        <v>0</v>
      </c>
      <c r="AI2931" s="3">
        <v>0</v>
      </c>
      <c r="AJ2931" s="3">
        <v>0</v>
      </c>
      <c r="AK2931" s="3">
        <v>13.26</v>
      </c>
      <c r="AL2931" s="3">
        <v>0</v>
      </c>
      <c r="AM2931" s="3">
        <v>0</v>
      </c>
      <c r="AN2931" s="3">
        <v>0</v>
      </c>
      <c r="AO2931" s="3">
        <v>0</v>
      </c>
      <c r="AP2931" s="3">
        <v>0</v>
      </c>
      <c r="AQ2931" s="3">
        <v>0</v>
      </c>
      <c r="AR2931" s="3">
        <v>0</v>
      </c>
      <c r="AS2931" s="3">
        <v>0</v>
      </c>
      <c r="AT2931" s="3">
        <v>0</v>
      </c>
      <c r="AU2931" s="3">
        <v>0</v>
      </c>
      <c r="AV2931" s="3">
        <v>0</v>
      </c>
      <c r="AW2931" s="3">
        <v>0</v>
      </c>
      <c r="AX2931" s="3">
        <v>0</v>
      </c>
      <c r="AY2931" s="3">
        <v>0</v>
      </c>
      <c r="AZ2931" s="3">
        <v>0</v>
      </c>
      <c r="BA2931" s="3">
        <v>0</v>
      </c>
      <c r="BB2931" s="3">
        <v>0</v>
      </c>
      <c r="BC2931" s="3">
        <v>0</v>
      </c>
      <c r="BD2931" s="3">
        <v>0</v>
      </c>
      <c r="BE2931" s="3">
        <v>0</v>
      </c>
      <c r="BF2931" s="3">
        <v>0</v>
      </c>
      <c r="BG2931" s="3">
        <v>0</v>
      </c>
      <c r="BH2931" s="3">
        <v>1</v>
      </c>
      <c r="BI2931" s="3">
        <v>1</v>
      </c>
      <c r="BJ2931" s="3">
        <v>1.5</v>
      </c>
      <c r="BK2931" s="3">
        <v>1.5</v>
      </c>
      <c r="BL2931" s="3">
        <v>47.27</v>
      </c>
      <c r="BM2931" s="3">
        <v>7.09</v>
      </c>
      <c r="BN2931" s="3">
        <v>54.36</v>
      </c>
      <c r="BO2931" s="3">
        <v>54.36</v>
      </c>
      <c r="BQ2931" s="3" t="s">
        <v>89</v>
      </c>
      <c r="BR2931" s="3" t="s">
        <v>308</v>
      </c>
      <c r="BS2931" s="4">
        <v>44565</v>
      </c>
      <c r="BT2931" s="5">
        <v>0.3756944444444445</v>
      </c>
      <c r="BU2931" s="3" t="s">
        <v>2735</v>
      </c>
      <c r="BV2931" s="3" t="s">
        <v>105</v>
      </c>
      <c r="BY2931" s="3">
        <v>7540</v>
      </c>
      <c r="BZ2931" s="3" t="s">
        <v>165</v>
      </c>
      <c r="CA2931" s="3" t="s">
        <v>378</v>
      </c>
      <c r="CC2931" s="3" t="s">
        <v>76</v>
      </c>
      <c r="CD2931" s="3">
        <v>1601</v>
      </c>
      <c r="CE2931" s="3" t="s">
        <v>86</v>
      </c>
      <c r="CF2931" s="4">
        <v>44565</v>
      </c>
      <c r="CI2931" s="3">
        <v>1</v>
      </c>
      <c r="CJ2931" s="3">
        <v>1</v>
      </c>
      <c r="CK2931" s="3">
        <v>22</v>
      </c>
      <c r="CL2931" s="3" t="s">
        <v>87</v>
      </c>
    </row>
    <row r="2932" spans="1:90" x14ac:dyDescent="0.2">
      <c r="A2932" s="3" t="s">
        <v>72</v>
      </c>
      <c r="B2932" s="3" t="s">
        <v>73</v>
      </c>
      <c r="C2932" s="3" t="s">
        <v>74</v>
      </c>
      <c r="E2932" s="3" t="str">
        <f>"FES1162843762"</f>
        <v>FES1162843762</v>
      </c>
      <c r="F2932" s="4">
        <v>44566</v>
      </c>
      <c r="G2932" s="3">
        <v>202207</v>
      </c>
      <c r="H2932" s="3" t="s">
        <v>75</v>
      </c>
      <c r="I2932" s="3" t="s">
        <v>76</v>
      </c>
      <c r="J2932" s="3" t="s">
        <v>77</v>
      </c>
      <c r="K2932" s="3" t="s">
        <v>78</v>
      </c>
      <c r="L2932" s="3" t="s">
        <v>90</v>
      </c>
      <c r="M2932" s="3" t="s">
        <v>91</v>
      </c>
      <c r="N2932" s="3" t="s">
        <v>2083</v>
      </c>
      <c r="O2932" s="3" t="s">
        <v>82</v>
      </c>
      <c r="P2932" s="3" t="str">
        <f>"2170814541                    "</f>
        <v xml:space="preserve">2170814541                    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0</v>
      </c>
      <c r="W2932" s="3">
        <v>0</v>
      </c>
      <c r="X2932" s="3">
        <v>0</v>
      </c>
      <c r="Y2932" s="3">
        <v>0</v>
      </c>
      <c r="Z2932" s="3">
        <v>0</v>
      </c>
      <c r="AA2932" s="3">
        <v>0</v>
      </c>
      <c r="AB2932" s="3">
        <v>0</v>
      </c>
      <c r="AC2932" s="3">
        <v>0</v>
      </c>
      <c r="AD2932" s="3">
        <v>0</v>
      </c>
      <c r="AE2932" s="3">
        <v>0</v>
      </c>
      <c r="AF2932" s="3">
        <v>0</v>
      </c>
      <c r="AG2932" s="3">
        <v>0</v>
      </c>
      <c r="AH2932" s="3">
        <v>0</v>
      </c>
      <c r="AI2932" s="3">
        <v>0</v>
      </c>
      <c r="AJ2932" s="3">
        <v>0</v>
      </c>
      <c r="AK2932" s="3">
        <v>50.22</v>
      </c>
      <c r="AL2932" s="3">
        <v>0</v>
      </c>
      <c r="AM2932" s="3">
        <v>0</v>
      </c>
      <c r="AN2932" s="3">
        <v>0</v>
      </c>
      <c r="AO2932" s="3">
        <v>0</v>
      </c>
      <c r="AP2932" s="3">
        <v>0</v>
      </c>
      <c r="AQ2932" s="3">
        <v>0</v>
      </c>
      <c r="AR2932" s="3">
        <v>0</v>
      </c>
      <c r="AS2932" s="3">
        <v>0</v>
      </c>
      <c r="AT2932" s="3">
        <v>0</v>
      </c>
      <c r="AU2932" s="3">
        <v>0</v>
      </c>
      <c r="AV2932" s="3">
        <v>0</v>
      </c>
      <c r="AW2932" s="3">
        <v>0</v>
      </c>
      <c r="AX2932" s="3">
        <v>0</v>
      </c>
      <c r="AY2932" s="3">
        <v>0</v>
      </c>
      <c r="AZ2932" s="3">
        <v>0</v>
      </c>
      <c r="BA2932" s="3">
        <v>0</v>
      </c>
      <c r="BB2932" s="3">
        <v>0</v>
      </c>
      <c r="BC2932" s="3">
        <v>0</v>
      </c>
      <c r="BD2932" s="3">
        <v>0</v>
      </c>
      <c r="BE2932" s="3">
        <v>0</v>
      </c>
      <c r="BF2932" s="3">
        <v>0</v>
      </c>
      <c r="BG2932" s="3">
        <v>0</v>
      </c>
      <c r="BH2932" s="3">
        <v>1</v>
      </c>
      <c r="BI2932" s="3">
        <v>2</v>
      </c>
      <c r="BJ2932" s="3">
        <v>6.2</v>
      </c>
      <c r="BK2932" s="3">
        <v>6.5</v>
      </c>
      <c r="BL2932" s="3">
        <v>191.68</v>
      </c>
      <c r="BM2932" s="3">
        <v>28.75</v>
      </c>
      <c r="BN2932" s="3">
        <v>220.43</v>
      </c>
      <c r="BO2932" s="3">
        <v>220.43</v>
      </c>
      <c r="BQ2932" s="3" t="s">
        <v>2084</v>
      </c>
      <c r="BR2932" s="3" t="s">
        <v>364</v>
      </c>
      <c r="BS2932" s="4">
        <v>44567</v>
      </c>
      <c r="BT2932" s="5">
        <v>0.32291666666666669</v>
      </c>
      <c r="BU2932" s="3" t="s">
        <v>2085</v>
      </c>
      <c r="BV2932" s="3" t="s">
        <v>105</v>
      </c>
      <c r="BY2932" s="3">
        <v>31213</v>
      </c>
      <c r="BZ2932" s="3" t="s">
        <v>165</v>
      </c>
      <c r="CA2932" s="3" t="s">
        <v>543</v>
      </c>
      <c r="CC2932" s="3" t="s">
        <v>91</v>
      </c>
      <c r="CD2932" s="3">
        <v>7530</v>
      </c>
      <c r="CE2932" s="3" t="s">
        <v>86</v>
      </c>
      <c r="CF2932" s="4">
        <v>44568</v>
      </c>
      <c r="CI2932" s="3">
        <v>1</v>
      </c>
      <c r="CJ2932" s="3">
        <v>1</v>
      </c>
      <c r="CK2932" s="3">
        <v>21</v>
      </c>
      <c r="CL2932" s="3" t="s">
        <v>87</v>
      </c>
    </row>
    <row r="2933" spans="1:90" x14ac:dyDescent="0.2">
      <c r="A2933" s="3" t="s">
        <v>72</v>
      </c>
      <c r="B2933" s="3" t="s">
        <v>73</v>
      </c>
      <c r="C2933" s="3" t="s">
        <v>74</v>
      </c>
      <c r="E2933" s="3" t="str">
        <f>"FES1162843294"</f>
        <v>FES1162843294</v>
      </c>
      <c r="F2933" s="4">
        <v>44564</v>
      </c>
      <c r="G2933" s="3">
        <v>202207</v>
      </c>
      <c r="H2933" s="3" t="s">
        <v>75</v>
      </c>
      <c r="I2933" s="3" t="s">
        <v>76</v>
      </c>
      <c r="J2933" s="3" t="s">
        <v>77</v>
      </c>
      <c r="K2933" s="3" t="s">
        <v>78</v>
      </c>
      <c r="L2933" s="3" t="s">
        <v>786</v>
      </c>
      <c r="M2933" s="3" t="s">
        <v>787</v>
      </c>
      <c r="N2933" s="3" t="s">
        <v>788</v>
      </c>
      <c r="O2933" s="3" t="s">
        <v>82</v>
      </c>
      <c r="P2933" s="3" t="str">
        <f>"2170815540                    "</f>
        <v xml:space="preserve">2170815540                    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  <c r="AE2933" s="3">
        <v>0</v>
      </c>
      <c r="AF2933" s="3">
        <v>0</v>
      </c>
      <c r="AG2933" s="3">
        <v>0</v>
      </c>
      <c r="AH2933" s="3">
        <v>0</v>
      </c>
      <c r="AI2933" s="3">
        <v>0</v>
      </c>
      <c r="AJ2933" s="3">
        <v>0</v>
      </c>
      <c r="AK2933" s="3">
        <v>23.88</v>
      </c>
      <c r="AL2933" s="3">
        <v>0</v>
      </c>
      <c r="AM2933" s="3">
        <v>0</v>
      </c>
      <c r="AN2933" s="3">
        <v>0</v>
      </c>
      <c r="AO2933" s="3">
        <v>0</v>
      </c>
      <c r="AP2933" s="3">
        <v>0</v>
      </c>
      <c r="AQ2933" s="3">
        <v>0</v>
      </c>
      <c r="AR2933" s="3">
        <v>0</v>
      </c>
      <c r="AS2933" s="3">
        <v>0</v>
      </c>
      <c r="AT2933" s="3">
        <v>0</v>
      </c>
      <c r="AU2933" s="3">
        <v>0</v>
      </c>
      <c r="AV2933" s="3">
        <v>0</v>
      </c>
      <c r="AW2933" s="3">
        <v>0</v>
      </c>
      <c r="AX2933" s="3">
        <v>0</v>
      </c>
      <c r="AY2933" s="3">
        <v>0</v>
      </c>
      <c r="AZ2933" s="3">
        <v>0</v>
      </c>
      <c r="BA2933" s="3">
        <v>0</v>
      </c>
      <c r="BB2933" s="3">
        <v>0</v>
      </c>
      <c r="BC2933" s="3">
        <v>0</v>
      </c>
      <c r="BD2933" s="3">
        <v>0</v>
      </c>
      <c r="BE2933" s="3">
        <v>0</v>
      </c>
      <c r="BF2933" s="3">
        <v>0</v>
      </c>
      <c r="BG2933" s="3">
        <v>0</v>
      </c>
      <c r="BH2933" s="3">
        <v>1</v>
      </c>
      <c r="BI2933" s="3">
        <v>1</v>
      </c>
      <c r="BJ2933" s="3">
        <v>0.2</v>
      </c>
      <c r="BK2933" s="3">
        <v>1</v>
      </c>
      <c r="BL2933" s="3">
        <v>85.12</v>
      </c>
      <c r="BM2933" s="3">
        <v>12.77</v>
      </c>
      <c r="BN2933" s="3">
        <v>97.89</v>
      </c>
      <c r="BO2933" s="3">
        <v>97.89</v>
      </c>
      <c r="BQ2933" s="3" t="s">
        <v>83</v>
      </c>
      <c r="BR2933" s="3" t="s">
        <v>308</v>
      </c>
      <c r="BS2933" s="4">
        <v>44565</v>
      </c>
      <c r="BT2933" s="5">
        <v>0.4375</v>
      </c>
      <c r="BU2933" s="3" t="s">
        <v>2586</v>
      </c>
      <c r="BV2933" s="3" t="s">
        <v>105</v>
      </c>
      <c r="BY2933" s="3">
        <v>1200</v>
      </c>
      <c r="BZ2933" s="3" t="s">
        <v>165</v>
      </c>
      <c r="CC2933" s="3" t="s">
        <v>787</v>
      </c>
      <c r="CD2933" s="3">
        <v>2410</v>
      </c>
      <c r="CE2933" s="3" t="s">
        <v>93</v>
      </c>
      <c r="CF2933" s="4">
        <v>44565</v>
      </c>
      <c r="CI2933" s="3">
        <v>1</v>
      </c>
      <c r="CJ2933" s="3">
        <v>1</v>
      </c>
      <c r="CK2933" s="3">
        <v>24</v>
      </c>
      <c r="CL2933" s="3" t="s">
        <v>87</v>
      </c>
    </row>
    <row r="2934" spans="1:90" x14ac:dyDescent="0.2">
      <c r="A2934" s="3" t="s">
        <v>72</v>
      </c>
      <c r="B2934" s="3" t="s">
        <v>73</v>
      </c>
      <c r="C2934" s="3" t="s">
        <v>74</v>
      </c>
      <c r="E2934" s="3" t="str">
        <f>"FES1162843589"</f>
        <v>FES1162843589</v>
      </c>
      <c r="F2934" s="4">
        <v>44566</v>
      </c>
      <c r="G2934" s="3">
        <v>202207</v>
      </c>
      <c r="H2934" s="3" t="s">
        <v>75</v>
      </c>
      <c r="I2934" s="3" t="s">
        <v>76</v>
      </c>
      <c r="J2934" s="3" t="s">
        <v>77</v>
      </c>
      <c r="K2934" s="3" t="s">
        <v>78</v>
      </c>
      <c r="L2934" s="3" t="s">
        <v>110</v>
      </c>
      <c r="M2934" s="3" t="s">
        <v>110</v>
      </c>
      <c r="N2934" s="3" t="s">
        <v>111</v>
      </c>
      <c r="O2934" s="3" t="s">
        <v>82</v>
      </c>
      <c r="P2934" s="3" t="str">
        <f>"2170814610                    "</f>
        <v xml:space="preserve">2170814610                    </v>
      </c>
      <c r="Q2934" s="3">
        <v>0</v>
      </c>
      <c r="R2934" s="3">
        <v>0</v>
      </c>
      <c r="S2934" s="3">
        <v>0</v>
      </c>
      <c r="T2934" s="3">
        <v>0</v>
      </c>
      <c r="U2934" s="3">
        <v>0</v>
      </c>
      <c r="V2934" s="3">
        <v>0</v>
      </c>
      <c r="W2934" s="3">
        <v>0</v>
      </c>
      <c r="X2934" s="3">
        <v>0</v>
      </c>
      <c r="Y2934" s="3">
        <v>0</v>
      </c>
      <c r="Z2934" s="3">
        <v>0</v>
      </c>
      <c r="AA2934" s="3">
        <v>0</v>
      </c>
      <c r="AB2934" s="3">
        <v>0</v>
      </c>
      <c r="AC2934" s="3">
        <v>0</v>
      </c>
      <c r="AD2934" s="3">
        <v>0</v>
      </c>
      <c r="AE2934" s="3">
        <v>0</v>
      </c>
      <c r="AF2934" s="3">
        <v>0</v>
      </c>
      <c r="AG2934" s="3">
        <v>0</v>
      </c>
      <c r="AH2934" s="3">
        <v>0</v>
      </c>
      <c r="AI2934" s="3">
        <v>0</v>
      </c>
      <c r="AJ2934" s="3">
        <v>0</v>
      </c>
      <c r="AK2934" s="3">
        <v>29.95</v>
      </c>
      <c r="AL2934" s="3">
        <v>0</v>
      </c>
      <c r="AM2934" s="3">
        <v>0</v>
      </c>
      <c r="AN2934" s="3">
        <v>0</v>
      </c>
      <c r="AO2934" s="3">
        <v>0</v>
      </c>
      <c r="AP2934" s="3">
        <v>0</v>
      </c>
      <c r="AQ2934" s="3">
        <v>0</v>
      </c>
      <c r="AR2934" s="3">
        <v>0</v>
      </c>
      <c r="AS2934" s="3">
        <v>0</v>
      </c>
      <c r="AT2934" s="3">
        <v>0</v>
      </c>
      <c r="AU2934" s="3">
        <v>0</v>
      </c>
      <c r="AV2934" s="3">
        <v>0</v>
      </c>
      <c r="AW2934" s="3">
        <v>0</v>
      </c>
      <c r="AX2934" s="3">
        <v>0</v>
      </c>
      <c r="AY2934" s="3">
        <v>0</v>
      </c>
      <c r="AZ2934" s="3">
        <v>0</v>
      </c>
      <c r="BA2934" s="3">
        <v>0</v>
      </c>
      <c r="BB2934" s="3">
        <v>0</v>
      </c>
      <c r="BC2934" s="3">
        <v>0</v>
      </c>
      <c r="BD2934" s="3">
        <v>0</v>
      </c>
      <c r="BE2934" s="3">
        <v>0</v>
      </c>
      <c r="BF2934" s="3">
        <v>0</v>
      </c>
      <c r="BG2934" s="3">
        <v>0</v>
      </c>
      <c r="BH2934" s="3">
        <v>1</v>
      </c>
      <c r="BI2934" s="3">
        <v>1</v>
      </c>
      <c r="BJ2934" s="3">
        <v>0.2</v>
      </c>
      <c r="BK2934" s="3">
        <v>1</v>
      </c>
      <c r="BL2934" s="3">
        <v>114.31</v>
      </c>
      <c r="BM2934" s="3">
        <v>17.149999999999999</v>
      </c>
      <c r="BN2934" s="3">
        <v>131.46</v>
      </c>
      <c r="BO2934" s="3">
        <v>131.46</v>
      </c>
      <c r="BQ2934" s="3" t="s">
        <v>89</v>
      </c>
      <c r="BR2934" s="3" t="s">
        <v>364</v>
      </c>
      <c r="BS2934" s="4">
        <v>44567</v>
      </c>
      <c r="BT2934" s="5">
        <v>0.42569444444444443</v>
      </c>
      <c r="BU2934" s="3" t="s">
        <v>2736</v>
      </c>
      <c r="BV2934" s="3" t="s">
        <v>105</v>
      </c>
      <c r="BY2934" s="3">
        <v>1200</v>
      </c>
      <c r="BZ2934" s="3" t="s">
        <v>165</v>
      </c>
      <c r="CA2934" s="3" t="s">
        <v>360</v>
      </c>
      <c r="CC2934" s="3" t="s">
        <v>110</v>
      </c>
      <c r="CD2934" s="3">
        <v>7646</v>
      </c>
      <c r="CE2934" s="3" t="s">
        <v>93</v>
      </c>
      <c r="CF2934" s="4">
        <v>44568</v>
      </c>
      <c r="CI2934" s="3">
        <v>1</v>
      </c>
      <c r="CJ2934" s="3">
        <v>1</v>
      </c>
      <c r="CK2934" s="3">
        <v>23</v>
      </c>
      <c r="CL2934" s="3" t="s">
        <v>87</v>
      </c>
    </row>
    <row r="2935" spans="1:90" x14ac:dyDescent="0.2">
      <c r="A2935" s="3" t="s">
        <v>72</v>
      </c>
      <c r="B2935" s="3" t="s">
        <v>73</v>
      </c>
      <c r="C2935" s="3" t="s">
        <v>74</v>
      </c>
      <c r="E2935" s="3" t="str">
        <f>"FES1162843573"</f>
        <v>FES1162843573</v>
      </c>
      <c r="F2935" s="4">
        <v>44566</v>
      </c>
      <c r="G2935" s="3">
        <v>202207</v>
      </c>
      <c r="H2935" s="3" t="s">
        <v>75</v>
      </c>
      <c r="I2935" s="3" t="s">
        <v>76</v>
      </c>
      <c r="J2935" s="3" t="s">
        <v>77</v>
      </c>
      <c r="K2935" s="3" t="s">
        <v>78</v>
      </c>
      <c r="L2935" s="3" t="s">
        <v>90</v>
      </c>
      <c r="M2935" s="3" t="s">
        <v>91</v>
      </c>
      <c r="N2935" s="3" t="s">
        <v>2254</v>
      </c>
      <c r="O2935" s="3" t="s">
        <v>82</v>
      </c>
      <c r="P2935" s="3" t="str">
        <f>"2170815664                    "</f>
        <v xml:space="preserve">2170815664                    </v>
      </c>
      <c r="Q2935" s="3">
        <v>0</v>
      </c>
      <c r="R2935" s="3">
        <v>0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  <c r="AE2935" s="3">
        <v>0</v>
      </c>
      <c r="AF2935" s="3">
        <v>0</v>
      </c>
      <c r="AG2935" s="3">
        <v>0</v>
      </c>
      <c r="AH2935" s="3">
        <v>0</v>
      </c>
      <c r="AI2935" s="3">
        <v>0</v>
      </c>
      <c r="AJ2935" s="3">
        <v>0</v>
      </c>
      <c r="AK2935" s="3">
        <v>15.46</v>
      </c>
      <c r="AL2935" s="3">
        <v>0</v>
      </c>
      <c r="AM2935" s="3">
        <v>0</v>
      </c>
      <c r="AN2935" s="3">
        <v>0</v>
      </c>
      <c r="AO2935" s="3">
        <v>0</v>
      </c>
      <c r="AP2935" s="3">
        <v>0</v>
      </c>
      <c r="AQ2935" s="3">
        <v>0</v>
      </c>
      <c r="AR2935" s="3">
        <v>0</v>
      </c>
      <c r="AS2935" s="3">
        <v>0</v>
      </c>
      <c r="AT2935" s="3">
        <v>0</v>
      </c>
      <c r="AU2935" s="3">
        <v>0</v>
      </c>
      <c r="AV2935" s="3">
        <v>0</v>
      </c>
      <c r="AW2935" s="3">
        <v>0</v>
      </c>
      <c r="AX2935" s="3">
        <v>0</v>
      </c>
      <c r="AY2935" s="3">
        <v>0</v>
      </c>
      <c r="AZ2935" s="3">
        <v>0</v>
      </c>
      <c r="BA2935" s="3">
        <v>0</v>
      </c>
      <c r="BB2935" s="3">
        <v>0</v>
      </c>
      <c r="BC2935" s="3">
        <v>0</v>
      </c>
      <c r="BD2935" s="3">
        <v>0</v>
      </c>
      <c r="BE2935" s="3">
        <v>0</v>
      </c>
      <c r="BF2935" s="3">
        <v>0</v>
      </c>
      <c r="BG2935" s="3">
        <v>0</v>
      </c>
      <c r="BH2935" s="3">
        <v>1</v>
      </c>
      <c r="BI2935" s="3">
        <v>1</v>
      </c>
      <c r="BJ2935" s="3">
        <v>0.2</v>
      </c>
      <c r="BK2935" s="3">
        <v>1</v>
      </c>
      <c r="BL2935" s="3">
        <v>59</v>
      </c>
      <c r="BM2935" s="3">
        <v>8.85</v>
      </c>
      <c r="BN2935" s="3">
        <v>67.849999999999994</v>
      </c>
      <c r="BO2935" s="3">
        <v>67.849999999999994</v>
      </c>
      <c r="BQ2935" s="3" t="s">
        <v>83</v>
      </c>
      <c r="BR2935" s="3" t="s">
        <v>364</v>
      </c>
      <c r="BS2935" s="4">
        <v>44567</v>
      </c>
      <c r="BT2935" s="5">
        <v>0.31666666666666665</v>
      </c>
      <c r="BU2935" s="3" t="s">
        <v>2737</v>
      </c>
      <c r="BV2935" s="3" t="s">
        <v>105</v>
      </c>
      <c r="BY2935" s="3">
        <v>1200</v>
      </c>
      <c r="BZ2935" s="3" t="s">
        <v>165</v>
      </c>
      <c r="CA2935" s="3" t="s">
        <v>2738</v>
      </c>
      <c r="CC2935" s="3" t="s">
        <v>91</v>
      </c>
      <c r="CD2935" s="3">
        <v>7493</v>
      </c>
      <c r="CE2935" s="3" t="s">
        <v>93</v>
      </c>
      <c r="CF2935" s="4">
        <v>44568</v>
      </c>
      <c r="CI2935" s="3">
        <v>1</v>
      </c>
      <c r="CJ2935" s="3">
        <v>1</v>
      </c>
      <c r="CK2935" s="3">
        <v>21</v>
      </c>
      <c r="CL2935" s="3" t="s">
        <v>87</v>
      </c>
    </row>
    <row r="2936" spans="1:90" x14ac:dyDescent="0.2">
      <c r="A2936" s="3" t="s">
        <v>72</v>
      </c>
      <c r="B2936" s="3" t="s">
        <v>73</v>
      </c>
      <c r="C2936" s="3" t="s">
        <v>74</v>
      </c>
      <c r="E2936" s="3" t="str">
        <f>"FES1162843594"</f>
        <v>FES1162843594</v>
      </c>
      <c r="F2936" s="4">
        <v>44566</v>
      </c>
      <c r="G2936" s="3">
        <v>202207</v>
      </c>
      <c r="H2936" s="3" t="s">
        <v>75</v>
      </c>
      <c r="I2936" s="3" t="s">
        <v>76</v>
      </c>
      <c r="J2936" s="3" t="s">
        <v>77</v>
      </c>
      <c r="K2936" s="3" t="s">
        <v>78</v>
      </c>
      <c r="L2936" s="3" t="s">
        <v>171</v>
      </c>
      <c r="M2936" s="3" t="s">
        <v>172</v>
      </c>
      <c r="N2936" s="3" t="s">
        <v>235</v>
      </c>
      <c r="O2936" s="3" t="s">
        <v>82</v>
      </c>
      <c r="P2936" s="3" t="str">
        <f>"2170815577                    "</f>
        <v xml:space="preserve">2170815577                    </v>
      </c>
      <c r="Q2936" s="3">
        <v>0</v>
      </c>
      <c r="R2936" s="3">
        <v>0</v>
      </c>
      <c r="S2936" s="3">
        <v>0</v>
      </c>
      <c r="T2936" s="3">
        <v>0</v>
      </c>
      <c r="U2936" s="3">
        <v>0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0</v>
      </c>
      <c r="AC2936" s="3">
        <v>0</v>
      </c>
      <c r="AD2936" s="3">
        <v>0</v>
      </c>
      <c r="AE2936" s="3">
        <v>0</v>
      </c>
      <c r="AF2936" s="3">
        <v>0</v>
      </c>
      <c r="AG2936" s="3">
        <v>0</v>
      </c>
      <c r="AH2936" s="3">
        <v>0</v>
      </c>
      <c r="AI2936" s="3">
        <v>0</v>
      </c>
      <c r="AJ2936" s="3">
        <v>0</v>
      </c>
      <c r="AK2936" s="3">
        <v>15.46</v>
      </c>
      <c r="AL2936" s="3">
        <v>0</v>
      </c>
      <c r="AM2936" s="3">
        <v>0</v>
      </c>
      <c r="AN2936" s="3">
        <v>0</v>
      </c>
      <c r="AO2936" s="3">
        <v>0</v>
      </c>
      <c r="AP2936" s="3">
        <v>0</v>
      </c>
      <c r="AQ2936" s="3">
        <v>0</v>
      </c>
      <c r="AR2936" s="3">
        <v>0</v>
      </c>
      <c r="AS2936" s="3">
        <v>0</v>
      </c>
      <c r="AT2936" s="3">
        <v>0</v>
      </c>
      <c r="AU2936" s="3">
        <v>0</v>
      </c>
      <c r="AV2936" s="3">
        <v>0</v>
      </c>
      <c r="AW2936" s="3">
        <v>0</v>
      </c>
      <c r="AX2936" s="3">
        <v>0</v>
      </c>
      <c r="AY2936" s="3">
        <v>0</v>
      </c>
      <c r="AZ2936" s="3">
        <v>0</v>
      </c>
      <c r="BA2936" s="3">
        <v>0</v>
      </c>
      <c r="BB2936" s="3">
        <v>0</v>
      </c>
      <c r="BC2936" s="3">
        <v>0</v>
      </c>
      <c r="BD2936" s="3">
        <v>0</v>
      </c>
      <c r="BE2936" s="3">
        <v>0</v>
      </c>
      <c r="BF2936" s="3">
        <v>0</v>
      </c>
      <c r="BG2936" s="3">
        <v>0</v>
      </c>
      <c r="BH2936" s="3">
        <v>1</v>
      </c>
      <c r="BI2936" s="3">
        <v>1</v>
      </c>
      <c r="BJ2936" s="3">
        <v>0.2</v>
      </c>
      <c r="BK2936" s="3">
        <v>1</v>
      </c>
      <c r="BL2936" s="3">
        <v>59</v>
      </c>
      <c r="BM2936" s="3">
        <v>8.85</v>
      </c>
      <c r="BN2936" s="3">
        <v>67.849999999999994</v>
      </c>
      <c r="BO2936" s="3">
        <v>67.849999999999994</v>
      </c>
      <c r="BQ2936" s="3" t="s">
        <v>83</v>
      </c>
      <c r="BR2936" s="3" t="s">
        <v>364</v>
      </c>
      <c r="BS2936" s="4">
        <v>44567</v>
      </c>
      <c r="BT2936" s="5">
        <v>0.51527777777777783</v>
      </c>
      <c r="BU2936" s="3" t="s">
        <v>1488</v>
      </c>
      <c r="BV2936" s="3" t="s">
        <v>87</v>
      </c>
      <c r="BW2936" s="3" t="s">
        <v>457</v>
      </c>
      <c r="BX2936" s="3" t="s">
        <v>2542</v>
      </c>
      <c r="BY2936" s="3">
        <v>1200</v>
      </c>
      <c r="BZ2936" s="3" t="s">
        <v>165</v>
      </c>
      <c r="CA2936" s="3" t="s">
        <v>263</v>
      </c>
      <c r="CC2936" s="3" t="s">
        <v>172</v>
      </c>
      <c r="CD2936" s="3">
        <v>6001</v>
      </c>
      <c r="CE2936" s="3" t="s">
        <v>93</v>
      </c>
      <c r="CF2936" s="4">
        <v>44567</v>
      </c>
      <c r="CI2936" s="3">
        <v>1</v>
      </c>
      <c r="CJ2936" s="3">
        <v>1</v>
      </c>
      <c r="CK2936" s="3">
        <v>21</v>
      </c>
      <c r="CL2936" s="3" t="s">
        <v>87</v>
      </c>
    </row>
    <row r="2937" spans="1:90" x14ac:dyDescent="0.2">
      <c r="A2937" s="3" t="s">
        <v>72</v>
      </c>
      <c r="B2937" s="3" t="s">
        <v>73</v>
      </c>
      <c r="C2937" s="3" t="s">
        <v>74</v>
      </c>
      <c r="E2937" s="3" t="str">
        <f>"FES1162843602"</f>
        <v>FES1162843602</v>
      </c>
      <c r="F2937" s="4">
        <v>44566</v>
      </c>
      <c r="G2937" s="3">
        <v>202207</v>
      </c>
      <c r="H2937" s="3" t="s">
        <v>75</v>
      </c>
      <c r="I2937" s="3" t="s">
        <v>76</v>
      </c>
      <c r="J2937" s="3" t="s">
        <v>77</v>
      </c>
      <c r="K2937" s="3" t="s">
        <v>78</v>
      </c>
      <c r="L2937" s="3" t="s">
        <v>101</v>
      </c>
      <c r="M2937" s="3" t="s">
        <v>102</v>
      </c>
      <c r="N2937" s="3" t="s">
        <v>2324</v>
      </c>
      <c r="O2937" s="3" t="s">
        <v>82</v>
      </c>
      <c r="P2937" s="3" t="str">
        <f>"2170815673                    "</f>
        <v xml:space="preserve">2170815673                    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  <c r="W2937" s="3">
        <v>0</v>
      </c>
      <c r="X2937" s="3">
        <v>0</v>
      </c>
      <c r="Y2937" s="3">
        <v>0</v>
      </c>
      <c r="Z2937" s="3">
        <v>0</v>
      </c>
      <c r="AA2937" s="3">
        <v>0</v>
      </c>
      <c r="AB2937" s="3">
        <v>0</v>
      </c>
      <c r="AC2937" s="3">
        <v>0</v>
      </c>
      <c r="AD2937" s="3">
        <v>0</v>
      </c>
      <c r="AE2937" s="3">
        <v>0</v>
      </c>
      <c r="AF2937" s="3">
        <v>0</v>
      </c>
      <c r="AG2937" s="3">
        <v>0</v>
      </c>
      <c r="AH2937" s="3">
        <v>0</v>
      </c>
      <c r="AI2937" s="3">
        <v>0</v>
      </c>
      <c r="AJ2937" s="3">
        <v>0</v>
      </c>
      <c r="AK2937" s="3">
        <v>15.46</v>
      </c>
      <c r="AL2937" s="3">
        <v>0</v>
      </c>
      <c r="AM2937" s="3">
        <v>0</v>
      </c>
      <c r="AN2937" s="3">
        <v>0</v>
      </c>
      <c r="AO2937" s="3">
        <v>0</v>
      </c>
      <c r="AP2937" s="3">
        <v>0</v>
      </c>
      <c r="AQ2937" s="3">
        <v>0</v>
      </c>
      <c r="AR2937" s="3">
        <v>0</v>
      </c>
      <c r="AS2937" s="3">
        <v>0</v>
      </c>
      <c r="AT2937" s="3">
        <v>0</v>
      </c>
      <c r="AU2937" s="3">
        <v>0</v>
      </c>
      <c r="AV2937" s="3">
        <v>0</v>
      </c>
      <c r="AW2937" s="3">
        <v>0</v>
      </c>
      <c r="AX2937" s="3">
        <v>0</v>
      </c>
      <c r="AY2937" s="3">
        <v>0</v>
      </c>
      <c r="AZ2937" s="3">
        <v>0</v>
      </c>
      <c r="BA2937" s="3">
        <v>0</v>
      </c>
      <c r="BB2937" s="3">
        <v>0</v>
      </c>
      <c r="BC2937" s="3">
        <v>0</v>
      </c>
      <c r="BD2937" s="3">
        <v>0</v>
      </c>
      <c r="BE2937" s="3">
        <v>0</v>
      </c>
      <c r="BF2937" s="3">
        <v>0</v>
      </c>
      <c r="BG2937" s="3">
        <v>0</v>
      </c>
      <c r="BH2937" s="3">
        <v>1</v>
      </c>
      <c r="BI2937" s="3">
        <v>1</v>
      </c>
      <c r="BJ2937" s="3">
        <v>0.2</v>
      </c>
      <c r="BK2937" s="3">
        <v>1</v>
      </c>
      <c r="BL2937" s="3">
        <v>59</v>
      </c>
      <c r="BM2937" s="3">
        <v>8.85</v>
      </c>
      <c r="BN2937" s="3">
        <v>67.849999999999994</v>
      </c>
      <c r="BO2937" s="3">
        <v>67.849999999999994</v>
      </c>
      <c r="BQ2937" s="3" t="s">
        <v>89</v>
      </c>
      <c r="BR2937" s="3" t="s">
        <v>364</v>
      </c>
      <c r="BS2937" s="4">
        <v>44567</v>
      </c>
      <c r="BT2937" s="5">
        <v>0.41736111111111113</v>
      </c>
      <c r="BU2937" s="3" t="s">
        <v>2325</v>
      </c>
      <c r="BV2937" s="3" t="s">
        <v>105</v>
      </c>
      <c r="BY2937" s="3">
        <v>1200</v>
      </c>
      <c r="BZ2937" s="3" t="s">
        <v>165</v>
      </c>
      <c r="CA2937" s="3" t="s">
        <v>2326</v>
      </c>
      <c r="CC2937" s="3" t="s">
        <v>102</v>
      </c>
      <c r="CD2937" s="3">
        <v>4000</v>
      </c>
      <c r="CE2937" s="3" t="s">
        <v>93</v>
      </c>
      <c r="CF2937" s="4">
        <v>44567</v>
      </c>
      <c r="CI2937" s="3">
        <v>1</v>
      </c>
      <c r="CJ2937" s="3">
        <v>1</v>
      </c>
      <c r="CK2937" s="3">
        <v>21</v>
      </c>
      <c r="CL2937" s="3" t="s">
        <v>87</v>
      </c>
    </row>
    <row r="2938" spans="1:90" x14ac:dyDescent="0.2">
      <c r="A2938" s="3" t="s">
        <v>72</v>
      </c>
      <c r="B2938" s="3" t="s">
        <v>73</v>
      </c>
      <c r="C2938" s="3" t="s">
        <v>74</v>
      </c>
      <c r="E2938" s="3" t="str">
        <f>"FES1162843574"</f>
        <v>FES1162843574</v>
      </c>
      <c r="F2938" s="4">
        <v>44566</v>
      </c>
      <c r="G2938" s="3">
        <v>202207</v>
      </c>
      <c r="H2938" s="3" t="s">
        <v>75</v>
      </c>
      <c r="I2938" s="3" t="s">
        <v>76</v>
      </c>
      <c r="J2938" s="3" t="s">
        <v>77</v>
      </c>
      <c r="K2938" s="3" t="s">
        <v>78</v>
      </c>
      <c r="L2938" s="3" t="s">
        <v>90</v>
      </c>
      <c r="M2938" s="3" t="s">
        <v>91</v>
      </c>
      <c r="N2938" s="3" t="s">
        <v>584</v>
      </c>
      <c r="O2938" s="3" t="s">
        <v>82</v>
      </c>
      <c r="P2938" s="3" t="str">
        <f>"2170815665                    "</f>
        <v xml:space="preserve">2170815665                    </v>
      </c>
      <c r="Q2938" s="3">
        <v>0</v>
      </c>
      <c r="R2938" s="3">
        <v>0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  <c r="AE2938" s="3">
        <v>0</v>
      </c>
      <c r="AF2938" s="3">
        <v>0</v>
      </c>
      <c r="AG2938" s="3">
        <v>0</v>
      </c>
      <c r="AH2938" s="3">
        <v>0</v>
      </c>
      <c r="AI2938" s="3">
        <v>0</v>
      </c>
      <c r="AJ2938" s="3">
        <v>0</v>
      </c>
      <c r="AK2938" s="3">
        <v>15.46</v>
      </c>
      <c r="AL2938" s="3">
        <v>0</v>
      </c>
      <c r="AM2938" s="3">
        <v>0</v>
      </c>
      <c r="AN2938" s="3">
        <v>0</v>
      </c>
      <c r="AO2938" s="3">
        <v>0</v>
      </c>
      <c r="AP2938" s="3">
        <v>0</v>
      </c>
      <c r="AQ2938" s="3">
        <v>0</v>
      </c>
      <c r="AR2938" s="3">
        <v>0</v>
      </c>
      <c r="AS2938" s="3">
        <v>0</v>
      </c>
      <c r="AT2938" s="3">
        <v>0</v>
      </c>
      <c r="AU2938" s="3">
        <v>0</v>
      </c>
      <c r="AV2938" s="3">
        <v>0</v>
      </c>
      <c r="AW2938" s="3">
        <v>0</v>
      </c>
      <c r="AX2938" s="3">
        <v>0</v>
      </c>
      <c r="AY2938" s="3">
        <v>0</v>
      </c>
      <c r="AZ2938" s="3">
        <v>0</v>
      </c>
      <c r="BA2938" s="3">
        <v>0</v>
      </c>
      <c r="BB2938" s="3">
        <v>0</v>
      </c>
      <c r="BC2938" s="3">
        <v>0</v>
      </c>
      <c r="BD2938" s="3">
        <v>0</v>
      </c>
      <c r="BE2938" s="3">
        <v>0</v>
      </c>
      <c r="BF2938" s="3">
        <v>0</v>
      </c>
      <c r="BG2938" s="3">
        <v>0</v>
      </c>
      <c r="BH2938" s="3">
        <v>1</v>
      </c>
      <c r="BI2938" s="3">
        <v>1</v>
      </c>
      <c r="BJ2938" s="3">
        <v>1.1000000000000001</v>
      </c>
      <c r="BK2938" s="3">
        <v>1.5</v>
      </c>
      <c r="BL2938" s="3">
        <v>59</v>
      </c>
      <c r="BM2938" s="3">
        <v>8.85</v>
      </c>
      <c r="BN2938" s="3">
        <v>67.849999999999994</v>
      </c>
      <c r="BO2938" s="3">
        <v>67.849999999999994</v>
      </c>
      <c r="BQ2938" s="3" t="s">
        <v>83</v>
      </c>
      <c r="BR2938" s="3" t="s">
        <v>308</v>
      </c>
      <c r="BS2938" s="4">
        <v>44567</v>
      </c>
      <c r="BT2938" s="5">
        <v>0.31180555555555556</v>
      </c>
      <c r="BU2938" s="3" t="s">
        <v>2661</v>
      </c>
      <c r="BV2938" s="3" t="s">
        <v>105</v>
      </c>
      <c r="BY2938" s="3">
        <v>5320</v>
      </c>
      <c r="BZ2938" s="3" t="s">
        <v>165</v>
      </c>
      <c r="CA2938" s="3" t="s">
        <v>543</v>
      </c>
      <c r="CC2938" s="3" t="s">
        <v>91</v>
      </c>
      <c r="CD2938" s="3">
        <v>7530</v>
      </c>
      <c r="CE2938" s="3" t="s">
        <v>86</v>
      </c>
      <c r="CF2938" s="4">
        <v>44568</v>
      </c>
      <c r="CI2938" s="3">
        <v>1</v>
      </c>
      <c r="CJ2938" s="3">
        <v>1</v>
      </c>
      <c r="CK2938" s="3">
        <v>21</v>
      </c>
      <c r="CL2938" s="3" t="s">
        <v>87</v>
      </c>
    </row>
    <row r="2939" spans="1:90" x14ac:dyDescent="0.2">
      <c r="A2939" s="3" t="s">
        <v>72</v>
      </c>
      <c r="B2939" s="3" t="s">
        <v>73</v>
      </c>
      <c r="C2939" s="3" t="s">
        <v>74</v>
      </c>
      <c r="E2939" s="3" t="str">
        <f>"FES1162843612"</f>
        <v>FES1162843612</v>
      </c>
      <c r="F2939" s="4">
        <v>44566</v>
      </c>
      <c r="G2939" s="3">
        <v>202207</v>
      </c>
      <c r="H2939" s="3" t="s">
        <v>75</v>
      </c>
      <c r="I2939" s="3" t="s">
        <v>76</v>
      </c>
      <c r="J2939" s="3" t="s">
        <v>77</v>
      </c>
      <c r="K2939" s="3" t="s">
        <v>78</v>
      </c>
      <c r="L2939" s="3" t="s">
        <v>171</v>
      </c>
      <c r="M2939" s="3" t="s">
        <v>172</v>
      </c>
      <c r="N2939" s="3" t="s">
        <v>1362</v>
      </c>
      <c r="O2939" s="3" t="s">
        <v>82</v>
      </c>
      <c r="P2939" s="3" t="str">
        <f>"2170815685                    "</f>
        <v xml:space="preserve">2170815685                    </v>
      </c>
      <c r="Q2939" s="3">
        <v>0</v>
      </c>
      <c r="R2939" s="3">
        <v>0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  <c r="AE2939" s="3">
        <v>0</v>
      </c>
      <c r="AF2939" s="3">
        <v>0</v>
      </c>
      <c r="AG2939" s="3">
        <v>0</v>
      </c>
      <c r="AH2939" s="3">
        <v>0</v>
      </c>
      <c r="AI2939" s="3">
        <v>0</v>
      </c>
      <c r="AJ2939" s="3">
        <v>0</v>
      </c>
      <c r="AK2939" s="3">
        <v>15.46</v>
      </c>
      <c r="AL2939" s="3">
        <v>0</v>
      </c>
      <c r="AM2939" s="3">
        <v>0</v>
      </c>
      <c r="AN2939" s="3">
        <v>0</v>
      </c>
      <c r="AO2939" s="3">
        <v>0</v>
      </c>
      <c r="AP2939" s="3">
        <v>0</v>
      </c>
      <c r="AQ2939" s="3">
        <v>0</v>
      </c>
      <c r="AR2939" s="3">
        <v>0</v>
      </c>
      <c r="AS2939" s="3">
        <v>0</v>
      </c>
      <c r="AT2939" s="3">
        <v>0</v>
      </c>
      <c r="AU2939" s="3">
        <v>0</v>
      </c>
      <c r="AV2939" s="3">
        <v>0</v>
      </c>
      <c r="AW2939" s="3">
        <v>0</v>
      </c>
      <c r="AX2939" s="3">
        <v>0</v>
      </c>
      <c r="AY2939" s="3">
        <v>0</v>
      </c>
      <c r="AZ2939" s="3">
        <v>0</v>
      </c>
      <c r="BA2939" s="3">
        <v>0</v>
      </c>
      <c r="BB2939" s="3">
        <v>0</v>
      </c>
      <c r="BC2939" s="3">
        <v>0</v>
      </c>
      <c r="BD2939" s="3">
        <v>0</v>
      </c>
      <c r="BE2939" s="3">
        <v>0</v>
      </c>
      <c r="BF2939" s="3">
        <v>0</v>
      </c>
      <c r="BG2939" s="3">
        <v>0</v>
      </c>
      <c r="BH2939" s="3">
        <v>1</v>
      </c>
      <c r="BI2939" s="3">
        <v>1</v>
      </c>
      <c r="BJ2939" s="3">
        <v>1.1000000000000001</v>
      </c>
      <c r="BK2939" s="3">
        <v>1.5</v>
      </c>
      <c r="BL2939" s="3">
        <v>59</v>
      </c>
      <c r="BM2939" s="3">
        <v>8.85</v>
      </c>
      <c r="BN2939" s="3">
        <v>67.849999999999994</v>
      </c>
      <c r="BO2939" s="3">
        <v>67.849999999999994</v>
      </c>
      <c r="BR2939" s="3" t="s">
        <v>308</v>
      </c>
      <c r="BS2939" s="4">
        <v>44567</v>
      </c>
      <c r="BT2939" s="5">
        <v>0.44097222222222227</v>
      </c>
      <c r="BU2939" s="3" t="s">
        <v>1363</v>
      </c>
      <c r="BV2939" s="3" t="s">
        <v>87</v>
      </c>
      <c r="BW2939" s="3" t="s">
        <v>457</v>
      </c>
      <c r="BX2939" s="3" t="s">
        <v>279</v>
      </c>
      <c r="BY2939" s="3">
        <v>5320</v>
      </c>
      <c r="BZ2939" s="3" t="s">
        <v>165</v>
      </c>
      <c r="CA2939" s="3" t="s">
        <v>509</v>
      </c>
      <c r="CC2939" s="3" t="s">
        <v>172</v>
      </c>
      <c r="CD2939" s="3">
        <v>6001</v>
      </c>
      <c r="CE2939" s="3" t="s">
        <v>86</v>
      </c>
      <c r="CF2939" s="4">
        <v>44567</v>
      </c>
      <c r="CI2939" s="3">
        <v>1</v>
      </c>
      <c r="CJ2939" s="3">
        <v>1</v>
      </c>
      <c r="CK2939" s="3">
        <v>21</v>
      </c>
      <c r="CL2939" s="3" t="s">
        <v>87</v>
      </c>
    </row>
    <row r="2940" spans="1:90" x14ac:dyDescent="0.2">
      <c r="A2940" s="3" t="s">
        <v>72</v>
      </c>
      <c r="B2940" s="3" t="s">
        <v>73</v>
      </c>
      <c r="C2940" s="3" t="s">
        <v>74</v>
      </c>
      <c r="E2940" s="3" t="str">
        <f>"FES1162843576"</f>
        <v>FES1162843576</v>
      </c>
      <c r="F2940" s="4">
        <v>44566</v>
      </c>
      <c r="G2940" s="3">
        <v>202207</v>
      </c>
      <c r="H2940" s="3" t="s">
        <v>75</v>
      </c>
      <c r="I2940" s="3" t="s">
        <v>76</v>
      </c>
      <c r="J2940" s="3" t="s">
        <v>77</v>
      </c>
      <c r="K2940" s="3" t="s">
        <v>78</v>
      </c>
      <c r="L2940" s="3" t="s">
        <v>75</v>
      </c>
      <c r="M2940" s="3" t="s">
        <v>76</v>
      </c>
      <c r="N2940" s="3" t="s">
        <v>153</v>
      </c>
      <c r="O2940" s="3" t="s">
        <v>82</v>
      </c>
      <c r="P2940" s="3" t="str">
        <f>"2170815667                    "</f>
        <v xml:space="preserve">2170815667                    </v>
      </c>
      <c r="Q2940" s="3">
        <v>0</v>
      </c>
      <c r="R2940" s="3">
        <v>0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  <c r="AE2940" s="3">
        <v>0</v>
      </c>
      <c r="AF2940" s="3">
        <v>0</v>
      </c>
      <c r="AG2940" s="3">
        <v>0</v>
      </c>
      <c r="AH2940" s="3">
        <v>0</v>
      </c>
      <c r="AI2940" s="3">
        <v>0</v>
      </c>
      <c r="AJ2940" s="3">
        <v>0</v>
      </c>
      <c r="AK2940" s="3">
        <v>12.07</v>
      </c>
      <c r="AL2940" s="3">
        <v>0</v>
      </c>
      <c r="AM2940" s="3">
        <v>0</v>
      </c>
      <c r="AN2940" s="3">
        <v>0</v>
      </c>
      <c r="AO2940" s="3">
        <v>0</v>
      </c>
      <c r="AP2940" s="3">
        <v>0</v>
      </c>
      <c r="AQ2940" s="3">
        <v>0</v>
      </c>
      <c r="AR2940" s="3">
        <v>0</v>
      </c>
      <c r="AS2940" s="3">
        <v>0</v>
      </c>
      <c r="AT2940" s="3">
        <v>0</v>
      </c>
      <c r="AU2940" s="3">
        <v>0</v>
      </c>
      <c r="AV2940" s="3">
        <v>0</v>
      </c>
      <c r="AW2940" s="3">
        <v>0</v>
      </c>
      <c r="AX2940" s="3">
        <v>0</v>
      </c>
      <c r="AY2940" s="3">
        <v>0</v>
      </c>
      <c r="AZ2940" s="3">
        <v>0</v>
      </c>
      <c r="BA2940" s="3">
        <v>0</v>
      </c>
      <c r="BB2940" s="3">
        <v>0</v>
      </c>
      <c r="BC2940" s="3">
        <v>0</v>
      </c>
      <c r="BD2940" s="3">
        <v>0</v>
      </c>
      <c r="BE2940" s="3">
        <v>0</v>
      </c>
      <c r="BF2940" s="3">
        <v>0</v>
      </c>
      <c r="BG2940" s="3">
        <v>0</v>
      </c>
      <c r="BH2940" s="3">
        <v>1</v>
      </c>
      <c r="BI2940" s="3">
        <v>3</v>
      </c>
      <c r="BJ2940" s="3">
        <v>2</v>
      </c>
      <c r="BK2940" s="3">
        <v>3</v>
      </c>
      <c r="BL2940" s="3">
        <v>46.08</v>
      </c>
      <c r="BM2940" s="3">
        <v>6.91</v>
      </c>
      <c r="BN2940" s="3">
        <v>52.99</v>
      </c>
      <c r="BO2940" s="3">
        <v>52.99</v>
      </c>
      <c r="BR2940" s="3" t="s">
        <v>308</v>
      </c>
      <c r="BS2940" s="4">
        <v>44567</v>
      </c>
      <c r="BT2940" s="5">
        <v>0.38055555555555554</v>
      </c>
      <c r="BU2940" s="3" t="s">
        <v>2581</v>
      </c>
      <c r="BV2940" s="3" t="s">
        <v>105</v>
      </c>
      <c r="BY2940" s="3">
        <v>9918</v>
      </c>
      <c r="BZ2940" s="3" t="s">
        <v>165</v>
      </c>
      <c r="CA2940" s="3" t="s">
        <v>227</v>
      </c>
      <c r="CC2940" s="3" t="s">
        <v>76</v>
      </c>
      <c r="CD2940" s="3">
        <v>1600</v>
      </c>
      <c r="CE2940" s="3" t="s">
        <v>86</v>
      </c>
      <c r="CF2940" s="4">
        <v>44567</v>
      </c>
      <c r="CI2940" s="3">
        <v>1</v>
      </c>
      <c r="CJ2940" s="3">
        <v>1</v>
      </c>
      <c r="CK2940" s="3">
        <v>22</v>
      </c>
      <c r="CL2940" s="3" t="s">
        <v>87</v>
      </c>
    </row>
    <row r="2941" spans="1:90" x14ac:dyDescent="0.2">
      <c r="A2941" s="3" t="s">
        <v>72</v>
      </c>
      <c r="B2941" s="3" t="s">
        <v>73</v>
      </c>
      <c r="C2941" s="3" t="s">
        <v>74</v>
      </c>
      <c r="E2941" s="3" t="str">
        <f>"FES1162843532"</f>
        <v>FES1162843532</v>
      </c>
      <c r="F2941" s="4">
        <v>44566</v>
      </c>
      <c r="G2941" s="3">
        <v>202207</v>
      </c>
      <c r="H2941" s="3" t="s">
        <v>75</v>
      </c>
      <c r="I2941" s="3" t="s">
        <v>76</v>
      </c>
      <c r="J2941" s="3" t="s">
        <v>77</v>
      </c>
      <c r="K2941" s="3" t="s">
        <v>78</v>
      </c>
      <c r="L2941" s="3" t="s">
        <v>167</v>
      </c>
      <c r="M2941" s="3" t="s">
        <v>168</v>
      </c>
      <c r="N2941" s="3" t="s">
        <v>169</v>
      </c>
      <c r="O2941" s="3" t="s">
        <v>82</v>
      </c>
      <c r="P2941" s="3" t="str">
        <f>"2170813933                    "</f>
        <v xml:space="preserve">2170813933                    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0</v>
      </c>
      <c r="W2941" s="3">
        <v>0</v>
      </c>
      <c r="X2941" s="3">
        <v>0</v>
      </c>
      <c r="Y2941" s="3">
        <v>0</v>
      </c>
      <c r="Z2941" s="3">
        <v>0</v>
      </c>
      <c r="AA2941" s="3">
        <v>0</v>
      </c>
      <c r="AB2941" s="3">
        <v>0</v>
      </c>
      <c r="AC2941" s="3">
        <v>0</v>
      </c>
      <c r="AD2941" s="3">
        <v>0</v>
      </c>
      <c r="AE2941" s="3">
        <v>0</v>
      </c>
      <c r="AF2941" s="3">
        <v>0</v>
      </c>
      <c r="AG2941" s="3">
        <v>0</v>
      </c>
      <c r="AH2941" s="3">
        <v>0</v>
      </c>
      <c r="AI2941" s="3">
        <v>0</v>
      </c>
      <c r="AJ2941" s="3">
        <v>0</v>
      </c>
      <c r="AK2941" s="3">
        <v>34.770000000000003</v>
      </c>
      <c r="AL2941" s="3">
        <v>0</v>
      </c>
      <c r="AM2941" s="3">
        <v>0</v>
      </c>
      <c r="AN2941" s="3">
        <v>0</v>
      </c>
      <c r="AO2941" s="3">
        <v>0</v>
      </c>
      <c r="AP2941" s="3">
        <v>0</v>
      </c>
      <c r="AQ2941" s="3">
        <v>0</v>
      </c>
      <c r="AR2941" s="3">
        <v>0</v>
      </c>
      <c r="AS2941" s="3">
        <v>0</v>
      </c>
      <c r="AT2941" s="3">
        <v>0</v>
      </c>
      <c r="AU2941" s="3">
        <v>0</v>
      </c>
      <c r="AV2941" s="3">
        <v>0</v>
      </c>
      <c r="AW2941" s="3">
        <v>0</v>
      </c>
      <c r="AX2941" s="3">
        <v>0</v>
      </c>
      <c r="AY2941" s="3">
        <v>0</v>
      </c>
      <c r="AZ2941" s="3">
        <v>0</v>
      </c>
      <c r="BA2941" s="3">
        <v>0</v>
      </c>
      <c r="BB2941" s="3">
        <v>0</v>
      </c>
      <c r="BC2941" s="3">
        <v>0</v>
      </c>
      <c r="BD2941" s="3">
        <v>0</v>
      </c>
      <c r="BE2941" s="3">
        <v>0</v>
      </c>
      <c r="BF2941" s="3">
        <v>0</v>
      </c>
      <c r="BG2941" s="3">
        <v>0</v>
      </c>
      <c r="BH2941" s="3">
        <v>1</v>
      </c>
      <c r="BI2941" s="3">
        <v>2</v>
      </c>
      <c r="BJ2941" s="3">
        <v>4.0999999999999996</v>
      </c>
      <c r="BK2941" s="3">
        <v>4.5</v>
      </c>
      <c r="BL2941" s="3">
        <v>132.71</v>
      </c>
      <c r="BM2941" s="3">
        <v>19.91</v>
      </c>
      <c r="BN2941" s="3">
        <v>152.62</v>
      </c>
      <c r="BO2941" s="3">
        <v>152.62</v>
      </c>
      <c r="BQ2941" s="3" t="s">
        <v>83</v>
      </c>
      <c r="BR2941" s="3" t="s">
        <v>308</v>
      </c>
      <c r="BS2941" s="4">
        <v>44567</v>
      </c>
      <c r="BT2941" s="5">
        <v>0.47152777777777777</v>
      </c>
      <c r="BU2941" s="3" t="s">
        <v>2732</v>
      </c>
      <c r="BV2941" s="3" t="s">
        <v>87</v>
      </c>
      <c r="BW2941" s="3" t="s">
        <v>457</v>
      </c>
      <c r="BX2941" s="3" t="s">
        <v>2542</v>
      </c>
      <c r="BY2941" s="3">
        <v>20358</v>
      </c>
      <c r="BZ2941" s="3" t="s">
        <v>165</v>
      </c>
      <c r="CA2941" s="3" t="s">
        <v>263</v>
      </c>
      <c r="CC2941" s="3" t="s">
        <v>168</v>
      </c>
      <c r="CD2941" s="3">
        <v>6220</v>
      </c>
      <c r="CE2941" s="3" t="s">
        <v>86</v>
      </c>
      <c r="CF2941" s="4">
        <v>44567</v>
      </c>
      <c r="CI2941" s="3">
        <v>1</v>
      </c>
      <c r="CJ2941" s="3">
        <v>1</v>
      </c>
      <c r="CK2941" s="3">
        <v>21</v>
      </c>
      <c r="CL2941" s="3" t="s">
        <v>87</v>
      </c>
    </row>
    <row r="2942" spans="1:90" x14ac:dyDescent="0.2">
      <c r="A2942" s="3" t="s">
        <v>72</v>
      </c>
      <c r="B2942" s="3" t="s">
        <v>73</v>
      </c>
      <c r="C2942" s="3" t="s">
        <v>74</v>
      </c>
      <c r="E2942" s="3" t="str">
        <f>"FES1162843607"</f>
        <v>FES1162843607</v>
      </c>
      <c r="F2942" s="4">
        <v>44566</v>
      </c>
      <c r="G2942" s="3">
        <v>202207</v>
      </c>
      <c r="H2942" s="3" t="s">
        <v>75</v>
      </c>
      <c r="I2942" s="3" t="s">
        <v>76</v>
      </c>
      <c r="J2942" s="3" t="s">
        <v>77</v>
      </c>
      <c r="K2942" s="3" t="s">
        <v>78</v>
      </c>
      <c r="L2942" s="3" t="s">
        <v>158</v>
      </c>
      <c r="M2942" s="3" t="s">
        <v>159</v>
      </c>
      <c r="N2942" s="3" t="s">
        <v>417</v>
      </c>
      <c r="O2942" s="3" t="s">
        <v>82</v>
      </c>
      <c r="P2942" s="3" t="str">
        <f>"2170811318                    "</f>
        <v xml:space="preserve">2170811318                    </v>
      </c>
      <c r="Q2942" s="3">
        <v>0</v>
      </c>
      <c r="R2942" s="3">
        <v>0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  <c r="AE2942" s="3">
        <v>0</v>
      </c>
      <c r="AF2942" s="3">
        <v>0</v>
      </c>
      <c r="AG2942" s="3">
        <v>0</v>
      </c>
      <c r="AH2942" s="3">
        <v>0</v>
      </c>
      <c r="AI2942" s="3">
        <v>0</v>
      </c>
      <c r="AJ2942" s="3">
        <v>0</v>
      </c>
      <c r="AK2942" s="3">
        <v>12.07</v>
      </c>
      <c r="AL2942" s="3">
        <v>0</v>
      </c>
      <c r="AM2942" s="3">
        <v>0</v>
      </c>
      <c r="AN2942" s="3">
        <v>0</v>
      </c>
      <c r="AO2942" s="3">
        <v>0</v>
      </c>
      <c r="AP2942" s="3">
        <v>0</v>
      </c>
      <c r="AQ2942" s="3">
        <v>0</v>
      </c>
      <c r="AR2942" s="3">
        <v>0</v>
      </c>
      <c r="AS2942" s="3">
        <v>0</v>
      </c>
      <c r="AT2942" s="3">
        <v>0</v>
      </c>
      <c r="AU2942" s="3">
        <v>0</v>
      </c>
      <c r="AV2942" s="3">
        <v>0</v>
      </c>
      <c r="AW2942" s="3">
        <v>0</v>
      </c>
      <c r="AX2942" s="3">
        <v>0</v>
      </c>
      <c r="AY2942" s="3">
        <v>0</v>
      </c>
      <c r="AZ2942" s="3">
        <v>0</v>
      </c>
      <c r="BA2942" s="3">
        <v>0</v>
      </c>
      <c r="BB2942" s="3">
        <v>0</v>
      </c>
      <c r="BC2942" s="3">
        <v>0</v>
      </c>
      <c r="BD2942" s="3">
        <v>0</v>
      </c>
      <c r="BE2942" s="3">
        <v>0</v>
      </c>
      <c r="BF2942" s="3">
        <v>0</v>
      </c>
      <c r="BG2942" s="3">
        <v>0</v>
      </c>
      <c r="BH2942" s="3">
        <v>1</v>
      </c>
      <c r="BI2942" s="3">
        <v>4</v>
      </c>
      <c r="BJ2942" s="3">
        <v>4.0999999999999996</v>
      </c>
      <c r="BK2942" s="3">
        <v>4.5</v>
      </c>
      <c r="BL2942" s="3">
        <v>46.08</v>
      </c>
      <c r="BM2942" s="3">
        <v>6.91</v>
      </c>
      <c r="BN2942" s="3">
        <v>52.99</v>
      </c>
      <c r="BO2942" s="3">
        <v>52.99</v>
      </c>
      <c r="BQ2942" s="3" t="s">
        <v>83</v>
      </c>
      <c r="BR2942" s="3" t="s">
        <v>308</v>
      </c>
      <c r="BS2942" s="4">
        <v>44567</v>
      </c>
      <c r="BT2942" s="5">
        <v>0.31666666666666665</v>
      </c>
      <c r="BU2942" s="3" t="s">
        <v>1257</v>
      </c>
      <c r="BV2942" s="3" t="s">
        <v>105</v>
      </c>
      <c r="BY2942" s="3">
        <v>20358</v>
      </c>
      <c r="BZ2942" s="3" t="s">
        <v>165</v>
      </c>
      <c r="CA2942" s="3" t="s">
        <v>763</v>
      </c>
      <c r="CC2942" s="3" t="s">
        <v>159</v>
      </c>
      <c r="CD2942" s="3">
        <v>1459</v>
      </c>
      <c r="CE2942" s="3" t="s">
        <v>86</v>
      </c>
      <c r="CF2942" s="4">
        <v>44567</v>
      </c>
      <c r="CI2942" s="3">
        <v>1</v>
      </c>
      <c r="CJ2942" s="3">
        <v>1</v>
      </c>
      <c r="CK2942" s="3">
        <v>22</v>
      </c>
      <c r="CL2942" s="3" t="s">
        <v>87</v>
      </c>
    </row>
    <row r="2943" spans="1:90" x14ac:dyDescent="0.2">
      <c r="A2943" s="3" t="s">
        <v>72</v>
      </c>
      <c r="B2943" s="3" t="s">
        <v>73</v>
      </c>
      <c r="C2943" s="3" t="s">
        <v>74</v>
      </c>
      <c r="E2943" s="3" t="str">
        <f>"FES1162843557"</f>
        <v>FES1162843557</v>
      </c>
      <c r="F2943" s="4">
        <v>44566</v>
      </c>
      <c r="G2943" s="3">
        <v>202207</v>
      </c>
      <c r="H2943" s="3" t="s">
        <v>75</v>
      </c>
      <c r="I2943" s="3" t="s">
        <v>76</v>
      </c>
      <c r="J2943" s="3" t="s">
        <v>77</v>
      </c>
      <c r="K2943" s="3" t="s">
        <v>78</v>
      </c>
      <c r="L2943" s="3" t="s">
        <v>176</v>
      </c>
      <c r="M2943" s="3" t="s">
        <v>177</v>
      </c>
      <c r="N2943" s="3" t="s">
        <v>178</v>
      </c>
      <c r="O2943" s="3" t="s">
        <v>82</v>
      </c>
      <c r="P2943" s="3" t="str">
        <f>"2170815649                    "</f>
        <v xml:space="preserve">2170815649                    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  <c r="AE2943" s="3">
        <v>0</v>
      </c>
      <c r="AF2943" s="3">
        <v>0</v>
      </c>
      <c r="AG2943" s="3">
        <v>0</v>
      </c>
      <c r="AH2943" s="3">
        <v>0</v>
      </c>
      <c r="AI2943" s="3">
        <v>0</v>
      </c>
      <c r="AJ2943" s="3">
        <v>0</v>
      </c>
      <c r="AK2943" s="3">
        <v>30.91</v>
      </c>
      <c r="AL2943" s="3">
        <v>0</v>
      </c>
      <c r="AM2943" s="3">
        <v>0</v>
      </c>
      <c r="AN2943" s="3">
        <v>0</v>
      </c>
      <c r="AO2943" s="3">
        <v>0</v>
      </c>
      <c r="AP2943" s="3">
        <v>0</v>
      </c>
      <c r="AQ2943" s="3">
        <v>0</v>
      </c>
      <c r="AR2943" s="3">
        <v>0</v>
      </c>
      <c r="AS2943" s="3">
        <v>0</v>
      </c>
      <c r="AT2943" s="3">
        <v>0</v>
      </c>
      <c r="AU2943" s="3">
        <v>0</v>
      </c>
      <c r="AV2943" s="3">
        <v>0</v>
      </c>
      <c r="AW2943" s="3">
        <v>0</v>
      </c>
      <c r="AX2943" s="3">
        <v>0</v>
      </c>
      <c r="AY2943" s="3">
        <v>0</v>
      </c>
      <c r="AZ2943" s="3">
        <v>0</v>
      </c>
      <c r="BA2943" s="3">
        <v>0</v>
      </c>
      <c r="BB2943" s="3">
        <v>0</v>
      </c>
      <c r="BC2943" s="3">
        <v>0</v>
      </c>
      <c r="BD2943" s="3">
        <v>0</v>
      </c>
      <c r="BE2943" s="3">
        <v>0</v>
      </c>
      <c r="BF2943" s="3">
        <v>0</v>
      </c>
      <c r="BG2943" s="3">
        <v>0</v>
      </c>
      <c r="BH2943" s="3">
        <v>1</v>
      </c>
      <c r="BI2943" s="3">
        <v>3</v>
      </c>
      <c r="BJ2943" s="3">
        <v>3.9</v>
      </c>
      <c r="BK2943" s="3">
        <v>4</v>
      </c>
      <c r="BL2943" s="3">
        <v>117.97</v>
      </c>
      <c r="BM2943" s="3">
        <v>17.7</v>
      </c>
      <c r="BN2943" s="3">
        <v>135.66999999999999</v>
      </c>
      <c r="BO2943" s="3">
        <v>135.66999999999999</v>
      </c>
      <c r="BQ2943" s="3" t="s">
        <v>83</v>
      </c>
      <c r="BR2943" s="3" t="s">
        <v>308</v>
      </c>
      <c r="BS2943" s="4">
        <v>44567</v>
      </c>
      <c r="BT2943" s="5">
        <v>0.38055555555555554</v>
      </c>
      <c r="BU2943" s="3" t="s">
        <v>551</v>
      </c>
      <c r="BV2943" s="3" t="s">
        <v>105</v>
      </c>
      <c r="BY2943" s="3">
        <v>19565</v>
      </c>
      <c r="BZ2943" s="3" t="s">
        <v>165</v>
      </c>
      <c r="CA2943" s="3" t="s">
        <v>528</v>
      </c>
      <c r="CC2943" s="3" t="s">
        <v>177</v>
      </c>
      <c r="CD2943" s="3">
        <v>4026</v>
      </c>
      <c r="CE2943" s="3" t="s">
        <v>86</v>
      </c>
      <c r="CF2943" s="4">
        <v>44567</v>
      </c>
      <c r="CI2943" s="3">
        <v>1</v>
      </c>
      <c r="CJ2943" s="3">
        <v>1</v>
      </c>
      <c r="CK2943" s="3">
        <v>21</v>
      </c>
      <c r="CL2943" s="3" t="s">
        <v>87</v>
      </c>
    </row>
    <row r="2944" spans="1:90" x14ac:dyDescent="0.2">
      <c r="A2944" s="3" t="s">
        <v>72</v>
      </c>
      <c r="B2944" s="3" t="s">
        <v>73</v>
      </c>
      <c r="C2944" s="3" t="s">
        <v>74</v>
      </c>
      <c r="E2944" s="3" t="str">
        <f>"FES1162843583"</f>
        <v>FES1162843583</v>
      </c>
      <c r="F2944" s="4">
        <v>44566</v>
      </c>
      <c r="G2944" s="3">
        <v>202207</v>
      </c>
      <c r="H2944" s="3" t="s">
        <v>75</v>
      </c>
      <c r="I2944" s="3" t="s">
        <v>76</v>
      </c>
      <c r="J2944" s="3" t="s">
        <v>77</v>
      </c>
      <c r="K2944" s="3" t="s">
        <v>78</v>
      </c>
      <c r="L2944" s="3" t="s">
        <v>138</v>
      </c>
      <c r="M2944" s="3" t="s">
        <v>139</v>
      </c>
      <c r="N2944" s="3" t="s">
        <v>140</v>
      </c>
      <c r="O2944" s="3" t="s">
        <v>148</v>
      </c>
      <c r="P2944" s="3" t="str">
        <f>"2170813162                    "</f>
        <v xml:space="preserve">2170813162                    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0</v>
      </c>
      <c r="W2944" s="3">
        <v>0</v>
      </c>
      <c r="X2944" s="3">
        <v>0</v>
      </c>
      <c r="Y2944" s="3">
        <v>0</v>
      </c>
      <c r="Z2944" s="3">
        <v>0</v>
      </c>
      <c r="AA2944" s="3">
        <v>0</v>
      </c>
      <c r="AB2944" s="3">
        <v>0</v>
      </c>
      <c r="AC2944" s="3">
        <v>0</v>
      </c>
      <c r="AD2944" s="3">
        <v>0</v>
      </c>
      <c r="AE2944" s="3">
        <v>0</v>
      </c>
      <c r="AF2944" s="3">
        <v>0</v>
      </c>
      <c r="AG2944" s="3">
        <v>0</v>
      </c>
      <c r="AH2944" s="3">
        <v>0</v>
      </c>
      <c r="AI2944" s="3">
        <v>0</v>
      </c>
      <c r="AJ2944" s="3">
        <v>0</v>
      </c>
      <c r="AK2944" s="3">
        <v>40.98</v>
      </c>
      <c r="AL2944" s="3">
        <v>0</v>
      </c>
      <c r="AM2944" s="3">
        <v>0</v>
      </c>
      <c r="AN2944" s="3">
        <v>0</v>
      </c>
      <c r="AO2944" s="3">
        <v>0</v>
      </c>
      <c r="AP2944" s="3">
        <v>0</v>
      </c>
      <c r="AQ2944" s="3">
        <v>0</v>
      </c>
      <c r="AR2944" s="3">
        <v>0</v>
      </c>
      <c r="AS2944" s="3">
        <v>0</v>
      </c>
      <c r="AT2944" s="3">
        <v>0</v>
      </c>
      <c r="AU2944" s="3">
        <v>0</v>
      </c>
      <c r="AV2944" s="3">
        <v>0</v>
      </c>
      <c r="AW2944" s="3">
        <v>0</v>
      </c>
      <c r="AX2944" s="3">
        <v>0</v>
      </c>
      <c r="AY2944" s="3">
        <v>0</v>
      </c>
      <c r="AZ2944" s="3">
        <v>0</v>
      </c>
      <c r="BA2944" s="3">
        <v>0</v>
      </c>
      <c r="BB2944" s="3">
        <v>0</v>
      </c>
      <c r="BC2944" s="3">
        <v>0</v>
      </c>
      <c r="BD2944" s="3">
        <v>0</v>
      </c>
      <c r="BE2944" s="3">
        <v>0</v>
      </c>
      <c r="BF2944" s="3">
        <v>0</v>
      </c>
      <c r="BG2944" s="3">
        <v>0</v>
      </c>
      <c r="BH2944" s="3">
        <v>1</v>
      </c>
      <c r="BI2944" s="3">
        <v>24</v>
      </c>
      <c r="BJ2944" s="3">
        <v>9.1</v>
      </c>
      <c r="BK2944" s="3">
        <v>24</v>
      </c>
      <c r="BL2944" s="3">
        <v>161.66</v>
      </c>
      <c r="BM2944" s="3">
        <v>24.25</v>
      </c>
      <c r="BN2944" s="3">
        <v>185.91</v>
      </c>
      <c r="BO2944" s="3">
        <v>185.91</v>
      </c>
      <c r="BQ2944" s="3" t="s">
        <v>126</v>
      </c>
      <c r="BR2944" s="3" t="s">
        <v>308</v>
      </c>
      <c r="BS2944" s="4">
        <v>44567</v>
      </c>
      <c r="BT2944" s="5">
        <v>0.36388888888888887</v>
      </c>
      <c r="BU2944" s="3" t="s">
        <v>819</v>
      </c>
      <c r="BV2944" s="3" t="s">
        <v>105</v>
      </c>
      <c r="BY2944" s="3">
        <v>45632</v>
      </c>
      <c r="BZ2944" s="3" t="s">
        <v>327</v>
      </c>
      <c r="CA2944" s="3" t="s">
        <v>334</v>
      </c>
      <c r="CC2944" s="3" t="s">
        <v>139</v>
      </c>
      <c r="CD2944" s="3">
        <v>3610</v>
      </c>
      <c r="CE2944" s="3" t="s">
        <v>86</v>
      </c>
      <c r="CF2944" s="4">
        <v>44567</v>
      </c>
      <c r="CI2944" s="3">
        <v>1</v>
      </c>
      <c r="CJ2944" s="3">
        <v>1</v>
      </c>
      <c r="CK2944" s="3">
        <v>41</v>
      </c>
      <c r="CL2944" s="3" t="s">
        <v>87</v>
      </c>
    </row>
    <row r="2945" spans="1:90" x14ac:dyDescent="0.2">
      <c r="A2945" s="3" t="s">
        <v>72</v>
      </c>
      <c r="B2945" s="3" t="s">
        <v>73</v>
      </c>
      <c r="C2945" s="3" t="s">
        <v>74</v>
      </c>
      <c r="E2945" s="3" t="str">
        <f>"FES1162843541"</f>
        <v>FES1162843541</v>
      </c>
      <c r="F2945" s="4">
        <v>44566</v>
      </c>
      <c r="G2945" s="3">
        <v>202207</v>
      </c>
      <c r="H2945" s="3" t="s">
        <v>75</v>
      </c>
      <c r="I2945" s="3" t="s">
        <v>76</v>
      </c>
      <c r="J2945" s="3" t="s">
        <v>77</v>
      </c>
      <c r="K2945" s="3" t="s">
        <v>78</v>
      </c>
      <c r="L2945" s="3" t="s">
        <v>472</v>
      </c>
      <c r="M2945" s="3" t="s">
        <v>473</v>
      </c>
      <c r="N2945" s="3" t="s">
        <v>474</v>
      </c>
      <c r="O2945" s="3" t="s">
        <v>148</v>
      </c>
      <c r="P2945" s="3" t="str">
        <f>"2170814670                    "</f>
        <v xml:space="preserve">2170814670                    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  <c r="AE2945" s="3">
        <v>0</v>
      </c>
      <c r="AF2945" s="3">
        <v>0</v>
      </c>
      <c r="AG2945" s="3">
        <v>0</v>
      </c>
      <c r="AH2945" s="3">
        <v>0</v>
      </c>
      <c r="AI2945" s="3">
        <v>0</v>
      </c>
      <c r="AJ2945" s="3">
        <v>0</v>
      </c>
      <c r="AK2945" s="3">
        <v>42.16</v>
      </c>
      <c r="AL2945" s="3">
        <v>0</v>
      </c>
      <c r="AM2945" s="3">
        <v>0</v>
      </c>
      <c r="AN2945" s="3">
        <v>0</v>
      </c>
      <c r="AO2945" s="3">
        <v>0</v>
      </c>
      <c r="AP2945" s="3">
        <v>0</v>
      </c>
      <c r="AQ2945" s="3">
        <v>0</v>
      </c>
      <c r="AR2945" s="3">
        <v>0</v>
      </c>
      <c r="AS2945" s="3">
        <v>0</v>
      </c>
      <c r="AT2945" s="3">
        <v>0</v>
      </c>
      <c r="AU2945" s="3">
        <v>0</v>
      </c>
      <c r="AV2945" s="3">
        <v>0</v>
      </c>
      <c r="AW2945" s="3">
        <v>0</v>
      </c>
      <c r="AX2945" s="3">
        <v>0</v>
      </c>
      <c r="AY2945" s="3">
        <v>0</v>
      </c>
      <c r="AZ2945" s="3">
        <v>0</v>
      </c>
      <c r="BA2945" s="3">
        <v>0</v>
      </c>
      <c r="BB2945" s="3">
        <v>0</v>
      </c>
      <c r="BC2945" s="3">
        <v>0</v>
      </c>
      <c r="BD2945" s="3">
        <v>0</v>
      </c>
      <c r="BE2945" s="3">
        <v>0</v>
      </c>
      <c r="BF2945" s="3">
        <v>0</v>
      </c>
      <c r="BG2945" s="3">
        <v>0</v>
      </c>
      <c r="BH2945" s="3">
        <v>1</v>
      </c>
      <c r="BI2945" s="3">
        <v>5</v>
      </c>
      <c r="BJ2945" s="3">
        <v>9.6999999999999993</v>
      </c>
      <c r="BK2945" s="3">
        <v>10</v>
      </c>
      <c r="BL2945" s="3">
        <v>166.16</v>
      </c>
      <c r="BM2945" s="3">
        <v>24.92</v>
      </c>
      <c r="BN2945" s="3">
        <v>191.08</v>
      </c>
      <c r="BO2945" s="3">
        <v>191.08</v>
      </c>
      <c r="BQ2945" s="3" t="s">
        <v>83</v>
      </c>
      <c r="BR2945" s="3" t="s">
        <v>308</v>
      </c>
      <c r="BS2945" s="4">
        <v>44571</v>
      </c>
      <c r="BT2945" s="5">
        <v>0.38680555555555557</v>
      </c>
      <c r="BU2945" s="3" t="s">
        <v>475</v>
      </c>
      <c r="BV2945" s="3" t="s">
        <v>105</v>
      </c>
      <c r="BY2945" s="3">
        <v>48600</v>
      </c>
      <c r="BZ2945" s="3" t="s">
        <v>327</v>
      </c>
      <c r="CA2945" s="3" t="s">
        <v>324</v>
      </c>
      <c r="CC2945" s="3" t="s">
        <v>473</v>
      </c>
      <c r="CD2945" s="3">
        <v>5257</v>
      </c>
      <c r="CE2945" s="3" t="s">
        <v>86</v>
      </c>
      <c r="CF2945" s="4">
        <v>44571</v>
      </c>
      <c r="CI2945" s="3">
        <v>3</v>
      </c>
      <c r="CJ2945" s="3">
        <v>3</v>
      </c>
      <c r="CK2945" s="3">
        <v>43</v>
      </c>
      <c r="CL2945" s="3" t="s">
        <v>87</v>
      </c>
    </row>
    <row r="2946" spans="1:90" x14ac:dyDescent="0.2">
      <c r="A2946" s="3" t="s">
        <v>72</v>
      </c>
      <c r="B2946" s="3" t="s">
        <v>73</v>
      </c>
      <c r="C2946" s="3" t="s">
        <v>74</v>
      </c>
      <c r="E2946" s="3" t="str">
        <f>"FES1162843577"</f>
        <v>FES1162843577</v>
      </c>
      <c r="F2946" s="4">
        <v>44566</v>
      </c>
      <c r="G2946" s="3">
        <v>202207</v>
      </c>
      <c r="H2946" s="3" t="s">
        <v>75</v>
      </c>
      <c r="I2946" s="3" t="s">
        <v>76</v>
      </c>
      <c r="J2946" s="3" t="s">
        <v>77</v>
      </c>
      <c r="K2946" s="3" t="s">
        <v>78</v>
      </c>
      <c r="L2946" s="3" t="s">
        <v>258</v>
      </c>
      <c r="M2946" s="3" t="s">
        <v>259</v>
      </c>
      <c r="N2946" s="3" t="s">
        <v>412</v>
      </c>
      <c r="O2946" s="3" t="s">
        <v>148</v>
      </c>
      <c r="P2946" s="3" t="str">
        <f>"2170810334                    "</f>
        <v xml:space="preserve">2170810334                    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  <c r="AE2946" s="3">
        <v>0</v>
      </c>
      <c r="AF2946" s="3">
        <v>0</v>
      </c>
      <c r="AG2946" s="3">
        <v>0</v>
      </c>
      <c r="AH2946" s="3">
        <v>0</v>
      </c>
      <c r="AI2946" s="3">
        <v>0</v>
      </c>
      <c r="AJ2946" s="3">
        <v>0</v>
      </c>
      <c r="AK2946" s="3">
        <v>41.6</v>
      </c>
      <c r="AL2946" s="3">
        <v>0</v>
      </c>
      <c r="AM2946" s="3">
        <v>0</v>
      </c>
      <c r="AN2946" s="3">
        <v>0</v>
      </c>
      <c r="AO2946" s="3">
        <v>0</v>
      </c>
      <c r="AP2946" s="3">
        <v>0</v>
      </c>
      <c r="AQ2946" s="3">
        <v>0</v>
      </c>
      <c r="AR2946" s="3">
        <v>0</v>
      </c>
      <c r="AS2946" s="3">
        <v>0</v>
      </c>
      <c r="AT2946" s="3">
        <v>0</v>
      </c>
      <c r="AU2946" s="3">
        <v>0</v>
      </c>
      <c r="AV2946" s="3">
        <v>0</v>
      </c>
      <c r="AW2946" s="3">
        <v>0</v>
      </c>
      <c r="AX2946" s="3">
        <v>0</v>
      </c>
      <c r="AY2946" s="3">
        <v>0</v>
      </c>
      <c r="AZ2946" s="3">
        <v>0</v>
      </c>
      <c r="BA2946" s="3">
        <v>0</v>
      </c>
      <c r="BB2946" s="3">
        <v>0</v>
      </c>
      <c r="BC2946" s="3">
        <v>0</v>
      </c>
      <c r="BD2946" s="3">
        <v>0</v>
      </c>
      <c r="BE2946" s="3">
        <v>0</v>
      </c>
      <c r="BF2946" s="3">
        <v>0</v>
      </c>
      <c r="BG2946" s="3">
        <v>0</v>
      </c>
      <c r="BH2946" s="3">
        <v>1</v>
      </c>
      <c r="BI2946" s="3">
        <v>25</v>
      </c>
      <c r="BJ2946" s="3">
        <v>14.7</v>
      </c>
      <c r="BK2946" s="3">
        <v>25</v>
      </c>
      <c r="BL2946" s="3">
        <v>164.04</v>
      </c>
      <c r="BM2946" s="3">
        <v>24.61</v>
      </c>
      <c r="BN2946" s="3">
        <v>188.65</v>
      </c>
      <c r="BO2946" s="3">
        <v>188.65</v>
      </c>
      <c r="BQ2946" s="3" t="s">
        <v>83</v>
      </c>
      <c r="BR2946" s="3" t="s">
        <v>308</v>
      </c>
      <c r="BS2946" s="4">
        <v>44567</v>
      </c>
      <c r="BT2946" s="5">
        <v>0.42430555555555555</v>
      </c>
      <c r="BU2946" s="3" t="s">
        <v>2739</v>
      </c>
      <c r="BV2946" s="3" t="s">
        <v>105</v>
      </c>
      <c r="BY2946" s="3">
        <v>73548</v>
      </c>
      <c r="BZ2946" s="3" t="s">
        <v>327</v>
      </c>
      <c r="CA2946" s="3" t="s">
        <v>779</v>
      </c>
      <c r="CC2946" s="3" t="s">
        <v>259</v>
      </c>
      <c r="CD2946" s="3">
        <v>2302</v>
      </c>
      <c r="CE2946" s="3" t="s">
        <v>86</v>
      </c>
      <c r="CF2946" s="4">
        <v>44568</v>
      </c>
      <c r="CI2946" s="3">
        <v>1</v>
      </c>
      <c r="CJ2946" s="3">
        <v>1</v>
      </c>
      <c r="CK2946" s="3">
        <v>44</v>
      </c>
      <c r="CL2946" s="3" t="s">
        <v>87</v>
      </c>
    </row>
    <row r="2947" spans="1:90" x14ac:dyDescent="0.2">
      <c r="A2947" s="3" t="s">
        <v>72</v>
      </c>
      <c r="B2947" s="3" t="s">
        <v>73</v>
      </c>
      <c r="C2947" s="3" t="s">
        <v>74</v>
      </c>
      <c r="E2947" s="3" t="str">
        <f>"FES1162843661"</f>
        <v>FES1162843661</v>
      </c>
      <c r="F2947" s="4">
        <v>44566</v>
      </c>
      <c r="G2947" s="3">
        <v>202207</v>
      </c>
      <c r="H2947" s="3" t="s">
        <v>75</v>
      </c>
      <c r="I2947" s="3" t="s">
        <v>76</v>
      </c>
      <c r="J2947" s="3" t="s">
        <v>77</v>
      </c>
      <c r="K2947" s="3" t="s">
        <v>78</v>
      </c>
      <c r="L2947" s="3" t="s">
        <v>158</v>
      </c>
      <c r="M2947" s="3" t="s">
        <v>159</v>
      </c>
      <c r="N2947" s="3" t="s">
        <v>1253</v>
      </c>
      <c r="O2947" s="3" t="s">
        <v>82</v>
      </c>
      <c r="P2947" s="3" t="str">
        <f>"2170813974                    "</f>
        <v xml:space="preserve">2170813974                    </v>
      </c>
      <c r="Q2947" s="3">
        <v>0</v>
      </c>
      <c r="R2947" s="3">
        <v>0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  <c r="AE2947" s="3">
        <v>0</v>
      </c>
      <c r="AF2947" s="3">
        <v>0</v>
      </c>
      <c r="AG2947" s="3">
        <v>0</v>
      </c>
      <c r="AH2947" s="3">
        <v>0</v>
      </c>
      <c r="AI2947" s="3">
        <v>0</v>
      </c>
      <c r="AJ2947" s="3">
        <v>0</v>
      </c>
      <c r="AK2947" s="3">
        <v>12.07</v>
      </c>
      <c r="AL2947" s="3">
        <v>0</v>
      </c>
      <c r="AM2947" s="3">
        <v>0</v>
      </c>
      <c r="AN2947" s="3">
        <v>0</v>
      </c>
      <c r="AO2947" s="3">
        <v>0</v>
      </c>
      <c r="AP2947" s="3">
        <v>0</v>
      </c>
      <c r="AQ2947" s="3">
        <v>0</v>
      </c>
      <c r="AR2947" s="3">
        <v>0</v>
      </c>
      <c r="AS2947" s="3">
        <v>0</v>
      </c>
      <c r="AT2947" s="3">
        <v>0</v>
      </c>
      <c r="AU2947" s="3">
        <v>0</v>
      </c>
      <c r="AV2947" s="3">
        <v>0</v>
      </c>
      <c r="AW2947" s="3">
        <v>0</v>
      </c>
      <c r="AX2947" s="3">
        <v>0</v>
      </c>
      <c r="AY2947" s="3">
        <v>0</v>
      </c>
      <c r="AZ2947" s="3">
        <v>0</v>
      </c>
      <c r="BA2947" s="3">
        <v>0</v>
      </c>
      <c r="BB2947" s="3">
        <v>0</v>
      </c>
      <c r="BC2947" s="3">
        <v>0</v>
      </c>
      <c r="BD2947" s="3">
        <v>0</v>
      </c>
      <c r="BE2947" s="3">
        <v>0</v>
      </c>
      <c r="BF2947" s="3">
        <v>0</v>
      </c>
      <c r="BG2947" s="3">
        <v>0</v>
      </c>
      <c r="BH2947" s="3">
        <v>1</v>
      </c>
      <c r="BI2947" s="3">
        <v>2</v>
      </c>
      <c r="BJ2947" s="3">
        <v>4.0999999999999996</v>
      </c>
      <c r="BK2947" s="3">
        <v>4.5</v>
      </c>
      <c r="BL2947" s="3">
        <v>46.08</v>
      </c>
      <c r="BM2947" s="3">
        <v>6.91</v>
      </c>
      <c r="BN2947" s="3">
        <v>52.99</v>
      </c>
      <c r="BO2947" s="3">
        <v>52.99</v>
      </c>
      <c r="BQ2947" s="3" t="s">
        <v>89</v>
      </c>
      <c r="BR2947" s="3" t="s">
        <v>308</v>
      </c>
      <c r="BS2947" s="4">
        <v>44567</v>
      </c>
      <c r="BT2947" s="5">
        <v>0.33888888888888885</v>
      </c>
      <c r="BU2947" s="3" t="s">
        <v>1254</v>
      </c>
      <c r="BV2947" s="3" t="s">
        <v>105</v>
      </c>
      <c r="BY2947" s="3">
        <v>20358</v>
      </c>
      <c r="BZ2947" s="3" t="s">
        <v>165</v>
      </c>
      <c r="CA2947" s="3" t="s">
        <v>653</v>
      </c>
      <c r="CC2947" s="3" t="s">
        <v>159</v>
      </c>
      <c r="CD2947" s="3">
        <v>1459</v>
      </c>
      <c r="CE2947" s="3" t="s">
        <v>86</v>
      </c>
      <c r="CF2947" s="4">
        <v>44568</v>
      </c>
      <c r="CI2947" s="3">
        <v>1</v>
      </c>
      <c r="CJ2947" s="3">
        <v>1</v>
      </c>
      <c r="CK2947" s="3">
        <v>22</v>
      </c>
      <c r="CL2947" s="3" t="s">
        <v>87</v>
      </c>
    </row>
    <row r="2948" spans="1:90" x14ac:dyDescent="0.2">
      <c r="A2948" s="3" t="s">
        <v>72</v>
      </c>
      <c r="B2948" s="3" t="s">
        <v>73</v>
      </c>
      <c r="C2948" s="3" t="s">
        <v>74</v>
      </c>
      <c r="E2948" s="3" t="str">
        <f>"FES1162843712"</f>
        <v>FES1162843712</v>
      </c>
      <c r="F2948" s="4">
        <v>44566</v>
      </c>
      <c r="G2948" s="3">
        <v>202207</v>
      </c>
      <c r="H2948" s="3" t="s">
        <v>75</v>
      </c>
      <c r="I2948" s="3" t="s">
        <v>76</v>
      </c>
      <c r="J2948" s="3" t="s">
        <v>77</v>
      </c>
      <c r="K2948" s="3" t="s">
        <v>78</v>
      </c>
      <c r="L2948" s="3" t="s">
        <v>75</v>
      </c>
      <c r="M2948" s="3" t="s">
        <v>76</v>
      </c>
      <c r="N2948" s="3" t="s">
        <v>2537</v>
      </c>
      <c r="O2948" s="3" t="s">
        <v>82</v>
      </c>
      <c r="P2948" s="3" t="str">
        <f>"2170815703                    "</f>
        <v xml:space="preserve">2170815703                    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  <c r="AE2948" s="3">
        <v>0</v>
      </c>
      <c r="AF2948" s="3">
        <v>0</v>
      </c>
      <c r="AG2948" s="3">
        <v>0</v>
      </c>
      <c r="AH2948" s="3">
        <v>0</v>
      </c>
      <c r="AI2948" s="3">
        <v>0</v>
      </c>
      <c r="AJ2948" s="3">
        <v>0</v>
      </c>
      <c r="AK2948" s="3">
        <v>12.07</v>
      </c>
      <c r="AL2948" s="3">
        <v>0</v>
      </c>
      <c r="AM2948" s="3">
        <v>0</v>
      </c>
      <c r="AN2948" s="3">
        <v>0</v>
      </c>
      <c r="AO2948" s="3">
        <v>0</v>
      </c>
      <c r="AP2948" s="3">
        <v>0</v>
      </c>
      <c r="AQ2948" s="3">
        <v>0</v>
      </c>
      <c r="AR2948" s="3">
        <v>0</v>
      </c>
      <c r="AS2948" s="3">
        <v>0</v>
      </c>
      <c r="AT2948" s="3">
        <v>0</v>
      </c>
      <c r="AU2948" s="3">
        <v>0</v>
      </c>
      <c r="AV2948" s="3">
        <v>0</v>
      </c>
      <c r="AW2948" s="3">
        <v>0</v>
      </c>
      <c r="AX2948" s="3">
        <v>0</v>
      </c>
      <c r="AY2948" s="3">
        <v>0</v>
      </c>
      <c r="AZ2948" s="3">
        <v>0</v>
      </c>
      <c r="BA2948" s="3">
        <v>0</v>
      </c>
      <c r="BB2948" s="3">
        <v>0</v>
      </c>
      <c r="BC2948" s="3">
        <v>0</v>
      </c>
      <c r="BD2948" s="3">
        <v>0</v>
      </c>
      <c r="BE2948" s="3">
        <v>0</v>
      </c>
      <c r="BF2948" s="3">
        <v>0</v>
      </c>
      <c r="BG2948" s="3">
        <v>0</v>
      </c>
      <c r="BH2948" s="3">
        <v>1</v>
      </c>
      <c r="BI2948" s="3">
        <v>1</v>
      </c>
      <c r="BJ2948" s="3">
        <v>0.2</v>
      </c>
      <c r="BK2948" s="3">
        <v>1</v>
      </c>
      <c r="BL2948" s="3">
        <v>46.08</v>
      </c>
      <c r="BM2948" s="3">
        <v>6.91</v>
      </c>
      <c r="BN2948" s="3">
        <v>52.99</v>
      </c>
      <c r="BO2948" s="3">
        <v>52.99</v>
      </c>
      <c r="BQ2948" s="3" t="s">
        <v>83</v>
      </c>
      <c r="BR2948" s="3" t="s">
        <v>364</v>
      </c>
      <c r="BS2948" s="4">
        <v>44567</v>
      </c>
      <c r="BT2948" s="5">
        <v>0.3520833333333333</v>
      </c>
      <c r="BU2948" s="3" t="s">
        <v>849</v>
      </c>
      <c r="BV2948" s="3" t="s">
        <v>105</v>
      </c>
      <c r="BY2948" s="3">
        <v>1200</v>
      </c>
      <c r="BZ2948" s="3" t="s">
        <v>165</v>
      </c>
      <c r="CA2948" s="3" t="s">
        <v>477</v>
      </c>
      <c r="CC2948" s="3" t="s">
        <v>76</v>
      </c>
      <c r="CD2948" s="3">
        <v>1645</v>
      </c>
      <c r="CE2948" s="3" t="s">
        <v>93</v>
      </c>
      <c r="CF2948" s="4">
        <v>44568</v>
      </c>
      <c r="CI2948" s="3">
        <v>1</v>
      </c>
      <c r="CJ2948" s="3">
        <v>1</v>
      </c>
      <c r="CK2948" s="3">
        <v>22</v>
      </c>
      <c r="CL2948" s="3" t="s">
        <v>87</v>
      </c>
    </row>
    <row r="2949" spans="1:90" x14ac:dyDescent="0.2">
      <c r="A2949" s="3" t="s">
        <v>72</v>
      </c>
      <c r="B2949" s="3" t="s">
        <v>73</v>
      </c>
      <c r="C2949" s="3" t="s">
        <v>74</v>
      </c>
      <c r="E2949" s="3" t="str">
        <f>"FES1162843662"</f>
        <v>FES1162843662</v>
      </c>
      <c r="F2949" s="4">
        <v>44566</v>
      </c>
      <c r="G2949" s="3">
        <v>202207</v>
      </c>
      <c r="H2949" s="3" t="s">
        <v>75</v>
      </c>
      <c r="I2949" s="3" t="s">
        <v>76</v>
      </c>
      <c r="J2949" s="3" t="s">
        <v>77</v>
      </c>
      <c r="K2949" s="3" t="s">
        <v>78</v>
      </c>
      <c r="L2949" s="3" t="s">
        <v>195</v>
      </c>
      <c r="M2949" s="3" t="s">
        <v>196</v>
      </c>
      <c r="N2949" s="3" t="s">
        <v>197</v>
      </c>
      <c r="O2949" s="3" t="s">
        <v>82</v>
      </c>
      <c r="P2949" s="3" t="str">
        <f>"2170813996                    "</f>
        <v xml:space="preserve">2170813996                    </v>
      </c>
      <c r="Q2949" s="3">
        <v>0</v>
      </c>
      <c r="R2949" s="3">
        <v>0</v>
      </c>
      <c r="S2949" s="3">
        <v>0</v>
      </c>
      <c r="T2949" s="3">
        <v>0</v>
      </c>
      <c r="U2949" s="3">
        <v>0</v>
      </c>
      <c r="V2949" s="3">
        <v>0</v>
      </c>
      <c r="W2949" s="3">
        <v>0</v>
      </c>
      <c r="X2949" s="3">
        <v>0</v>
      </c>
      <c r="Y2949" s="3">
        <v>0</v>
      </c>
      <c r="Z2949" s="3">
        <v>0</v>
      </c>
      <c r="AA2949" s="3">
        <v>0</v>
      </c>
      <c r="AB2949" s="3">
        <v>0</v>
      </c>
      <c r="AC2949" s="3">
        <v>0</v>
      </c>
      <c r="AD2949" s="3">
        <v>0</v>
      </c>
      <c r="AE2949" s="3">
        <v>0</v>
      </c>
      <c r="AF2949" s="3">
        <v>0</v>
      </c>
      <c r="AG2949" s="3">
        <v>0</v>
      </c>
      <c r="AH2949" s="3">
        <v>0</v>
      </c>
      <c r="AI2949" s="3">
        <v>0</v>
      </c>
      <c r="AJ2949" s="3">
        <v>0</v>
      </c>
      <c r="AK2949" s="3">
        <v>15.46</v>
      </c>
      <c r="AL2949" s="3">
        <v>0</v>
      </c>
      <c r="AM2949" s="3">
        <v>0</v>
      </c>
      <c r="AN2949" s="3">
        <v>0</v>
      </c>
      <c r="AO2949" s="3">
        <v>0</v>
      </c>
      <c r="AP2949" s="3">
        <v>0</v>
      </c>
      <c r="AQ2949" s="3">
        <v>0</v>
      </c>
      <c r="AR2949" s="3">
        <v>0</v>
      </c>
      <c r="AS2949" s="3">
        <v>0</v>
      </c>
      <c r="AT2949" s="3">
        <v>0</v>
      </c>
      <c r="AU2949" s="3">
        <v>0</v>
      </c>
      <c r="AV2949" s="3">
        <v>0</v>
      </c>
      <c r="AW2949" s="3">
        <v>0</v>
      </c>
      <c r="AX2949" s="3">
        <v>0</v>
      </c>
      <c r="AY2949" s="3">
        <v>0</v>
      </c>
      <c r="AZ2949" s="3">
        <v>0</v>
      </c>
      <c r="BA2949" s="3">
        <v>0</v>
      </c>
      <c r="BB2949" s="3">
        <v>0</v>
      </c>
      <c r="BC2949" s="3">
        <v>0</v>
      </c>
      <c r="BD2949" s="3">
        <v>0</v>
      </c>
      <c r="BE2949" s="3">
        <v>0</v>
      </c>
      <c r="BF2949" s="3">
        <v>0</v>
      </c>
      <c r="BG2949" s="3">
        <v>0</v>
      </c>
      <c r="BH2949" s="3">
        <v>1</v>
      </c>
      <c r="BI2949" s="3">
        <v>1</v>
      </c>
      <c r="BJ2949" s="3">
        <v>0.2</v>
      </c>
      <c r="BK2949" s="3">
        <v>1</v>
      </c>
      <c r="BL2949" s="3">
        <v>59</v>
      </c>
      <c r="BM2949" s="3">
        <v>8.85</v>
      </c>
      <c r="BN2949" s="3">
        <v>67.849999999999994</v>
      </c>
      <c r="BO2949" s="3">
        <v>67.849999999999994</v>
      </c>
      <c r="BQ2949" s="3" t="s">
        <v>89</v>
      </c>
      <c r="BR2949" s="3" t="s">
        <v>364</v>
      </c>
      <c r="BS2949" s="4">
        <v>44567</v>
      </c>
      <c r="BT2949" s="5">
        <v>0.34791666666666665</v>
      </c>
      <c r="BU2949" s="3" t="s">
        <v>570</v>
      </c>
      <c r="BV2949" s="3" t="s">
        <v>105</v>
      </c>
      <c r="BY2949" s="3">
        <v>1200</v>
      </c>
      <c r="BZ2949" s="3" t="s">
        <v>165</v>
      </c>
      <c r="CA2949" s="3" t="s">
        <v>571</v>
      </c>
      <c r="CC2949" s="3" t="s">
        <v>196</v>
      </c>
      <c r="CD2949" s="3">
        <v>4302</v>
      </c>
      <c r="CE2949" s="3" t="s">
        <v>93</v>
      </c>
      <c r="CF2949" s="4">
        <v>44567</v>
      </c>
      <c r="CI2949" s="3">
        <v>1</v>
      </c>
      <c r="CJ2949" s="3">
        <v>1</v>
      </c>
      <c r="CK2949" s="3">
        <v>21</v>
      </c>
      <c r="CL2949" s="3" t="s">
        <v>87</v>
      </c>
    </row>
    <row r="2950" spans="1:90" x14ac:dyDescent="0.2">
      <c r="A2950" s="3" t="s">
        <v>72</v>
      </c>
      <c r="B2950" s="3" t="s">
        <v>73</v>
      </c>
      <c r="C2950" s="3" t="s">
        <v>74</v>
      </c>
      <c r="E2950" s="3" t="str">
        <f>"FES1162843606"</f>
        <v>FES1162843606</v>
      </c>
      <c r="F2950" s="4">
        <v>44566</v>
      </c>
      <c r="G2950" s="3">
        <v>202207</v>
      </c>
      <c r="H2950" s="3" t="s">
        <v>75</v>
      </c>
      <c r="I2950" s="3" t="s">
        <v>76</v>
      </c>
      <c r="J2950" s="3" t="s">
        <v>77</v>
      </c>
      <c r="K2950" s="3" t="s">
        <v>78</v>
      </c>
      <c r="L2950" s="3" t="s">
        <v>184</v>
      </c>
      <c r="M2950" s="3" t="s">
        <v>185</v>
      </c>
      <c r="N2950" s="3" t="s">
        <v>186</v>
      </c>
      <c r="O2950" s="3" t="s">
        <v>82</v>
      </c>
      <c r="P2950" s="3" t="str">
        <f>"2170815679                    "</f>
        <v xml:space="preserve">2170815679                    </v>
      </c>
      <c r="Q2950" s="3">
        <v>0</v>
      </c>
      <c r="R2950" s="3">
        <v>0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  <c r="AE2950" s="3">
        <v>0</v>
      </c>
      <c r="AF2950" s="3">
        <v>0</v>
      </c>
      <c r="AG2950" s="3">
        <v>0</v>
      </c>
      <c r="AH2950" s="3">
        <v>0</v>
      </c>
      <c r="AI2950" s="3">
        <v>0</v>
      </c>
      <c r="AJ2950" s="3">
        <v>0</v>
      </c>
      <c r="AK2950" s="3">
        <v>23.18</v>
      </c>
      <c r="AL2950" s="3">
        <v>0</v>
      </c>
      <c r="AM2950" s="3">
        <v>0</v>
      </c>
      <c r="AN2950" s="3">
        <v>0</v>
      </c>
      <c r="AO2950" s="3">
        <v>0</v>
      </c>
      <c r="AP2950" s="3">
        <v>0</v>
      </c>
      <c r="AQ2950" s="3">
        <v>0</v>
      </c>
      <c r="AR2950" s="3">
        <v>0</v>
      </c>
      <c r="AS2950" s="3">
        <v>0</v>
      </c>
      <c r="AT2950" s="3">
        <v>0</v>
      </c>
      <c r="AU2950" s="3">
        <v>0</v>
      </c>
      <c r="AV2950" s="3">
        <v>0</v>
      </c>
      <c r="AW2950" s="3">
        <v>0</v>
      </c>
      <c r="AX2950" s="3">
        <v>0</v>
      </c>
      <c r="AY2950" s="3">
        <v>0</v>
      </c>
      <c r="AZ2950" s="3">
        <v>0</v>
      </c>
      <c r="BA2950" s="3">
        <v>0</v>
      </c>
      <c r="BB2950" s="3">
        <v>0</v>
      </c>
      <c r="BC2950" s="3">
        <v>0</v>
      </c>
      <c r="BD2950" s="3">
        <v>0</v>
      </c>
      <c r="BE2950" s="3">
        <v>0</v>
      </c>
      <c r="BF2950" s="3">
        <v>0</v>
      </c>
      <c r="BG2950" s="3">
        <v>0</v>
      </c>
      <c r="BH2950" s="3">
        <v>1</v>
      </c>
      <c r="BI2950" s="3">
        <v>1</v>
      </c>
      <c r="BJ2950" s="3">
        <v>2.9</v>
      </c>
      <c r="BK2950" s="3">
        <v>3</v>
      </c>
      <c r="BL2950" s="3">
        <v>88.48</v>
      </c>
      <c r="BM2950" s="3">
        <v>13.27</v>
      </c>
      <c r="BN2950" s="3">
        <v>101.75</v>
      </c>
      <c r="BO2950" s="3">
        <v>101.75</v>
      </c>
      <c r="BQ2950" s="3" t="s">
        <v>83</v>
      </c>
      <c r="BR2950" s="3" t="s">
        <v>364</v>
      </c>
      <c r="BS2950" s="4">
        <v>44567</v>
      </c>
      <c r="BT2950" s="5">
        <v>0.44444444444444442</v>
      </c>
      <c r="BU2950" s="3" t="s">
        <v>1542</v>
      </c>
      <c r="BV2950" s="3" t="s">
        <v>87</v>
      </c>
      <c r="BW2950" s="3" t="s">
        <v>353</v>
      </c>
      <c r="BX2950" s="3" t="s">
        <v>605</v>
      </c>
      <c r="BY2950" s="3">
        <v>14364</v>
      </c>
      <c r="BZ2950" s="3" t="s">
        <v>165</v>
      </c>
      <c r="CA2950" s="3" t="s">
        <v>357</v>
      </c>
      <c r="CC2950" s="3" t="s">
        <v>185</v>
      </c>
      <c r="CD2950" s="3">
        <v>5201</v>
      </c>
      <c r="CE2950" s="3" t="s">
        <v>86</v>
      </c>
      <c r="CF2950" s="4">
        <v>44567</v>
      </c>
      <c r="CI2950" s="3">
        <v>1</v>
      </c>
      <c r="CJ2950" s="3">
        <v>1</v>
      </c>
      <c r="CK2950" s="3">
        <v>21</v>
      </c>
      <c r="CL2950" s="3" t="s">
        <v>87</v>
      </c>
    </row>
    <row r="2951" spans="1:90" x14ac:dyDescent="0.2">
      <c r="A2951" s="3" t="s">
        <v>72</v>
      </c>
      <c r="B2951" s="3" t="s">
        <v>73</v>
      </c>
      <c r="C2951" s="3" t="s">
        <v>74</v>
      </c>
      <c r="E2951" s="3" t="str">
        <f>"FES1162843092"</f>
        <v>FES1162843092</v>
      </c>
      <c r="F2951" s="4">
        <v>44564</v>
      </c>
      <c r="G2951" s="3">
        <v>202207</v>
      </c>
      <c r="H2951" s="3" t="s">
        <v>75</v>
      </c>
      <c r="I2951" s="3" t="s">
        <v>76</v>
      </c>
      <c r="J2951" s="3" t="s">
        <v>77</v>
      </c>
      <c r="K2951" s="3" t="s">
        <v>78</v>
      </c>
      <c r="L2951" s="3" t="s">
        <v>75</v>
      </c>
      <c r="M2951" s="3" t="s">
        <v>76</v>
      </c>
      <c r="N2951" s="3" t="s">
        <v>2740</v>
      </c>
      <c r="O2951" s="3" t="s">
        <v>82</v>
      </c>
      <c r="P2951" s="3" t="str">
        <f>"2170815472                    "</f>
        <v xml:space="preserve">2170815472                    </v>
      </c>
      <c r="Q2951" s="3">
        <v>0</v>
      </c>
      <c r="R2951" s="3">
        <v>0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  <c r="AE2951" s="3">
        <v>0</v>
      </c>
      <c r="AF2951" s="3">
        <v>0</v>
      </c>
      <c r="AG2951" s="3">
        <v>0</v>
      </c>
      <c r="AH2951" s="3">
        <v>0</v>
      </c>
      <c r="AI2951" s="3">
        <v>0</v>
      </c>
      <c r="AJ2951" s="3">
        <v>0</v>
      </c>
      <c r="AK2951" s="3">
        <v>13.26</v>
      </c>
      <c r="AL2951" s="3">
        <v>0</v>
      </c>
      <c r="AM2951" s="3">
        <v>0</v>
      </c>
      <c r="AN2951" s="3">
        <v>0</v>
      </c>
      <c r="AO2951" s="3">
        <v>0</v>
      </c>
      <c r="AP2951" s="3">
        <v>0</v>
      </c>
      <c r="AQ2951" s="3">
        <v>0</v>
      </c>
      <c r="AR2951" s="3">
        <v>0</v>
      </c>
      <c r="AS2951" s="3">
        <v>0</v>
      </c>
      <c r="AT2951" s="3">
        <v>0</v>
      </c>
      <c r="AU2951" s="3">
        <v>0</v>
      </c>
      <c r="AV2951" s="3">
        <v>0</v>
      </c>
      <c r="AW2951" s="3">
        <v>0</v>
      </c>
      <c r="AX2951" s="3">
        <v>0</v>
      </c>
      <c r="AY2951" s="3">
        <v>0</v>
      </c>
      <c r="AZ2951" s="3">
        <v>0</v>
      </c>
      <c r="BA2951" s="3">
        <v>0</v>
      </c>
      <c r="BB2951" s="3">
        <v>0</v>
      </c>
      <c r="BC2951" s="3">
        <v>0</v>
      </c>
      <c r="BD2951" s="3">
        <v>0</v>
      </c>
      <c r="BE2951" s="3">
        <v>0</v>
      </c>
      <c r="BF2951" s="3">
        <v>0</v>
      </c>
      <c r="BG2951" s="3">
        <v>0</v>
      </c>
      <c r="BH2951" s="3">
        <v>1</v>
      </c>
      <c r="BI2951" s="3">
        <v>1</v>
      </c>
      <c r="BJ2951" s="3">
        <v>0.2</v>
      </c>
      <c r="BK2951" s="3">
        <v>1</v>
      </c>
      <c r="BL2951" s="3">
        <v>47.27</v>
      </c>
      <c r="BM2951" s="3">
        <v>7.09</v>
      </c>
      <c r="BN2951" s="3">
        <v>54.36</v>
      </c>
      <c r="BO2951" s="3">
        <v>54.36</v>
      </c>
      <c r="BQ2951" s="3" t="s">
        <v>83</v>
      </c>
      <c r="BR2951" s="3" t="s">
        <v>308</v>
      </c>
      <c r="BS2951" s="4">
        <v>44565</v>
      </c>
      <c r="BT2951" s="5">
        <v>0.3743055555555555</v>
      </c>
      <c r="BU2951" s="3" t="s">
        <v>2741</v>
      </c>
      <c r="BV2951" s="3" t="s">
        <v>105</v>
      </c>
      <c r="BY2951" s="3">
        <v>1200</v>
      </c>
      <c r="BZ2951" s="3" t="s">
        <v>165</v>
      </c>
      <c r="CA2951" s="3" t="s">
        <v>378</v>
      </c>
      <c r="CC2951" s="3" t="s">
        <v>76</v>
      </c>
      <c r="CD2951" s="3">
        <v>1619</v>
      </c>
      <c r="CE2951" s="3" t="s">
        <v>93</v>
      </c>
      <c r="CF2951" s="4">
        <v>44565</v>
      </c>
      <c r="CI2951" s="3">
        <v>1</v>
      </c>
      <c r="CJ2951" s="3">
        <v>1</v>
      </c>
      <c r="CK2951" s="3">
        <v>22</v>
      </c>
      <c r="CL2951" s="3" t="s">
        <v>87</v>
      </c>
    </row>
    <row r="2952" spans="1:90" x14ac:dyDescent="0.2">
      <c r="A2952" s="3" t="s">
        <v>72</v>
      </c>
      <c r="B2952" s="3" t="s">
        <v>73</v>
      </c>
      <c r="C2952" s="3" t="s">
        <v>74</v>
      </c>
      <c r="E2952" s="3" t="str">
        <f>"FES1162843694"</f>
        <v>FES1162843694</v>
      </c>
      <c r="F2952" s="4">
        <v>44566</v>
      </c>
      <c r="G2952" s="3">
        <v>202207</v>
      </c>
      <c r="H2952" s="3" t="s">
        <v>75</v>
      </c>
      <c r="I2952" s="3" t="s">
        <v>76</v>
      </c>
      <c r="J2952" s="3" t="s">
        <v>77</v>
      </c>
      <c r="K2952" s="3" t="s">
        <v>78</v>
      </c>
      <c r="L2952" s="3" t="s">
        <v>101</v>
      </c>
      <c r="M2952" s="3" t="s">
        <v>102</v>
      </c>
      <c r="N2952" s="3" t="s">
        <v>103</v>
      </c>
      <c r="O2952" s="3" t="s">
        <v>82</v>
      </c>
      <c r="P2952" s="3" t="str">
        <f>"2170814456                    "</f>
        <v xml:space="preserve">2170814456                    </v>
      </c>
      <c r="Q2952" s="3">
        <v>0</v>
      </c>
      <c r="R2952" s="3">
        <v>0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  <c r="AE2952" s="3">
        <v>0</v>
      </c>
      <c r="AF2952" s="3">
        <v>0</v>
      </c>
      <c r="AG2952" s="3">
        <v>0</v>
      </c>
      <c r="AH2952" s="3">
        <v>0</v>
      </c>
      <c r="AI2952" s="3">
        <v>0</v>
      </c>
      <c r="AJ2952" s="3">
        <v>0</v>
      </c>
      <c r="AK2952" s="3">
        <v>15.46</v>
      </c>
      <c r="AL2952" s="3">
        <v>0</v>
      </c>
      <c r="AM2952" s="3">
        <v>0</v>
      </c>
      <c r="AN2952" s="3">
        <v>0</v>
      </c>
      <c r="AO2952" s="3">
        <v>0</v>
      </c>
      <c r="AP2952" s="3">
        <v>0</v>
      </c>
      <c r="AQ2952" s="3">
        <v>0</v>
      </c>
      <c r="AR2952" s="3">
        <v>0</v>
      </c>
      <c r="AS2952" s="3">
        <v>0</v>
      </c>
      <c r="AT2952" s="3">
        <v>0</v>
      </c>
      <c r="AU2952" s="3">
        <v>0</v>
      </c>
      <c r="AV2952" s="3">
        <v>0</v>
      </c>
      <c r="AW2952" s="3">
        <v>0</v>
      </c>
      <c r="AX2952" s="3">
        <v>0</v>
      </c>
      <c r="AY2952" s="3">
        <v>0</v>
      </c>
      <c r="AZ2952" s="3">
        <v>0</v>
      </c>
      <c r="BA2952" s="3">
        <v>0</v>
      </c>
      <c r="BB2952" s="3">
        <v>0</v>
      </c>
      <c r="BC2952" s="3">
        <v>0</v>
      </c>
      <c r="BD2952" s="3">
        <v>0</v>
      </c>
      <c r="BE2952" s="3">
        <v>0</v>
      </c>
      <c r="BF2952" s="3">
        <v>0</v>
      </c>
      <c r="BG2952" s="3">
        <v>0</v>
      </c>
      <c r="BH2952" s="3">
        <v>1</v>
      </c>
      <c r="BI2952" s="3">
        <v>1</v>
      </c>
      <c r="BJ2952" s="3">
        <v>0.2</v>
      </c>
      <c r="BK2952" s="3">
        <v>1</v>
      </c>
      <c r="BL2952" s="3">
        <v>59</v>
      </c>
      <c r="BM2952" s="3">
        <v>8.85</v>
      </c>
      <c r="BN2952" s="3">
        <v>67.849999999999994</v>
      </c>
      <c r="BO2952" s="3">
        <v>67.849999999999994</v>
      </c>
      <c r="BQ2952" s="3" t="s">
        <v>83</v>
      </c>
      <c r="BR2952" s="3" t="s">
        <v>364</v>
      </c>
      <c r="BS2952" s="4">
        <v>44567</v>
      </c>
      <c r="BT2952" s="5">
        <v>0.39999999999999997</v>
      </c>
      <c r="BU2952" s="3" t="s">
        <v>2742</v>
      </c>
      <c r="BV2952" s="3" t="s">
        <v>105</v>
      </c>
      <c r="BY2952" s="3">
        <v>1200</v>
      </c>
      <c r="BZ2952" s="3" t="s">
        <v>165</v>
      </c>
      <c r="CA2952" s="3" t="s">
        <v>334</v>
      </c>
      <c r="CC2952" s="3" t="s">
        <v>102</v>
      </c>
      <c r="CD2952" s="3">
        <v>4001</v>
      </c>
      <c r="CE2952" s="3" t="s">
        <v>93</v>
      </c>
      <c r="CF2952" s="4">
        <v>44567</v>
      </c>
      <c r="CI2952" s="3">
        <v>1</v>
      </c>
      <c r="CJ2952" s="3">
        <v>1</v>
      </c>
      <c r="CK2952" s="3">
        <v>21</v>
      </c>
      <c r="CL2952" s="3" t="s">
        <v>87</v>
      </c>
    </row>
    <row r="2953" spans="1:90" x14ac:dyDescent="0.2">
      <c r="A2953" s="3" t="s">
        <v>72</v>
      </c>
      <c r="B2953" s="3" t="s">
        <v>73</v>
      </c>
      <c r="C2953" s="3" t="s">
        <v>74</v>
      </c>
      <c r="E2953" s="3" t="str">
        <f>"FES1162843337"</f>
        <v>FES1162843337</v>
      </c>
      <c r="F2953" s="4">
        <v>44565</v>
      </c>
      <c r="G2953" s="3">
        <v>202207</v>
      </c>
      <c r="H2953" s="3" t="s">
        <v>75</v>
      </c>
      <c r="I2953" s="3" t="s">
        <v>76</v>
      </c>
      <c r="J2953" s="3" t="s">
        <v>77</v>
      </c>
      <c r="K2953" s="3" t="s">
        <v>78</v>
      </c>
      <c r="L2953" s="3" t="s">
        <v>94</v>
      </c>
      <c r="M2953" s="3" t="s">
        <v>95</v>
      </c>
      <c r="N2953" s="3" t="s">
        <v>1437</v>
      </c>
      <c r="O2953" s="3" t="s">
        <v>82</v>
      </c>
      <c r="P2953" s="3" t="str">
        <f>"2170814992                    "</f>
        <v xml:space="preserve">2170814992                    </v>
      </c>
      <c r="Q2953" s="3">
        <v>0</v>
      </c>
      <c r="R2953" s="3">
        <v>0</v>
      </c>
      <c r="S2953" s="3">
        <v>0</v>
      </c>
      <c r="T2953" s="3">
        <v>0</v>
      </c>
      <c r="U2953" s="3">
        <v>0</v>
      </c>
      <c r="V2953" s="3">
        <v>0</v>
      </c>
      <c r="W2953" s="3">
        <v>0</v>
      </c>
      <c r="X2953" s="3">
        <v>0</v>
      </c>
      <c r="Y2953" s="3">
        <v>0</v>
      </c>
      <c r="Z2953" s="3">
        <v>0</v>
      </c>
      <c r="AA2953" s="3">
        <v>0</v>
      </c>
      <c r="AB2953" s="3">
        <v>0</v>
      </c>
      <c r="AC2953" s="3">
        <v>0</v>
      </c>
      <c r="AD2953" s="3">
        <v>0</v>
      </c>
      <c r="AE2953" s="3">
        <v>0</v>
      </c>
      <c r="AF2953" s="3">
        <v>0</v>
      </c>
      <c r="AG2953" s="3">
        <v>0</v>
      </c>
      <c r="AH2953" s="3">
        <v>0</v>
      </c>
      <c r="AI2953" s="3">
        <v>0</v>
      </c>
      <c r="AJ2953" s="3">
        <v>0</v>
      </c>
      <c r="AK2953" s="3">
        <v>16.98</v>
      </c>
      <c r="AL2953" s="3">
        <v>0</v>
      </c>
      <c r="AM2953" s="3">
        <v>0</v>
      </c>
      <c r="AN2953" s="3">
        <v>0</v>
      </c>
      <c r="AO2953" s="3">
        <v>0</v>
      </c>
      <c r="AP2953" s="3">
        <v>0</v>
      </c>
      <c r="AQ2953" s="3">
        <v>0</v>
      </c>
      <c r="AR2953" s="3">
        <v>0</v>
      </c>
      <c r="AS2953" s="3">
        <v>0</v>
      </c>
      <c r="AT2953" s="3">
        <v>0</v>
      </c>
      <c r="AU2953" s="3">
        <v>0</v>
      </c>
      <c r="AV2953" s="3">
        <v>0</v>
      </c>
      <c r="AW2953" s="3">
        <v>0</v>
      </c>
      <c r="AX2953" s="3">
        <v>0</v>
      </c>
      <c r="AY2953" s="3">
        <v>0</v>
      </c>
      <c r="AZ2953" s="3">
        <v>0</v>
      </c>
      <c r="BA2953" s="3">
        <v>0</v>
      </c>
      <c r="BB2953" s="3">
        <v>0</v>
      </c>
      <c r="BC2953" s="3">
        <v>0</v>
      </c>
      <c r="BD2953" s="3">
        <v>0</v>
      </c>
      <c r="BE2953" s="3">
        <v>0</v>
      </c>
      <c r="BF2953" s="3">
        <v>0</v>
      </c>
      <c r="BG2953" s="3">
        <v>0</v>
      </c>
      <c r="BH2953" s="3">
        <v>1</v>
      </c>
      <c r="BI2953" s="3">
        <v>1</v>
      </c>
      <c r="BJ2953" s="3">
        <v>0.9</v>
      </c>
      <c r="BK2953" s="3">
        <v>1</v>
      </c>
      <c r="BL2953" s="3">
        <v>60.52</v>
      </c>
      <c r="BM2953" s="3">
        <v>9.08</v>
      </c>
      <c r="BN2953" s="3">
        <v>69.599999999999994</v>
      </c>
      <c r="BO2953" s="3">
        <v>69.599999999999994</v>
      </c>
      <c r="BQ2953" s="3" t="s">
        <v>89</v>
      </c>
      <c r="BR2953" s="3" t="s">
        <v>308</v>
      </c>
      <c r="BS2953" s="4">
        <v>44566</v>
      </c>
      <c r="BT2953" s="5">
        <v>0.43055555555555558</v>
      </c>
      <c r="BU2953" s="3" t="s">
        <v>2570</v>
      </c>
      <c r="BV2953" s="3" t="s">
        <v>105</v>
      </c>
      <c r="BY2953" s="3">
        <v>4275</v>
      </c>
      <c r="BZ2953" s="3" t="s">
        <v>165</v>
      </c>
      <c r="CA2953" s="3" t="s">
        <v>328</v>
      </c>
      <c r="CC2953" s="3" t="s">
        <v>95</v>
      </c>
      <c r="CD2953" s="3">
        <v>3200</v>
      </c>
      <c r="CE2953" s="3" t="s">
        <v>86</v>
      </c>
      <c r="CF2953" s="4">
        <v>44568</v>
      </c>
      <c r="CI2953" s="3">
        <v>1</v>
      </c>
      <c r="CJ2953" s="3">
        <v>1</v>
      </c>
      <c r="CK2953" s="3">
        <v>21</v>
      </c>
      <c r="CL2953" s="3" t="s">
        <v>87</v>
      </c>
    </row>
    <row r="2954" spans="1:90" x14ac:dyDescent="0.2">
      <c r="A2954" s="3" t="s">
        <v>72</v>
      </c>
      <c r="B2954" s="3" t="s">
        <v>73</v>
      </c>
      <c r="C2954" s="3" t="s">
        <v>74</v>
      </c>
      <c r="E2954" s="3" t="str">
        <f>"FES1162843593"</f>
        <v>FES1162843593</v>
      </c>
      <c r="F2954" s="4">
        <v>44566</v>
      </c>
      <c r="G2954" s="3">
        <v>202207</v>
      </c>
      <c r="H2954" s="3" t="s">
        <v>75</v>
      </c>
      <c r="I2954" s="3" t="s">
        <v>76</v>
      </c>
      <c r="J2954" s="3" t="s">
        <v>77</v>
      </c>
      <c r="K2954" s="3" t="s">
        <v>78</v>
      </c>
      <c r="L2954" s="3" t="s">
        <v>94</v>
      </c>
      <c r="M2954" s="3" t="s">
        <v>95</v>
      </c>
      <c r="N2954" s="3" t="s">
        <v>1828</v>
      </c>
      <c r="O2954" s="3" t="s">
        <v>148</v>
      </c>
      <c r="P2954" s="3" t="str">
        <f>"2170815571                    "</f>
        <v xml:space="preserve">2170815571                    </v>
      </c>
      <c r="Q2954" s="3">
        <v>0</v>
      </c>
      <c r="R2954" s="3">
        <v>0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  <c r="AE2954" s="3">
        <v>0</v>
      </c>
      <c r="AF2954" s="3">
        <v>0</v>
      </c>
      <c r="AG2954" s="3">
        <v>0</v>
      </c>
      <c r="AH2954" s="3">
        <v>0</v>
      </c>
      <c r="AI2954" s="3">
        <v>0</v>
      </c>
      <c r="AJ2954" s="3">
        <v>0</v>
      </c>
      <c r="AK2954" s="3">
        <v>39.75</v>
      </c>
      <c r="AL2954" s="3">
        <v>0</v>
      </c>
      <c r="AM2954" s="3">
        <v>0</v>
      </c>
      <c r="AN2954" s="3">
        <v>0</v>
      </c>
      <c r="AO2954" s="3">
        <v>0</v>
      </c>
      <c r="AP2954" s="3">
        <v>0</v>
      </c>
      <c r="AQ2954" s="3">
        <v>15</v>
      </c>
      <c r="AR2954" s="3">
        <v>0</v>
      </c>
      <c r="AS2954" s="3">
        <v>0</v>
      </c>
      <c r="AT2954" s="3">
        <v>0</v>
      </c>
      <c r="AU2954" s="3">
        <v>0</v>
      </c>
      <c r="AV2954" s="3">
        <v>0</v>
      </c>
      <c r="AW2954" s="3">
        <v>0</v>
      </c>
      <c r="AX2954" s="3">
        <v>0</v>
      </c>
      <c r="AY2954" s="3">
        <v>0</v>
      </c>
      <c r="AZ2954" s="3">
        <v>0</v>
      </c>
      <c r="BA2954" s="3">
        <v>0</v>
      </c>
      <c r="BB2954" s="3">
        <v>0</v>
      </c>
      <c r="BC2954" s="3">
        <v>0</v>
      </c>
      <c r="BD2954" s="3">
        <v>0</v>
      </c>
      <c r="BE2954" s="3">
        <v>0</v>
      </c>
      <c r="BF2954" s="3">
        <v>0</v>
      </c>
      <c r="BG2954" s="3">
        <v>0</v>
      </c>
      <c r="BH2954" s="3">
        <v>1</v>
      </c>
      <c r="BI2954" s="3">
        <v>23</v>
      </c>
      <c r="BJ2954" s="3">
        <v>0.9</v>
      </c>
      <c r="BK2954" s="3">
        <v>23</v>
      </c>
      <c r="BL2954" s="3">
        <v>171.96</v>
      </c>
      <c r="BM2954" s="3">
        <v>25.79</v>
      </c>
      <c r="BN2954" s="3">
        <v>197.75</v>
      </c>
      <c r="BO2954" s="3">
        <v>197.75</v>
      </c>
      <c r="BR2954" s="3" t="s">
        <v>364</v>
      </c>
      <c r="BS2954" s="4">
        <v>44567</v>
      </c>
      <c r="BT2954" s="5">
        <v>0.61458333333333337</v>
      </c>
      <c r="BU2954" s="3" t="s">
        <v>2743</v>
      </c>
      <c r="BV2954" s="3" t="s">
        <v>105</v>
      </c>
      <c r="BY2954" s="3">
        <v>4275</v>
      </c>
      <c r="BZ2954" s="3" t="s">
        <v>426</v>
      </c>
      <c r="CA2954" s="3" t="s">
        <v>328</v>
      </c>
      <c r="CC2954" s="3" t="s">
        <v>95</v>
      </c>
      <c r="CD2954" s="3">
        <v>3699</v>
      </c>
      <c r="CE2954" s="3" t="s">
        <v>86</v>
      </c>
      <c r="CF2954" s="4">
        <v>44568</v>
      </c>
      <c r="CI2954" s="3">
        <v>1</v>
      </c>
      <c r="CJ2954" s="3">
        <v>1</v>
      </c>
      <c r="CK2954" s="3">
        <v>41</v>
      </c>
      <c r="CL2954" s="3" t="s">
        <v>87</v>
      </c>
    </row>
    <row r="2955" spans="1:90" x14ac:dyDescent="0.2">
      <c r="A2955" s="3" t="s">
        <v>72</v>
      </c>
      <c r="B2955" s="3" t="s">
        <v>73</v>
      </c>
      <c r="C2955" s="3" t="s">
        <v>74</v>
      </c>
      <c r="E2955" s="3" t="str">
        <f>"FES1162843379"</f>
        <v>FES1162843379</v>
      </c>
      <c r="F2955" s="4">
        <v>44565</v>
      </c>
      <c r="G2955" s="3">
        <v>202207</v>
      </c>
      <c r="H2955" s="3" t="s">
        <v>75</v>
      </c>
      <c r="I2955" s="3" t="s">
        <v>76</v>
      </c>
      <c r="J2955" s="3" t="s">
        <v>77</v>
      </c>
      <c r="K2955" s="3" t="s">
        <v>78</v>
      </c>
      <c r="L2955" s="3" t="s">
        <v>184</v>
      </c>
      <c r="M2955" s="3" t="s">
        <v>185</v>
      </c>
      <c r="N2955" s="3" t="s">
        <v>610</v>
      </c>
      <c r="O2955" s="3" t="s">
        <v>148</v>
      </c>
      <c r="P2955" s="3" t="str">
        <f>"2170813873                    "</f>
        <v xml:space="preserve">2170813873                    </v>
      </c>
      <c r="Q2955" s="3">
        <v>0</v>
      </c>
      <c r="R2955" s="3">
        <v>0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  <c r="AE2955" s="3">
        <v>0</v>
      </c>
      <c r="AF2955" s="3">
        <v>0</v>
      </c>
      <c r="AG2955" s="3">
        <v>0</v>
      </c>
      <c r="AH2955" s="3">
        <v>0</v>
      </c>
      <c r="AI2955" s="3">
        <v>0</v>
      </c>
      <c r="AJ2955" s="3">
        <v>0</v>
      </c>
      <c r="AK2955" s="3">
        <v>36.9</v>
      </c>
      <c r="AL2955" s="3">
        <v>0</v>
      </c>
      <c r="AM2955" s="3">
        <v>0</v>
      </c>
      <c r="AN2955" s="3">
        <v>0</v>
      </c>
      <c r="AO2955" s="3">
        <v>0</v>
      </c>
      <c r="AP2955" s="3">
        <v>0</v>
      </c>
      <c r="AQ2955" s="3">
        <v>0</v>
      </c>
      <c r="AR2955" s="3">
        <v>0</v>
      </c>
      <c r="AS2955" s="3">
        <v>0</v>
      </c>
      <c r="AT2955" s="3">
        <v>0</v>
      </c>
      <c r="AU2955" s="3">
        <v>0</v>
      </c>
      <c r="AV2955" s="3">
        <v>0</v>
      </c>
      <c r="AW2955" s="3">
        <v>0</v>
      </c>
      <c r="AX2955" s="3">
        <v>0</v>
      </c>
      <c r="AY2955" s="3">
        <v>0</v>
      </c>
      <c r="AZ2955" s="3">
        <v>0</v>
      </c>
      <c r="BA2955" s="3">
        <v>0</v>
      </c>
      <c r="BB2955" s="3">
        <v>0</v>
      </c>
      <c r="BC2955" s="3">
        <v>0</v>
      </c>
      <c r="BD2955" s="3">
        <v>0</v>
      </c>
      <c r="BE2955" s="3">
        <v>0</v>
      </c>
      <c r="BF2955" s="3">
        <v>0</v>
      </c>
      <c r="BG2955" s="3">
        <v>0</v>
      </c>
      <c r="BH2955" s="3">
        <v>2</v>
      </c>
      <c r="BI2955" s="3">
        <v>18</v>
      </c>
      <c r="BJ2955" s="3">
        <v>17.100000000000001</v>
      </c>
      <c r="BK2955" s="3">
        <v>18</v>
      </c>
      <c r="BL2955" s="3">
        <v>136.76</v>
      </c>
      <c r="BM2955" s="3">
        <v>20.51</v>
      </c>
      <c r="BN2955" s="3">
        <v>157.27000000000001</v>
      </c>
      <c r="BO2955" s="3">
        <v>157.27000000000001</v>
      </c>
      <c r="BQ2955" s="3" t="s">
        <v>89</v>
      </c>
      <c r="BR2955" s="3" t="s">
        <v>308</v>
      </c>
      <c r="BS2955" s="4">
        <v>44567</v>
      </c>
      <c r="BT2955" s="5">
        <v>0.3979166666666667</v>
      </c>
      <c r="BU2955" s="3" t="s">
        <v>2744</v>
      </c>
      <c r="BV2955" s="3" t="s">
        <v>105</v>
      </c>
      <c r="BY2955" s="3">
        <v>85320</v>
      </c>
      <c r="BZ2955" s="3" t="s">
        <v>327</v>
      </c>
      <c r="CA2955" s="3" t="s">
        <v>612</v>
      </c>
      <c r="CC2955" s="3" t="s">
        <v>185</v>
      </c>
      <c r="CD2955" s="3">
        <v>5201</v>
      </c>
      <c r="CE2955" s="3" t="s">
        <v>221</v>
      </c>
      <c r="CF2955" s="4">
        <v>44567</v>
      </c>
      <c r="CI2955" s="3">
        <v>3</v>
      </c>
      <c r="CJ2955" s="3">
        <v>2</v>
      </c>
      <c r="CK2955" s="3">
        <v>41</v>
      </c>
      <c r="CL2955" s="3" t="s">
        <v>87</v>
      </c>
    </row>
    <row r="2956" spans="1:90" x14ac:dyDescent="0.2">
      <c r="A2956" s="3" t="s">
        <v>72</v>
      </c>
      <c r="B2956" s="3" t="s">
        <v>73</v>
      </c>
      <c r="C2956" s="3" t="s">
        <v>74</v>
      </c>
      <c r="E2956" s="3" t="str">
        <f>"FES1162843646"</f>
        <v>FES1162843646</v>
      </c>
      <c r="F2956" s="4">
        <v>44566</v>
      </c>
      <c r="G2956" s="3">
        <v>202207</v>
      </c>
      <c r="H2956" s="3" t="s">
        <v>75</v>
      </c>
      <c r="I2956" s="3" t="s">
        <v>76</v>
      </c>
      <c r="J2956" s="3" t="s">
        <v>77</v>
      </c>
      <c r="K2956" s="3" t="s">
        <v>78</v>
      </c>
      <c r="L2956" s="3" t="s">
        <v>90</v>
      </c>
      <c r="M2956" s="3" t="s">
        <v>91</v>
      </c>
      <c r="N2956" s="3" t="s">
        <v>600</v>
      </c>
      <c r="O2956" s="3" t="s">
        <v>82</v>
      </c>
      <c r="P2956" s="3" t="str">
        <f>"2170810558                    "</f>
        <v xml:space="preserve">2170810558                    </v>
      </c>
      <c r="Q2956" s="3">
        <v>0</v>
      </c>
      <c r="R2956" s="3">
        <v>0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  <c r="AE2956" s="3">
        <v>0</v>
      </c>
      <c r="AF2956" s="3">
        <v>0</v>
      </c>
      <c r="AG2956" s="3">
        <v>0</v>
      </c>
      <c r="AH2956" s="3">
        <v>0</v>
      </c>
      <c r="AI2956" s="3">
        <v>0</v>
      </c>
      <c r="AJ2956" s="3">
        <v>0</v>
      </c>
      <c r="AK2956" s="3">
        <v>15.46</v>
      </c>
      <c r="AL2956" s="3">
        <v>0</v>
      </c>
      <c r="AM2956" s="3">
        <v>0</v>
      </c>
      <c r="AN2956" s="3">
        <v>0</v>
      </c>
      <c r="AO2956" s="3">
        <v>0</v>
      </c>
      <c r="AP2956" s="3">
        <v>0</v>
      </c>
      <c r="AQ2956" s="3">
        <v>0</v>
      </c>
      <c r="AR2956" s="3">
        <v>0</v>
      </c>
      <c r="AS2956" s="3">
        <v>0</v>
      </c>
      <c r="AT2956" s="3">
        <v>0</v>
      </c>
      <c r="AU2956" s="3">
        <v>0</v>
      </c>
      <c r="AV2956" s="3">
        <v>0</v>
      </c>
      <c r="AW2956" s="3">
        <v>0</v>
      </c>
      <c r="AX2956" s="3">
        <v>0</v>
      </c>
      <c r="AY2956" s="3">
        <v>0</v>
      </c>
      <c r="AZ2956" s="3">
        <v>0</v>
      </c>
      <c r="BA2956" s="3">
        <v>0</v>
      </c>
      <c r="BB2956" s="3">
        <v>0</v>
      </c>
      <c r="BC2956" s="3">
        <v>0</v>
      </c>
      <c r="BD2956" s="3">
        <v>0</v>
      </c>
      <c r="BE2956" s="3">
        <v>0</v>
      </c>
      <c r="BF2956" s="3">
        <v>0</v>
      </c>
      <c r="BG2956" s="3">
        <v>0</v>
      </c>
      <c r="BH2956" s="3">
        <v>1</v>
      </c>
      <c r="BI2956" s="3">
        <v>1</v>
      </c>
      <c r="BJ2956" s="3">
        <v>1.8</v>
      </c>
      <c r="BK2956" s="3">
        <v>2</v>
      </c>
      <c r="BL2956" s="3">
        <v>59</v>
      </c>
      <c r="BM2956" s="3">
        <v>8.85</v>
      </c>
      <c r="BN2956" s="3">
        <v>67.849999999999994</v>
      </c>
      <c r="BO2956" s="3">
        <v>67.849999999999994</v>
      </c>
      <c r="BQ2956" s="3" t="s">
        <v>89</v>
      </c>
      <c r="BR2956" s="3" t="s">
        <v>364</v>
      </c>
      <c r="BS2956" s="4">
        <v>44574</v>
      </c>
      <c r="BT2956" s="5">
        <v>0.55555555555555558</v>
      </c>
      <c r="BU2956" s="3" t="s">
        <v>2745</v>
      </c>
      <c r="BV2956" s="3" t="s">
        <v>87</v>
      </c>
      <c r="BW2956" s="3" t="s">
        <v>579</v>
      </c>
      <c r="BX2956" s="3" t="s">
        <v>2746</v>
      </c>
      <c r="BY2956" s="3">
        <v>8775</v>
      </c>
      <c r="BZ2956" s="3" t="s">
        <v>165</v>
      </c>
      <c r="CC2956" s="3" t="s">
        <v>91</v>
      </c>
      <c r="CD2956" s="3">
        <v>7945</v>
      </c>
      <c r="CE2956" s="3" t="s">
        <v>86</v>
      </c>
      <c r="CF2956" s="4">
        <v>44574</v>
      </c>
      <c r="CI2956" s="3">
        <v>1</v>
      </c>
      <c r="CJ2956" s="3">
        <v>6</v>
      </c>
      <c r="CK2956" s="3">
        <v>21</v>
      </c>
      <c r="CL2956" s="3" t="s">
        <v>87</v>
      </c>
    </row>
    <row r="2957" spans="1:90" x14ac:dyDescent="0.2">
      <c r="A2957" s="3" t="s">
        <v>72</v>
      </c>
      <c r="B2957" s="3" t="s">
        <v>73</v>
      </c>
      <c r="C2957" s="3" t="s">
        <v>74</v>
      </c>
      <c r="E2957" s="3" t="str">
        <f>"FES1162843425"</f>
        <v>FES1162843425</v>
      </c>
      <c r="F2957" s="4">
        <v>44565</v>
      </c>
      <c r="G2957" s="3">
        <v>202207</v>
      </c>
      <c r="H2957" s="3" t="s">
        <v>75</v>
      </c>
      <c r="I2957" s="3" t="s">
        <v>76</v>
      </c>
      <c r="J2957" s="3" t="s">
        <v>77</v>
      </c>
      <c r="K2957" s="3" t="s">
        <v>78</v>
      </c>
      <c r="L2957" s="3" t="s">
        <v>195</v>
      </c>
      <c r="M2957" s="3" t="s">
        <v>196</v>
      </c>
      <c r="N2957" s="3" t="s">
        <v>197</v>
      </c>
      <c r="O2957" s="3" t="s">
        <v>82</v>
      </c>
      <c r="P2957" s="3" t="str">
        <f>"2170812912                    "</f>
        <v xml:space="preserve">2170812912                    </v>
      </c>
      <c r="Q2957" s="3">
        <v>0</v>
      </c>
      <c r="R2957" s="3">
        <v>0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  <c r="AE2957" s="3">
        <v>0</v>
      </c>
      <c r="AF2957" s="3">
        <v>0</v>
      </c>
      <c r="AG2957" s="3">
        <v>0</v>
      </c>
      <c r="AH2957" s="3">
        <v>0</v>
      </c>
      <c r="AI2957" s="3">
        <v>0</v>
      </c>
      <c r="AJ2957" s="3">
        <v>0</v>
      </c>
      <c r="AK2957" s="3">
        <v>16.98</v>
      </c>
      <c r="AL2957" s="3">
        <v>0</v>
      </c>
      <c r="AM2957" s="3">
        <v>0</v>
      </c>
      <c r="AN2957" s="3">
        <v>0</v>
      </c>
      <c r="AO2957" s="3">
        <v>0</v>
      </c>
      <c r="AP2957" s="3">
        <v>0</v>
      </c>
      <c r="AQ2957" s="3">
        <v>0</v>
      </c>
      <c r="AR2957" s="3">
        <v>0</v>
      </c>
      <c r="AS2957" s="3">
        <v>0</v>
      </c>
      <c r="AT2957" s="3">
        <v>0</v>
      </c>
      <c r="AU2957" s="3">
        <v>0</v>
      </c>
      <c r="AV2957" s="3">
        <v>0</v>
      </c>
      <c r="AW2957" s="3">
        <v>0</v>
      </c>
      <c r="AX2957" s="3">
        <v>0</v>
      </c>
      <c r="AY2957" s="3">
        <v>0</v>
      </c>
      <c r="AZ2957" s="3">
        <v>0</v>
      </c>
      <c r="BA2957" s="3">
        <v>0</v>
      </c>
      <c r="BB2957" s="3">
        <v>0</v>
      </c>
      <c r="BC2957" s="3">
        <v>0</v>
      </c>
      <c r="BD2957" s="3">
        <v>0</v>
      </c>
      <c r="BE2957" s="3">
        <v>0</v>
      </c>
      <c r="BF2957" s="3">
        <v>0</v>
      </c>
      <c r="BG2957" s="3">
        <v>0</v>
      </c>
      <c r="BH2957" s="3">
        <v>1</v>
      </c>
      <c r="BI2957" s="3">
        <v>1</v>
      </c>
      <c r="BJ2957" s="3">
        <v>0.2</v>
      </c>
      <c r="BK2957" s="3">
        <v>1</v>
      </c>
      <c r="BL2957" s="3">
        <v>60.52</v>
      </c>
      <c r="BM2957" s="3">
        <v>9.08</v>
      </c>
      <c r="BN2957" s="3">
        <v>69.599999999999994</v>
      </c>
      <c r="BO2957" s="3">
        <v>69.599999999999994</v>
      </c>
      <c r="BQ2957" s="3" t="s">
        <v>89</v>
      </c>
      <c r="BR2957" s="3" t="s">
        <v>308</v>
      </c>
      <c r="BS2957" s="4">
        <v>44566</v>
      </c>
      <c r="BT2957" s="5">
        <v>0.3611111111111111</v>
      </c>
      <c r="BU2957" s="3" t="s">
        <v>570</v>
      </c>
      <c r="BV2957" s="3" t="s">
        <v>105</v>
      </c>
      <c r="BY2957" s="3">
        <v>1200</v>
      </c>
      <c r="BZ2957" s="3" t="s">
        <v>165</v>
      </c>
      <c r="CA2957" s="3" t="s">
        <v>571</v>
      </c>
      <c r="CC2957" s="3" t="s">
        <v>196</v>
      </c>
      <c r="CD2957" s="3">
        <v>4302</v>
      </c>
      <c r="CE2957" s="3" t="s">
        <v>93</v>
      </c>
      <c r="CF2957" s="4">
        <v>44566</v>
      </c>
      <c r="CI2957" s="3">
        <v>1</v>
      </c>
      <c r="CJ2957" s="3">
        <v>1</v>
      </c>
      <c r="CK2957" s="3">
        <v>21</v>
      </c>
      <c r="CL2957" s="3" t="s">
        <v>87</v>
      </c>
    </row>
    <row r="2958" spans="1:90" x14ac:dyDescent="0.2">
      <c r="A2958" s="3" t="s">
        <v>72</v>
      </c>
      <c r="B2958" s="3" t="s">
        <v>73</v>
      </c>
      <c r="C2958" s="3" t="s">
        <v>74</v>
      </c>
      <c r="E2958" s="3" t="str">
        <f>"FES1162843596"</f>
        <v>FES1162843596</v>
      </c>
      <c r="F2958" s="4">
        <v>44566</v>
      </c>
      <c r="G2958" s="3">
        <v>202207</v>
      </c>
      <c r="H2958" s="3" t="s">
        <v>75</v>
      </c>
      <c r="I2958" s="3" t="s">
        <v>76</v>
      </c>
      <c r="J2958" s="3" t="s">
        <v>77</v>
      </c>
      <c r="K2958" s="3" t="s">
        <v>78</v>
      </c>
      <c r="L2958" s="3" t="s">
        <v>187</v>
      </c>
      <c r="M2958" s="3" t="s">
        <v>188</v>
      </c>
      <c r="N2958" s="3" t="s">
        <v>189</v>
      </c>
      <c r="O2958" s="3" t="s">
        <v>82</v>
      </c>
      <c r="P2958" s="3" t="str">
        <f>"2170815668                    "</f>
        <v xml:space="preserve">2170815668                    </v>
      </c>
      <c r="Q2958" s="3">
        <v>0</v>
      </c>
      <c r="R2958" s="3">
        <v>0</v>
      </c>
      <c r="S2958" s="3">
        <v>0</v>
      </c>
      <c r="T2958" s="3">
        <v>0</v>
      </c>
      <c r="U2958" s="3">
        <v>0</v>
      </c>
      <c r="V2958" s="3">
        <v>0</v>
      </c>
      <c r="W2958" s="3">
        <v>0</v>
      </c>
      <c r="X2958" s="3">
        <v>0</v>
      </c>
      <c r="Y2958" s="3">
        <v>0</v>
      </c>
      <c r="Z2958" s="3">
        <v>0</v>
      </c>
      <c r="AA2958" s="3">
        <v>0</v>
      </c>
      <c r="AB2958" s="3">
        <v>0</v>
      </c>
      <c r="AC2958" s="3">
        <v>0</v>
      </c>
      <c r="AD2958" s="3">
        <v>0</v>
      </c>
      <c r="AE2958" s="3">
        <v>0</v>
      </c>
      <c r="AF2958" s="3">
        <v>0</v>
      </c>
      <c r="AG2958" s="3">
        <v>0</v>
      </c>
      <c r="AH2958" s="3">
        <v>0</v>
      </c>
      <c r="AI2958" s="3">
        <v>0</v>
      </c>
      <c r="AJ2958" s="3">
        <v>0</v>
      </c>
      <c r="AK2958" s="3">
        <v>70.52</v>
      </c>
      <c r="AL2958" s="3">
        <v>0</v>
      </c>
      <c r="AM2958" s="3">
        <v>0</v>
      </c>
      <c r="AN2958" s="3">
        <v>0</v>
      </c>
      <c r="AO2958" s="3">
        <v>0</v>
      </c>
      <c r="AP2958" s="3">
        <v>0</v>
      </c>
      <c r="AQ2958" s="3">
        <v>0</v>
      </c>
      <c r="AR2958" s="3">
        <v>0</v>
      </c>
      <c r="AS2958" s="3">
        <v>0</v>
      </c>
      <c r="AT2958" s="3">
        <v>0</v>
      </c>
      <c r="AU2958" s="3">
        <v>0</v>
      </c>
      <c r="AV2958" s="3">
        <v>0</v>
      </c>
      <c r="AW2958" s="3">
        <v>0</v>
      </c>
      <c r="AX2958" s="3">
        <v>0</v>
      </c>
      <c r="AY2958" s="3">
        <v>0</v>
      </c>
      <c r="AZ2958" s="3">
        <v>0</v>
      </c>
      <c r="BA2958" s="3">
        <v>0</v>
      </c>
      <c r="BB2958" s="3">
        <v>0</v>
      </c>
      <c r="BC2958" s="3">
        <v>0</v>
      </c>
      <c r="BD2958" s="3">
        <v>0</v>
      </c>
      <c r="BE2958" s="3">
        <v>0</v>
      </c>
      <c r="BF2958" s="3">
        <v>0</v>
      </c>
      <c r="BG2958" s="3">
        <v>0</v>
      </c>
      <c r="BH2958" s="3">
        <v>1</v>
      </c>
      <c r="BI2958" s="3">
        <v>5</v>
      </c>
      <c r="BJ2958" s="3">
        <v>2</v>
      </c>
      <c r="BK2958" s="3">
        <v>5</v>
      </c>
      <c r="BL2958" s="3">
        <v>269.18</v>
      </c>
      <c r="BM2958" s="3">
        <v>40.380000000000003</v>
      </c>
      <c r="BN2958" s="3">
        <v>309.56</v>
      </c>
      <c r="BO2958" s="3">
        <v>309.56</v>
      </c>
      <c r="BQ2958" s="3" t="s">
        <v>83</v>
      </c>
      <c r="BR2958" s="3" t="s">
        <v>364</v>
      </c>
      <c r="BS2958" s="4">
        <v>44567</v>
      </c>
      <c r="BT2958" s="5">
        <v>0.43194444444444446</v>
      </c>
      <c r="BU2958" s="3" t="s">
        <v>955</v>
      </c>
      <c r="BV2958" s="3" t="s">
        <v>105</v>
      </c>
      <c r="BY2958" s="3">
        <v>9900</v>
      </c>
      <c r="BZ2958" s="3" t="s">
        <v>165</v>
      </c>
      <c r="CA2958" s="3" t="s">
        <v>268</v>
      </c>
      <c r="CC2958" s="3" t="s">
        <v>188</v>
      </c>
      <c r="CD2958" s="3">
        <v>7300</v>
      </c>
      <c r="CE2958" s="3" t="s">
        <v>86</v>
      </c>
      <c r="CF2958" s="4">
        <v>44568</v>
      </c>
      <c r="CI2958" s="3">
        <v>1</v>
      </c>
      <c r="CJ2958" s="3">
        <v>1</v>
      </c>
      <c r="CK2958" s="3">
        <v>23</v>
      </c>
      <c r="CL2958" s="3" t="s">
        <v>87</v>
      </c>
    </row>
    <row r="2959" spans="1:90" x14ac:dyDescent="0.2">
      <c r="A2959" s="3" t="s">
        <v>72</v>
      </c>
      <c r="B2959" s="3" t="s">
        <v>73</v>
      </c>
      <c r="C2959" s="3" t="s">
        <v>74</v>
      </c>
      <c r="E2959" s="3" t="str">
        <f>"FES1162843157"</f>
        <v>FES1162843157</v>
      </c>
      <c r="F2959" s="4">
        <v>44564</v>
      </c>
      <c r="G2959" s="3">
        <v>202207</v>
      </c>
      <c r="H2959" s="3" t="s">
        <v>75</v>
      </c>
      <c r="I2959" s="3" t="s">
        <v>76</v>
      </c>
      <c r="J2959" s="3" t="s">
        <v>77</v>
      </c>
      <c r="K2959" s="3" t="s">
        <v>78</v>
      </c>
      <c r="L2959" s="3" t="s">
        <v>94</v>
      </c>
      <c r="M2959" s="3" t="s">
        <v>95</v>
      </c>
      <c r="N2959" s="3" t="s">
        <v>1828</v>
      </c>
      <c r="O2959" s="3" t="s">
        <v>82</v>
      </c>
      <c r="P2959" s="3" t="str">
        <f>"2170812623                    "</f>
        <v xml:space="preserve">2170812623                    </v>
      </c>
      <c r="Q2959" s="3">
        <v>0</v>
      </c>
      <c r="R2959" s="3">
        <v>0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  <c r="AE2959" s="3">
        <v>0</v>
      </c>
      <c r="AF2959" s="3">
        <v>0</v>
      </c>
      <c r="AG2959" s="3">
        <v>0</v>
      </c>
      <c r="AH2959" s="3">
        <v>0</v>
      </c>
      <c r="AI2959" s="3">
        <v>0</v>
      </c>
      <c r="AJ2959" s="3">
        <v>0</v>
      </c>
      <c r="AK2959" s="3">
        <v>16.98</v>
      </c>
      <c r="AL2959" s="3">
        <v>0</v>
      </c>
      <c r="AM2959" s="3">
        <v>0</v>
      </c>
      <c r="AN2959" s="3">
        <v>0</v>
      </c>
      <c r="AO2959" s="3">
        <v>0</v>
      </c>
      <c r="AP2959" s="3">
        <v>0</v>
      </c>
      <c r="AQ2959" s="3">
        <v>15</v>
      </c>
      <c r="AR2959" s="3">
        <v>0</v>
      </c>
      <c r="AS2959" s="3">
        <v>0</v>
      </c>
      <c r="AT2959" s="3">
        <v>0</v>
      </c>
      <c r="AU2959" s="3">
        <v>0</v>
      </c>
      <c r="AV2959" s="3">
        <v>0</v>
      </c>
      <c r="AW2959" s="3">
        <v>0</v>
      </c>
      <c r="AX2959" s="3">
        <v>0</v>
      </c>
      <c r="AY2959" s="3">
        <v>0</v>
      </c>
      <c r="AZ2959" s="3">
        <v>0</v>
      </c>
      <c r="BA2959" s="3">
        <v>0</v>
      </c>
      <c r="BB2959" s="3">
        <v>0</v>
      </c>
      <c r="BC2959" s="3">
        <v>0</v>
      </c>
      <c r="BD2959" s="3">
        <v>0</v>
      </c>
      <c r="BE2959" s="3">
        <v>0</v>
      </c>
      <c r="BF2959" s="3">
        <v>0</v>
      </c>
      <c r="BG2959" s="3">
        <v>0</v>
      </c>
      <c r="BH2959" s="3">
        <v>1</v>
      </c>
      <c r="BI2959" s="3">
        <v>1</v>
      </c>
      <c r="BJ2959" s="3">
        <v>0.2</v>
      </c>
      <c r="BK2959" s="3">
        <v>1</v>
      </c>
      <c r="BL2959" s="3">
        <v>75.52</v>
      </c>
      <c r="BM2959" s="3">
        <v>11.33</v>
      </c>
      <c r="BN2959" s="3">
        <v>86.85</v>
      </c>
      <c r="BO2959" s="3">
        <v>86.85</v>
      </c>
      <c r="BQ2959" s="3" t="s">
        <v>1829</v>
      </c>
      <c r="BR2959" s="3" t="s">
        <v>308</v>
      </c>
      <c r="BS2959" s="4">
        <v>44565</v>
      </c>
      <c r="BT2959" s="5">
        <v>0.45833333333333331</v>
      </c>
      <c r="BU2959" s="3" t="s">
        <v>2589</v>
      </c>
      <c r="BV2959" s="3" t="s">
        <v>105</v>
      </c>
      <c r="BY2959" s="3">
        <v>1200</v>
      </c>
      <c r="BZ2959" s="3" t="s">
        <v>446</v>
      </c>
      <c r="CA2959" s="3" t="s">
        <v>328</v>
      </c>
      <c r="CC2959" s="3" t="s">
        <v>95</v>
      </c>
      <c r="CD2959" s="3">
        <v>3699</v>
      </c>
      <c r="CE2959" s="3" t="s">
        <v>93</v>
      </c>
      <c r="CF2959" s="4">
        <v>44567</v>
      </c>
      <c r="CI2959" s="3">
        <v>1</v>
      </c>
      <c r="CJ2959" s="3">
        <v>1</v>
      </c>
      <c r="CK2959" s="3">
        <v>21</v>
      </c>
      <c r="CL2959" s="3" t="s">
        <v>87</v>
      </c>
    </row>
    <row r="2960" spans="1:90" x14ac:dyDescent="0.2">
      <c r="A2960" s="3" t="s">
        <v>72</v>
      </c>
      <c r="B2960" s="3" t="s">
        <v>73</v>
      </c>
      <c r="C2960" s="3" t="s">
        <v>74</v>
      </c>
      <c r="E2960" s="3" t="str">
        <f>"FES1162843162"</f>
        <v>FES1162843162</v>
      </c>
      <c r="F2960" s="4">
        <v>44564</v>
      </c>
      <c r="G2960" s="3">
        <v>202207</v>
      </c>
      <c r="H2960" s="3" t="s">
        <v>75</v>
      </c>
      <c r="I2960" s="3" t="s">
        <v>76</v>
      </c>
      <c r="J2960" s="3" t="s">
        <v>77</v>
      </c>
      <c r="K2960" s="3" t="s">
        <v>78</v>
      </c>
      <c r="L2960" s="3" t="s">
        <v>799</v>
      </c>
      <c r="M2960" s="3" t="s">
        <v>800</v>
      </c>
      <c r="N2960" s="3" t="s">
        <v>2747</v>
      </c>
      <c r="O2960" s="3" t="s">
        <v>82</v>
      </c>
      <c r="P2960" s="3" t="str">
        <f>"2170812658                    "</f>
        <v xml:space="preserve">2170812658                    </v>
      </c>
      <c r="Q2960" s="3">
        <v>0</v>
      </c>
      <c r="R2960" s="3">
        <v>0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  <c r="AE2960" s="3">
        <v>0</v>
      </c>
      <c r="AF2960" s="3">
        <v>0</v>
      </c>
      <c r="AG2960" s="3">
        <v>0</v>
      </c>
      <c r="AH2960" s="3">
        <v>0</v>
      </c>
      <c r="AI2960" s="3">
        <v>0</v>
      </c>
      <c r="AJ2960" s="3">
        <v>0</v>
      </c>
      <c r="AK2960" s="3">
        <v>23.88</v>
      </c>
      <c r="AL2960" s="3">
        <v>0</v>
      </c>
      <c r="AM2960" s="3">
        <v>0</v>
      </c>
      <c r="AN2960" s="3">
        <v>0</v>
      </c>
      <c r="AO2960" s="3">
        <v>0</v>
      </c>
      <c r="AP2960" s="3">
        <v>0</v>
      </c>
      <c r="AQ2960" s="3">
        <v>0</v>
      </c>
      <c r="AR2960" s="3">
        <v>0</v>
      </c>
      <c r="AS2960" s="3">
        <v>0</v>
      </c>
      <c r="AT2960" s="3">
        <v>0</v>
      </c>
      <c r="AU2960" s="3">
        <v>0</v>
      </c>
      <c r="AV2960" s="3">
        <v>0</v>
      </c>
      <c r="AW2960" s="3">
        <v>0</v>
      </c>
      <c r="AX2960" s="3">
        <v>0</v>
      </c>
      <c r="AY2960" s="3">
        <v>0</v>
      </c>
      <c r="AZ2960" s="3">
        <v>0</v>
      </c>
      <c r="BA2960" s="3">
        <v>0</v>
      </c>
      <c r="BB2960" s="3">
        <v>0</v>
      </c>
      <c r="BC2960" s="3">
        <v>0</v>
      </c>
      <c r="BD2960" s="3">
        <v>0</v>
      </c>
      <c r="BE2960" s="3">
        <v>0</v>
      </c>
      <c r="BF2960" s="3">
        <v>0</v>
      </c>
      <c r="BG2960" s="3">
        <v>0</v>
      </c>
      <c r="BH2960" s="3">
        <v>1</v>
      </c>
      <c r="BI2960" s="3">
        <v>1</v>
      </c>
      <c r="BJ2960" s="3">
        <v>0.2</v>
      </c>
      <c r="BK2960" s="3">
        <v>1</v>
      </c>
      <c r="BL2960" s="3">
        <v>85.12</v>
      </c>
      <c r="BM2960" s="3">
        <v>12.77</v>
      </c>
      <c r="BN2960" s="3">
        <v>97.89</v>
      </c>
      <c r="BO2960" s="3">
        <v>97.89</v>
      </c>
      <c r="BQ2960" s="3" t="s">
        <v>83</v>
      </c>
      <c r="BR2960" s="3" t="s">
        <v>308</v>
      </c>
      <c r="BS2960" s="4">
        <v>44565</v>
      </c>
      <c r="BT2960" s="5">
        <v>0.3979166666666667</v>
      </c>
      <c r="BU2960" s="3" t="s">
        <v>2748</v>
      </c>
      <c r="BV2960" s="3" t="s">
        <v>105</v>
      </c>
      <c r="BY2960" s="3">
        <v>1200</v>
      </c>
      <c r="BZ2960" s="3" t="s">
        <v>165</v>
      </c>
      <c r="CA2960" s="3" t="s">
        <v>803</v>
      </c>
      <c r="CC2960" s="3" t="s">
        <v>800</v>
      </c>
      <c r="CD2960" s="3">
        <v>2210</v>
      </c>
      <c r="CE2960" s="3" t="s">
        <v>93</v>
      </c>
      <c r="CF2960" s="4">
        <v>44566</v>
      </c>
      <c r="CI2960" s="3">
        <v>1</v>
      </c>
      <c r="CJ2960" s="3">
        <v>1</v>
      </c>
      <c r="CK2960" s="3">
        <v>24</v>
      </c>
      <c r="CL2960" s="3" t="s">
        <v>87</v>
      </c>
    </row>
    <row r="2961" spans="1:90" x14ac:dyDescent="0.2">
      <c r="A2961" s="3" t="s">
        <v>72</v>
      </c>
      <c r="B2961" s="3" t="s">
        <v>73</v>
      </c>
      <c r="C2961" s="3" t="s">
        <v>74</v>
      </c>
      <c r="E2961" s="3" t="str">
        <f>"FES1162843188"</f>
        <v>FES1162843188</v>
      </c>
      <c r="F2961" s="4">
        <v>44564</v>
      </c>
      <c r="G2961" s="3">
        <v>202207</v>
      </c>
      <c r="H2961" s="3" t="s">
        <v>75</v>
      </c>
      <c r="I2961" s="3" t="s">
        <v>76</v>
      </c>
      <c r="J2961" s="3" t="s">
        <v>77</v>
      </c>
      <c r="K2961" s="3" t="s">
        <v>78</v>
      </c>
      <c r="L2961" s="3" t="s">
        <v>101</v>
      </c>
      <c r="M2961" s="3" t="s">
        <v>102</v>
      </c>
      <c r="N2961" s="3" t="s">
        <v>272</v>
      </c>
      <c r="O2961" s="3" t="s">
        <v>82</v>
      </c>
      <c r="P2961" s="3" t="str">
        <f>"2170812944                    "</f>
        <v xml:space="preserve">2170812944                    </v>
      </c>
      <c r="Q2961" s="3">
        <v>0</v>
      </c>
      <c r="R2961" s="3">
        <v>0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  <c r="AE2961" s="3">
        <v>0</v>
      </c>
      <c r="AF2961" s="3">
        <v>0</v>
      </c>
      <c r="AG2961" s="3">
        <v>0</v>
      </c>
      <c r="AH2961" s="3">
        <v>0</v>
      </c>
      <c r="AI2961" s="3">
        <v>0</v>
      </c>
      <c r="AJ2961" s="3">
        <v>0</v>
      </c>
      <c r="AK2961" s="3">
        <v>16.98</v>
      </c>
      <c r="AL2961" s="3">
        <v>0</v>
      </c>
      <c r="AM2961" s="3">
        <v>0</v>
      </c>
      <c r="AN2961" s="3">
        <v>0</v>
      </c>
      <c r="AO2961" s="3">
        <v>0</v>
      </c>
      <c r="AP2961" s="3">
        <v>0</v>
      </c>
      <c r="AQ2961" s="3">
        <v>0</v>
      </c>
      <c r="AR2961" s="3">
        <v>0</v>
      </c>
      <c r="AS2961" s="3">
        <v>0</v>
      </c>
      <c r="AT2961" s="3">
        <v>0</v>
      </c>
      <c r="AU2961" s="3">
        <v>0</v>
      </c>
      <c r="AV2961" s="3">
        <v>0</v>
      </c>
      <c r="AW2961" s="3">
        <v>0</v>
      </c>
      <c r="AX2961" s="3">
        <v>0</v>
      </c>
      <c r="AY2961" s="3">
        <v>0</v>
      </c>
      <c r="AZ2961" s="3">
        <v>0</v>
      </c>
      <c r="BA2961" s="3">
        <v>0</v>
      </c>
      <c r="BB2961" s="3">
        <v>0</v>
      </c>
      <c r="BC2961" s="3">
        <v>0</v>
      </c>
      <c r="BD2961" s="3">
        <v>0</v>
      </c>
      <c r="BE2961" s="3">
        <v>0</v>
      </c>
      <c r="BF2961" s="3">
        <v>0</v>
      </c>
      <c r="BG2961" s="3">
        <v>0</v>
      </c>
      <c r="BH2961" s="3">
        <v>1</v>
      </c>
      <c r="BI2961" s="3">
        <v>1</v>
      </c>
      <c r="BJ2961" s="3">
        <v>0.2</v>
      </c>
      <c r="BK2961" s="3">
        <v>1</v>
      </c>
      <c r="BL2961" s="3">
        <v>60.52</v>
      </c>
      <c r="BM2961" s="3">
        <v>9.08</v>
      </c>
      <c r="BN2961" s="3">
        <v>69.599999999999994</v>
      </c>
      <c r="BO2961" s="3">
        <v>69.599999999999994</v>
      </c>
      <c r="BQ2961" s="3" t="s">
        <v>273</v>
      </c>
      <c r="BR2961" s="3" t="s">
        <v>308</v>
      </c>
      <c r="BS2961" s="4">
        <v>44565</v>
      </c>
      <c r="BT2961" s="5">
        <v>0.41250000000000003</v>
      </c>
      <c r="BU2961" s="3" t="s">
        <v>274</v>
      </c>
      <c r="BV2961" s="3" t="s">
        <v>105</v>
      </c>
      <c r="BY2961" s="3">
        <v>1200</v>
      </c>
      <c r="BZ2961" s="3" t="s">
        <v>165</v>
      </c>
      <c r="CA2961" s="3" t="s">
        <v>275</v>
      </c>
      <c r="CC2961" s="3" t="s">
        <v>102</v>
      </c>
      <c r="CD2961" s="3">
        <v>4000</v>
      </c>
      <c r="CE2961" s="3" t="s">
        <v>93</v>
      </c>
      <c r="CF2961" s="4">
        <v>44565</v>
      </c>
      <c r="CI2961" s="3">
        <v>1</v>
      </c>
      <c r="CJ2961" s="3">
        <v>1</v>
      </c>
      <c r="CK2961" s="3">
        <v>21</v>
      </c>
      <c r="CL2961" s="3" t="s">
        <v>87</v>
      </c>
    </row>
    <row r="2962" spans="1:90" x14ac:dyDescent="0.2">
      <c r="A2962" s="3" t="s">
        <v>72</v>
      </c>
      <c r="B2962" s="3" t="s">
        <v>73</v>
      </c>
      <c r="C2962" s="3" t="s">
        <v>74</v>
      </c>
      <c r="E2962" s="3" t="str">
        <f>"FES1162843176"</f>
        <v>FES1162843176</v>
      </c>
      <c r="F2962" s="4">
        <v>44564</v>
      </c>
      <c r="G2962" s="3">
        <v>202207</v>
      </c>
      <c r="H2962" s="3" t="s">
        <v>75</v>
      </c>
      <c r="I2962" s="3" t="s">
        <v>76</v>
      </c>
      <c r="J2962" s="3" t="s">
        <v>77</v>
      </c>
      <c r="K2962" s="3" t="s">
        <v>78</v>
      </c>
      <c r="L2962" s="3" t="s">
        <v>138</v>
      </c>
      <c r="M2962" s="3" t="s">
        <v>139</v>
      </c>
      <c r="N2962" s="3" t="s">
        <v>214</v>
      </c>
      <c r="O2962" s="3" t="s">
        <v>82</v>
      </c>
      <c r="P2962" s="3" t="str">
        <f>"2170812818                    "</f>
        <v xml:space="preserve">2170812818                    </v>
      </c>
      <c r="Q2962" s="3">
        <v>0</v>
      </c>
      <c r="R2962" s="3">
        <v>0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  <c r="AE2962" s="3">
        <v>0</v>
      </c>
      <c r="AF2962" s="3">
        <v>0</v>
      </c>
      <c r="AG2962" s="3">
        <v>0</v>
      </c>
      <c r="AH2962" s="3">
        <v>0</v>
      </c>
      <c r="AI2962" s="3">
        <v>0</v>
      </c>
      <c r="AJ2962" s="3">
        <v>0</v>
      </c>
      <c r="AK2962" s="3">
        <v>16.98</v>
      </c>
      <c r="AL2962" s="3">
        <v>0</v>
      </c>
      <c r="AM2962" s="3">
        <v>0</v>
      </c>
      <c r="AN2962" s="3">
        <v>0</v>
      </c>
      <c r="AO2962" s="3">
        <v>0</v>
      </c>
      <c r="AP2962" s="3">
        <v>0</v>
      </c>
      <c r="AQ2962" s="3">
        <v>0</v>
      </c>
      <c r="AR2962" s="3">
        <v>0</v>
      </c>
      <c r="AS2962" s="3">
        <v>0</v>
      </c>
      <c r="AT2962" s="3">
        <v>0</v>
      </c>
      <c r="AU2962" s="3">
        <v>0</v>
      </c>
      <c r="AV2962" s="3">
        <v>0</v>
      </c>
      <c r="AW2962" s="3">
        <v>0</v>
      </c>
      <c r="AX2962" s="3">
        <v>0</v>
      </c>
      <c r="AY2962" s="3">
        <v>0</v>
      </c>
      <c r="AZ2962" s="3">
        <v>0</v>
      </c>
      <c r="BA2962" s="3">
        <v>0</v>
      </c>
      <c r="BB2962" s="3">
        <v>0</v>
      </c>
      <c r="BC2962" s="3">
        <v>0</v>
      </c>
      <c r="BD2962" s="3">
        <v>0</v>
      </c>
      <c r="BE2962" s="3">
        <v>0</v>
      </c>
      <c r="BF2962" s="3">
        <v>0</v>
      </c>
      <c r="BG2962" s="3">
        <v>0</v>
      </c>
      <c r="BH2962" s="3">
        <v>1</v>
      </c>
      <c r="BI2962" s="3">
        <v>1</v>
      </c>
      <c r="BJ2962" s="3">
        <v>0.2</v>
      </c>
      <c r="BK2962" s="3">
        <v>1</v>
      </c>
      <c r="BL2962" s="3">
        <v>60.52</v>
      </c>
      <c r="BM2962" s="3">
        <v>9.08</v>
      </c>
      <c r="BN2962" s="3">
        <v>69.599999999999994</v>
      </c>
      <c r="BO2962" s="3">
        <v>69.599999999999994</v>
      </c>
      <c r="BQ2962" s="3" t="s">
        <v>126</v>
      </c>
      <c r="BR2962" s="3" t="s">
        <v>308</v>
      </c>
      <c r="BS2962" s="4">
        <v>44565</v>
      </c>
      <c r="BT2962" s="5">
        <v>0.35486111111111113</v>
      </c>
      <c r="BU2962" s="3" t="s">
        <v>770</v>
      </c>
      <c r="BV2962" s="3" t="s">
        <v>105</v>
      </c>
      <c r="BY2962" s="3">
        <v>1200</v>
      </c>
      <c r="BZ2962" s="3" t="s">
        <v>165</v>
      </c>
      <c r="CA2962" s="3" t="s">
        <v>303</v>
      </c>
      <c r="CC2962" s="3" t="s">
        <v>139</v>
      </c>
      <c r="CD2962" s="3">
        <v>3610</v>
      </c>
      <c r="CE2962" s="3" t="s">
        <v>93</v>
      </c>
      <c r="CF2962" s="4">
        <v>44565</v>
      </c>
      <c r="CI2962" s="3">
        <v>1</v>
      </c>
      <c r="CJ2962" s="3">
        <v>1</v>
      </c>
      <c r="CK2962" s="3">
        <v>21</v>
      </c>
      <c r="CL2962" s="3" t="s">
        <v>87</v>
      </c>
    </row>
    <row r="2963" spans="1:90" x14ac:dyDescent="0.2">
      <c r="A2963" s="3" t="s">
        <v>72</v>
      </c>
      <c r="B2963" s="3" t="s">
        <v>73</v>
      </c>
      <c r="C2963" s="3" t="s">
        <v>74</v>
      </c>
      <c r="E2963" s="3" t="str">
        <f>"FES1162843163"</f>
        <v>FES1162843163</v>
      </c>
      <c r="F2963" s="4">
        <v>44564</v>
      </c>
      <c r="G2963" s="3">
        <v>202207</v>
      </c>
      <c r="H2963" s="3" t="s">
        <v>75</v>
      </c>
      <c r="I2963" s="3" t="s">
        <v>76</v>
      </c>
      <c r="J2963" s="3" t="s">
        <v>77</v>
      </c>
      <c r="K2963" s="3" t="s">
        <v>78</v>
      </c>
      <c r="L2963" s="3" t="s">
        <v>138</v>
      </c>
      <c r="M2963" s="3" t="s">
        <v>139</v>
      </c>
      <c r="N2963" s="3" t="s">
        <v>152</v>
      </c>
      <c r="O2963" s="3" t="s">
        <v>82</v>
      </c>
      <c r="P2963" s="3" t="str">
        <f>"2170812664                    "</f>
        <v xml:space="preserve">2170812664                    </v>
      </c>
      <c r="Q2963" s="3">
        <v>0</v>
      </c>
      <c r="R2963" s="3">
        <v>0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  <c r="AE2963" s="3">
        <v>0</v>
      </c>
      <c r="AF2963" s="3">
        <v>0</v>
      </c>
      <c r="AG2963" s="3">
        <v>0</v>
      </c>
      <c r="AH2963" s="3">
        <v>0</v>
      </c>
      <c r="AI2963" s="3">
        <v>0</v>
      </c>
      <c r="AJ2963" s="3">
        <v>0</v>
      </c>
      <c r="AK2963" s="3">
        <v>16.98</v>
      </c>
      <c r="AL2963" s="3">
        <v>0</v>
      </c>
      <c r="AM2963" s="3">
        <v>0</v>
      </c>
      <c r="AN2963" s="3">
        <v>0</v>
      </c>
      <c r="AO2963" s="3">
        <v>0</v>
      </c>
      <c r="AP2963" s="3">
        <v>0</v>
      </c>
      <c r="AQ2963" s="3">
        <v>0</v>
      </c>
      <c r="AR2963" s="3">
        <v>0</v>
      </c>
      <c r="AS2963" s="3">
        <v>0</v>
      </c>
      <c r="AT2963" s="3">
        <v>0</v>
      </c>
      <c r="AU2963" s="3">
        <v>0</v>
      </c>
      <c r="AV2963" s="3">
        <v>0</v>
      </c>
      <c r="AW2963" s="3">
        <v>0</v>
      </c>
      <c r="AX2963" s="3">
        <v>0</v>
      </c>
      <c r="AY2963" s="3">
        <v>0</v>
      </c>
      <c r="AZ2963" s="3">
        <v>0</v>
      </c>
      <c r="BA2963" s="3">
        <v>0</v>
      </c>
      <c r="BB2963" s="3">
        <v>0</v>
      </c>
      <c r="BC2963" s="3">
        <v>0</v>
      </c>
      <c r="BD2963" s="3">
        <v>0</v>
      </c>
      <c r="BE2963" s="3">
        <v>0</v>
      </c>
      <c r="BF2963" s="3">
        <v>0</v>
      </c>
      <c r="BG2963" s="3">
        <v>0</v>
      </c>
      <c r="BH2963" s="3">
        <v>1</v>
      </c>
      <c r="BI2963" s="3">
        <v>1</v>
      </c>
      <c r="BJ2963" s="3">
        <v>0.2</v>
      </c>
      <c r="BK2963" s="3">
        <v>1</v>
      </c>
      <c r="BL2963" s="3">
        <v>60.52</v>
      </c>
      <c r="BM2963" s="3">
        <v>9.08</v>
      </c>
      <c r="BN2963" s="3">
        <v>69.599999999999994</v>
      </c>
      <c r="BO2963" s="3">
        <v>69.599999999999994</v>
      </c>
      <c r="BQ2963" s="3" t="s">
        <v>83</v>
      </c>
      <c r="BR2963" s="3" t="s">
        <v>308</v>
      </c>
      <c r="BS2963" s="4">
        <v>44565</v>
      </c>
      <c r="BT2963" s="5">
        <v>0.3611111111111111</v>
      </c>
      <c r="BU2963" s="3" t="s">
        <v>655</v>
      </c>
      <c r="BV2963" s="3" t="s">
        <v>105</v>
      </c>
      <c r="BY2963" s="3">
        <v>1200</v>
      </c>
      <c r="BZ2963" s="3" t="s">
        <v>165</v>
      </c>
      <c r="CA2963" s="3" t="s">
        <v>303</v>
      </c>
      <c r="CC2963" s="3" t="s">
        <v>139</v>
      </c>
      <c r="CD2963" s="3">
        <v>3610</v>
      </c>
      <c r="CE2963" s="3" t="s">
        <v>93</v>
      </c>
      <c r="CF2963" s="4">
        <v>44565</v>
      </c>
      <c r="CI2963" s="3">
        <v>1</v>
      </c>
      <c r="CJ2963" s="3">
        <v>1</v>
      </c>
      <c r="CK2963" s="3">
        <v>21</v>
      </c>
      <c r="CL2963" s="3" t="s">
        <v>87</v>
      </c>
    </row>
    <row r="2964" spans="1:90" x14ac:dyDescent="0.2">
      <c r="A2964" s="3" t="s">
        <v>72</v>
      </c>
      <c r="B2964" s="3" t="s">
        <v>73</v>
      </c>
      <c r="C2964" s="3" t="s">
        <v>74</v>
      </c>
      <c r="E2964" s="3" t="str">
        <f>"FES1162843202"</f>
        <v>FES1162843202</v>
      </c>
      <c r="F2964" s="4">
        <v>44564</v>
      </c>
      <c r="G2964" s="3">
        <v>202207</v>
      </c>
      <c r="H2964" s="3" t="s">
        <v>75</v>
      </c>
      <c r="I2964" s="3" t="s">
        <v>76</v>
      </c>
      <c r="J2964" s="3" t="s">
        <v>77</v>
      </c>
      <c r="K2964" s="3" t="s">
        <v>78</v>
      </c>
      <c r="L2964" s="3" t="s">
        <v>123</v>
      </c>
      <c r="M2964" s="3" t="s">
        <v>124</v>
      </c>
      <c r="N2964" s="3" t="s">
        <v>2068</v>
      </c>
      <c r="O2964" s="3" t="s">
        <v>82</v>
      </c>
      <c r="P2964" s="3" t="str">
        <f>"2170813082                    "</f>
        <v xml:space="preserve">2170813082                    </v>
      </c>
      <c r="Q2964" s="3">
        <v>0</v>
      </c>
      <c r="R2964" s="3">
        <v>0</v>
      </c>
      <c r="S2964" s="3">
        <v>0</v>
      </c>
      <c r="T2964" s="3">
        <v>0</v>
      </c>
      <c r="U2964" s="3">
        <v>0</v>
      </c>
      <c r="V2964" s="3">
        <v>0</v>
      </c>
      <c r="W2964" s="3">
        <v>0</v>
      </c>
      <c r="X2964" s="3">
        <v>0</v>
      </c>
      <c r="Y2964" s="3">
        <v>0</v>
      </c>
      <c r="Z2964" s="3">
        <v>0</v>
      </c>
      <c r="AA2964" s="3">
        <v>0</v>
      </c>
      <c r="AB2964" s="3">
        <v>0</v>
      </c>
      <c r="AC2964" s="3">
        <v>0</v>
      </c>
      <c r="AD2964" s="3">
        <v>0</v>
      </c>
      <c r="AE2964" s="3">
        <v>0</v>
      </c>
      <c r="AF2964" s="3">
        <v>0</v>
      </c>
      <c r="AG2964" s="3">
        <v>0</v>
      </c>
      <c r="AH2964" s="3">
        <v>0</v>
      </c>
      <c r="AI2964" s="3">
        <v>0</v>
      </c>
      <c r="AJ2964" s="3">
        <v>0</v>
      </c>
      <c r="AK2964" s="3">
        <v>13.26</v>
      </c>
      <c r="AL2964" s="3">
        <v>0</v>
      </c>
      <c r="AM2964" s="3">
        <v>0</v>
      </c>
      <c r="AN2964" s="3">
        <v>0</v>
      </c>
      <c r="AO2964" s="3">
        <v>0</v>
      </c>
      <c r="AP2964" s="3">
        <v>0</v>
      </c>
      <c r="AQ2964" s="3">
        <v>0</v>
      </c>
      <c r="AR2964" s="3">
        <v>0</v>
      </c>
      <c r="AS2964" s="3">
        <v>0</v>
      </c>
      <c r="AT2964" s="3">
        <v>0</v>
      </c>
      <c r="AU2964" s="3">
        <v>0</v>
      </c>
      <c r="AV2964" s="3">
        <v>0</v>
      </c>
      <c r="AW2964" s="3">
        <v>0</v>
      </c>
      <c r="AX2964" s="3">
        <v>0</v>
      </c>
      <c r="AY2964" s="3">
        <v>0</v>
      </c>
      <c r="AZ2964" s="3">
        <v>0</v>
      </c>
      <c r="BA2964" s="3">
        <v>0</v>
      </c>
      <c r="BB2964" s="3">
        <v>0</v>
      </c>
      <c r="BC2964" s="3">
        <v>0</v>
      </c>
      <c r="BD2964" s="3">
        <v>0</v>
      </c>
      <c r="BE2964" s="3">
        <v>0</v>
      </c>
      <c r="BF2964" s="3">
        <v>0</v>
      </c>
      <c r="BG2964" s="3">
        <v>0</v>
      </c>
      <c r="BH2964" s="3">
        <v>1</v>
      </c>
      <c r="BI2964" s="3">
        <v>1</v>
      </c>
      <c r="BJ2964" s="3">
        <v>0.2</v>
      </c>
      <c r="BK2964" s="3">
        <v>1</v>
      </c>
      <c r="BL2964" s="3">
        <v>47.27</v>
      </c>
      <c r="BM2964" s="3">
        <v>7.09</v>
      </c>
      <c r="BN2964" s="3">
        <v>54.36</v>
      </c>
      <c r="BO2964" s="3">
        <v>54.36</v>
      </c>
      <c r="BQ2964" s="3" t="s">
        <v>83</v>
      </c>
      <c r="BR2964" s="3" t="s">
        <v>308</v>
      </c>
      <c r="BS2964" s="4">
        <v>44571</v>
      </c>
      <c r="BT2964" s="5">
        <v>0.37847222222222227</v>
      </c>
      <c r="BU2964" s="3" t="s">
        <v>2069</v>
      </c>
      <c r="BV2964" s="3" t="s">
        <v>87</v>
      </c>
      <c r="BW2964" s="3" t="s">
        <v>617</v>
      </c>
      <c r="BX2964" s="3" t="s">
        <v>2749</v>
      </c>
      <c r="BY2964" s="3">
        <v>1200</v>
      </c>
      <c r="BZ2964" s="3" t="s">
        <v>165</v>
      </c>
      <c r="CA2964" s="3" t="s">
        <v>320</v>
      </c>
      <c r="CC2964" s="3" t="s">
        <v>124</v>
      </c>
      <c r="CD2964" s="3">
        <v>1709</v>
      </c>
      <c r="CE2964" s="3" t="s">
        <v>93</v>
      </c>
      <c r="CF2964" s="4">
        <v>44571</v>
      </c>
      <c r="CI2964" s="3">
        <v>1</v>
      </c>
      <c r="CJ2964" s="3">
        <v>5</v>
      </c>
      <c r="CK2964" s="3">
        <v>22</v>
      </c>
      <c r="CL2964" s="3" t="s">
        <v>87</v>
      </c>
    </row>
    <row r="2965" spans="1:90" x14ac:dyDescent="0.2">
      <c r="A2965" s="3" t="s">
        <v>72</v>
      </c>
      <c r="B2965" s="3" t="s">
        <v>73</v>
      </c>
      <c r="C2965" s="3" t="s">
        <v>74</v>
      </c>
      <c r="E2965" s="3" t="str">
        <f>"FES1162843183"</f>
        <v>FES1162843183</v>
      </c>
      <c r="F2965" s="4">
        <v>44564</v>
      </c>
      <c r="G2965" s="3">
        <v>202207</v>
      </c>
      <c r="H2965" s="3" t="s">
        <v>75</v>
      </c>
      <c r="I2965" s="3" t="s">
        <v>76</v>
      </c>
      <c r="J2965" s="3" t="s">
        <v>77</v>
      </c>
      <c r="K2965" s="3" t="s">
        <v>78</v>
      </c>
      <c r="L2965" s="3" t="s">
        <v>142</v>
      </c>
      <c r="M2965" s="3" t="s">
        <v>143</v>
      </c>
      <c r="N2965" s="3" t="s">
        <v>1368</v>
      </c>
      <c r="O2965" s="3" t="s">
        <v>82</v>
      </c>
      <c r="P2965" s="3" t="str">
        <f>"2170812930                    "</f>
        <v xml:space="preserve">2170812930                    </v>
      </c>
      <c r="Q2965" s="3">
        <v>0</v>
      </c>
      <c r="R2965" s="3">
        <v>0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  <c r="AE2965" s="3">
        <v>0</v>
      </c>
      <c r="AF2965" s="3">
        <v>0</v>
      </c>
      <c r="AG2965" s="3">
        <v>0</v>
      </c>
      <c r="AH2965" s="3">
        <v>0</v>
      </c>
      <c r="AI2965" s="3">
        <v>0</v>
      </c>
      <c r="AJ2965" s="3">
        <v>0</v>
      </c>
      <c r="AK2965" s="3">
        <v>13.26</v>
      </c>
      <c r="AL2965" s="3">
        <v>0</v>
      </c>
      <c r="AM2965" s="3">
        <v>0</v>
      </c>
      <c r="AN2965" s="3">
        <v>0</v>
      </c>
      <c r="AO2965" s="3">
        <v>0</v>
      </c>
      <c r="AP2965" s="3">
        <v>0</v>
      </c>
      <c r="AQ2965" s="3">
        <v>0</v>
      </c>
      <c r="AR2965" s="3">
        <v>0</v>
      </c>
      <c r="AS2965" s="3">
        <v>0</v>
      </c>
      <c r="AT2965" s="3">
        <v>0</v>
      </c>
      <c r="AU2965" s="3">
        <v>0</v>
      </c>
      <c r="AV2965" s="3">
        <v>0</v>
      </c>
      <c r="AW2965" s="3">
        <v>0</v>
      </c>
      <c r="AX2965" s="3">
        <v>0</v>
      </c>
      <c r="AY2965" s="3">
        <v>0</v>
      </c>
      <c r="AZ2965" s="3">
        <v>0</v>
      </c>
      <c r="BA2965" s="3">
        <v>0</v>
      </c>
      <c r="BB2965" s="3">
        <v>0</v>
      </c>
      <c r="BC2965" s="3">
        <v>0</v>
      </c>
      <c r="BD2965" s="3">
        <v>0</v>
      </c>
      <c r="BE2965" s="3">
        <v>0</v>
      </c>
      <c r="BF2965" s="3">
        <v>0</v>
      </c>
      <c r="BG2965" s="3">
        <v>0</v>
      </c>
      <c r="BH2965" s="3">
        <v>1</v>
      </c>
      <c r="BI2965" s="3">
        <v>1</v>
      </c>
      <c r="BJ2965" s="3">
        <v>0.2</v>
      </c>
      <c r="BK2965" s="3">
        <v>1</v>
      </c>
      <c r="BL2965" s="3">
        <v>47.27</v>
      </c>
      <c r="BM2965" s="3">
        <v>7.09</v>
      </c>
      <c r="BN2965" s="3">
        <v>54.36</v>
      </c>
      <c r="BO2965" s="3">
        <v>54.36</v>
      </c>
      <c r="BQ2965" s="3" t="s">
        <v>83</v>
      </c>
      <c r="BR2965" s="3" t="s">
        <v>308</v>
      </c>
      <c r="BS2965" s="4">
        <v>44565</v>
      </c>
      <c r="BT2965" s="5">
        <v>0.3576388888888889</v>
      </c>
      <c r="BU2965" s="3" t="s">
        <v>2750</v>
      </c>
      <c r="BV2965" s="3" t="s">
        <v>105</v>
      </c>
      <c r="BY2965" s="3">
        <v>1200</v>
      </c>
      <c r="BZ2965" s="3" t="s">
        <v>165</v>
      </c>
      <c r="CA2965" s="3" t="s">
        <v>1370</v>
      </c>
      <c r="CC2965" s="3" t="s">
        <v>143</v>
      </c>
      <c r="CD2965" s="3">
        <v>1449</v>
      </c>
      <c r="CE2965" s="3" t="s">
        <v>93</v>
      </c>
      <c r="CF2965" s="4">
        <v>44566</v>
      </c>
      <c r="CI2965" s="3">
        <v>1</v>
      </c>
      <c r="CJ2965" s="3">
        <v>1</v>
      </c>
      <c r="CK2965" s="3">
        <v>22</v>
      </c>
      <c r="CL2965" s="3" t="s">
        <v>87</v>
      </c>
    </row>
    <row r="2966" spans="1:90" x14ac:dyDescent="0.2">
      <c r="A2966" s="3" t="s">
        <v>72</v>
      </c>
      <c r="B2966" s="3" t="s">
        <v>73</v>
      </c>
      <c r="C2966" s="3" t="s">
        <v>74</v>
      </c>
      <c r="E2966" s="3" t="str">
        <f>"FES1162843205"</f>
        <v>FES1162843205</v>
      </c>
      <c r="F2966" s="4">
        <v>44564</v>
      </c>
      <c r="G2966" s="3">
        <v>202207</v>
      </c>
      <c r="H2966" s="3" t="s">
        <v>75</v>
      </c>
      <c r="I2966" s="3" t="s">
        <v>76</v>
      </c>
      <c r="J2966" s="3" t="s">
        <v>77</v>
      </c>
      <c r="K2966" s="3" t="s">
        <v>78</v>
      </c>
      <c r="L2966" s="3" t="s">
        <v>138</v>
      </c>
      <c r="M2966" s="3" t="s">
        <v>139</v>
      </c>
      <c r="N2966" s="3" t="s">
        <v>214</v>
      </c>
      <c r="O2966" s="3" t="s">
        <v>82</v>
      </c>
      <c r="P2966" s="3" t="str">
        <f>"2170813111                    "</f>
        <v xml:space="preserve">2170813111                    </v>
      </c>
      <c r="Q2966" s="3">
        <v>0</v>
      </c>
      <c r="R2966" s="3">
        <v>0</v>
      </c>
      <c r="S2966" s="3">
        <v>0</v>
      </c>
      <c r="T2966" s="3">
        <v>0</v>
      </c>
      <c r="U2966" s="3">
        <v>0</v>
      </c>
      <c r="V2966" s="3">
        <v>0</v>
      </c>
      <c r="W2966" s="3">
        <v>0</v>
      </c>
      <c r="X2966" s="3">
        <v>0</v>
      </c>
      <c r="Y2966" s="3">
        <v>0</v>
      </c>
      <c r="Z2966" s="3">
        <v>0</v>
      </c>
      <c r="AA2966" s="3">
        <v>0</v>
      </c>
      <c r="AB2966" s="3">
        <v>0</v>
      </c>
      <c r="AC2966" s="3">
        <v>0</v>
      </c>
      <c r="AD2966" s="3">
        <v>0</v>
      </c>
      <c r="AE2966" s="3">
        <v>0</v>
      </c>
      <c r="AF2966" s="3">
        <v>0</v>
      </c>
      <c r="AG2966" s="3">
        <v>0</v>
      </c>
      <c r="AH2966" s="3">
        <v>0</v>
      </c>
      <c r="AI2966" s="3">
        <v>0</v>
      </c>
      <c r="AJ2966" s="3">
        <v>0</v>
      </c>
      <c r="AK2966" s="3">
        <v>16.98</v>
      </c>
      <c r="AL2966" s="3">
        <v>0</v>
      </c>
      <c r="AM2966" s="3">
        <v>0</v>
      </c>
      <c r="AN2966" s="3">
        <v>0</v>
      </c>
      <c r="AO2966" s="3">
        <v>0</v>
      </c>
      <c r="AP2966" s="3">
        <v>0</v>
      </c>
      <c r="AQ2966" s="3">
        <v>0</v>
      </c>
      <c r="AR2966" s="3">
        <v>0</v>
      </c>
      <c r="AS2966" s="3">
        <v>0</v>
      </c>
      <c r="AT2966" s="3">
        <v>0</v>
      </c>
      <c r="AU2966" s="3">
        <v>0</v>
      </c>
      <c r="AV2966" s="3">
        <v>0</v>
      </c>
      <c r="AW2966" s="3">
        <v>0</v>
      </c>
      <c r="AX2966" s="3">
        <v>0</v>
      </c>
      <c r="AY2966" s="3">
        <v>0</v>
      </c>
      <c r="AZ2966" s="3">
        <v>0</v>
      </c>
      <c r="BA2966" s="3">
        <v>0</v>
      </c>
      <c r="BB2966" s="3">
        <v>0</v>
      </c>
      <c r="BC2966" s="3">
        <v>0</v>
      </c>
      <c r="BD2966" s="3">
        <v>0</v>
      </c>
      <c r="BE2966" s="3">
        <v>0</v>
      </c>
      <c r="BF2966" s="3">
        <v>0</v>
      </c>
      <c r="BG2966" s="3">
        <v>0</v>
      </c>
      <c r="BH2966" s="3">
        <v>1</v>
      </c>
      <c r="BI2966" s="3">
        <v>1</v>
      </c>
      <c r="BJ2966" s="3">
        <v>0.2</v>
      </c>
      <c r="BK2966" s="3">
        <v>1</v>
      </c>
      <c r="BL2966" s="3">
        <v>60.52</v>
      </c>
      <c r="BM2966" s="3">
        <v>9.08</v>
      </c>
      <c r="BN2966" s="3">
        <v>69.599999999999994</v>
      </c>
      <c r="BO2966" s="3">
        <v>69.599999999999994</v>
      </c>
      <c r="BQ2966" s="3" t="s">
        <v>126</v>
      </c>
      <c r="BR2966" s="3" t="s">
        <v>308</v>
      </c>
      <c r="BS2966" s="4">
        <v>44565</v>
      </c>
      <c r="BT2966" s="5">
        <v>0.35555555555555557</v>
      </c>
      <c r="BU2966" s="3" t="s">
        <v>770</v>
      </c>
      <c r="BV2966" s="3" t="s">
        <v>105</v>
      </c>
      <c r="BY2966" s="3">
        <v>1200</v>
      </c>
      <c r="BZ2966" s="3" t="s">
        <v>165</v>
      </c>
      <c r="CA2966" s="3" t="s">
        <v>303</v>
      </c>
      <c r="CC2966" s="3" t="s">
        <v>139</v>
      </c>
      <c r="CD2966" s="3">
        <v>3610</v>
      </c>
      <c r="CE2966" s="3" t="s">
        <v>93</v>
      </c>
      <c r="CF2966" s="4">
        <v>44565</v>
      </c>
      <c r="CI2966" s="3">
        <v>1</v>
      </c>
      <c r="CJ2966" s="3">
        <v>1</v>
      </c>
      <c r="CK2966" s="3">
        <v>21</v>
      </c>
      <c r="CL2966" s="3" t="s">
        <v>87</v>
      </c>
    </row>
    <row r="2967" spans="1:90" x14ac:dyDescent="0.2">
      <c r="A2967" s="3" t="s">
        <v>72</v>
      </c>
      <c r="B2967" s="3" t="s">
        <v>73</v>
      </c>
      <c r="C2967" s="3" t="s">
        <v>74</v>
      </c>
      <c r="E2967" s="3" t="str">
        <f>"FES1162843133"</f>
        <v>FES1162843133</v>
      </c>
      <c r="F2967" s="4">
        <v>44564</v>
      </c>
      <c r="G2967" s="3">
        <v>202207</v>
      </c>
      <c r="H2967" s="3" t="s">
        <v>75</v>
      </c>
      <c r="I2967" s="3" t="s">
        <v>76</v>
      </c>
      <c r="J2967" s="3" t="s">
        <v>77</v>
      </c>
      <c r="K2967" s="3" t="s">
        <v>78</v>
      </c>
      <c r="L2967" s="3" t="s">
        <v>97</v>
      </c>
      <c r="M2967" s="3" t="s">
        <v>98</v>
      </c>
      <c r="N2967" s="3" t="s">
        <v>2751</v>
      </c>
      <c r="O2967" s="3" t="s">
        <v>82</v>
      </c>
      <c r="P2967" s="3" t="str">
        <f>"2170799581                    "</f>
        <v xml:space="preserve">2170799581                    </v>
      </c>
      <c r="Q2967" s="3">
        <v>0</v>
      </c>
      <c r="R2967" s="3">
        <v>0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  <c r="AE2967" s="3">
        <v>0</v>
      </c>
      <c r="AF2967" s="3">
        <v>0</v>
      </c>
      <c r="AG2967" s="3">
        <v>0</v>
      </c>
      <c r="AH2967" s="3">
        <v>0</v>
      </c>
      <c r="AI2967" s="3">
        <v>0</v>
      </c>
      <c r="AJ2967" s="3">
        <v>0</v>
      </c>
      <c r="AK2967" s="3">
        <v>13.26</v>
      </c>
      <c r="AL2967" s="3">
        <v>0</v>
      </c>
      <c r="AM2967" s="3">
        <v>0</v>
      </c>
      <c r="AN2967" s="3">
        <v>0</v>
      </c>
      <c r="AO2967" s="3">
        <v>0</v>
      </c>
      <c r="AP2967" s="3">
        <v>0</v>
      </c>
      <c r="AQ2967" s="3">
        <v>0</v>
      </c>
      <c r="AR2967" s="3">
        <v>0</v>
      </c>
      <c r="AS2967" s="3">
        <v>0</v>
      </c>
      <c r="AT2967" s="3">
        <v>0</v>
      </c>
      <c r="AU2967" s="3">
        <v>0</v>
      </c>
      <c r="AV2967" s="3">
        <v>0</v>
      </c>
      <c r="AW2967" s="3">
        <v>0</v>
      </c>
      <c r="AX2967" s="3">
        <v>0</v>
      </c>
      <c r="AY2967" s="3">
        <v>0</v>
      </c>
      <c r="AZ2967" s="3">
        <v>0</v>
      </c>
      <c r="BA2967" s="3">
        <v>0</v>
      </c>
      <c r="BB2967" s="3">
        <v>0</v>
      </c>
      <c r="BC2967" s="3">
        <v>0</v>
      </c>
      <c r="BD2967" s="3">
        <v>0</v>
      </c>
      <c r="BE2967" s="3">
        <v>0</v>
      </c>
      <c r="BF2967" s="3">
        <v>0</v>
      </c>
      <c r="BG2967" s="3">
        <v>0</v>
      </c>
      <c r="BH2967" s="3">
        <v>1</v>
      </c>
      <c r="BI2967" s="3">
        <v>1</v>
      </c>
      <c r="BJ2967" s="3">
        <v>0.2</v>
      </c>
      <c r="BK2967" s="3">
        <v>1</v>
      </c>
      <c r="BL2967" s="3">
        <v>47.27</v>
      </c>
      <c r="BM2967" s="3">
        <v>7.09</v>
      </c>
      <c r="BN2967" s="3">
        <v>54.36</v>
      </c>
      <c r="BO2967" s="3">
        <v>54.36</v>
      </c>
      <c r="BQ2967" s="3" t="s">
        <v>89</v>
      </c>
      <c r="BR2967" s="3" t="s">
        <v>308</v>
      </c>
      <c r="BS2967" s="4">
        <v>44571</v>
      </c>
      <c r="BT2967" s="5">
        <v>0.43055555555555558</v>
      </c>
      <c r="BU2967" s="3" t="s">
        <v>2752</v>
      </c>
      <c r="BV2967" s="3" t="s">
        <v>87</v>
      </c>
      <c r="BW2967" s="3" t="s">
        <v>278</v>
      </c>
      <c r="BX2967" s="3" t="s">
        <v>1722</v>
      </c>
      <c r="BY2967" s="3">
        <v>1200</v>
      </c>
      <c r="BZ2967" s="3" t="s">
        <v>165</v>
      </c>
      <c r="CC2967" s="3" t="s">
        <v>98</v>
      </c>
      <c r="CD2967" s="3">
        <v>2013</v>
      </c>
      <c r="CE2967" s="3" t="s">
        <v>93</v>
      </c>
      <c r="CF2967" s="4">
        <v>44572</v>
      </c>
      <c r="CI2967" s="3">
        <v>1</v>
      </c>
      <c r="CJ2967" s="3">
        <v>5</v>
      </c>
      <c r="CK2967" s="3">
        <v>22</v>
      </c>
      <c r="CL2967" s="3" t="s">
        <v>87</v>
      </c>
    </row>
    <row r="2968" spans="1:90" x14ac:dyDescent="0.2">
      <c r="A2968" s="3" t="s">
        <v>72</v>
      </c>
      <c r="B2968" s="3" t="s">
        <v>73</v>
      </c>
      <c r="C2968" s="3" t="s">
        <v>74</v>
      </c>
      <c r="E2968" s="3" t="str">
        <f>"FES1162843156"</f>
        <v>FES1162843156</v>
      </c>
      <c r="F2968" s="4">
        <v>44564</v>
      </c>
      <c r="G2968" s="3">
        <v>202207</v>
      </c>
      <c r="H2968" s="3" t="s">
        <v>75</v>
      </c>
      <c r="I2968" s="3" t="s">
        <v>76</v>
      </c>
      <c r="J2968" s="3" t="s">
        <v>77</v>
      </c>
      <c r="K2968" s="3" t="s">
        <v>78</v>
      </c>
      <c r="L2968" s="3" t="s">
        <v>184</v>
      </c>
      <c r="M2968" s="3" t="s">
        <v>185</v>
      </c>
      <c r="N2968" s="3" t="s">
        <v>503</v>
      </c>
      <c r="O2968" s="3" t="s">
        <v>82</v>
      </c>
      <c r="P2968" s="3" t="str">
        <f>"2170812622                    "</f>
        <v xml:space="preserve">2170812622                    </v>
      </c>
      <c r="Q2968" s="3">
        <v>0</v>
      </c>
      <c r="R2968" s="3">
        <v>0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  <c r="AE2968" s="3">
        <v>0</v>
      </c>
      <c r="AF2968" s="3">
        <v>0</v>
      </c>
      <c r="AG2968" s="3">
        <v>0</v>
      </c>
      <c r="AH2968" s="3">
        <v>0</v>
      </c>
      <c r="AI2968" s="3">
        <v>0</v>
      </c>
      <c r="AJ2968" s="3">
        <v>0</v>
      </c>
      <c r="AK2968" s="3">
        <v>16.98</v>
      </c>
      <c r="AL2968" s="3">
        <v>0</v>
      </c>
      <c r="AM2968" s="3">
        <v>0</v>
      </c>
      <c r="AN2968" s="3">
        <v>0</v>
      </c>
      <c r="AO2968" s="3">
        <v>0</v>
      </c>
      <c r="AP2968" s="3">
        <v>0</v>
      </c>
      <c r="AQ2968" s="3">
        <v>0</v>
      </c>
      <c r="AR2968" s="3">
        <v>0</v>
      </c>
      <c r="AS2968" s="3">
        <v>0</v>
      </c>
      <c r="AT2968" s="3">
        <v>0</v>
      </c>
      <c r="AU2968" s="3">
        <v>0</v>
      </c>
      <c r="AV2968" s="3">
        <v>0</v>
      </c>
      <c r="AW2968" s="3">
        <v>0</v>
      </c>
      <c r="AX2968" s="3">
        <v>0</v>
      </c>
      <c r="AY2968" s="3">
        <v>0</v>
      </c>
      <c r="AZ2968" s="3">
        <v>0</v>
      </c>
      <c r="BA2968" s="3">
        <v>0</v>
      </c>
      <c r="BB2968" s="3">
        <v>0</v>
      </c>
      <c r="BC2968" s="3">
        <v>0</v>
      </c>
      <c r="BD2968" s="3">
        <v>0</v>
      </c>
      <c r="BE2968" s="3">
        <v>0</v>
      </c>
      <c r="BF2968" s="3">
        <v>0</v>
      </c>
      <c r="BG2968" s="3">
        <v>0</v>
      </c>
      <c r="BH2968" s="3">
        <v>1</v>
      </c>
      <c r="BI2968" s="3">
        <v>1</v>
      </c>
      <c r="BJ2968" s="3">
        <v>0.2</v>
      </c>
      <c r="BK2968" s="3">
        <v>1</v>
      </c>
      <c r="BL2968" s="3">
        <v>60.52</v>
      </c>
      <c r="BM2968" s="3">
        <v>9.08</v>
      </c>
      <c r="BN2968" s="3">
        <v>69.599999999999994</v>
      </c>
      <c r="BO2968" s="3">
        <v>69.599999999999994</v>
      </c>
      <c r="BQ2968" s="3" t="s">
        <v>89</v>
      </c>
      <c r="BR2968" s="3" t="s">
        <v>308</v>
      </c>
      <c r="BS2968" s="4">
        <v>44565</v>
      </c>
      <c r="BT2968" s="5">
        <v>0.39444444444444443</v>
      </c>
      <c r="BU2968" s="3" t="s">
        <v>2641</v>
      </c>
      <c r="BV2968" s="3" t="s">
        <v>105</v>
      </c>
      <c r="BY2968" s="3">
        <v>1200</v>
      </c>
      <c r="BZ2968" s="3" t="s">
        <v>165</v>
      </c>
      <c r="CA2968" s="3" t="s">
        <v>612</v>
      </c>
      <c r="CC2968" s="3" t="s">
        <v>185</v>
      </c>
      <c r="CD2968" s="3">
        <v>5201</v>
      </c>
      <c r="CE2968" s="3" t="s">
        <v>93</v>
      </c>
      <c r="CF2968" s="4">
        <v>44565</v>
      </c>
      <c r="CI2968" s="3">
        <v>1</v>
      </c>
      <c r="CJ2968" s="3">
        <v>1</v>
      </c>
      <c r="CK2968" s="3">
        <v>21</v>
      </c>
      <c r="CL2968" s="3" t="s">
        <v>87</v>
      </c>
    </row>
    <row r="2969" spans="1:90" x14ac:dyDescent="0.2">
      <c r="A2969" s="3" t="s">
        <v>72</v>
      </c>
      <c r="B2969" s="3" t="s">
        <v>73</v>
      </c>
      <c r="C2969" s="3" t="s">
        <v>74</v>
      </c>
      <c r="E2969" s="3" t="str">
        <f>"FES1162843298"</f>
        <v>FES1162843298</v>
      </c>
      <c r="F2969" s="4">
        <v>44564</v>
      </c>
      <c r="G2969" s="3">
        <v>202207</v>
      </c>
      <c r="H2969" s="3" t="s">
        <v>75</v>
      </c>
      <c r="I2969" s="3" t="s">
        <v>76</v>
      </c>
      <c r="J2969" s="3" t="s">
        <v>77</v>
      </c>
      <c r="K2969" s="3" t="s">
        <v>78</v>
      </c>
      <c r="L2969" s="3" t="s">
        <v>258</v>
      </c>
      <c r="M2969" s="3" t="s">
        <v>259</v>
      </c>
      <c r="N2969" s="3" t="s">
        <v>412</v>
      </c>
      <c r="O2969" s="3" t="s">
        <v>82</v>
      </c>
      <c r="P2969" s="3" t="str">
        <f>"2170815452                    "</f>
        <v xml:space="preserve">2170815452                    </v>
      </c>
      <c r="Q2969" s="3">
        <v>0</v>
      </c>
      <c r="R2969" s="3">
        <v>0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  <c r="AE2969" s="3">
        <v>0</v>
      </c>
      <c r="AF2969" s="3">
        <v>0</v>
      </c>
      <c r="AG2969" s="3">
        <v>0</v>
      </c>
      <c r="AH2969" s="3">
        <v>0</v>
      </c>
      <c r="AI2969" s="3">
        <v>0</v>
      </c>
      <c r="AJ2969" s="3">
        <v>0</v>
      </c>
      <c r="AK2969" s="3">
        <v>23.88</v>
      </c>
      <c r="AL2969" s="3">
        <v>0</v>
      </c>
      <c r="AM2969" s="3">
        <v>0</v>
      </c>
      <c r="AN2969" s="3">
        <v>0</v>
      </c>
      <c r="AO2969" s="3">
        <v>0</v>
      </c>
      <c r="AP2969" s="3">
        <v>0</v>
      </c>
      <c r="AQ2969" s="3">
        <v>0</v>
      </c>
      <c r="AR2969" s="3">
        <v>0</v>
      </c>
      <c r="AS2969" s="3">
        <v>0</v>
      </c>
      <c r="AT2969" s="3">
        <v>0</v>
      </c>
      <c r="AU2969" s="3">
        <v>0</v>
      </c>
      <c r="AV2969" s="3">
        <v>0</v>
      </c>
      <c r="AW2969" s="3">
        <v>0</v>
      </c>
      <c r="AX2969" s="3">
        <v>0</v>
      </c>
      <c r="AY2969" s="3">
        <v>0</v>
      </c>
      <c r="AZ2969" s="3">
        <v>0</v>
      </c>
      <c r="BA2969" s="3">
        <v>0</v>
      </c>
      <c r="BB2969" s="3">
        <v>0</v>
      </c>
      <c r="BC2969" s="3">
        <v>0</v>
      </c>
      <c r="BD2969" s="3">
        <v>0</v>
      </c>
      <c r="BE2969" s="3">
        <v>0</v>
      </c>
      <c r="BF2969" s="3">
        <v>0</v>
      </c>
      <c r="BG2969" s="3">
        <v>0</v>
      </c>
      <c r="BH2969" s="3">
        <v>1</v>
      </c>
      <c r="BI2969" s="3">
        <v>1</v>
      </c>
      <c r="BJ2969" s="3">
        <v>0.2</v>
      </c>
      <c r="BK2969" s="3">
        <v>1</v>
      </c>
      <c r="BL2969" s="3">
        <v>85.12</v>
      </c>
      <c r="BM2969" s="3">
        <v>12.77</v>
      </c>
      <c r="BN2969" s="3">
        <v>97.89</v>
      </c>
      <c r="BO2969" s="3">
        <v>97.89</v>
      </c>
      <c r="BQ2969" s="3" t="s">
        <v>83</v>
      </c>
      <c r="BR2969" s="3" t="s">
        <v>308</v>
      </c>
      <c r="BS2969" s="4">
        <v>44565</v>
      </c>
      <c r="BT2969" s="5">
        <v>0.42986111111111108</v>
      </c>
      <c r="BU2969" s="3" t="s">
        <v>2688</v>
      </c>
      <c r="BV2969" s="3" t="s">
        <v>105</v>
      </c>
      <c r="BY2969" s="3">
        <v>1200</v>
      </c>
      <c r="BZ2969" s="3" t="s">
        <v>165</v>
      </c>
      <c r="CA2969" s="3" t="s">
        <v>779</v>
      </c>
      <c r="CC2969" s="3" t="s">
        <v>259</v>
      </c>
      <c r="CD2969" s="3">
        <v>2302</v>
      </c>
      <c r="CE2969" s="3" t="s">
        <v>93</v>
      </c>
      <c r="CF2969" s="4">
        <v>44565</v>
      </c>
      <c r="CI2969" s="3">
        <v>1</v>
      </c>
      <c r="CJ2969" s="3">
        <v>1</v>
      </c>
      <c r="CK2969" s="3">
        <v>24</v>
      </c>
      <c r="CL2969" s="3" t="s">
        <v>87</v>
      </c>
    </row>
    <row r="2970" spans="1:90" x14ac:dyDescent="0.2">
      <c r="A2970" s="3" t="s">
        <v>72</v>
      </c>
      <c r="B2970" s="3" t="s">
        <v>73</v>
      </c>
      <c r="C2970" s="3" t="s">
        <v>74</v>
      </c>
      <c r="E2970" s="3" t="str">
        <f>"FES1162843299"</f>
        <v>FES1162843299</v>
      </c>
      <c r="F2970" s="4">
        <v>44564</v>
      </c>
      <c r="G2970" s="3">
        <v>202207</v>
      </c>
      <c r="H2970" s="3" t="s">
        <v>75</v>
      </c>
      <c r="I2970" s="3" t="s">
        <v>76</v>
      </c>
      <c r="J2970" s="3" t="s">
        <v>77</v>
      </c>
      <c r="K2970" s="3" t="s">
        <v>78</v>
      </c>
      <c r="L2970" s="3" t="s">
        <v>167</v>
      </c>
      <c r="M2970" s="3" t="s">
        <v>168</v>
      </c>
      <c r="N2970" s="3" t="s">
        <v>194</v>
      </c>
      <c r="O2970" s="3" t="s">
        <v>82</v>
      </c>
      <c r="P2970" s="3" t="str">
        <f>"2170815547                    "</f>
        <v xml:space="preserve">2170815547                    </v>
      </c>
      <c r="Q2970" s="3">
        <v>0</v>
      </c>
      <c r="R2970" s="3">
        <v>0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  <c r="AE2970" s="3">
        <v>0</v>
      </c>
      <c r="AF2970" s="3">
        <v>0</v>
      </c>
      <c r="AG2970" s="3">
        <v>0</v>
      </c>
      <c r="AH2970" s="3">
        <v>0</v>
      </c>
      <c r="AI2970" s="3">
        <v>0</v>
      </c>
      <c r="AJ2970" s="3">
        <v>0</v>
      </c>
      <c r="AK2970" s="3">
        <v>16.98</v>
      </c>
      <c r="AL2970" s="3">
        <v>0</v>
      </c>
      <c r="AM2970" s="3">
        <v>0</v>
      </c>
      <c r="AN2970" s="3">
        <v>0</v>
      </c>
      <c r="AO2970" s="3">
        <v>0</v>
      </c>
      <c r="AP2970" s="3">
        <v>0</v>
      </c>
      <c r="AQ2970" s="3">
        <v>0</v>
      </c>
      <c r="AR2970" s="3">
        <v>0</v>
      </c>
      <c r="AS2970" s="3">
        <v>0</v>
      </c>
      <c r="AT2970" s="3">
        <v>0</v>
      </c>
      <c r="AU2970" s="3">
        <v>0</v>
      </c>
      <c r="AV2970" s="3">
        <v>0</v>
      </c>
      <c r="AW2970" s="3">
        <v>0</v>
      </c>
      <c r="AX2970" s="3">
        <v>0</v>
      </c>
      <c r="AY2970" s="3">
        <v>0</v>
      </c>
      <c r="AZ2970" s="3">
        <v>0</v>
      </c>
      <c r="BA2970" s="3">
        <v>0</v>
      </c>
      <c r="BB2970" s="3">
        <v>0</v>
      </c>
      <c r="BC2970" s="3">
        <v>0</v>
      </c>
      <c r="BD2970" s="3">
        <v>0</v>
      </c>
      <c r="BE2970" s="3">
        <v>0</v>
      </c>
      <c r="BF2970" s="3">
        <v>0</v>
      </c>
      <c r="BG2970" s="3">
        <v>0</v>
      </c>
      <c r="BH2970" s="3">
        <v>1</v>
      </c>
      <c r="BI2970" s="3">
        <v>2</v>
      </c>
      <c r="BJ2970" s="3">
        <v>1.1000000000000001</v>
      </c>
      <c r="BK2970" s="3">
        <v>2</v>
      </c>
      <c r="BL2970" s="3">
        <v>60.52</v>
      </c>
      <c r="BM2970" s="3">
        <v>9.08</v>
      </c>
      <c r="BN2970" s="3">
        <v>69.599999999999994</v>
      </c>
      <c r="BO2970" s="3">
        <v>69.599999999999994</v>
      </c>
      <c r="BQ2970" s="3" t="s">
        <v>89</v>
      </c>
      <c r="BR2970" s="3" t="s">
        <v>308</v>
      </c>
      <c r="BS2970" s="4">
        <v>44565</v>
      </c>
      <c r="BT2970" s="5">
        <v>0.42083333333333334</v>
      </c>
      <c r="BU2970" s="3" t="s">
        <v>2753</v>
      </c>
      <c r="BV2970" s="3" t="s">
        <v>105</v>
      </c>
      <c r="BY2970" s="3">
        <v>5320</v>
      </c>
      <c r="BZ2970" s="3" t="s">
        <v>165</v>
      </c>
      <c r="CA2970" s="3" t="s">
        <v>553</v>
      </c>
      <c r="CC2970" s="3" t="s">
        <v>168</v>
      </c>
      <c r="CD2970" s="3">
        <v>6229</v>
      </c>
      <c r="CE2970" s="3" t="s">
        <v>86</v>
      </c>
      <c r="CF2970" s="4">
        <v>44565</v>
      </c>
      <c r="CI2970" s="3">
        <v>1</v>
      </c>
      <c r="CJ2970" s="3">
        <v>1</v>
      </c>
      <c r="CK2970" s="3">
        <v>21</v>
      </c>
      <c r="CL2970" s="3" t="s">
        <v>87</v>
      </c>
    </row>
    <row r="2971" spans="1:90" x14ac:dyDescent="0.2">
      <c r="A2971" s="3" t="s">
        <v>72</v>
      </c>
      <c r="B2971" s="3" t="s">
        <v>73</v>
      </c>
      <c r="C2971" s="3" t="s">
        <v>74</v>
      </c>
      <c r="E2971" s="3" t="str">
        <f>"FES1162843112"</f>
        <v>FES1162843112</v>
      </c>
      <c r="F2971" s="4">
        <v>44564</v>
      </c>
      <c r="G2971" s="3">
        <v>202207</v>
      </c>
      <c r="H2971" s="3" t="s">
        <v>75</v>
      </c>
      <c r="I2971" s="3" t="s">
        <v>76</v>
      </c>
      <c r="J2971" s="3" t="s">
        <v>77</v>
      </c>
      <c r="K2971" s="3" t="s">
        <v>78</v>
      </c>
      <c r="L2971" s="3" t="s">
        <v>79</v>
      </c>
      <c r="M2971" s="3" t="s">
        <v>80</v>
      </c>
      <c r="N2971" s="3" t="s">
        <v>416</v>
      </c>
      <c r="O2971" s="3" t="s">
        <v>148</v>
      </c>
      <c r="P2971" s="3" t="str">
        <f>"2170813319.                   "</f>
        <v xml:space="preserve">2170813319.                   </v>
      </c>
      <c r="Q2971" s="3">
        <v>0</v>
      </c>
      <c r="R2971" s="3">
        <v>0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  <c r="AE2971" s="3">
        <v>0</v>
      </c>
      <c r="AF2971" s="3">
        <v>0</v>
      </c>
      <c r="AG2971" s="3">
        <v>0</v>
      </c>
      <c r="AH2971" s="3">
        <v>0</v>
      </c>
      <c r="AI2971" s="3">
        <v>0</v>
      </c>
      <c r="AJ2971" s="3">
        <v>0</v>
      </c>
      <c r="AK2971" s="3">
        <v>32.840000000000003</v>
      </c>
      <c r="AL2971" s="3">
        <v>0</v>
      </c>
      <c r="AM2971" s="3">
        <v>0</v>
      </c>
      <c r="AN2971" s="3">
        <v>0</v>
      </c>
      <c r="AO2971" s="3">
        <v>0</v>
      </c>
      <c r="AP2971" s="3">
        <v>0</v>
      </c>
      <c r="AQ2971" s="3">
        <v>0</v>
      </c>
      <c r="AR2971" s="3">
        <v>0</v>
      </c>
      <c r="AS2971" s="3">
        <v>0</v>
      </c>
      <c r="AT2971" s="3">
        <v>0</v>
      </c>
      <c r="AU2971" s="3">
        <v>0</v>
      </c>
      <c r="AV2971" s="3">
        <v>0</v>
      </c>
      <c r="AW2971" s="3">
        <v>0</v>
      </c>
      <c r="AX2971" s="3">
        <v>0</v>
      </c>
      <c r="AY2971" s="3">
        <v>0</v>
      </c>
      <c r="AZ2971" s="3">
        <v>0</v>
      </c>
      <c r="BA2971" s="3">
        <v>0</v>
      </c>
      <c r="BB2971" s="3">
        <v>0</v>
      </c>
      <c r="BC2971" s="3">
        <v>0</v>
      </c>
      <c r="BD2971" s="3">
        <v>0</v>
      </c>
      <c r="BE2971" s="3">
        <v>0</v>
      </c>
      <c r="BF2971" s="3">
        <v>0</v>
      </c>
      <c r="BG2971" s="3">
        <v>0</v>
      </c>
      <c r="BH2971" s="3">
        <v>1</v>
      </c>
      <c r="BI2971" s="3">
        <v>5</v>
      </c>
      <c r="BJ2971" s="3">
        <v>2.7</v>
      </c>
      <c r="BK2971" s="3">
        <v>5</v>
      </c>
      <c r="BL2971" s="3">
        <v>122.29</v>
      </c>
      <c r="BM2971" s="3">
        <v>18.34</v>
      </c>
      <c r="BN2971" s="3">
        <v>140.63</v>
      </c>
      <c r="BO2971" s="3">
        <v>140.63</v>
      </c>
      <c r="BQ2971" s="3" t="s">
        <v>126</v>
      </c>
      <c r="BR2971" s="3" t="s">
        <v>308</v>
      </c>
      <c r="BS2971" s="4">
        <v>44565</v>
      </c>
      <c r="BT2971" s="5">
        <v>0.42986111111111108</v>
      </c>
      <c r="BU2971" s="3" t="s">
        <v>1733</v>
      </c>
      <c r="BV2971" s="3" t="s">
        <v>105</v>
      </c>
      <c r="BY2971" s="3">
        <v>13500</v>
      </c>
      <c r="BZ2971" s="3" t="s">
        <v>327</v>
      </c>
      <c r="CA2971" s="3" t="s">
        <v>1499</v>
      </c>
      <c r="CC2971" s="3" t="s">
        <v>80</v>
      </c>
      <c r="CD2971" s="3">
        <v>186</v>
      </c>
      <c r="CE2971" s="3" t="s">
        <v>86</v>
      </c>
      <c r="CF2971" s="4">
        <v>44565</v>
      </c>
      <c r="CI2971" s="3">
        <v>1</v>
      </c>
      <c r="CJ2971" s="3">
        <v>1</v>
      </c>
      <c r="CK2971" s="3">
        <v>41</v>
      </c>
      <c r="CL2971" s="3" t="s">
        <v>87</v>
      </c>
    </row>
    <row r="2972" spans="1:90" x14ac:dyDescent="0.2">
      <c r="A2972" s="3" t="s">
        <v>72</v>
      </c>
      <c r="B2972" s="3" t="s">
        <v>73</v>
      </c>
      <c r="C2972" s="3" t="s">
        <v>74</v>
      </c>
      <c r="E2972" s="3" t="str">
        <f>"FES1162843257"</f>
        <v>FES1162843257</v>
      </c>
      <c r="F2972" s="4">
        <v>44564</v>
      </c>
      <c r="G2972" s="3">
        <v>202207</v>
      </c>
      <c r="H2972" s="3" t="s">
        <v>75</v>
      </c>
      <c r="I2972" s="3" t="s">
        <v>76</v>
      </c>
      <c r="J2972" s="3" t="s">
        <v>77</v>
      </c>
      <c r="K2972" s="3" t="s">
        <v>78</v>
      </c>
      <c r="L2972" s="3" t="s">
        <v>171</v>
      </c>
      <c r="M2972" s="3" t="s">
        <v>172</v>
      </c>
      <c r="N2972" s="3" t="s">
        <v>200</v>
      </c>
      <c r="O2972" s="3" t="s">
        <v>82</v>
      </c>
      <c r="P2972" s="3" t="str">
        <f>"2170815497                    "</f>
        <v xml:space="preserve">2170815497                    </v>
      </c>
      <c r="Q2972" s="3">
        <v>0</v>
      </c>
      <c r="R2972" s="3">
        <v>0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  <c r="AE2972" s="3">
        <v>0</v>
      </c>
      <c r="AF2972" s="3">
        <v>0</v>
      </c>
      <c r="AG2972" s="3">
        <v>0</v>
      </c>
      <c r="AH2972" s="3">
        <v>0</v>
      </c>
      <c r="AI2972" s="3">
        <v>0</v>
      </c>
      <c r="AJ2972" s="3">
        <v>0</v>
      </c>
      <c r="AK2972" s="3">
        <v>16.98</v>
      </c>
      <c r="AL2972" s="3">
        <v>0</v>
      </c>
      <c r="AM2972" s="3">
        <v>0</v>
      </c>
      <c r="AN2972" s="3">
        <v>0</v>
      </c>
      <c r="AO2972" s="3">
        <v>0</v>
      </c>
      <c r="AP2972" s="3">
        <v>0</v>
      </c>
      <c r="AQ2972" s="3">
        <v>0</v>
      </c>
      <c r="AR2972" s="3">
        <v>0</v>
      </c>
      <c r="AS2972" s="3">
        <v>0</v>
      </c>
      <c r="AT2972" s="3">
        <v>0</v>
      </c>
      <c r="AU2972" s="3">
        <v>0</v>
      </c>
      <c r="AV2972" s="3">
        <v>0</v>
      </c>
      <c r="AW2972" s="3">
        <v>0</v>
      </c>
      <c r="AX2972" s="3">
        <v>0</v>
      </c>
      <c r="AY2972" s="3">
        <v>0</v>
      </c>
      <c r="AZ2972" s="3">
        <v>0</v>
      </c>
      <c r="BA2972" s="3">
        <v>0</v>
      </c>
      <c r="BB2972" s="3">
        <v>0</v>
      </c>
      <c r="BC2972" s="3">
        <v>0</v>
      </c>
      <c r="BD2972" s="3">
        <v>0</v>
      </c>
      <c r="BE2972" s="3">
        <v>0</v>
      </c>
      <c r="BF2972" s="3">
        <v>0</v>
      </c>
      <c r="BG2972" s="3">
        <v>0</v>
      </c>
      <c r="BH2972" s="3">
        <v>1</v>
      </c>
      <c r="BI2972" s="3">
        <v>2</v>
      </c>
      <c r="BJ2972" s="3">
        <v>2</v>
      </c>
      <c r="BK2972" s="3">
        <v>2</v>
      </c>
      <c r="BL2972" s="3">
        <v>60.52</v>
      </c>
      <c r="BM2972" s="3">
        <v>9.08</v>
      </c>
      <c r="BN2972" s="3">
        <v>69.599999999999994</v>
      </c>
      <c r="BO2972" s="3">
        <v>69.599999999999994</v>
      </c>
      <c r="BQ2972" s="3" t="s">
        <v>89</v>
      </c>
      <c r="BR2972" s="3" t="s">
        <v>308</v>
      </c>
      <c r="BS2972" s="4">
        <v>44565</v>
      </c>
      <c r="BT2972" s="5">
        <v>0.3659722222222222</v>
      </c>
      <c r="BU2972" s="3" t="s">
        <v>908</v>
      </c>
      <c r="BV2972" s="3" t="s">
        <v>105</v>
      </c>
      <c r="BY2972" s="3">
        <v>9900</v>
      </c>
      <c r="BZ2972" s="3" t="s">
        <v>165</v>
      </c>
      <c r="CA2972" s="3" t="s">
        <v>814</v>
      </c>
      <c r="CC2972" s="3" t="s">
        <v>172</v>
      </c>
      <c r="CD2972" s="3">
        <v>6001</v>
      </c>
      <c r="CE2972" s="3" t="s">
        <v>86</v>
      </c>
      <c r="CF2972" s="4">
        <v>44565</v>
      </c>
      <c r="CI2972" s="3">
        <v>1</v>
      </c>
      <c r="CJ2972" s="3">
        <v>1</v>
      </c>
      <c r="CK2972" s="3">
        <v>21</v>
      </c>
      <c r="CL2972" s="3" t="s">
        <v>87</v>
      </c>
    </row>
    <row r="2973" spans="1:90" x14ac:dyDescent="0.2">
      <c r="A2973" s="3" t="s">
        <v>72</v>
      </c>
      <c r="B2973" s="3" t="s">
        <v>73</v>
      </c>
      <c r="C2973" s="3" t="s">
        <v>74</v>
      </c>
      <c r="E2973" s="3" t="str">
        <f>"FES1162843233"</f>
        <v>FES1162843233</v>
      </c>
      <c r="F2973" s="4">
        <v>44564</v>
      </c>
      <c r="G2973" s="3">
        <v>202207</v>
      </c>
      <c r="H2973" s="3" t="s">
        <v>75</v>
      </c>
      <c r="I2973" s="3" t="s">
        <v>76</v>
      </c>
      <c r="J2973" s="3" t="s">
        <v>77</v>
      </c>
      <c r="K2973" s="3" t="s">
        <v>78</v>
      </c>
      <c r="L2973" s="3" t="s">
        <v>75</v>
      </c>
      <c r="M2973" s="3" t="s">
        <v>76</v>
      </c>
      <c r="N2973" s="3" t="s">
        <v>147</v>
      </c>
      <c r="O2973" s="3" t="s">
        <v>82</v>
      </c>
      <c r="P2973" s="3" t="str">
        <f>"2170814732                    "</f>
        <v xml:space="preserve">2170814732                    </v>
      </c>
      <c r="Q2973" s="3">
        <v>0</v>
      </c>
      <c r="R2973" s="3">
        <v>0</v>
      </c>
      <c r="S2973" s="3">
        <v>0</v>
      </c>
      <c r="T2973" s="3">
        <v>0</v>
      </c>
      <c r="U2973" s="3">
        <v>0</v>
      </c>
      <c r="V2973" s="3">
        <v>0</v>
      </c>
      <c r="W2973" s="3">
        <v>0</v>
      </c>
      <c r="X2973" s="3">
        <v>0</v>
      </c>
      <c r="Y2973" s="3">
        <v>0</v>
      </c>
      <c r="Z2973" s="3">
        <v>0</v>
      </c>
      <c r="AA2973" s="3">
        <v>0</v>
      </c>
      <c r="AB2973" s="3">
        <v>0</v>
      </c>
      <c r="AC2973" s="3">
        <v>0</v>
      </c>
      <c r="AD2973" s="3">
        <v>0</v>
      </c>
      <c r="AE2973" s="3">
        <v>0</v>
      </c>
      <c r="AF2973" s="3">
        <v>0</v>
      </c>
      <c r="AG2973" s="3">
        <v>0</v>
      </c>
      <c r="AH2973" s="3">
        <v>0</v>
      </c>
      <c r="AI2973" s="3">
        <v>0</v>
      </c>
      <c r="AJ2973" s="3">
        <v>0</v>
      </c>
      <c r="AK2973" s="3">
        <v>13.26</v>
      </c>
      <c r="AL2973" s="3">
        <v>0</v>
      </c>
      <c r="AM2973" s="3">
        <v>0</v>
      </c>
      <c r="AN2973" s="3">
        <v>0</v>
      </c>
      <c r="AO2973" s="3">
        <v>0</v>
      </c>
      <c r="AP2973" s="3">
        <v>0</v>
      </c>
      <c r="AQ2973" s="3">
        <v>0</v>
      </c>
      <c r="AR2973" s="3">
        <v>0</v>
      </c>
      <c r="AS2973" s="3">
        <v>0</v>
      </c>
      <c r="AT2973" s="3">
        <v>0</v>
      </c>
      <c r="AU2973" s="3">
        <v>0</v>
      </c>
      <c r="AV2973" s="3">
        <v>0</v>
      </c>
      <c r="AW2973" s="3">
        <v>0</v>
      </c>
      <c r="AX2973" s="3">
        <v>0</v>
      </c>
      <c r="AY2973" s="3">
        <v>0</v>
      </c>
      <c r="AZ2973" s="3">
        <v>0</v>
      </c>
      <c r="BA2973" s="3">
        <v>0</v>
      </c>
      <c r="BB2973" s="3">
        <v>0</v>
      </c>
      <c r="BC2973" s="3">
        <v>0</v>
      </c>
      <c r="BD2973" s="3">
        <v>0</v>
      </c>
      <c r="BE2973" s="3">
        <v>0</v>
      </c>
      <c r="BF2973" s="3">
        <v>0</v>
      </c>
      <c r="BG2973" s="3">
        <v>0</v>
      </c>
      <c r="BH2973" s="3">
        <v>1</v>
      </c>
      <c r="BI2973" s="3">
        <v>1</v>
      </c>
      <c r="BJ2973" s="3">
        <v>0.2</v>
      </c>
      <c r="BK2973" s="3">
        <v>1</v>
      </c>
      <c r="BL2973" s="3">
        <v>47.27</v>
      </c>
      <c r="BM2973" s="3">
        <v>7.09</v>
      </c>
      <c r="BN2973" s="3">
        <v>54.36</v>
      </c>
      <c r="BO2973" s="3">
        <v>54.36</v>
      </c>
      <c r="BQ2973" s="3" t="s">
        <v>89</v>
      </c>
      <c r="BR2973" s="3" t="s">
        <v>308</v>
      </c>
      <c r="BS2973" s="4">
        <v>44571</v>
      </c>
      <c r="BT2973" s="5">
        <v>0.38541666666666669</v>
      </c>
      <c r="BU2973" s="3" t="s">
        <v>2691</v>
      </c>
      <c r="BV2973" s="3" t="s">
        <v>87</v>
      </c>
      <c r="BW2973" s="3" t="s">
        <v>278</v>
      </c>
      <c r="BX2973" s="3" t="s">
        <v>723</v>
      </c>
      <c r="BY2973" s="3">
        <v>1200</v>
      </c>
      <c r="BZ2973" s="3" t="s">
        <v>165</v>
      </c>
      <c r="CA2973" s="3" t="s">
        <v>1293</v>
      </c>
      <c r="CC2973" s="3" t="s">
        <v>76</v>
      </c>
      <c r="CD2973" s="3">
        <v>1645</v>
      </c>
      <c r="CE2973" s="3" t="s">
        <v>93</v>
      </c>
      <c r="CF2973" s="4">
        <v>44572</v>
      </c>
      <c r="CI2973" s="3">
        <v>1</v>
      </c>
      <c r="CJ2973" s="3">
        <v>5</v>
      </c>
      <c r="CK2973" s="3">
        <v>22</v>
      </c>
      <c r="CL2973" s="3" t="s">
        <v>87</v>
      </c>
    </row>
    <row r="2974" spans="1:90" x14ac:dyDescent="0.2">
      <c r="A2974" s="3" t="s">
        <v>72</v>
      </c>
      <c r="B2974" s="3" t="s">
        <v>73</v>
      </c>
      <c r="C2974" s="3" t="s">
        <v>74</v>
      </c>
      <c r="E2974" s="3" t="str">
        <f>"FES1162843208"</f>
        <v>FES1162843208</v>
      </c>
      <c r="F2974" s="4">
        <v>44564</v>
      </c>
      <c r="G2974" s="3">
        <v>202207</v>
      </c>
      <c r="H2974" s="3" t="s">
        <v>75</v>
      </c>
      <c r="I2974" s="3" t="s">
        <v>76</v>
      </c>
      <c r="J2974" s="3" t="s">
        <v>77</v>
      </c>
      <c r="K2974" s="3" t="s">
        <v>78</v>
      </c>
      <c r="L2974" s="3" t="s">
        <v>138</v>
      </c>
      <c r="M2974" s="3" t="s">
        <v>139</v>
      </c>
      <c r="N2974" s="3" t="s">
        <v>152</v>
      </c>
      <c r="O2974" s="3" t="s">
        <v>82</v>
      </c>
      <c r="P2974" s="3" t="str">
        <f>"2170813138                    "</f>
        <v xml:space="preserve">2170813138                    </v>
      </c>
      <c r="Q2974" s="3">
        <v>0</v>
      </c>
      <c r="R2974" s="3">
        <v>0</v>
      </c>
      <c r="S2974" s="3">
        <v>0</v>
      </c>
      <c r="T2974" s="3">
        <v>0</v>
      </c>
      <c r="U2974" s="3">
        <v>0</v>
      </c>
      <c r="V2974" s="3">
        <v>0</v>
      </c>
      <c r="W2974" s="3">
        <v>0</v>
      </c>
      <c r="X2974" s="3">
        <v>0</v>
      </c>
      <c r="Y2974" s="3">
        <v>0</v>
      </c>
      <c r="Z2974" s="3">
        <v>0</v>
      </c>
      <c r="AA2974" s="3">
        <v>0</v>
      </c>
      <c r="AB2974" s="3">
        <v>0</v>
      </c>
      <c r="AC2974" s="3">
        <v>0</v>
      </c>
      <c r="AD2974" s="3">
        <v>0</v>
      </c>
      <c r="AE2974" s="3">
        <v>0</v>
      </c>
      <c r="AF2974" s="3">
        <v>0</v>
      </c>
      <c r="AG2974" s="3">
        <v>0</v>
      </c>
      <c r="AH2974" s="3">
        <v>0</v>
      </c>
      <c r="AI2974" s="3">
        <v>0</v>
      </c>
      <c r="AJ2974" s="3">
        <v>0</v>
      </c>
      <c r="AK2974" s="3">
        <v>25.47</v>
      </c>
      <c r="AL2974" s="3">
        <v>0</v>
      </c>
      <c r="AM2974" s="3">
        <v>0</v>
      </c>
      <c r="AN2974" s="3">
        <v>0</v>
      </c>
      <c r="AO2974" s="3">
        <v>0</v>
      </c>
      <c r="AP2974" s="3">
        <v>0</v>
      </c>
      <c r="AQ2974" s="3">
        <v>0</v>
      </c>
      <c r="AR2974" s="3">
        <v>0</v>
      </c>
      <c r="AS2974" s="3">
        <v>0</v>
      </c>
      <c r="AT2974" s="3">
        <v>0</v>
      </c>
      <c r="AU2974" s="3">
        <v>0</v>
      </c>
      <c r="AV2974" s="3">
        <v>0</v>
      </c>
      <c r="AW2974" s="3">
        <v>0</v>
      </c>
      <c r="AX2974" s="3">
        <v>0</v>
      </c>
      <c r="AY2974" s="3">
        <v>0</v>
      </c>
      <c r="AZ2974" s="3">
        <v>0</v>
      </c>
      <c r="BA2974" s="3">
        <v>0</v>
      </c>
      <c r="BB2974" s="3">
        <v>0</v>
      </c>
      <c r="BC2974" s="3">
        <v>0</v>
      </c>
      <c r="BD2974" s="3">
        <v>0</v>
      </c>
      <c r="BE2974" s="3">
        <v>0</v>
      </c>
      <c r="BF2974" s="3">
        <v>0</v>
      </c>
      <c r="BG2974" s="3">
        <v>0</v>
      </c>
      <c r="BH2974" s="3">
        <v>1</v>
      </c>
      <c r="BI2974" s="3">
        <v>3</v>
      </c>
      <c r="BJ2974" s="3">
        <v>1.1000000000000001</v>
      </c>
      <c r="BK2974" s="3">
        <v>3</v>
      </c>
      <c r="BL2974" s="3">
        <v>90.77</v>
      </c>
      <c r="BM2974" s="3">
        <v>13.62</v>
      </c>
      <c r="BN2974" s="3">
        <v>104.39</v>
      </c>
      <c r="BO2974" s="3">
        <v>104.39</v>
      </c>
      <c r="BQ2974" s="3" t="s">
        <v>83</v>
      </c>
      <c r="BR2974" s="3" t="s">
        <v>308</v>
      </c>
      <c r="BS2974" s="4">
        <v>44565</v>
      </c>
      <c r="BT2974" s="5">
        <v>0.43055555555555558</v>
      </c>
      <c r="BU2974" s="3" t="s">
        <v>655</v>
      </c>
      <c r="BV2974" s="3" t="s">
        <v>105</v>
      </c>
      <c r="BY2974" s="3">
        <v>5320</v>
      </c>
      <c r="BZ2974" s="3" t="s">
        <v>165</v>
      </c>
      <c r="CA2974" s="3" t="s">
        <v>303</v>
      </c>
      <c r="CC2974" s="3" t="s">
        <v>139</v>
      </c>
      <c r="CD2974" s="3">
        <v>3610</v>
      </c>
      <c r="CE2974" s="3" t="s">
        <v>86</v>
      </c>
      <c r="CF2974" s="4">
        <v>44565</v>
      </c>
      <c r="CI2974" s="3">
        <v>1</v>
      </c>
      <c r="CJ2974" s="3">
        <v>1</v>
      </c>
      <c r="CK2974" s="3">
        <v>21</v>
      </c>
      <c r="CL2974" s="3" t="s">
        <v>87</v>
      </c>
    </row>
    <row r="2975" spans="1:90" x14ac:dyDescent="0.2">
      <c r="A2975" s="3" t="s">
        <v>72</v>
      </c>
      <c r="B2975" s="3" t="s">
        <v>73</v>
      </c>
      <c r="C2975" s="3" t="s">
        <v>74</v>
      </c>
      <c r="E2975" s="3" t="str">
        <f>"FES1162843242"</f>
        <v>FES1162843242</v>
      </c>
      <c r="F2975" s="4">
        <v>44564</v>
      </c>
      <c r="G2975" s="3">
        <v>202207</v>
      </c>
      <c r="H2975" s="3" t="s">
        <v>75</v>
      </c>
      <c r="I2975" s="3" t="s">
        <v>76</v>
      </c>
      <c r="J2975" s="3" t="s">
        <v>77</v>
      </c>
      <c r="K2975" s="3" t="s">
        <v>78</v>
      </c>
      <c r="L2975" s="3" t="s">
        <v>799</v>
      </c>
      <c r="M2975" s="3" t="s">
        <v>800</v>
      </c>
      <c r="N2975" s="3" t="s">
        <v>801</v>
      </c>
      <c r="O2975" s="3" t="s">
        <v>82</v>
      </c>
      <c r="P2975" s="3" t="str">
        <f>"2170815349                    "</f>
        <v xml:space="preserve">2170815349                    </v>
      </c>
      <c r="Q2975" s="3">
        <v>0</v>
      </c>
      <c r="R2975" s="3">
        <v>0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  <c r="AE2975" s="3">
        <v>0</v>
      </c>
      <c r="AF2975" s="3">
        <v>0</v>
      </c>
      <c r="AG2975" s="3">
        <v>0</v>
      </c>
      <c r="AH2975" s="3">
        <v>0</v>
      </c>
      <c r="AI2975" s="3">
        <v>0</v>
      </c>
      <c r="AJ2975" s="3">
        <v>0</v>
      </c>
      <c r="AK2975" s="3">
        <v>23.88</v>
      </c>
      <c r="AL2975" s="3">
        <v>0</v>
      </c>
      <c r="AM2975" s="3">
        <v>0</v>
      </c>
      <c r="AN2975" s="3">
        <v>0</v>
      </c>
      <c r="AO2975" s="3">
        <v>0</v>
      </c>
      <c r="AP2975" s="3">
        <v>0</v>
      </c>
      <c r="AQ2975" s="3">
        <v>0</v>
      </c>
      <c r="AR2975" s="3">
        <v>0</v>
      </c>
      <c r="AS2975" s="3">
        <v>0</v>
      </c>
      <c r="AT2975" s="3">
        <v>0</v>
      </c>
      <c r="AU2975" s="3">
        <v>0</v>
      </c>
      <c r="AV2975" s="3">
        <v>0</v>
      </c>
      <c r="AW2975" s="3">
        <v>0</v>
      </c>
      <c r="AX2975" s="3">
        <v>0</v>
      </c>
      <c r="AY2975" s="3">
        <v>0</v>
      </c>
      <c r="AZ2975" s="3">
        <v>0</v>
      </c>
      <c r="BA2975" s="3">
        <v>0</v>
      </c>
      <c r="BB2975" s="3">
        <v>0</v>
      </c>
      <c r="BC2975" s="3">
        <v>0</v>
      </c>
      <c r="BD2975" s="3">
        <v>0</v>
      </c>
      <c r="BE2975" s="3">
        <v>0</v>
      </c>
      <c r="BF2975" s="3">
        <v>0</v>
      </c>
      <c r="BG2975" s="3">
        <v>0</v>
      </c>
      <c r="BH2975" s="3">
        <v>1</v>
      </c>
      <c r="BI2975" s="3">
        <v>1</v>
      </c>
      <c r="BJ2975" s="3">
        <v>0.2</v>
      </c>
      <c r="BK2975" s="3">
        <v>1</v>
      </c>
      <c r="BL2975" s="3">
        <v>85.12</v>
      </c>
      <c r="BM2975" s="3">
        <v>12.77</v>
      </c>
      <c r="BN2975" s="3">
        <v>97.89</v>
      </c>
      <c r="BO2975" s="3">
        <v>97.89</v>
      </c>
      <c r="BQ2975" s="3" t="s">
        <v>89</v>
      </c>
      <c r="BR2975" s="3" t="s">
        <v>308</v>
      </c>
      <c r="BS2975" s="4">
        <v>44565</v>
      </c>
      <c r="BT2975" s="5">
        <v>0.43263888888888885</v>
      </c>
      <c r="BU2975" s="3" t="s">
        <v>1392</v>
      </c>
      <c r="BV2975" s="3" t="s">
        <v>105</v>
      </c>
      <c r="BY2975" s="3">
        <v>1200</v>
      </c>
      <c r="BZ2975" s="3" t="s">
        <v>165</v>
      </c>
      <c r="CA2975" s="3" t="s">
        <v>803</v>
      </c>
      <c r="CC2975" s="3" t="s">
        <v>800</v>
      </c>
      <c r="CD2975" s="3">
        <v>2210</v>
      </c>
      <c r="CE2975" s="3" t="s">
        <v>93</v>
      </c>
      <c r="CF2975" s="4">
        <v>44566</v>
      </c>
      <c r="CI2975" s="3">
        <v>1</v>
      </c>
      <c r="CJ2975" s="3">
        <v>1</v>
      </c>
      <c r="CK2975" s="3">
        <v>24</v>
      </c>
      <c r="CL2975" s="3" t="s">
        <v>87</v>
      </c>
    </row>
    <row r="2976" spans="1:90" x14ac:dyDescent="0.2">
      <c r="A2976" s="3" t="s">
        <v>72</v>
      </c>
      <c r="B2976" s="3" t="s">
        <v>73</v>
      </c>
      <c r="C2976" s="3" t="s">
        <v>74</v>
      </c>
      <c r="E2976" s="3" t="str">
        <f>"FES1162843404"</f>
        <v>FES1162843404</v>
      </c>
      <c r="F2976" s="4">
        <v>44565</v>
      </c>
      <c r="G2976" s="3">
        <v>202207</v>
      </c>
      <c r="H2976" s="3" t="s">
        <v>75</v>
      </c>
      <c r="I2976" s="3" t="s">
        <v>76</v>
      </c>
      <c r="J2976" s="3" t="s">
        <v>77</v>
      </c>
      <c r="K2976" s="3" t="s">
        <v>78</v>
      </c>
      <c r="L2976" s="3" t="s">
        <v>101</v>
      </c>
      <c r="M2976" s="3" t="s">
        <v>102</v>
      </c>
      <c r="N2976" s="3" t="s">
        <v>272</v>
      </c>
      <c r="O2976" s="3" t="s">
        <v>82</v>
      </c>
      <c r="P2976" s="3" t="str">
        <f>"2170799822                    "</f>
        <v xml:space="preserve">2170799822                    </v>
      </c>
      <c r="Q2976" s="3">
        <v>0</v>
      </c>
      <c r="R2976" s="3">
        <v>0</v>
      </c>
      <c r="S2976" s="3">
        <v>0</v>
      </c>
      <c r="T2976" s="3">
        <v>0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0</v>
      </c>
      <c r="AA2976" s="3">
        <v>0</v>
      </c>
      <c r="AB2976" s="3">
        <v>0</v>
      </c>
      <c r="AC2976" s="3">
        <v>0</v>
      </c>
      <c r="AD2976" s="3">
        <v>0</v>
      </c>
      <c r="AE2976" s="3">
        <v>0</v>
      </c>
      <c r="AF2976" s="3">
        <v>0</v>
      </c>
      <c r="AG2976" s="3">
        <v>0</v>
      </c>
      <c r="AH2976" s="3">
        <v>0</v>
      </c>
      <c r="AI2976" s="3">
        <v>0</v>
      </c>
      <c r="AJ2976" s="3">
        <v>0</v>
      </c>
      <c r="AK2976" s="3">
        <v>16.98</v>
      </c>
      <c r="AL2976" s="3">
        <v>0</v>
      </c>
      <c r="AM2976" s="3">
        <v>0</v>
      </c>
      <c r="AN2976" s="3">
        <v>0</v>
      </c>
      <c r="AO2976" s="3">
        <v>0</v>
      </c>
      <c r="AP2976" s="3">
        <v>0</v>
      </c>
      <c r="AQ2976" s="3">
        <v>0</v>
      </c>
      <c r="AR2976" s="3">
        <v>0</v>
      </c>
      <c r="AS2976" s="3">
        <v>0</v>
      </c>
      <c r="AT2976" s="3">
        <v>0</v>
      </c>
      <c r="AU2976" s="3">
        <v>0</v>
      </c>
      <c r="AV2976" s="3">
        <v>0</v>
      </c>
      <c r="AW2976" s="3">
        <v>0</v>
      </c>
      <c r="AX2976" s="3">
        <v>0</v>
      </c>
      <c r="AY2976" s="3">
        <v>0</v>
      </c>
      <c r="AZ2976" s="3">
        <v>0</v>
      </c>
      <c r="BA2976" s="3">
        <v>0</v>
      </c>
      <c r="BB2976" s="3">
        <v>0</v>
      </c>
      <c r="BC2976" s="3">
        <v>0</v>
      </c>
      <c r="BD2976" s="3">
        <v>0</v>
      </c>
      <c r="BE2976" s="3">
        <v>0</v>
      </c>
      <c r="BF2976" s="3">
        <v>0</v>
      </c>
      <c r="BG2976" s="3">
        <v>0</v>
      </c>
      <c r="BH2976" s="3">
        <v>1</v>
      </c>
      <c r="BI2976" s="3">
        <v>1</v>
      </c>
      <c r="BJ2976" s="3">
        <v>0.2</v>
      </c>
      <c r="BK2976" s="3">
        <v>1</v>
      </c>
      <c r="BL2976" s="3">
        <v>60.52</v>
      </c>
      <c r="BM2976" s="3">
        <v>9.08</v>
      </c>
      <c r="BN2976" s="3">
        <v>69.599999999999994</v>
      </c>
      <c r="BO2976" s="3">
        <v>69.599999999999994</v>
      </c>
      <c r="BQ2976" s="3" t="s">
        <v>273</v>
      </c>
      <c r="BR2976" s="3" t="s">
        <v>308</v>
      </c>
      <c r="BS2976" s="4">
        <v>44566</v>
      </c>
      <c r="BT2976" s="5">
        <v>0.4055555555555555</v>
      </c>
      <c r="BU2976" s="3" t="s">
        <v>274</v>
      </c>
      <c r="BV2976" s="3" t="s">
        <v>105</v>
      </c>
      <c r="BY2976" s="3">
        <v>1200</v>
      </c>
      <c r="BZ2976" s="3" t="s">
        <v>165</v>
      </c>
      <c r="CA2976" s="3" t="s">
        <v>275</v>
      </c>
      <c r="CC2976" s="3" t="s">
        <v>102</v>
      </c>
      <c r="CD2976" s="3">
        <v>4000</v>
      </c>
      <c r="CE2976" s="3" t="s">
        <v>93</v>
      </c>
      <c r="CF2976" s="4">
        <v>44566</v>
      </c>
      <c r="CI2976" s="3">
        <v>1</v>
      </c>
      <c r="CJ2976" s="3">
        <v>1</v>
      </c>
      <c r="CK2976" s="3">
        <v>21</v>
      </c>
      <c r="CL2976" s="3" t="s">
        <v>87</v>
      </c>
    </row>
    <row r="2977" spans="1:90" x14ac:dyDescent="0.2">
      <c r="A2977" s="3" t="s">
        <v>72</v>
      </c>
      <c r="B2977" s="3" t="s">
        <v>73</v>
      </c>
      <c r="C2977" s="3" t="s">
        <v>74</v>
      </c>
      <c r="E2977" s="3" t="str">
        <f>"FES1162843692"</f>
        <v>FES1162843692</v>
      </c>
      <c r="F2977" s="4">
        <v>44566</v>
      </c>
      <c r="G2977" s="3">
        <v>202207</v>
      </c>
      <c r="H2977" s="3" t="s">
        <v>75</v>
      </c>
      <c r="I2977" s="3" t="s">
        <v>76</v>
      </c>
      <c r="J2977" s="3" t="s">
        <v>77</v>
      </c>
      <c r="K2977" s="3" t="s">
        <v>78</v>
      </c>
      <c r="L2977" s="3" t="s">
        <v>75</v>
      </c>
      <c r="M2977" s="3" t="s">
        <v>76</v>
      </c>
      <c r="N2977" s="3" t="s">
        <v>1599</v>
      </c>
      <c r="O2977" s="3" t="s">
        <v>82</v>
      </c>
      <c r="P2977" s="3" t="str">
        <f>"2170814449                    "</f>
        <v xml:space="preserve">2170814449                    </v>
      </c>
      <c r="Q2977" s="3">
        <v>0</v>
      </c>
      <c r="R2977" s="3">
        <v>0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  <c r="AE2977" s="3">
        <v>0</v>
      </c>
      <c r="AF2977" s="3">
        <v>0</v>
      </c>
      <c r="AG2977" s="3">
        <v>0</v>
      </c>
      <c r="AH2977" s="3">
        <v>0</v>
      </c>
      <c r="AI2977" s="3">
        <v>0</v>
      </c>
      <c r="AJ2977" s="3">
        <v>0</v>
      </c>
      <c r="AK2977" s="3">
        <v>12.07</v>
      </c>
      <c r="AL2977" s="3">
        <v>0</v>
      </c>
      <c r="AM2977" s="3">
        <v>0</v>
      </c>
      <c r="AN2977" s="3">
        <v>0</v>
      </c>
      <c r="AO2977" s="3">
        <v>0</v>
      </c>
      <c r="AP2977" s="3">
        <v>0</v>
      </c>
      <c r="AQ2977" s="3">
        <v>0</v>
      </c>
      <c r="AR2977" s="3">
        <v>0</v>
      </c>
      <c r="AS2977" s="3">
        <v>0</v>
      </c>
      <c r="AT2977" s="3">
        <v>0</v>
      </c>
      <c r="AU2977" s="3">
        <v>0</v>
      </c>
      <c r="AV2977" s="3">
        <v>0</v>
      </c>
      <c r="AW2977" s="3">
        <v>0</v>
      </c>
      <c r="AX2977" s="3">
        <v>0</v>
      </c>
      <c r="AY2977" s="3">
        <v>0</v>
      </c>
      <c r="AZ2977" s="3">
        <v>0</v>
      </c>
      <c r="BA2977" s="3">
        <v>0</v>
      </c>
      <c r="BB2977" s="3">
        <v>0</v>
      </c>
      <c r="BC2977" s="3">
        <v>0</v>
      </c>
      <c r="BD2977" s="3">
        <v>0</v>
      </c>
      <c r="BE2977" s="3">
        <v>0</v>
      </c>
      <c r="BF2977" s="3">
        <v>0</v>
      </c>
      <c r="BG2977" s="3">
        <v>0</v>
      </c>
      <c r="BH2977" s="3">
        <v>1</v>
      </c>
      <c r="BI2977" s="3">
        <v>1</v>
      </c>
      <c r="BJ2977" s="3">
        <v>0.2</v>
      </c>
      <c r="BK2977" s="3">
        <v>1</v>
      </c>
      <c r="BL2977" s="3">
        <v>46.08</v>
      </c>
      <c r="BM2977" s="3">
        <v>6.91</v>
      </c>
      <c r="BN2977" s="3">
        <v>52.99</v>
      </c>
      <c r="BO2977" s="3">
        <v>52.99</v>
      </c>
      <c r="BQ2977" s="3" t="s">
        <v>83</v>
      </c>
      <c r="BR2977" s="3" t="s">
        <v>364</v>
      </c>
      <c r="BS2977" s="4">
        <v>44574</v>
      </c>
      <c r="BT2977" s="5">
        <v>0.41666666666666669</v>
      </c>
      <c r="BU2977" s="3" t="s">
        <v>2754</v>
      </c>
      <c r="BV2977" s="3" t="s">
        <v>87</v>
      </c>
      <c r="BW2977" s="3" t="s">
        <v>579</v>
      </c>
      <c r="BX2977" s="3" t="s">
        <v>758</v>
      </c>
      <c r="BY2977" s="3">
        <v>1200</v>
      </c>
      <c r="BZ2977" s="3" t="s">
        <v>165</v>
      </c>
      <c r="CA2977" s="3" t="s">
        <v>635</v>
      </c>
      <c r="CC2977" s="3" t="s">
        <v>76</v>
      </c>
      <c r="CD2977" s="3">
        <v>1645</v>
      </c>
      <c r="CE2977" s="3" t="s">
        <v>93</v>
      </c>
      <c r="CF2977" s="4">
        <v>44575</v>
      </c>
      <c r="CI2977" s="3">
        <v>1</v>
      </c>
      <c r="CJ2977" s="3">
        <v>6</v>
      </c>
      <c r="CK2977" s="3">
        <v>22</v>
      </c>
      <c r="CL2977" s="3" t="s">
        <v>87</v>
      </c>
    </row>
    <row r="2978" spans="1:90" x14ac:dyDescent="0.2">
      <c r="A2978" s="3" t="s">
        <v>72</v>
      </c>
      <c r="B2978" s="3" t="s">
        <v>73</v>
      </c>
      <c r="C2978" s="3" t="s">
        <v>74</v>
      </c>
      <c r="E2978" s="3" t="str">
        <f>"FES1162843347"</f>
        <v>FES1162843347</v>
      </c>
      <c r="F2978" s="4">
        <v>44565</v>
      </c>
      <c r="G2978" s="3">
        <v>202207</v>
      </c>
      <c r="H2978" s="3" t="s">
        <v>75</v>
      </c>
      <c r="I2978" s="3" t="s">
        <v>76</v>
      </c>
      <c r="J2978" s="3" t="s">
        <v>77</v>
      </c>
      <c r="K2978" s="3" t="s">
        <v>78</v>
      </c>
      <c r="L2978" s="3" t="s">
        <v>90</v>
      </c>
      <c r="M2978" s="3" t="s">
        <v>91</v>
      </c>
      <c r="N2978" s="3" t="s">
        <v>2755</v>
      </c>
      <c r="O2978" s="3" t="s">
        <v>82</v>
      </c>
      <c r="P2978" s="3" t="str">
        <f>"2170815387                    "</f>
        <v xml:space="preserve">2170815387                    </v>
      </c>
      <c r="Q2978" s="3">
        <v>0</v>
      </c>
      <c r="R2978" s="3">
        <v>0</v>
      </c>
      <c r="S2978" s="3">
        <v>0</v>
      </c>
      <c r="T2978" s="3">
        <v>0</v>
      </c>
      <c r="U2978" s="3">
        <v>0</v>
      </c>
      <c r="V2978" s="3">
        <v>0</v>
      </c>
      <c r="W2978" s="3">
        <v>0</v>
      </c>
      <c r="X2978" s="3">
        <v>0</v>
      </c>
      <c r="Y2978" s="3">
        <v>0</v>
      </c>
      <c r="Z2978" s="3">
        <v>0</v>
      </c>
      <c r="AA2978" s="3">
        <v>0</v>
      </c>
      <c r="AB2978" s="3">
        <v>0</v>
      </c>
      <c r="AC2978" s="3">
        <v>0</v>
      </c>
      <c r="AD2978" s="3">
        <v>0</v>
      </c>
      <c r="AE2978" s="3">
        <v>0</v>
      </c>
      <c r="AF2978" s="3">
        <v>0</v>
      </c>
      <c r="AG2978" s="3">
        <v>0</v>
      </c>
      <c r="AH2978" s="3">
        <v>0</v>
      </c>
      <c r="AI2978" s="3">
        <v>0</v>
      </c>
      <c r="AJ2978" s="3">
        <v>0</v>
      </c>
      <c r="AK2978" s="3">
        <v>16.98</v>
      </c>
      <c r="AL2978" s="3">
        <v>0</v>
      </c>
      <c r="AM2978" s="3">
        <v>0</v>
      </c>
      <c r="AN2978" s="3">
        <v>0</v>
      </c>
      <c r="AO2978" s="3">
        <v>0</v>
      </c>
      <c r="AP2978" s="3">
        <v>0</v>
      </c>
      <c r="AQ2978" s="3">
        <v>0</v>
      </c>
      <c r="AR2978" s="3">
        <v>0</v>
      </c>
      <c r="AS2978" s="3">
        <v>0</v>
      </c>
      <c r="AT2978" s="3">
        <v>0</v>
      </c>
      <c r="AU2978" s="3">
        <v>0</v>
      </c>
      <c r="AV2978" s="3">
        <v>0</v>
      </c>
      <c r="AW2978" s="3">
        <v>0</v>
      </c>
      <c r="AX2978" s="3">
        <v>0</v>
      </c>
      <c r="AY2978" s="3">
        <v>0</v>
      </c>
      <c r="AZ2978" s="3">
        <v>0</v>
      </c>
      <c r="BA2978" s="3">
        <v>0</v>
      </c>
      <c r="BB2978" s="3">
        <v>0</v>
      </c>
      <c r="BC2978" s="3">
        <v>0</v>
      </c>
      <c r="BD2978" s="3">
        <v>0</v>
      </c>
      <c r="BE2978" s="3">
        <v>0</v>
      </c>
      <c r="BF2978" s="3">
        <v>0</v>
      </c>
      <c r="BG2978" s="3">
        <v>0</v>
      </c>
      <c r="BH2978" s="3">
        <v>1</v>
      </c>
      <c r="BI2978" s="3">
        <v>1</v>
      </c>
      <c r="BJ2978" s="3">
        <v>0.2</v>
      </c>
      <c r="BK2978" s="3">
        <v>1</v>
      </c>
      <c r="BL2978" s="3">
        <v>60.52</v>
      </c>
      <c r="BM2978" s="3">
        <v>9.08</v>
      </c>
      <c r="BN2978" s="3">
        <v>69.599999999999994</v>
      </c>
      <c r="BO2978" s="3">
        <v>69.599999999999994</v>
      </c>
      <c r="BQ2978" s="3" t="s">
        <v>2756</v>
      </c>
      <c r="BR2978" s="3" t="s">
        <v>308</v>
      </c>
      <c r="BS2978" s="4">
        <v>44566</v>
      </c>
      <c r="BT2978" s="5">
        <v>0.39305555555555555</v>
      </c>
      <c r="BU2978" s="3" t="s">
        <v>2757</v>
      </c>
      <c r="BV2978" s="3" t="s">
        <v>105</v>
      </c>
      <c r="BY2978" s="3">
        <v>1200</v>
      </c>
      <c r="BZ2978" s="3" t="s">
        <v>165</v>
      </c>
      <c r="CA2978" s="3" t="s">
        <v>641</v>
      </c>
      <c r="CC2978" s="3" t="s">
        <v>91</v>
      </c>
      <c r="CD2978" s="3">
        <v>7530</v>
      </c>
      <c r="CE2978" s="3" t="s">
        <v>93</v>
      </c>
      <c r="CF2978" s="4">
        <v>44567</v>
      </c>
      <c r="CI2978" s="3">
        <v>1</v>
      </c>
      <c r="CJ2978" s="3">
        <v>1</v>
      </c>
      <c r="CK2978" s="3">
        <v>21</v>
      </c>
      <c r="CL2978" s="3" t="s">
        <v>87</v>
      </c>
    </row>
    <row r="2979" spans="1:90" x14ac:dyDescent="0.2">
      <c r="A2979" s="3" t="s">
        <v>72</v>
      </c>
      <c r="B2979" s="3" t="s">
        <v>73</v>
      </c>
      <c r="C2979" s="3" t="s">
        <v>74</v>
      </c>
      <c r="E2979" s="3" t="str">
        <f>"FES1162843733"</f>
        <v>FES1162843733</v>
      </c>
      <c r="F2979" s="4">
        <v>44566</v>
      </c>
      <c r="G2979" s="3">
        <v>202207</v>
      </c>
      <c r="H2979" s="3" t="s">
        <v>75</v>
      </c>
      <c r="I2979" s="3" t="s">
        <v>76</v>
      </c>
      <c r="J2979" s="3" t="s">
        <v>77</v>
      </c>
      <c r="K2979" s="3" t="s">
        <v>78</v>
      </c>
      <c r="L2979" s="3" t="s">
        <v>171</v>
      </c>
      <c r="M2979" s="3" t="s">
        <v>172</v>
      </c>
      <c r="N2979" s="3" t="s">
        <v>454</v>
      </c>
      <c r="O2979" s="3" t="s">
        <v>82</v>
      </c>
      <c r="P2979" s="3" t="str">
        <f>"2170813623                    "</f>
        <v xml:space="preserve">2170813623                    </v>
      </c>
      <c r="Q2979" s="3">
        <v>0</v>
      </c>
      <c r="R2979" s="3">
        <v>0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  <c r="AE2979" s="3">
        <v>0</v>
      </c>
      <c r="AF2979" s="3">
        <v>0</v>
      </c>
      <c r="AG2979" s="3">
        <v>0</v>
      </c>
      <c r="AH2979" s="3">
        <v>0</v>
      </c>
      <c r="AI2979" s="3">
        <v>0</v>
      </c>
      <c r="AJ2979" s="3">
        <v>0</v>
      </c>
      <c r="AK2979" s="3">
        <v>15.46</v>
      </c>
      <c r="AL2979" s="3">
        <v>0</v>
      </c>
      <c r="AM2979" s="3">
        <v>0</v>
      </c>
      <c r="AN2979" s="3">
        <v>0</v>
      </c>
      <c r="AO2979" s="3">
        <v>0</v>
      </c>
      <c r="AP2979" s="3">
        <v>0</v>
      </c>
      <c r="AQ2979" s="3">
        <v>0</v>
      </c>
      <c r="AR2979" s="3">
        <v>0</v>
      </c>
      <c r="AS2979" s="3">
        <v>0</v>
      </c>
      <c r="AT2979" s="3">
        <v>0</v>
      </c>
      <c r="AU2979" s="3">
        <v>0</v>
      </c>
      <c r="AV2979" s="3">
        <v>0</v>
      </c>
      <c r="AW2979" s="3">
        <v>0</v>
      </c>
      <c r="AX2979" s="3">
        <v>0</v>
      </c>
      <c r="AY2979" s="3">
        <v>0</v>
      </c>
      <c r="AZ2979" s="3">
        <v>0</v>
      </c>
      <c r="BA2979" s="3">
        <v>0</v>
      </c>
      <c r="BB2979" s="3">
        <v>0</v>
      </c>
      <c r="BC2979" s="3">
        <v>0</v>
      </c>
      <c r="BD2979" s="3">
        <v>0</v>
      </c>
      <c r="BE2979" s="3">
        <v>0</v>
      </c>
      <c r="BF2979" s="3">
        <v>0</v>
      </c>
      <c r="BG2979" s="3">
        <v>0</v>
      </c>
      <c r="BH2979" s="3">
        <v>1</v>
      </c>
      <c r="BI2979" s="3">
        <v>1</v>
      </c>
      <c r="BJ2979" s="3">
        <v>0.2</v>
      </c>
      <c r="BK2979" s="3">
        <v>1</v>
      </c>
      <c r="BL2979" s="3">
        <v>59</v>
      </c>
      <c r="BM2979" s="3">
        <v>8.85</v>
      </c>
      <c r="BN2979" s="3">
        <v>67.849999999999994</v>
      </c>
      <c r="BO2979" s="3">
        <v>67.849999999999994</v>
      </c>
      <c r="BQ2979" s="3" t="s">
        <v>89</v>
      </c>
      <c r="BR2979" s="3" t="s">
        <v>364</v>
      </c>
      <c r="BS2979" s="4">
        <v>44567</v>
      </c>
      <c r="BT2979" s="5">
        <v>0.4375</v>
      </c>
      <c r="BU2979" s="3" t="s">
        <v>2642</v>
      </c>
      <c r="BV2979" s="3" t="s">
        <v>105</v>
      </c>
      <c r="BY2979" s="3">
        <v>1200</v>
      </c>
      <c r="BZ2979" s="3" t="s">
        <v>165</v>
      </c>
      <c r="CC2979" s="3" t="s">
        <v>172</v>
      </c>
      <c r="CD2979" s="3">
        <v>6001</v>
      </c>
      <c r="CE2979" s="3" t="s">
        <v>93</v>
      </c>
      <c r="CF2979" s="4">
        <v>44567</v>
      </c>
      <c r="CI2979" s="3">
        <v>1</v>
      </c>
      <c r="CJ2979" s="3">
        <v>1</v>
      </c>
      <c r="CK2979" s="3">
        <v>21</v>
      </c>
      <c r="CL2979" s="3" t="s">
        <v>87</v>
      </c>
    </row>
    <row r="2980" spans="1:90" x14ac:dyDescent="0.2">
      <c r="A2980" s="3" t="s">
        <v>72</v>
      </c>
      <c r="B2980" s="3" t="s">
        <v>73</v>
      </c>
      <c r="C2980" s="3" t="s">
        <v>74</v>
      </c>
      <c r="E2980" s="3" t="str">
        <f>"FES1162843354"</f>
        <v>FES1162843354</v>
      </c>
      <c r="F2980" s="4">
        <v>44565</v>
      </c>
      <c r="G2980" s="3">
        <v>202207</v>
      </c>
      <c r="H2980" s="3" t="s">
        <v>75</v>
      </c>
      <c r="I2980" s="3" t="s">
        <v>76</v>
      </c>
      <c r="J2980" s="3" t="s">
        <v>77</v>
      </c>
      <c r="K2980" s="3" t="s">
        <v>78</v>
      </c>
      <c r="L2980" s="3" t="s">
        <v>298</v>
      </c>
      <c r="M2980" s="3" t="s">
        <v>299</v>
      </c>
      <c r="N2980" s="3" t="s">
        <v>1567</v>
      </c>
      <c r="O2980" s="3" t="s">
        <v>82</v>
      </c>
      <c r="P2980" s="3" t="str">
        <f>"2170815471                    "</f>
        <v xml:space="preserve">2170815471                    </v>
      </c>
      <c r="Q2980" s="3">
        <v>0</v>
      </c>
      <c r="R2980" s="3">
        <v>0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  <c r="AE2980" s="3">
        <v>0</v>
      </c>
      <c r="AF2980" s="3">
        <v>0</v>
      </c>
      <c r="AG2980" s="3">
        <v>0</v>
      </c>
      <c r="AH2980" s="3">
        <v>0</v>
      </c>
      <c r="AI2980" s="3">
        <v>0</v>
      </c>
      <c r="AJ2980" s="3">
        <v>0</v>
      </c>
      <c r="AK2980" s="3">
        <v>32.9</v>
      </c>
      <c r="AL2980" s="3">
        <v>0</v>
      </c>
      <c r="AM2980" s="3">
        <v>0</v>
      </c>
      <c r="AN2980" s="3">
        <v>0</v>
      </c>
      <c r="AO2980" s="3">
        <v>0</v>
      </c>
      <c r="AP2980" s="3">
        <v>0</v>
      </c>
      <c r="AQ2980" s="3">
        <v>0</v>
      </c>
      <c r="AR2980" s="3">
        <v>0</v>
      </c>
      <c r="AS2980" s="3">
        <v>0</v>
      </c>
      <c r="AT2980" s="3">
        <v>0</v>
      </c>
      <c r="AU2980" s="3">
        <v>0</v>
      </c>
      <c r="AV2980" s="3">
        <v>0</v>
      </c>
      <c r="AW2980" s="3">
        <v>0</v>
      </c>
      <c r="AX2980" s="3">
        <v>0</v>
      </c>
      <c r="AY2980" s="3">
        <v>0</v>
      </c>
      <c r="AZ2980" s="3">
        <v>0</v>
      </c>
      <c r="BA2980" s="3">
        <v>0</v>
      </c>
      <c r="BB2980" s="3">
        <v>0</v>
      </c>
      <c r="BC2980" s="3">
        <v>0</v>
      </c>
      <c r="BD2980" s="3">
        <v>0</v>
      </c>
      <c r="BE2980" s="3">
        <v>0</v>
      </c>
      <c r="BF2980" s="3">
        <v>0</v>
      </c>
      <c r="BG2980" s="3">
        <v>0</v>
      </c>
      <c r="BH2980" s="3">
        <v>1</v>
      </c>
      <c r="BI2980" s="3">
        <v>1</v>
      </c>
      <c r="BJ2980" s="3">
        <v>0.2</v>
      </c>
      <c r="BK2980" s="3">
        <v>1</v>
      </c>
      <c r="BL2980" s="3">
        <v>117.26</v>
      </c>
      <c r="BM2980" s="3">
        <v>17.59</v>
      </c>
      <c r="BN2980" s="3">
        <v>134.85</v>
      </c>
      <c r="BO2980" s="3">
        <v>134.85</v>
      </c>
      <c r="BQ2980" s="3" t="s">
        <v>89</v>
      </c>
      <c r="BR2980" s="3" t="s">
        <v>308</v>
      </c>
      <c r="BS2980" s="4">
        <v>44566</v>
      </c>
      <c r="BT2980" s="5">
        <v>0.41041666666666665</v>
      </c>
      <c r="BU2980" s="3" t="s">
        <v>315</v>
      </c>
      <c r="BV2980" s="3" t="s">
        <v>105</v>
      </c>
      <c r="BY2980" s="3">
        <v>1200</v>
      </c>
      <c r="BZ2980" s="3" t="s">
        <v>165</v>
      </c>
      <c r="CA2980" s="3" t="s">
        <v>268</v>
      </c>
      <c r="CC2980" s="3" t="s">
        <v>299</v>
      </c>
      <c r="CD2980" s="3">
        <v>7349</v>
      </c>
      <c r="CE2980" s="3" t="s">
        <v>93</v>
      </c>
      <c r="CF2980" s="4">
        <v>44567</v>
      </c>
      <c r="CI2980" s="3">
        <v>1</v>
      </c>
      <c r="CJ2980" s="3">
        <v>1</v>
      </c>
      <c r="CK2980" s="3">
        <v>23</v>
      </c>
      <c r="CL2980" s="3" t="s">
        <v>87</v>
      </c>
    </row>
    <row r="2981" spans="1:90" x14ac:dyDescent="0.2">
      <c r="A2981" s="3" t="s">
        <v>72</v>
      </c>
      <c r="B2981" s="3" t="s">
        <v>73</v>
      </c>
      <c r="C2981" s="3" t="s">
        <v>74</v>
      </c>
      <c r="E2981" s="3" t="str">
        <f>"FES1162843798"</f>
        <v>FES1162843798</v>
      </c>
      <c r="F2981" s="4">
        <v>44566</v>
      </c>
      <c r="G2981" s="3">
        <v>202207</v>
      </c>
      <c r="H2981" s="3" t="s">
        <v>75</v>
      </c>
      <c r="I2981" s="3" t="s">
        <v>76</v>
      </c>
      <c r="J2981" s="3" t="s">
        <v>77</v>
      </c>
      <c r="K2981" s="3" t="s">
        <v>78</v>
      </c>
      <c r="L2981" s="3" t="s">
        <v>90</v>
      </c>
      <c r="M2981" s="3" t="s">
        <v>91</v>
      </c>
      <c r="N2981" s="3" t="s">
        <v>760</v>
      </c>
      <c r="O2981" s="3" t="s">
        <v>82</v>
      </c>
      <c r="P2981" s="3" t="str">
        <f>"2170815727                    "</f>
        <v xml:space="preserve">2170815727                    </v>
      </c>
      <c r="Q2981" s="3">
        <v>0</v>
      </c>
      <c r="R2981" s="3">
        <v>0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  <c r="AE2981" s="3">
        <v>0</v>
      </c>
      <c r="AF2981" s="3">
        <v>0</v>
      </c>
      <c r="AG2981" s="3">
        <v>0</v>
      </c>
      <c r="AH2981" s="3">
        <v>0</v>
      </c>
      <c r="AI2981" s="3">
        <v>0</v>
      </c>
      <c r="AJ2981" s="3">
        <v>0</v>
      </c>
      <c r="AK2981" s="3">
        <v>15.46</v>
      </c>
      <c r="AL2981" s="3">
        <v>0</v>
      </c>
      <c r="AM2981" s="3">
        <v>0</v>
      </c>
      <c r="AN2981" s="3">
        <v>0</v>
      </c>
      <c r="AO2981" s="3">
        <v>0</v>
      </c>
      <c r="AP2981" s="3">
        <v>0</v>
      </c>
      <c r="AQ2981" s="3">
        <v>0</v>
      </c>
      <c r="AR2981" s="3">
        <v>0</v>
      </c>
      <c r="AS2981" s="3">
        <v>0</v>
      </c>
      <c r="AT2981" s="3">
        <v>0</v>
      </c>
      <c r="AU2981" s="3">
        <v>0</v>
      </c>
      <c r="AV2981" s="3">
        <v>0</v>
      </c>
      <c r="AW2981" s="3">
        <v>0</v>
      </c>
      <c r="AX2981" s="3">
        <v>0</v>
      </c>
      <c r="AY2981" s="3">
        <v>0</v>
      </c>
      <c r="AZ2981" s="3">
        <v>0</v>
      </c>
      <c r="BA2981" s="3">
        <v>0</v>
      </c>
      <c r="BB2981" s="3">
        <v>0</v>
      </c>
      <c r="BC2981" s="3">
        <v>0</v>
      </c>
      <c r="BD2981" s="3">
        <v>0</v>
      </c>
      <c r="BE2981" s="3">
        <v>0</v>
      </c>
      <c r="BF2981" s="3">
        <v>0</v>
      </c>
      <c r="BG2981" s="3">
        <v>0</v>
      </c>
      <c r="BH2981" s="3">
        <v>1</v>
      </c>
      <c r="BI2981" s="3">
        <v>1</v>
      </c>
      <c r="BJ2981" s="3">
        <v>0.2</v>
      </c>
      <c r="BK2981" s="3">
        <v>1</v>
      </c>
      <c r="BL2981" s="3">
        <v>59</v>
      </c>
      <c r="BM2981" s="3">
        <v>8.85</v>
      </c>
      <c r="BN2981" s="3">
        <v>67.849999999999994</v>
      </c>
      <c r="BO2981" s="3">
        <v>67.849999999999994</v>
      </c>
      <c r="BQ2981" s="3" t="s">
        <v>83</v>
      </c>
      <c r="BR2981" s="3" t="s">
        <v>364</v>
      </c>
      <c r="BS2981" s="4">
        <v>44567</v>
      </c>
      <c r="BT2981" s="5">
        <v>0.34791666666666665</v>
      </c>
      <c r="BU2981" s="3" t="s">
        <v>2758</v>
      </c>
      <c r="BV2981" s="3" t="s">
        <v>105</v>
      </c>
      <c r="BY2981" s="3">
        <v>1200</v>
      </c>
      <c r="BZ2981" s="3" t="s">
        <v>165</v>
      </c>
      <c r="CA2981" s="3" t="s">
        <v>930</v>
      </c>
      <c r="CC2981" s="3" t="s">
        <v>91</v>
      </c>
      <c r="CD2981" s="3">
        <v>7460</v>
      </c>
      <c r="CE2981" s="3" t="s">
        <v>93</v>
      </c>
      <c r="CF2981" s="4">
        <v>44568</v>
      </c>
      <c r="CI2981" s="3">
        <v>1</v>
      </c>
      <c r="CJ2981" s="3">
        <v>1</v>
      </c>
      <c r="CK2981" s="3">
        <v>21</v>
      </c>
      <c r="CL2981" s="3" t="s">
        <v>87</v>
      </c>
    </row>
    <row r="2982" spans="1:90" x14ac:dyDescent="0.2">
      <c r="A2982" s="3" t="s">
        <v>72</v>
      </c>
      <c r="B2982" s="3" t="s">
        <v>73</v>
      </c>
      <c r="C2982" s="3" t="s">
        <v>74</v>
      </c>
      <c r="E2982" s="3" t="str">
        <f>"FES1162843361"</f>
        <v>FES1162843361</v>
      </c>
      <c r="F2982" s="4">
        <v>44565</v>
      </c>
      <c r="G2982" s="3">
        <v>202207</v>
      </c>
      <c r="H2982" s="3" t="s">
        <v>75</v>
      </c>
      <c r="I2982" s="3" t="s">
        <v>76</v>
      </c>
      <c r="J2982" s="3" t="s">
        <v>77</v>
      </c>
      <c r="K2982" s="3" t="s">
        <v>78</v>
      </c>
      <c r="L2982" s="3" t="s">
        <v>171</v>
      </c>
      <c r="M2982" s="3" t="s">
        <v>172</v>
      </c>
      <c r="N2982" s="3" t="s">
        <v>200</v>
      </c>
      <c r="O2982" s="3" t="s">
        <v>82</v>
      </c>
      <c r="P2982" s="3" t="str">
        <f>"2170815558                    "</f>
        <v xml:space="preserve">2170815558                    </v>
      </c>
      <c r="Q2982" s="3">
        <v>0</v>
      </c>
      <c r="R2982" s="3">
        <v>0</v>
      </c>
      <c r="S2982" s="3">
        <v>0</v>
      </c>
      <c r="T2982" s="3">
        <v>0</v>
      </c>
      <c r="U2982" s="3">
        <v>0</v>
      </c>
      <c r="V2982" s="3">
        <v>0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0</v>
      </c>
      <c r="AC2982" s="3">
        <v>0</v>
      </c>
      <c r="AD2982" s="3">
        <v>0</v>
      </c>
      <c r="AE2982" s="3">
        <v>0</v>
      </c>
      <c r="AF2982" s="3">
        <v>0</v>
      </c>
      <c r="AG2982" s="3">
        <v>0</v>
      </c>
      <c r="AH2982" s="3">
        <v>0</v>
      </c>
      <c r="AI2982" s="3">
        <v>0</v>
      </c>
      <c r="AJ2982" s="3">
        <v>0</v>
      </c>
      <c r="AK2982" s="3">
        <v>16.98</v>
      </c>
      <c r="AL2982" s="3">
        <v>0</v>
      </c>
      <c r="AM2982" s="3">
        <v>0</v>
      </c>
      <c r="AN2982" s="3">
        <v>0</v>
      </c>
      <c r="AO2982" s="3">
        <v>0</v>
      </c>
      <c r="AP2982" s="3">
        <v>0</v>
      </c>
      <c r="AQ2982" s="3">
        <v>0</v>
      </c>
      <c r="AR2982" s="3">
        <v>0</v>
      </c>
      <c r="AS2982" s="3">
        <v>0</v>
      </c>
      <c r="AT2982" s="3">
        <v>0</v>
      </c>
      <c r="AU2982" s="3">
        <v>0</v>
      </c>
      <c r="AV2982" s="3">
        <v>0</v>
      </c>
      <c r="AW2982" s="3">
        <v>0</v>
      </c>
      <c r="AX2982" s="3">
        <v>0</v>
      </c>
      <c r="AY2982" s="3">
        <v>0</v>
      </c>
      <c r="AZ2982" s="3">
        <v>0</v>
      </c>
      <c r="BA2982" s="3">
        <v>0</v>
      </c>
      <c r="BB2982" s="3">
        <v>0</v>
      </c>
      <c r="BC2982" s="3">
        <v>0</v>
      </c>
      <c r="BD2982" s="3">
        <v>0</v>
      </c>
      <c r="BE2982" s="3">
        <v>0</v>
      </c>
      <c r="BF2982" s="3">
        <v>0</v>
      </c>
      <c r="BG2982" s="3">
        <v>0</v>
      </c>
      <c r="BH2982" s="3">
        <v>1</v>
      </c>
      <c r="BI2982" s="3">
        <v>1</v>
      </c>
      <c r="BJ2982" s="3">
        <v>0.2</v>
      </c>
      <c r="BK2982" s="3">
        <v>1</v>
      </c>
      <c r="BL2982" s="3">
        <v>60.52</v>
      </c>
      <c r="BM2982" s="3">
        <v>9.08</v>
      </c>
      <c r="BN2982" s="3">
        <v>69.599999999999994</v>
      </c>
      <c r="BO2982" s="3">
        <v>69.599999999999994</v>
      </c>
      <c r="BQ2982" s="3" t="s">
        <v>89</v>
      </c>
      <c r="BR2982" s="3" t="s">
        <v>308</v>
      </c>
      <c r="BS2982" s="4">
        <v>44566</v>
      </c>
      <c r="BT2982" s="5">
        <v>0.42152777777777778</v>
      </c>
      <c r="BU2982" s="3" t="s">
        <v>908</v>
      </c>
      <c r="BV2982" s="3" t="s">
        <v>105</v>
      </c>
      <c r="BY2982" s="3">
        <v>1200</v>
      </c>
      <c r="BZ2982" s="3" t="s">
        <v>165</v>
      </c>
      <c r="CA2982" s="3" t="s">
        <v>814</v>
      </c>
      <c r="CC2982" s="3" t="s">
        <v>172</v>
      </c>
      <c r="CD2982" s="3">
        <v>6001</v>
      </c>
      <c r="CE2982" s="3" t="s">
        <v>93</v>
      </c>
      <c r="CF2982" s="4">
        <v>44566</v>
      </c>
      <c r="CI2982" s="3">
        <v>1</v>
      </c>
      <c r="CJ2982" s="3">
        <v>1</v>
      </c>
      <c r="CK2982" s="3">
        <v>21</v>
      </c>
      <c r="CL2982" s="3" t="s">
        <v>87</v>
      </c>
    </row>
    <row r="2983" spans="1:90" x14ac:dyDescent="0.2">
      <c r="A2983" s="3" t="s">
        <v>72</v>
      </c>
      <c r="B2983" s="3" t="s">
        <v>73</v>
      </c>
      <c r="C2983" s="3" t="s">
        <v>74</v>
      </c>
      <c r="E2983" s="3" t="str">
        <f>"FES1162843703"</f>
        <v>FES1162843703</v>
      </c>
      <c r="F2983" s="4">
        <v>44566</v>
      </c>
      <c r="G2983" s="3">
        <v>202207</v>
      </c>
      <c r="H2983" s="3" t="s">
        <v>75</v>
      </c>
      <c r="I2983" s="3" t="s">
        <v>76</v>
      </c>
      <c r="J2983" s="3" t="s">
        <v>77</v>
      </c>
      <c r="K2983" s="3" t="s">
        <v>78</v>
      </c>
      <c r="L2983" s="3" t="s">
        <v>75</v>
      </c>
      <c r="M2983" s="3" t="s">
        <v>76</v>
      </c>
      <c r="N2983" s="3" t="s">
        <v>224</v>
      </c>
      <c r="O2983" s="3" t="s">
        <v>82</v>
      </c>
      <c r="P2983" s="3" t="str">
        <f>"2170814532                    "</f>
        <v xml:space="preserve">2170814532                    </v>
      </c>
      <c r="Q2983" s="3">
        <v>0</v>
      </c>
      <c r="R2983" s="3">
        <v>0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  <c r="AE2983" s="3">
        <v>0</v>
      </c>
      <c r="AF2983" s="3">
        <v>0</v>
      </c>
      <c r="AG2983" s="3">
        <v>0</v>
      </c>
      <c r="AH2983" s="3">
        <v>0</v>
      </c>
      <c r="AI2983" s="3">
        <v>0</v>
      </c>
      <c r="AJ2983" s="3">
        <v>0</v>
      </c>
      <c r="AK2983" s="3">
        <v>12.07</v>
      </c>
      <c r="AL2983" s="3">
        <v>0</v>
      </c>
      <c r="AM2983" s="3">
        <v>0</v>
      </c>
      <c r="AN2983" s="3">
        <v>0</v>
      </c>
      <c r="AO2983" s="3">
        <v>0</v>
      </c>
      <c r="AP2983" s="3">
        <v>0</v>
      </c>
      <c r="AQ2983" s="3">
        <v>0</v>
      </c>
      <c r="AR2983" s="3">
        <v>0</v>
      </c>
      <c r="AS2983" s="3">
        <v>0</v>
      </c>
      <c r="AT2983" s="3">
        <v>0</v>
      </c>
      <c r="AU2983" s="3">
        <v>0</v>
      </c>
      <c r="AV2983" s="3">
        <v>0</v>
      </c>
      <c r="AW2983" s="3">
        <v>0</v>
      </c>
      <c r="AX2983" s="3">
        <v>0</v>
      </c>
      <c r="AY2983" s="3">
        <v>0</v>
      </c>
      <c r="AZ2983" s="3">
        <v>0</v>
      </c>
      <c r="BA2983" s="3">
        <v>0</v>
      </c>
      <c r="BB2983" s="3">
        <v>0</v>
      </c>
      <c r="BC2983" s="3">
        <v>0</v>
      </c>
      <c r="BD2983" s="3">
        <v>0</v>
      </c>
      <c r="BE2983" s="3">
        <v>0</v>
      </c>
      <c r="BF2983" s="3">
        <v>0</v>
      </c>
      <c r="BG2983" s="3">
        <v>0</v>
      </c>
      <c r="BH2983" s="3">
        <v>1</v>
      </c>
      <c r="BI2983" s="3">
        <v>2</v>
      </c>
      <c r="BJ2983" s="3">
        <v>0.7</v>
      </c>
      <c r="BK2983" s="3">
        <v>2</v>
      </c>
      <c r="BL2983" s="3">
        <v>46.08</v>
      </c>
      <c r="BM2983" s="3">
        <v>6.91</v>
      </c>
      <c r="BN2983" s="3">
        <v>52.99</v>
      </c>
      <c r="BO2983" s="3">
        <v>52.99</v>
      </c>
      <c r="BQ2983" s="3" t="s">
        <v>83</v>
      </c>
      <c r="BR2983" s="3" t="s">
        <v>364</v>
      </c>
      <c r="BS2983" s="4">
        <v>44567</v>
      </c>
      <c r="BT2983" s="5">
        <v>0.33958333333333335</v>
      </c>
      <c r="BU2983" s="3" t="s">
        <v>347</v>
      </c>
      <c r="BV2983" s="3" t="s">
        <v>105</v>
      </c>
      <c r="BY2983" s="3">
        <v>3600</v>
      </c>
      <c r="BZ2983" s="3" t="s">
        <v>165</v>
      </c>
      <c r="CA2983" s="3" t="s">
        <v>227</v>
      </c>
      <c r="CC2983" s="3" t="s">
        <v>76</v>
      </c>
      <c r="CD2983" s="3">
        <v>1600</v>
      </c>
      <c r="CE2983" s="3" t="s">
        <v>86</v>
      </c>
      <c r="CF2983" s="4">
        <v>44567</v>
      </c>
      <c r="CI2983" s="3">
        <v>1</v>
      </c>
      <c r="CJ2983" s="3">
        <v>1</v>
      </c>
      <c r="CK2983" s="3">
        <v>22</v>
      </c>
      <c r="CL2983" s="3" t="s">
        <v>87</v>
      </c>
    </row>
    <row r="2984" spans="1:90" x14ac:dyDescent="0.2">
      <c r="A2984" s="3" t="s">
        <v>72</v>
      </c>
      <c r="B2984" s="3" t="s">
        <v>73</v>
      </c>
      <c r="C2984" s="3" t="s">
        <v>74</v>
      </c>
      <c r="E2984" s="3" t="str">
        <f>"FES1162843343"</f>
        <v>FES1162843343</v>
      </c>
      <c r="F2984" s="4">
        <v>44565</v>
      </c>
      <c r="G2984" s="3">
        <v>202207</v>
      </c>
      <c r="H2984" s="3" t="s">
        <v>75</v>
      </c>
      <c r="I2984" s="3" t="s">
        <v>76</v>
      </c>
      <c r="J2984" s="3" t="s">
        <v>77</v>
      </c>
      <c r="K2984" s="3" t="s">
        <v>78</v>
      </c>
      <c r="L2984" s="3" t="s">
        <v>90</v>
      </c>
      <c r="M2984" s="3" t="s">
        <v>91</v>
      </c>
      <c r="N2984" s="3" t="s">
        <v>2759</v>
      </c>
      <c r="O2984" s="3" t="s">
        <v>82</v>
      </c>
      <c r="P2984" s="3" t="str">
        <f>"2170815293                    "</f>
        <v xml:space="preserve">2170815293                    </v>
      </c>
      <c r="Q2984" s="3">
        <v>0</v>
      </c>
      <c r="R2984" s="3">
        <v>0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  <c r="AE2984" s="3">
        <v>0</v>
      </c>
      <c r="AF2984" s="3">
        <v>0</v>
      </c>
      <c r="AG2984" s="3">
        <v>0</v>
      </c>
      <c r="AH2984" s="3">
        <v>0</v>
      </c>
      <c r="AI2984" s="3">
        <v>0</v>
      </c>
      <c r="AJ2984" s="3">
        <v>0</v>
      </c>
      <c r="AK2984" s="3">
        <v>16.98</v>
      </c>
      <c r="AL2984" s="3">
        <v>0</v>
      </c>
      <c r="AM2984" s="3">
        <v>0</v>
      </c>
      <c r="AN2984" s="3">
        <v>0</v>
      </c>
      <c r="AO2984" s="3">
        <v>0</v>
      </c>
      <c r="AP2984" s="3">
        <v>0</v>
      </c>
      <c r="AQ2984" s="3">
        <v>0</v>
      </c>
      <c r="AR2984" s="3">
        <v>0</v>
      </c>
      <c r="AS2984" s="3">
        <v>0</v>
      </c>
      <c r="AT2984" s="3">
        <v>0</v>
      </c>
      <c r="AU2984" s="3">
        <v>0</v>
      </c>
      <c r="AV2984" s="3">
        <v>0</v>
      </c>
      <c r="AW2984" s="3">
        <v>0</v>
      </c>
      <c r="AX2984" s="3">
        <v>0</v>
      </c>
      <c r="AY2984" s="3">
        <v>0</v>
      </c>
      <c r="AZ2984" s="3">
        <v>0</v>
      </c>
      <c r="BA2984" s="3">
        <v>0</v>
      </c>
      <c r="BB2984" s="3">
        <v>0</v>
      </c>
      <c r="BC2984" s="3">
        <v>0</v>
      </c>
      <c r="BD2984" s="3">
        <v>0</v>
      </c>
      <c r="BE2984" s="3">
        <v>0</v>
      </c>
      <c r="BF2984" s="3">
        <v>0</v>
      </c>
      <c r="BG2984" s="3">
        <v>0</v>
      </c>
      <c r="BH2984" s="3">
        <v>1</v>
      </c>
      <c r="BI2984" s="3">
        <v>1</v>
      </c>
      <c r="BJ2984" s="3">
        <v>0.2</v>
      </c>
      <c r="BK2984" s="3">
        <v>1</v>
      </c>
      <c r="BL2984" s="3">
        <v>60.52</v>
      </c>
      <c r="BM2984" s="3">
        <v>9.08</v>
      </c>
      <c r="BN2984" s="3">
        <v>69.599999999999994</v>
      </c>
      <c r="BO2984" s="3">
        <v>69.599999999999994</v>
      </c>
      <c r="BR2984" s="3" t="s">
        <v>308</v>
      </c>
      <c r="BS2984" s="4">
        <v>44566</v>
      </c>
      <c r="BT2984" s="5">
        <v>0.31458333333333333</v>
      </c>
      <c r="BU2984" s="3" t="s">
        <v>2760</v>
      </c>
      <c r="BV2984" s="3" t="s">
        <v>105</v>
      </c>
      <c r="BY2984" s="3">
        <v>1200</v>
      </c>
      <c r="BZ2984" s="3" t="s">
        <v>165</v>
      </c>
      <c r="CA2984" s="3" t="s">
        <v>692</v>
      </c>
      <c r="CC2984" s="3" t="s">
        <v>91</v>
      </c>
      <c r="CD2984" s="3">
        <v>7405</v>
      </c>
      <c r="CE2984" s="3" t="s">
        <v>93</v>
      </c>
      <c r="CF2984" s="4">
        <v>44567</v>
      </c>
      <c r="CI2984" s="3">
        <v>1</v>
      </c>
      <c r="CJ2984" s="3">
        <v>1</v>
      </c>
      <c r="CK2984" s="3">
        <v>21</v>
      </c>
      <c r="CL2984" s="3" t="s">
        <v>87</v>
      </c>
    </row>
    <row r="2985" spans="1:90" x14ac:dyDescent="0.2">
      <c r="A2985" s="3" t="s">
        <v>72</v>
      </c>
      <c r="B2985" s="3" t="s">
        <v>73</v>
      </c>
      <c r="C2985" s="3" t="s">
        <v>74</v>
      </c>
      <c r="E2985" s="3" t="str">
        <f>"FES1162843204"</f>
        <v>FES1162843204</v>
      </c>
      <c r="F2985" s="4">
        <v>44564</v>
      </c>
      <c r="G2985" s="3">
        <v>202207</v>
      </c>
      <c r="H2985" s="3" t="s">
        <v>75</v>
      </c>
      <c r="I2985" s="3" t="s">
        <v>76</v>
      </c>
      <c r="J2985" s="3" t="s">
        <v>77</v>
      </c>
      <c r="K2985" s="3" t="s">
        <v>78</v>
      </c>
      <c r="L2985" s="3" t="s">
        <v>989</v>
      </c>
      <c r="M2985" s="3" t="s">
        <v>990</v>
      </c>
      <c r="N2985" s="3" t="s">
        <v>2761</v>
      </c>
      <c r="O2985" s="3" t="s">
        <v>82</v>
      </c>
      <c r="P2985" s="3" t="str">
        <f>"2170813107                    "</f>
        <v xml:space="preserve">2170813107                    </v>
      </c>
      <c r="Q2985" s="3">
        <v>0</v>
      </c>
      <c r="R2985" s="3">
        <v>0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  <c r="AE2985" s="3">
        <v>0</v>
      </c>
      <c r="AF2985" s="3">
        <v>0</v>
      </c>
      <c r="AG2985" s="3">
        <v>0</v>
      </c>
      <c r="AH2985" s="3">
        <v>0</v>
      </c>
      <c r="AI2985" s="3">
        <v>0</v>
      </c>
      <c r="AJ2985" s="3">
        <v>0</v>
      </c>
      <c r="AK2985" s="3">
        <v>21.22</v>
      </c>
      <c r="AL2985" s="3">
        <v>0</v>
      </c>
      <c r="AM2985" s="3">
        <v>0</v>
      </c>
      <c r="AN2985" s="3">
        <v>0</v>
      </c>
      <c r="AO2985" s="3">
        <v>0</v>
      </c>
      <c r="AP2985" s="3">
        <v>0</v>
      </c>
      <c r="AQ2985" s="3">
        <v>0</v>
      </c>
      <c r="AR2985" s="3">
        <v>0</v>
      </c>
      <c r="AS2985" s="3">
        <v>0</v>
      </c>
      <c r="AT2985" s="3">
        <v>0</v>
      </c>
      <c r="AU2985" s="3">
        <v>0</v>
      </c>
      <c r="AV2985" s="3">
        <v>0</v>
      </c>
      <c r="AW2985" s="3">
        <v>0</v>
      </c>
      <c r="AX2985" s="3">
        <v>0</v>
      </c>
      <c r="AY2985" s="3">
        <v>0</v>
      </c>
      <c r="AZ2985" s="3">
        <v>0</v>
      </c>
      <c r="BA2985" s="3">
        <v>0</v>
      </c>
      <c r="BB2985" s="3">
        <v>0</v>
      </c>
      <c r="BC2985" s="3">
        <v>0</v>
      </c>
      <c r="BD2985" s="3">
        <v>0</v>
      </c>
      <c r="BE2985" s="3">
        <v>0</v>
      </c>
      <c r="BF2985" s="3">
        <v>0</v>
      </c>
      <c r="BG2985" s="3">
        <v>0</v>
      </c>
      <c r="BH2985" s="3">
        <v>1</v>
      </c>
      <c r="BI2985" s="3">
        <v>2.2999999999999998</v>
      </c>
      <c r="BJ2985" s="3">
        <v>2.1</v>
      </c>
      <c r="BK2985" s="3">
        <v>2.5</v>
      </c>
      <c r="BL2985" s="3">
        <v>75.64</v>
      </c>
      <c r="BM2985" s="3">
        <v>11.35</v>
      </c>
      <c r="BN2985" s="3">
        <v>86.99</v>
      </c>
      <c r="BO2985" s="3">
        <v>86.99</v>
      </c>
      <c r="BQ2985" s="3" t="s">
        <v>89</v>
      </c>
      <c r="BR2985" s="3" t="s">
        <v>308</v>
      </c>
      <c r="BS2985" s="4">
        <v>44565</v>
      </c>
      <c r="BT2985" s="5">
        <v>0.3354166666666667</v>
      </c>
      <c r="BU2985" s="3" t="s">
        <v>984</v>
      </c>
      <c r="BV2985" s="3" t="s">
        <v>105</v>
      </c>
      <c r="BY2985" s="3">
        <v>10283.6</v>
      </c>
      <c r="BZ2985" s="3" t="s">
        <v>165</v>
      </c>
      <c r="CA2985" s="3" t="s">
        <v>992</v>
      </c>
      <c r="CC2985" s="3" t="s">
        <v>990</v>
      </c>
      <c r="CD2985" s="3">
        <v>700</v>
      </c>
      <c r="CE2985" s="3" t="s">
        <v>93</v>
      </c>
      <c r="CF2985" s="4">
        <v>44565</v>
      </c>
      <c r="CI2985" s="3">
        <v>1</v>
      </c>
      <c r="CJ2985" s="3">
        <v>1</v>
      </c>
      <c r="CK2985" s="3">
        <v>21</v>
      </c>
      <c r="CL2985" s="3" t="s">
        <v>87</v>
      </c>
    </row>
    <row r="2986" spans="1:90" x14ac:dyDescent="0.2">
      <c r="A2986" s="3" t="s">
        <v>72</v>
      </c>
      <c r="B2986" s="3" t="s">
        <v>73</v>
      </c>
      <c r="C2986" s="3" t="s">
        <v>74</v>
      </c>
      <c r="E2986" s="3" t="str">
        <f>"FES1162843324"</f>
        <v>FES1162843324</v>
      </c>
      <c r="F2986" s="4">
        <v>44565</v>
      </c>
      <c r="G2986" s="3">
        <v>202207</v>
      </c>
      <c r="H2986" s="3" t="s">
        <v>75</v>
      </c>
      <c r="I2986" s="3" t="s">
        <v>76</v>
      </c>
      <c r="J2986" s="3" t="s">
        <v>77</v>
      </c>
      <c r="K2986" s="3" t="s">
        <v>78</v>
      </c>
      <c r="L2986" s="3" t="s">
        <v>171</v>
      </c>
      <c r="M2986" s="3" t="s">
        <v>172</v>
      </c>
      <c r="N2986" s="3" t="s">
        <v>329</v>
      </c>
      <c r="O2986" s="3" t="s">
        <v>82</v>
      </c>
      <c r="P2986" s="3" t="str">
        <f>"2170812161                    "</f>
        <v xml:space="preserve">2170812161                    </v>
      </c>
      <c r="Q2986" s="3">
        <v>0</v>
      </c>
      <c r="R2986" s="3">
        <v>0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  <c r="AE2986" s="3">
        <v>0</v>
      </c>
      <c r="AF2986" s="3">
        <v>0</v>
      </c>
      <c r="AG2986" s="3">
        <v>0</v>
      </c>
      <c r="AH2986" s="3">
        <v>0</v>
      </c>
      <c r="AI2986" s="3">
        <v>0</v>
      </c>
      <c r="AJ2986" s="3">
        <v>0</v>
      </c>
      <c r="AK2986" s="3">
        <v>16.98</v>
      </c>
      <c r="AL2986" s="3">
        <v>0</v>
      </c>
      <c r="AM2986" s="3">
        <v>0</v>
      </c>
      <c r="AN2986" s="3">
        <v>0</v>
      </c>
      <c r="AO2986" s="3">
        <v>0</v>
      </c>
      <c r="AP2986" s="3">
        <v>0</v>
      </c>
      <c r="AQ2986" s="3">
        <v>0</v>
      </c>
      <c r="AR2986" s="3">
        <v>0</v>
      </c>
      <c r="AS2986" s="3">
        <v>0</v>
      </c>
      <c r="AT2986" s="3">
        <v>0</v>
      </c>
      <c r="AU2986" s="3">
        <v>0</v>
      </c>
      <c r="AV2986" s="3">
        <v>0</v>
      </c>
      <c r="AW2986" s="3">
        <v>0</v>
      </c>
      <c r="AX2986" s="3">
        <v>0</v>
      </c>
      <c r="AY2986" s="3">
        <v>0</v>
      </c>
      <c r="AZ2986" s="3">
        <v>0</v>
      </c>
      <c r="BA2986" s="3">
        <v>0</v>
      </c>
      <c r="BB2986" s="3">
        <v>0</v>
      </c>
      <c r="BC2986" s="3">
        <v>0</v>
      </c>
      <c r="BD2986" s="3">
        <v>0</v>
      </c>
      <c r="BE2986" s="3">
        <v>0</v>
      </c>
      <c r="BF2986" s="3">
        <v>0</v>
      </c>
      <c r="BG2986" s="3">
        <v>0</v>
      </c>
      <c r="BH2986" s="3">
        <v>1</v>
      </c>
      <c r="BI2986" s="3">
        <v>1</v>
      </c>
      <c r="BJ2986" s="3">
        <v>0.2</v>
      </c>
      <c r="BK2986" s="3">
        <v>1</v>
      </c>
      <c r="BL2986" s="3">
        <v>60.52</v>
      </c>
      <c r="BM2986" s="3">
        <v>9.08</v>
      </c>
      <c r="BN2986" s="3">
        <v>69.599999999999994</v>
      </c>
      <c r="BO2986" s="3">
        <v>69.599999999999994</v>
      </c>
      <c r="BQ2986" s="3" t="s">
        <v>83</v>
      </c>
      <c r="BR2986" s="3" t="s">
        <v>308</v>
      </c>
      <c r="BS2986" s="4">
        <v>44566</v>
      </c>
      <c r="BT2986" s="5">
        <v>0.47847222222222219</v>
      </c>
      <c r="BU2986" s="3" t="s">
        <v>2625</v>
      </c>
      <c r="BV2986" s="3" t="s">
        <v>87</v>
      </c>
      <c r="BW2986" s="3" t="s">
        <v>457</v>
      </c>
      <c r="BX2986" s="3" t="s">
        <v>279</v>
      </c>
      <c r="BY2986" s="3">
        <v>1200</v>
      </c>
      <c r="BZ2986" s="3" t="s">
        <v>165</v>
      </c>
      <c r="CA2986" s="3" t="s">
        <v>509</v>
      </c>
      <c r="CC2986" s="3" t="s">
        <v>172</v>
      </c>
      <c r="CD2986" s="3">
        <v>6001</v>
      </c>
      <c r="CE2986" s="3" t="s">
        <v>93</v>
      </c>
      <c r="CF2986" s="4">
        <v>44566</v>
      </c>
      <c r="CI2986" s="3">
        <v>1</v>
      </c>
      <c r="CJ2986" s="3">
        <v>1</v>
      </c>
      <c r="CK2986" s="3">
        <v>21</v>
      </c>
      <c r="CL2986" s="3" t="s">
        <v>87</v>
      </c>
    </row>
    <row r="2987" spans="1:90" x14ac:dyDescent="0.2">
      <c r="A2987" s="3" t="s">
        <v>72</v>
      </c>
      <c r="B2987" s="3" t="s">
        <v>73</v>
      </c>
      <c r="C2987" s="3" t="s">
        <v>74</v>
      </c>
      <c r="E2987" s="3" t="str">
        <f>"FES1162843066"</f>
        <v>FES1162843066</v>
      </c>
      <c r="F2987" s="4">
        <v>44564</v>
      </c>
      <c r="G2987" s="3">
        <v>202207</v>
      </c>
      <c r="H2987" s="3" t="s">
        <v>75</v>
      </c>
      <c r="I2987" s="3" t="s">
        <v>76</v>
      </c>
      <c r="J2987" s="3" t="s">
        <v>77</v>
      </c>
      <c r="K2987" s="3" t="s">
        <v>78</v>
      </c>
      <c r="L2987" s="3" t="s">
        <v>195</v>
      </c>
      <c r="M2987" s="3" t="s">
        <v>196</v>
      </c>
      <c r="N2987" s="3" t="s">
        <v>197</v>
      </c>
      <c r="O2987" s="3" t="s">
        <v>82</v>
      </c>
      <c r="P2987" s="3" t="str">
        <f>"2170812326                    "</f>
        <v xml:space="preserve">2170812326                    </v>
      </c>
      <c r="Q2987" s="3">
        <v>0</v>
      </c>
      <c r="R2987" s="3">
        <v>0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  <c r="AE2987" s="3">
        <v>0</v>
      </c>
      <c r="AF2987" s="3">
        <v>0</v>
      </c>
      <c r="AG2987" s="3">
        <v>0</v>
      </c>
      <c r="AH2987" s="3">
        <v>0</v>
      </c>
      <c r="AI2987" s="3">
        <v>0</v>
      </c>
      <c r="AJ2987" s="3">
        <v>0</v>
      </c>
      <c r="AK2987" s="3">
        <v>16.98</v>
      </c>
      <c r="AL2987" s="3">
        <v>0</v>
      </c>
      <c r="AM2987" s="3">
        <v>0</v>
      </c>
      <c r="AN2987" s="3">
        <v>0</v>
      </c>
      <c r="AO2987" s="3">
        <v>0</v>
      </c>
      <c r="AP2987" s="3">
        <v>0</v>
      </c>
      <c r="AQ2987" s="3">
        <v>0</v>
      </c>
      <c r="AR2987" s="3">
        <v>0</v>
      </c>
      <c r="AS2987" s="3">
        <v>0</v>
      </c>
      <c r="AT2987" s="3">
        <v>0</v>
      </c>
      <c r="AU2987" s="3">
        <v>0</v>
      </c>
      <c r="AV2987" s="3">
        <v>0</v>
      </c>
      <c r="AW2987" s="3">
        <v>0</v>
      </c>
      <c r="AX2987" s="3">
        <v>0</v>
      </c>
      <c r="AY2987" s="3">
        <v>0</v>
      </c>
      <c r="AZ2987" s="3">
        <v>0</v>
      </c>
      <c r="BA2987" s="3">
        <v>0</v>
      </c>
      <c r="BB2987" s="3">
        <v>0</v>
      </c>
      <c r="BC2987" s="3">
        <v>0</v>
      </c>
      <c r="BD2987" s="3">
        <v>0</v>
      </c>
      <c r="BE2987" s="3">
        <v>0</v>
      </c>
      <c r="BF2987" s="3">
        <v>0</v>
      </c>
      <c r="BG2987" s="3">
        <v>0</v>
      </c>
      <c r="BH2987" s="3">
        <v>1</v>
      </c>
      <c r="BI2987" s="3">
        <v>2</v>
      </c>
      <c r="BJ2987" s="3">
        <v>2</v>
      </c>
      <c r="BK2987" s="3">
        <v>2</v>
      </c>
      <c r="BL2987" s="3">
        <v>60.52</v>
      </c>
      <c r="BM2987" s="3">
        <v>9.08</v>
      </c>
      <c r="BN2987" s="3">
        <v>69.599999999999994</v>
      </c>
      <c r="BO2987" s="3">
        <v>69.599999999999994</v>
      </c>
      <c r="BQ2987" s="3" t="s">
        <v>89</v>
      </c>
      <c r="BR2987" s="3" t="s">
        <v>308</v>
      </c>
      <c r="BS2987" s="4">
        <v>44565</v>
      </c>
      <c r="BT2987" s="5">
        <v>0.37361111111111112</v>
      </c>
      <c r="BU2987" s="3" t="s">
        <v>570</v>
      </c>
      <c r="BV2987" s="3" t="s">
        <v>105</v>
      </c>
      <c r="BY2987" s="3">
        <v>9900</v>
      </c>
      <c r="BZ2987" s="3" t="s">
        <v>165</v>
      </c>
      <c r="CA2987" s="3" t="s">
        <v>571</v>
      </c>
      <c r="CC2987" s="3" t="s">
        <v>196</v>
      </c>
      <c r="CD2987" s="3">
        <v>4302</v>
      </c>
      <c r="CE2987" s="3" t="s">
        <v>86</v>
      </c>
      <c r="CF2987" s="4">
        <v>44565</v>
      </c>
      <c r="CI2987" s="3">
        <v>1</v>
      </c>
      <c r="CJ2987" s="3">
        <v>1</v>
      </c>
      <c r="CK2987" s="3">
        <v>21</v>
      </c>
      <c r="CL2987" s="3" t="s">
        <v>87</v>
      </c>
    </row>
    <row r="2988" spans="1:90" x14ac:dyDescent="0.2">
      <c r="A2988" s="3" t="s">
        <v>72</v>
      </c>
      <c r="B2988" s="3" t="s">
        <v>73</v>
      </c>
      <c r="C2988" s="3" t="s">
        <v>74</v>
      </c>
      <c r="E2988" s="3" t="str">
        <f>"FES1162843346"</f>
        <v>FES1162843346</v>
      </c>
      <c r="F2988" s="4">
        <v>44565</v>
      </c>
      <c r="G2988" s="3">
        <v>202207</v>
      </c>
      <c r="H2988" s="3" t="s">
        <v>75</v>
      </c>
      <c r="I2988" s="3" t="s">
        <v>76</v>
      </c>
      <c r="J2988" s="3" t="s">
        <v>77</v>
      </c>
      <c r="K2988" s="3" t="s">
        <v>78</v>
      </c>
      <c r="L2988" s="3" t="s">
        <v>162</v>
      </c>
      <c r="M2988" s="3" t="s">
        <v>163</v>
      </c>
      <c r="N2988" s="3" t="s">
        <v>2762</v>
      </c>
      <c r="O2988" s="3" t="s">
        <v>82</v>
      </c>
      <c r="P2988" s="3" t="str">
        <f>"2170815386                    "</f>
        <v xml:space="preserve">2170815386                    </v>
      </c>
      <c r="Q2988" s="3">
        <v>0</v>
      </c>
      <c r="R2988" s="3">
        <v>0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  <c r="AE2988" s="3">
        <v>0</v>
      </c>
      <c r="AF2988" s="3">
        <v>0</v>
      </c>
      <c r="AG2988" s="3">
        <v>0</v>
      </c>
      <c r="AH2988" s="3">
        <v>0</v>
      </c>
      <c r="AI2988" s="3">
        <v>0</v>
      </c>
      <c r="AJ2988" s="3">
        <v>0</v>
      </c>
      <c r="AK2988" s="3">
        <v>13.26</v>
      </c>
      <c r="AL2988" s="3">
        <v>0</v>
      </c>
      <c r="AM2988" s="3">
        <v>0</v>
      </c>
      <c r="AN2988" s="3">
        <v>0</v>
      </c>
      <c r="AO2988" s="3">
        <v>0</v>
      </c>
      <c r="AP2988" s="3">
        <v>0</v>
      </c>
      <c r="AQ2988" s="3">
        <v>0</v>
      </c>
      <c r="AR2988" s="3">
        <v>0</v>
      </c>
      <c r="AS2988" s="3">
        <v>0</v>
      </c>
      <c r="AT2988" s="3">
        <v>0</v>
      </c>
      <c r="AU2988" s="3">
        <v>0</v>
      </c>
      <c r="AV2988" s="3">
        <v>0</v>
      </c>
      <c r="AW2988" s="3">
        <v>0</v>
      </c>
      <c r="AX2988" s="3">
        <v>0</v>
      </c>
      <c r="AY2988" s="3">
        <v>0</v>
      </c>
      <c r="AZ2988" s="3">
        <v>0</v>
      </c>
      <c r="BA2988" s="3">
        <v>0</v>
      </c>
      <c r="BB2988" s="3">
        <v>0</v>
      </c>
      <c r="BC2988" s="3">
        <v>0</v>
      </c>
      <c r="BD2988" s="3">
        <v>0</v>
      </c>
      <c r="BE2988" s="3">
        <v>0</v>
      </c>
      <c r="BF2988" s="3">
        <v>0</v>
      </c>
      <c r="BG2988" s="3">
        <v>0</v>
      </c>
      <c r="BH2988" s="3">
        <v>1</v>
      </c>
      <c r="BI2988" s="3">
        <v>1</v>
      </c>
      <c r="BJ2988" s="3">
        <v>0.2</v>
      </c>
      <c r="BK2988" s="3">
        <v>1</v>
      </c>
      <c r="BL2988" s="3">
        <v>47.27</v>
      </c>
      <c r="BM2988" s="3">
        <v>7.09</v>
      </c>
      <c r="BN2988" s="3">
        <v>54.36</v>
      </c>
      <c r="BO2988" s="3">
        <v>54.36</v>
      </c>
      <c r="BQ2988" s="3" t="s">
        <v>83</v>
      </c>
      <c r="BR2988" s="3" t="s">
        <v>308</v>
      </c>
      <c r="BS2988" s="4">
        <v>44566</v>
      </c>
      <c r="BT2988" s="5">
        <v>0.72430555555555554</v>
      </c>
      <c r="BU2988" s="3" t="s">
        <v>2763</v>
      </c>
      <c r="BV2988" s="3" t="s">
        <v>87</v>
      </c>
      <c r="BW2988" s="3" t="s">
        <v>278</v>
      </c>
      <c r="BX2988" s="3" t="s">
        <v>1722</v>
      </c>
      <c r="BY2988" s="3">
        <v>1200</v>
      </c>
      <c r="BZ2988" s="3" t="s">
        <v>165</v>
      </c>
      <c r="CA2988" s="3" t="s">
        <v>1314</v>
      </c>
      <c r="CC2988" s="3" t="s">
        <v>163</v>
      </c>
      <c r="CD2988" s="3">
        <v>1428</v>
      </c>
      <c r="CE2988" s="3" t="s">
        <v>93</v>
      </c>
      <c r="CF2988" s="4">
        <v>44567</v>
      </c>
      <c r="CI2988" s="3">
        <v>1</v>
      </c>
      <c r="CJ2988" s="3">
        <v>1</v>
      </c>
      <c r="CK2988" s="3">
        <v>22</v>
      </c>
      <c r="CL2988" s="3" t="s">
        <v>87</v>
      </c>
    </row>
    <row r="2989" spans="1:90" x14ac:dyDescent="0.2">
      <c r="A2989" s="3" t="s">
        <v>72</v>
      </c>
      <c r="B2989" s="3" t="s">
        <v>73</v>
      </c>
      <c r="C2989" s="3" t="s">
        <v>74</v>
      </c>
      <c r="E2989" s="3" t="str">
        <f>"FES1162843582"</f>
        <v>FES1162843582</v>
      </c>
      <c r="F2989" s="4">
        <v>44566</v>
      </c>
      <c r="G2989" s="3">
        <v>202207</v>
      </c>
      <c r="H2989" s="3" t="s">
        <v>75</v>
      </c>
      <c r="I2989" s="3" t="s">
        <v>76</v>
      </c>
      <c r="J2989" s="3" t="s">
        <v>77</v>
      </c>
      <c r="K2989" s="3" t="s">
        <v>78</v>
      </c>
      <c r="L2989" s="3" t="s">
        <v>110</v>
      </c>
      <c r="M2989" s="3" t="s">
        <v>110</v>
      </c>
      <c r="N2989" s="3" t="s">
        <v>1325</v>
      </c>
      <c r="O2989" s="3" t="s">
        <v>82</v>
      </c>
      <c r="P2989" s="3" t="str">
        <f>"2170813127                    "</f>
        <v xml:space="preserve">2170813127                    </v>
      </c>
      <c r="Q2989" s="3">
        <v>0</v>
      </c>
      <c r="R2989" s="3">
        <v>0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  <c r="AE2989" s="3">
        <v>0</v>
      </c>
      <c r="AF2989" s="3">
        <v>0</v>
      </c>
      <c r="AG2989" s="3">
        <v>0</v>
      </c>
      <c r="AH2989" s="3">
        <v>0</v>
      </c>
      <c r="AI2989" s="3">
        <v>0</v>
      </c>
      <c r="AJ2989" s="3">
        <v>0</v>
      </c>
      <c r="AK2989" s="3">
        <v>124.63</v>
      </c>
      <c r="AL2989" s="3">
        <v>0</v>
      </c>
      <c r="AM2989" s="3">
        <v>0</v>
      </c>
      <c r="AN2989" s="3">
        <v>0</v>
      </c>
      <c r="AO2989" s="3">
        <v>0</v>
      </c>
      <c r="AP2989" s="3">
        <v>0</v>
      </c>
      <c r="AQ2989" s="3">
        <v>0</v>
      </c>
      <c r="AR2989" s="3">
        <v>0</v>
      </c>
      <c r="AS2989" s="3">
        <v>0</v>
      </c>
      <c r="AT2989" s="3">
        <v>0</v>
      </c>
      <c r="AU2989" s="3">
        <v>0</v>
      </c>
      <c r="AV2989" s="3">
        <v>0</v>
      </c>
      <c r="AW2989" s="3">
        <v>0</v>
      </c>
      <c r="AX2989" s="3">
        <v>0</v>
      </c>
      <c r="AY2989" s="3">
        <v>0</v>
      </c>
      <c r="AZ2989" s="3">
        <v>0</v>
      </c>
      <c r="BA2989" s="3">
        <v>0</v>
      </c>
      <c r="BB2989" s="3">
        <v>0</v>
      </c>
      <c r="BC2989" s="3">
        <v>0</v>
      </c>
      <c r="BD2989" s="3">
        <v>0</v>
      </c>
      <c r="BE2989" s="3">
        <v>0</v>
      </c>
      <c r="BF2989" s="3">
        <v>0</v>
      </c>
      <c r="BG2989" s="3">
        <v>0</v>
      </c>
      <c r="BH2989" s="3">
        <v>2</v>
      </c>
      <c r="BI2989" s="3">
        <v>9</v>
      </c>
      <c r="BJ2989" s="3">
        <v>0.6</v>
      </c>
      <c r="BK2989" s="3">
        <v>9</v>
      </c>
      <c r="BL2989" s="3">
        <v>475.69</v>
      </c>
      <c r="BM2989" s="3">
        <v>71.349999999999994</v>
      </c>
      <c r="BN2989" s="3">
        <v>547.04</v>
      </c>
      <c r="BO2989" s="3">
        <v>547.04</v>
      </c>
      <c r="BQ2989" s="3" t="s">
        <v>83</v>
      </c>
      <c r="BR2989" s="3" t="s">
        <v>364</v>
      </c>
      <c r="BS2989" s="4">
        <v>44571</v>
      </c>
      <c r="BT2989" s="5">
        <v>0.46875</v>
      </c>
      <c r="BU2989" s="3" t="s">
        <v>2764</v>
      </c>
      <c r="BV2989" s="3" t="s">
        <v>87</v>
      </c>
      <c r="BW2989" s="3" t="s">
        <v>493</v>
      </c>
      <c r="BX2989" s="3" t="s">
        <v>354</v>
      </c>
      <c r="BY2989" s="3">
        <v>3111</v>
      </c>
      <c r="BZ2989" s="3" t="s">
        <v>165</v>
      </c>
      <c r="CA2989" s="3" t="s">
        <v>563</v>
      </c>
      <c r="CC2989" s="3" t="s">
        <v>110</v>
      </c>
      <c r="CD2989" s="3">
        <v>7646</v>
      </c>
      <c r="CE2989" s="3" t="s">
        <v>1009</v>
      </c>
      <c r="CF2989" s="4">
        <v>44572</v>
      </c>
      <c r="CI2989" s="3">
        <v>1</v>
      </c>
      <c r="CJ2989" s="3">
        <v>3</v>
      </c>
      <c r="CK2989" s="3">
        <v>23</v>
      </c>
      <c r="CL2989" s="3" t="s">
        <v>87</v>
      </c>
    </row>
    <row r="2990" spans="1:90" x14ac:dyDescent="0.2">
      <c r="A2990" s="3" t="s">
        <v>72</v>
      </c>
      <c r="B2990" s="3" t="s">
        <v>73</v>
      </c>
      <c r="C2990" s="3" t="s">
        <v>74</v>
      </c>
      <c r="E2990" s="3" t="str">
        <f>"FES1162843329"</f>
        <v>FES1162843329</v>
      </c>
      <c r="F2990" s="4">
        <v>44565</v>
      </c>
      <c r="G2990" s="3">
        <v>202207</v>
      </c>
      <c r="H2990" s="3" t="s">
        <v>75</v>
      </c>
      <c r="I2990" s="3" t="s">
        <v>76</v>
      </c>
      <c r="J2990" s="3" t="s">
        <v>77</v>
      </c>
      <c r="K2990" s="3" t="s">
        <v>78</v>
      </c>
      <c r="L2990" s="3" t="s">
        <v>218</v>
      </c>
      <c r="M2990" s="3" t="s">
        <v>219</v>
      </c>
      <c r="N2990" s="3" t="s">
        <v>2765</v>
      </c>
      <c r="O2990" s="3" t="s">
        <v>82</v>
      </c>
      <c r="P2990" s="3" t="str">
        <f>"2170813112                    "</f>
        <v xml:space="preserve">2170813112                    </v>
      </c>
      <c r="Q2990" s="3">
        <v>0</v>
      </c>
      <c r="R2990" s="3">
        <v>0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  <c r="AE2990" s="3">
        <v>0</v>
      </c>
      <c r="AF2990" s="3">
        <v>0</v>
      </c>
      <c r="AG2990" s="3">
        <v>0</v>
      </c>
      <c r="AH2990" s="3">
        <v>0</v>
      </c>
      <c r="AI2990" s="3">
        <v>0</v>
      </c>
      <c r="AJ2990" s="3">
        <v>0</v>
      </c>
      <c r="AK2990" s="3">
        <v>16.98</v>
      </c>
      <c r="AL2990" s="3">
        <v>0</v>
      </c>
      <c r="AM2990" s="3">
        <v>0</v>
      </c>
      <c r="AN2990" s="3">
        <v>0</v>
      </c>
      <c r="AO2990" s="3">
        <v>0</v>
      </c>
      <c r="AP2990" s="3">
        <v>0</v>
      </c>
      <c r="AQ2990" s="3">
        <v>0</v>
      </c>
      <c r="AR2990" s="3">
        <v>0</v>
      </c>
      <c r="AS2990" s="3">
        <v>0</v>
      </c>
      <c r="AT2990" s="3">
        <v>0</v>
      </c>
      <c r="AU2990" s="3">
        <v>0</v>
      </c>
      <c r="AV2990" s="3">
        <v>0</v>
      </c>
      <c r="AW2990" s="3">
        <v>0</v>
      </c>
      <c r="AX2990" s="3">
        <v>0</v>
      </c>
      <c r="AY2990" s="3">
        <v>0</v>
      </c>
      <c r="AZ2990" s="3">
        <v>0</v>
      </c>
      <c r="BA2990" s="3">
        <v>0</v>
      </c>
      <c r="BB2990" s="3">
        <v>0</v>
      </c>
      <c r="BC2990" s="3">
        <v>0</v>
      </c>
      <c r="BD2990" s="3">
        <v>0</v>
      </c>
      <c r="BE2990" s="3">
        <v>0</v>
      </c>
      <c r="BF2990" s="3">
        <v>0</v>
      </c>
      <c r="BG2990" s="3">
        <v>0</v>
      </c>
      <c r="BH2990" s="3">
        <v>1</v>
      </c>
      <c r="BI2990" s="3">
        <v>1</v>
      </c>
      <c r="BJ2990" s="3">
        <v>0.2</v>
      </c>
      <c r="BK2990" s="3">
        <v>1</v>
      </c>
      <c r="BL2990" s="3">
        <v>60.52</v>
      </c>
      <c r="BM2990" s="3">
        <v>9.08</v>
      </c>
      <c r="BN2990" s="3">
        <v>69.599999999999994</v>
      </c>
      <c r="BO2990" s="3">
        <v>69.599999999999994</v>
      </c>
      <c r="BQ2990" s="3" t="s">
        <v>83</v>
      </c>
      <c r="BR2990" s="3" t="s">
        <v>308</v>
      </c>
      <c r="BS2990" s="4">
        <v>44566</v>
      </c>
      <c r="BT2990" s="5">
        <v>0.40972222222222227</v>
      </c>
      <c r="BU2990" s="3" t="s">
        <v>2766</v>
      </c>
      <c r="BV2990" s="3" t="s">
        <v>105</v>
      </c>
      <c r="BY2990" s="3">
        <v>1200</v>
      </c>
      <c r="BZ2990" s="3" t="s">
        <v>165</v>
      </c>
      <c r="CA2990" s="3" t="s">
        <v>2767</v>
      </c>
      <c r="CC2990" s="3" t="s">
        <v>219</v>
      </c>
      <c r="CD2990" s="3">
        <v>157</v>
      </c>
      <c r="CE2990" s="3" t="s">
        <v>93</v>
      </c>
      <c r="CF2990" s="4">
        <v>44566</v>
      </c>
      <c r="CI2990" s="3">
        <v>1</v>
      </c>
      <c r="CJ2990" s="3">
        <v>1</v>
      </c>
      <c r="CK2990" s="3">
        <v>21</v>
      </c>
      <c r="CL2990" s="3" t="s">
        <v>87</v>
      </c>
    </row>
    <row r="2991" spans="1:90" x14ac:dyDescent="0.2">
      <c r="A2991" s="3" t="s">
        <v>72</v>
      </c>
      <c r="B2991" s="3" t="s">
        <v>73</v>
      </c>
      <c r="C2991" s="3" t="s">
        <v>74</v>
      </c>
      <c r="E2991" s="3" t="str">
        <f>"FES1162843592"</f>
        <v>FES1162843592</v>
      </c>
      <c r="F2991" s="4">
        <v>44566</v>
      </c>
      <c r="G2991" s="3">
        <v>202207</v>
      </c>
      <c r="H2991" s="3" t="s">
        <v>75</v>
      </c>
      <c r="I2991" s="3" t="s">
        <v>76</v>
      </c>
      <c r="J2991" s="3" t="s">
        <v>77</v>
      </c>
      <c r="K2991" s="3" t="s">
        <v>78</v>
      </c>
      <c r="L2991" s="3" t="s">
        <v>805</v>
      </c>
      <c r="M2991" s="3" t="s">
        <v>806</v>
      </c>
      <c r="N2991" s="3" t="s">
        <v>807</v>
      </c>
      <c r="O2991" s="3" t="s">
        <v>148</v>
      </c>
      <c r="P2991" s="3" t="str">
        <f>"2170815336                    "</f>
        <v xml:space="preserve">2170815336                    </v>
      </c>
      <c r="Q2991" s="3">
        <v>0</v>
      </c>
      <c r="R2991" s="3">
        <v>0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  <c r="AE2991" s="3">
        <v>0</v>
      </c>
      <c r="AF2991" s="3">
        <v>0</v>
      </c>
      <c r="AG2991" s="3">
        <v>0</v>
      </c>
      <c r="AH2991" s="3">
        <v>0</v>
      </c>
      <c r="AI2991" s="3">
        <v>0</v>
      </c>
      <c r="AJ2991" s="3">
        <v>0</v>
      </c>
      <c r="AK2991" s="3">
        <v>63.7</v>
      </c>
      <c r="AL2991" s="3">
        <v>0</v>
      </c>
      <c r="AM2991" s="3">
        <v>0</v>
      </c>
      <c r="AN2991" s="3">
        <v>0</v>
      </c>
      <c r="AO2991" s="3">
        <v>0</v>
      </c>
      <c r="AP2991" s="3">
        <v>0</v>
      </c>
      <c r="AQ2991" s="3">
        <v>0</v>
      </c>
      <c r="AR2991" s="3">
        <v>0</v>
      </c>
      <c r="AS2991" s="3">
        <v>0</v>
      </c>
      <c r="AT2991" s="3">
        <v>0</v>
      </c>
      <c r="AU2991" s="3">
        <v>0</v>
      </c>
      <c r="AV2991" s="3">
        <v>0</v>
      </c>
      <c r="AW2991" s="3">
        <v>0</v>
      </c>
      <c r="AX2991" s="3">
        <v>0</v>
      </c>
      <c r="AY2991" s="3">
        <v>0</v>
      </c>
      <c r="AZ2991" s="3">
        <v>0</v>
      </c>
      <c r="BA2991" s="3">
        <v>0</v>
      </c>
      <c r="BB2991" s="3">
        <v>0</v>
      </c>
      <c r="BC2991" s="3">
        <v>0</v>
      </c>
      <c r="BD2991" s="3">
        <v>0</v>
      </c>
      <c r="BE2991" s="3">
        <v>0</v>
      </c>
      <c r="BF2991" s="3">
        <v>0</v>
      </c>
      <c r="BG2991" s="3">
        <v>0</v>
      </c>
      <c r="BH2991" s="3">
        <v>1</v>
      </c>
      <c r="BI2991" s="3">
        <v>25</v>
      </c>
      <c r="BJ2991" s="3">
        <v>18.3</v>
      </c>
      <c r="BK2991" s="3">
        <v>25</v>
      </c>
      <c r="BL2991" s="3">
        <v>248.4</v>
      </c>
      <c r="BM2991" s="3">
        <v>37.26</v>
      </c>
      <c r="BN2991" s="3">
        <v>285.66000000000003</v>
      </c>
      <c r="BO2991" s="3">
        <v>285.66000000000003</v>
      </c>
      <c r="BQ2991" s="3" t="s">
        <v>808</v>
      </c>
      <c r="BR2991" s="3" t="s">
        <v>364</v>
      </c>
      <c r="BS2991" s="4">
        <v>44567</v>
      </c>
      <c r="BT2991" s="5">
        <v>0.53472222222222221</v>
      </c>
      <c r="BU2991" s="3" t="s">
        <v>559</v>
      </c>
      <c r="BV2991" s="3" t="s">
        <v>105</v>
      </c>
      <c r="BY2991" s="3">
        <v>91264</v>
      </c>
      <c r="BZ2991" s="3" t="s">
        <v>327</v>
      </c>
      <c r="CA2991" s="3" t="s">
        <v>809</v>
      </c>
      <c r="CC2991" s="3" t="s">
        <v>806</v>
      </c>
      <c r="CD2991" s="3">
        <v>4400</v>
      </c>
      <c r="CE2991" s="3" t="s">
        <v>86</v>
      </c>
      <c r="CF2991" s="4">
        <v>44567</v>
      </c>
      <c r="CI2991" s="3">
        <v>1</v>
      </c>
      <c r="CJ2991" s="3">
        <v>1</v>
      </c>
      <c r="CK2991" s="3">
        <v>43</v>
      </c>
      <c r="CL2991" s="3" t="s">
        <v>87</v>
      </c>
    </row>
    <row r="2992" spans="1:90" x14ac:dyDescent="0.2">
      <c r="A2992" s="3" t="s">
        <v>72</v>
      </c>
      <c r="B2992" s="3" t="s">
        <v>73</v>
      </c>
      <c r="C2992" s="3" t="s">
        <v>74</v>
      </c>
      <c r="E2992" s="3" t="str">
        <f>"FES1162843461"</f>
        <v>FES1162843461</v>
      </c>
      <c r="F2992" s="4">
        <v>44565</v>
      </c>
      <c r="G2992" s="3">
        <v>202207</v>
      </c>
      <c r="H2992" s="3" t="s">
        <v>75</v>
      </c>
      <c r="I2992" s="3" t="s">
        <v>76</v>
      </c>
      <c r="J2992" s="3" t="s">
        <v>77</v>
      </c>
      <c r="K2992" s="3" t="s">
        <v>78</v>
      </c>
      <c r="L2992" s="3" t="s">
        <v>1219</v>
      </c>
      <c r="M2992" s="3" t="s">
        <v>1220</v>
      </c>
      <c r="N2992" s="3" t="s">
        <v>1662</v>
      </c>
      <c r="O2992" s="3" t="s">
        <v>82</v>
      </c>
      <c r="P2992" s="3" t="str">
        <f>"2170813930                    "</f>
        <v xml:space="preserve">2170813930                    </v>
      </c>
      <c r="Q2992" s="3">
        <v>0</v>
      </c>
      <c r="R2992" s="3">
        <v>0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  <c r="AE2992" s="3">
        <v>0</v>
      </c>
      <c r="AF2992" s="3">
        <v>0</v>
      </c>
      <c r="AG2992" s="3">
        <v>0</v>
      </c>
      <c r="AH2992" s="3">
        <v>0</v>
      </c>
      <c r="AI2992" s="3">
        <v>0</v>
      </c>
      <c r="AJ2992" s="3">
        <v>0</v>
      </c>
      <c r="AK2992" s="3">
        <v>188.92</v>
      </c>
      <c r="AL2992" s="3">
        <v>0</v>
      </c>
      <c r="AM2992" s="3">
        <v>0</v>
      </c>
      <c r="AN2992" s="3">
        <v>0</v>
      </c>
      <c r="AO2992" s="3">
        <v>0</v>
      </c>
      <c r="AP2992" s="3">
        <v>0</v>
      </c>
      <c r="AQ2992" s="3">
        <v>0</v>
      </c>
      <c r="AR2992" s="3">
        <v>0</v>
      </c>
      <c r="AS2992" s="3">
        <v>0</v>
      </c>
      <c r="AT2992" s="3">
        <v>0</v>
      </c>
      <c r="AU2992" s="3">
        <v>0</v>
      </c>
      <c r="AV2992" s="3">
        <v>0</v>
      </c>
      <c r="AW2992" s="3">
        <v>0</v>
      </c>
      <c r="AX2992" s="3">
        <v>0</v>
      </c>
      <c r="AY2992" s="3">
        <v>0</v>
      </c>
      <c r="AZ2992" s="3">
        <v>0</v>
      </c>
      <c r="BA2992" s="3">
        <v>0</v>
      </c>
      <c r="BB2992" s="3">
        <v>0</v>
      </c>
      <c r="BC2992" s="3">
        <v>0</v>
      </c>
      <c r="BD2992" s="3">
        <v>0</v>
      </c>
      <c r="BE2992" s="3">
        <v>0</v>
      </c>
      <c r="BF2992" s="3">
        <v>0</v>
      </c>
      <c r="BG2992" s="3">
        <v>0</v>
      </c>
      <c r="BH2992" s="3">
        <v>1</v>
      </c>
      <c r="BI2992" s="3">
        <v>10</v>
      </c>
      <c r="BJ2992" s="3">
        <v>12.1</v>
      </c>
      <c r="BK2992" s="3">
        <v>12.5</v>
      </c>
      <c r="BL2992" s="3">
        <v>673.33</v>
      </c>
      <c r="BM2992" s="3">
        <v>101</v>
      </c>
      <c r="BN2992" s="3">
        <v>774.33</v>
      </c>
      <c r="BO2992" s="3">
        <v>774.33</v>
      </c>
      <c r="BR2992" s="3" t="s">
        <v>308</v>
      </c>
      <c r="BS2992" s="4">
        <v>44567</v>
      </c>
      <c r="BT2992" s="5">
        <v>0.48194444444444445</v>
      </c>
      <c r="BU2992" s="3" t="s">
        <v>2768</v>
      </c>
      <c r="BV2992" s="3" t="s">
        <v>87</v>
      </c>
      <c r="BY2992" s="3">
        <v>60500</v>
      </c>
      <c r="BZ2992" s="3" t="s">
        <v>165</v>
      </c>
      <c r="CA2992" s="3" t="s">
        <v>328</v>
      </c>
      <c r="CC2992" s="3" t="s">
        <v>1220</v>
      </c>
      <c r="CD2992" s="3">
        <v>4490</v>
      </c>
      <c r="CE2992" s="3" t="s">
        <v>86</v>
      </c>
      <c r="CF2992" s="4">
        <v>44568</v>
      </c>
      <c r="CI2992" s="3">
        <v>1</v>
      </c>
      <c r="CJ2992" s="3">
        <v>2</v>
      </c>
      <c r="CK2992" s="3">
        <v>23</v>
      </c>
      <c r="CL2992" s="3" t="s">
        <v>87</v>
      </c>
    </row>
    <row r="2993" spans="1:90" x14ac:dyDescent="0.2">
      <c r="A2993" s="3" t="s">
        <v>72</v>
      </c>
      <c r="B2993" s="3" t="s">
        <v>73</v>
      </c>
      <c r="C2993" s="3" t="s">
        <v>74</v>
      </c>
      <c r="E2993" s="3" t="str">
        <f>"FES1162843363"</f>
        <v>FES1162843363</v>
      </c>
      <c r="F2993" s="4">
        <v>44565</v>
      </c>
      <c r="G2993" s="3">
        <v>202207</v>
      </c>
      <c r="H2993" s="3" t="s">
        <v>75</v>
      </c>
      <c r="I2993" s="3" t="s">
        <v>76</v>
      </c>
      <c r="J2993" s="3" t="s">
        <v>77</v>
      </c>
      <c r="K2993" s="3" t="s">
        <v>78</v>
      </c>
      <c r="L2993" s="3" t="s">
        <v>731</v>
      </c>
      <c r="M2993" s="3" t="s">
        <v>732</v>
      </c>
      <c r="N2993" s="3" t="s">
        <v>883</v>
      </c>
      <c r="O2993" s="3" t="s">
        <v>82</v>
      </c>
      <c r="P2993" s="3" t="str">
        <f>"2170815578                    "</f>
        <v xml:space="preserve">2170815578                    </v>
      </c>
      <c r="Q2993" s="3">
        <v>0</v>
      </c>
      <c r="R2993" s="3">
        <v>0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  <c r="AE2993" s="3">
        <v>0</v>
      </c>
      <c r="AF2993" s="3">
        <v>0</v>
      </c>
      <c r="AG2993" s="3">
        <v>0</v>
      </c>
      <c r="AH2993" s="3">
        <v>0</v>
      </c>
      <c r="AI2993" s="3">
        <v>0</v>
      </c>
      <c r="AJ2993" s="3">
        <v>0</v>
      </c>
      <c r="AK2993" s="3">
        <v>32.9</v>
      </c>
      <c r="AL2993" s="3">
        <v>0</v>
      </c>
      <c r="AM2993" s="3">
        <v>0</v>
      </c>
      <c r="AN2993" s="3">
        <v>0</v>
      </c>
      <c r="AO2993" s="3">
        <v>0</v>
      </c>
      <c r="AP2993" s="3">
        <v>0</v>
      </c>
      <c r="AQ2993" s="3">
        <v>0</v>
      </c>
      <c r="AR2993" s="3">
        <v>0</v>
      </c>
      <c r="AS2993" s="3">
        <v>0</v>
      </c>
      <c r="AT2993" s="3">
        <v>0</v>
      </c>
      <c r="AU2993" s="3">
        <v>0</v>
      </c>
      <c r="AV2993" s="3">
        <v>0</v>
      </c>
      <c r="AW2993" s="3">
        <v>0</v>
      </c>
      <c r="AX2993" s="3">
        <v>0</v>
      </c>
      <c r="AY2993" s="3">
        <v>0</v>
      </c>
      <c r="AZ2993" s="3">
        <v>0</v>
      </c>
      <c r="BA2993" s="3">
        <v>0</v>
      </c>
      <c r="BB2993" s="3">
        <v>0</v>
      </c>
      <c r="BC2993" s="3">
        <v>0</v>
      </c>
      <c r="BD2993" s="3">
        <v>0</v>
      </c>
      <c r="BE2993" s="3">
        <v>0</v>
      </c>
      <c r="BF2993" s="3">
        <v>0</v>
      </c>
      <c r="BG2993" s="3">
        <v>0</v>
      </c>
      <c r="BH2993" s="3">
        <v>1</v>
      </c>
      <c r="BI2993" s="3">
        <v>1</v>
      </c>
      <c r="BJ2993" s="3">
        <v>0.2</v>
      </c>
      <c r="BK2993" s="3">
        <v>1</v>
      </c>
      <c r="BL2993" s="3">
        <v>117.26</v>
      </c>
      <c r="BM2993" s="3">
        <v>17.59</v>
      </c>
      <c r="BN2993" s="3">
        <v>134.85</v>
      </c>
      <c r="BO2993" s="3">
        <v>134.85</v>
      </c>
      <c r="BQ2993" s="3" t="s">
        <v>273</v>
      </c>
      <c r="BR2993" s="3" t="s">
        <v>308</v>
      </c>
      <c r="BS2993" s="4">
        <v>44566</v>
      </c>
      <c r="BT2993" s="5">
        <v>0.57291666666666663</v>
      </c>
      <c r="BU2993" s="3" t="s">
        <v>2563</v>
      </c>
      <c r="BV2993" s="3" t="s">
        <v>105</v>
      </c>
      <c r="BY2993" s="3">
        <v>1200</v>
      </c>
      <c r="BZ2993" s="3" t="s">
        <v>165</v>
      </c>
      <c r="CA2993" s="3" t="s">
        <v>328</v>
      </c>
      <c r="CC2993" s="3" t="s">
        <v>732</v>
      </c>
      <c r="CD2993" s="3">
        <v>3280</v>
      </c>
      <c r="CE2993" s="3" t="s">
        <v>93</v>
      </c>
      <c r="CF2993" s="4">
        <v>44568</v>
      </c>
      <c r="CI2993" s="3">
        <v>1</v>
      </c>
      <c r="CJ2993" s="3">
        <v>1</v>
      </c>
      <c r="CK2993" s="3">
        <v>23</v>
      </c>
      <c r="CL2993" s="3" t="s">
        <v>87</v>
      </c>
    </row>
    <row r="2994" spans="1:90" x14ac:dyDescent="0.2">
      <c r="A2994" s="3" t="s">
        <v>72</v>
      </c>
      <c r="B2994" s="3" t="s">
        <v>73</v>
      </c>
      <c r="C2994" s="3" t="s">
        <v>74</v>
      </c>
      <c r="E2994" s="3" t="str">
        <f>"FES1162843342"</f>
        <v>FES1162843342</v>
      </c>
      <c r="F2994" s="4">
        <v>44565</v>
      </c>
      <c r="G2994" s="3">
        <v>202207</v>
      </c>
      <c r="H2994" s="3" t="s">
        <v>75</v>
      </c>
      <c r="I2994" s="3" t="s">
        <v>76</v>
      </c>
      <c r="J2994" s="3" t="s">
        <v>77</v>
      </c>
      <c r="K2994" s="3" t="s">
        <v>78</v>
      </c>
      <c r="L2994" s="3" t="s">
        <v>187</v>
      </c>
      <c r="M2994" s="3" t="s">
        <v>188</v>
      </c>
      <c r="N2994" s="3" t="s">
        <v>189</v>
      </c>
      <c r="O2994" s="3" t="s">
        <v>82</v>
      </c>
      <c r="P2994" s="3" t="str">
        <f>"2170815193                    "</f>
        <v xml:space="preserve">2170815193                    </v>
      </c>
      <c r="Q2994" s="3">
        <v>0</v>
      </c>
      <c r="R2994" s="3">
        <v>0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  <c r="AE2994" s="3">
        <v>0</v>
      </c>
      <c r="AF2994" s="3">
        <v>0</v>
      </c>
      <c r="AG2994" s="3">
        <v>0</v>
      </c>
      <c r="AH2994" s="3">
        <v>0</v>
      </c>
      <c r="AI2994" s="3">
        <v>0</v>
      </c>
      <c r="AJ2994" s="3">
        <v>0</v>
      </c>
      <c r="AK2994" s="3">
        <v>32.9</v>
      </c>
      <c r="AL2994" s="3">
        <v>0</v>
      </c>
      <c r="AM2994" s="3">
        <v>0</v>
      </c>
      <c r="AN2994" s="3">
        <v>0</v>
      </c>
      <c r="AO2994" s="3">
        <v>0</v>
      </c>
      <c r="AP2994" s="3">
        <v>0</v>
      </c>
      <c r="AQ2994" s="3">
        <v>0</v>
      </c>
      <c r="AR2994" s="3">
        <v>0</v>
      </c>
      <c r="AS2994" s="3">
        <v>0</v>
      </c>
      <c r="AT2994" s="3">
        <v>0</v>
      </c>
      <c r="AU2994" s="3">
        <v>0</v>
      </c>
      <c r="AV2994" s="3">
        <v>0</v>
      </c>
      <c r="AW2994" s="3">
        <v>0</v>
      </c>
      <c r="AX2994" s="3">
        <v>0</v>
      </c>
      <c r="AY2994" s="3">
        <v>0</v>
      </c>
      <c r="AZ2994" s="3">
        <v>0</v>
      </c>
      <c r="BA2994" s="3">
        <v>0</v>
      </c>
      <c r="BB2994" s="3">
        <v>0</v>
      </c>
      <c r="BC2994" s="3">
        <v>0</v>
      </c>
      <c r="BD2994" s="3">
        <v>0</v>
      </c>
      <c r="BE2994" s="3">
        <v>0</v>
      </c>
      <c r="BF2994" s="3">
        <v>0</v>
      </c>
      <c r="BG2994" s="3">
        <v>0</v>
      </c>
      <c r="BH2994" s="3">
        <v>1</v>
      </c>
      <c r="BI2994" s="3">
        <v>1</v>
      </c>
      <c r="BJ2994" s="3">
        <v>0.2</v>
      </c>
      <c r="BK2994" s="3">
        <v>1</v>
      </c>
      <c r="BL2994" s="3">
        <v>117.26</v>
      </c>
      <c r="BM2994" s="3">
        <v>17.59</v>
      </c>
      <c r="BN2994" s="3">
        <v>134.85</v>
      </c>
      <c r="BO2994" s="3">
        <v>134.85</v>
      </c>
      <c r="BQ2994" s="3" t="s">
        <v>83</v>
      </c>
      <c r="BR2994" s="3" t="s">
        <v>308</v>
      </c>
      <c r="BS2994" s="4">
        <v>44566</v>
      </c>
      <c r="BT2994" s="5">
        <v>0.46111111111111108</v>
      </c>
      <c r="BU2994" s="3" t="s">
        <v>2769</v>
      </c>
      <c r="BV2994" s="3" t="s">
        <v>105</v>
      </c>
      <c r="BY2994" s="3">
        <v>1200</v>
      </c>
      <c r="BZ2994" s="3" t="s">
        <v>165</v>
      </c>
      <c r="CA2994" s="3" t="s">
        <v>268</v>
      </c>
      <c r="CC2994" s="3" t="s">
        <v>188</v>
      </c>
      <c r="CD2994" s="3">
        <v>7300</v>
      </c>
      <c r="CE2994" s="3" t="s">
        <v>93</v>
      </c>
      <c r="CF2994" s="4">
        <v>44567</v>
      </c>
      <c r="CI2994" s="3">
        <v>1</v>
      </c>
      <c r="CJ2994" s="3">
        <v>1</v>
      </c>
      <c r="CK2994" s="3">
        <v>23</v>
      </c>
      <c r="CL2994" s="3" t="s">
        <v>87</v>
      </c>
    </row>
    <row r="2995" spans="1:90" x14ac:dyDescent="0.2">
      <c r="A2995" s="3" t="s">
        <v>72</v>
      </c>
      <c r="B2995" s="3" t="s">
        <v>73</v>
      </c>
      <c r="C2995" s="3" t="s">
        <v>74</v>
      </c>
      <c r="E2995" s="3" t="str">
        <f>"FES1162843396"</f>
        <v>FES1162843396</v>
      </c>
      <c r="F2995" s="4">
        <v>44565</v>
      </c>
      <c r="G2995" s="3">
        <v>202207</v>
      </c>
      <c r="H2995" s="3" t="s">
        <v>75</v>
      </c>
      <c r="I2995" s="3" t="s">
        <v>76</v>
      </c>
      <c r="J2995" s="3" t="s">
        <v>77</v>
      </c>
      <c r="K2995" s="3" t="s">
        <v>78</v>
      </c>
      <c r="L2995" s="3" t="s">
        <v>101</v>
      </c>
      <c r="M2995" s="3" t="s">
        <v>102</v>
      </c>
      <c r="N2995" s="3" t="s">
        <v>272</v>
      </c>
      <c r="O2995" s="3" t="s">
        <v>148</v>
      </c>
      <c r="P2995" s="3" t="str">
        <f>"2170813679                    "</f>
        <v xml:space="preserve">2170813679                    </v>
      </c>
      <c r="Q2995" s="3">
        <v>0</v>
      </c>
      <c r="R2995" s="3">
        <v>0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  <c r="AE2995" s="3">
        <v>0</v>
      </c>
      <c r="AF2995" s="3">
        <v>0</v>
      </c>
      <c r="AG2995" s="3">
        <v>0</v>
      </c>
      <c r="AH2995" s="3">
        <v>0</v>
      </c>
      <c r="AI2995" s="3">
        <v>0</v>
      </c>
      <c r="AJ2995" s="3">
        <v>0</v>
      </c>
      <c r="AK2995" s="3">
        <v>35.54</v>
      </c>
      <c r="AL2995" s="3">
        <v>0</v>
      </c>
      <c r="AM2995" s="3">
        <v>0</v>
      </c>
      <c r="AN2995" s="3">
        <v>0</v>
      </c>
      <c r="AO2995" s="3">
        <v>0</v>
      </c>
      <c r="AP2995" s="3">
        <v>0</v>
      </c>
      <c r="AQ2995" s="3">
        <v>0</v>
      </c>
      <c r="AR2995" s="3">
        <v>0</v>
      </c>
      <c r="AS2995" s="3">
        <v>0</v>
      </c>
      <c r="AT2995" s="3">
        <v>0</v>
      </c>
      <c r="AU2995" s="3">
        <v>0</v>
      </c>
      <c r="AV2995" s="3">
        <v>0</v>
      </c>
      <c r="AW2995" s="3">
        <v>0</v>
      </c>
      <c r="AX2995" s="3">
        <v>0</v>
      </c>
      <c r="AY2995" s="3">
        <v>0</v>
      </c>
      <c r="AZ2995" s="3">
        <v>0</v>
      </c>
      <c r="BA2995" s="3">
        <v>0</v>
      </c>
      <c r="BB2995" s="3">
        <v>0</v>
      </c>
      <c r="BC2995" s="3">
        <v>0</v>
      </c>
      <c r="BD2995" s="3">
        <v>0</v>
      </c>
      <c r="BE2995" s="3">
        <v>0</v>
      </c>
      <c r="BF2995" s="3">
        <v>0</v>
      </c>
      <c r="BG2995" s="3">
        <v>0</v>
      </c>
      <c r="BH2995" s="3">
        <v>1</v>
      </c>
      <c r="BI2995" s="3">
        <v>17</v>
      </c>
      <c r="BJ2995" s="3">
        <v>16.3</v>
      </c>
      <c r="BK2995" s="3">
        <v>17</v>
      </c>
      <c r="BL2995" s="3">
        <v>131.93</v>
      </c>
      <c r="BM2995" s="3">
        <v>19.79</v>
      </c>
      <c r="BN2995" s="3">
        <v>151.72</v>
      </c>
      <c r="BO2995" s="3">
        <v>151.72</v>
      </c>
      <c r="BQ2995" s="3" t="s">
        <v>273</v>
      </c>
      <c r="BR2995" s="3" t="s">
        <v>308</v>
      </c>
      <c r="BS2995" s="4">
        <v>44566</v>
      </c>
      <c r="BT2995" s="5">
        <v>0.4055555555555555</v>
      </c>
      <c r="BU2995" s="3" t="s">
        <v>274</v>
      </c>
      <c r="BV2995" s="3" t="s">
        <v>105</v>
      </c>
      <c r="BY2995" s="3">
        <v>81675</v>
      </c>
      <c r="BZ2995" s="3" t="s">
        <v>327</v>
      </c>
      <c r="CA2995" s="3" t="s">
        <v>275</v>
      </c>
      <c r="CC2995" s="3" t="s">
        <v>102</v>
      </c>
      <c r="CD2995" s="3">
        <v>4000</v>
      </c>
      <c r="CE2995" s="3" t="s">
        <v>86</v>
      </c>
      <c r="CF2995" s="4">
        <v>44566</v>
      </c>
      <c r="CI2995" s="3">
        <v>1</v>
      </c>
      <c r="CJ2995" s="3">
        <v>1</v>
      </c>
      <c r="CK2995" s="3">
        <v>41</v>
      </c>
      <c r="CL2995" s="3" t="s">
        <v>87</v>
      </c>
    </row>
    <row r="2996" spans="1:90" x14ac:dyDescent="0.2">
      <c r="A2996" s="3" t="s">
        <v>72</v>
      </c>
      <c r="B2996" s="3" t="s">
        <v>73</v>
      </c>
      <c r="C2996" s="3" t="s">
        <v>74</v>
      </c>
      <c r="E2996" s="3" t="str">
        <f>"FES1162843629"</f>
        <v>FES1162843629</v>
      </c>
      <c r="F2996" s="4">
        <v>44566</v>
      </c>
      <c r="G2996" s="3">
        <v>202207</v>
      </c>
      <c r="H2996" s="3" t="s">
        <v>75</v>
      </c>
      <c r="I2996" s="3" t="s">
        <v>76</v>
      </c>
      <c r="J2996" s="3" t="s">
        <v>77</v>
      </c>
      <c r="K2996" s="3" t="s">
        <v>78</v>
      </c>
      <c r="L2996" s="3" t="s">
        <v>97</v>
      </c>
      <c r="M2996" s="3" t="s">
        <v>98</v>
      </c>
      <c r="N2996" s="3" t="s">
        <v>2283</v>
      </c>
      <c r="O2996" s="3" t="s">
        <v>82</v>
      </c>
      <c r="P2996" s="3" t="str">
        <f>"2170791804                    "</f>
        <v xml:space="preserve">2170791804                    </v>
      </c>
      <c r="Q2996" s="3">
        <v>0</v>
      </c>
      <c r="R2996" s="3">
        <v>0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  <c r="AE2996" s="3">
        <v>0</v>
      </c>
      <c r="AF2996" s="3">
        <v>0</v>
      </c>
      <c r="AG2996" s="3">
        <v>0</v>
      </c>
      <c r="AH2996" s="3">
        <v>0</v>
      </c>
      <c r="AI2996" s="3">
        <v>0</v>
      </c>
      <c r="AJ2996" s="3">
        <v>0</v>
      </c>
      <c r="AK2996" s="3">
        <v>12.07</v>
      </c>
      <c r="AL2996" s="3">
        <v>0</v>
      </c>
      <c r="AM2996" s="3">
        <v>0</v>
      </c>
      <c r="AN2996" s="3">
        <v>0</v>
      </c>
      <c r="AO2996" s="3">
        <v>0</v>
      </c>
      <c r="AP2996" s="3">
        <v>0</v>
      </c>
      <c r="AQ2996" s="3">
        <v>0</v>
      </c>
      <c r="AR2996" s="3">
        <v>0</v>
      </c>
      <c r="AS2996" s="3">
        <v>0</v>
      </c>
      <c r="AT2996" s="3">
        <v>0</v>
      </c>
      <c r="AU2996" s="3">
        <v>0</v>
      </c>
      <c r="AV2996" s="3">
        <v>0</v>
      </c>
      <c r="AW2996" s="3">
        <v>0</v>
      </c>
      <c r="AX2996" s="3">
        <v>0</v>
      </c>
      <c r="AY2996" s="3">
        <v>0</v>
      </c>
      <c r="AZ2996" s="3">
        <v>0</v>
      </c>
      <c r="BA2996" s="3">
        <v>0</v>
      </c>
      <c r="BB2996" s="3">
        <v>0</v>
      </c>
      <c r="BC2996" s="3">
        <v>0</v>
      </c>
      <c r="BD2996" s="3">
        <v>0</v>
      </c>
      <c r="BE2996" s="3">
        <v>0</v>
      </c>
      <c r="BF2996" s="3">
        <v>0</v>
      </c>
      <c r="BG2996" s="3">
        <v>0</v>
      </c>
      <c r="BH2996" s="3">
        <v>1</v>
      </c>
      <c r="BI2996" s="3">
        <v>1</v>
      </c>
      <c r="BJ2996" s="3">
        <v>2</v>
      </c>
      <c r="BK2996" s="3">
        <v>2</v>
      </c>
      <c r="BL2996" s="3">
        <v>46.08</v>
      </c>
      <c r="BM2996" s="3">
        <v>6.91</v>
      </c>
      <c r="BN2996" s="3">
        <v>52.99</v>
      </c>
      <c r="BO2996" s="3">
        <v>52.99</v>
      </c>
      <c r="BQ2996" s="3" t="s">
        <v>89</v>
      </c>
      <c r="BR2996" s="3" t="s">
        <v>364</v>
      </c>
      <c r="BS2996" s="4">
        <v>44567</v>
      </c>
      <c r="BT2996" s="5">
        <v>0.4465277777777778</v>
      </c>
      <c r="BU2996" s="3" t="s">
        <v>2770</v>
      </c>
      <c r="BV2996" s="3" t="s">
        <v>87</v>
      </c>
      <c r="BW2996" s="3" t="s">
        <v>353</v>
      </c>
      <c r="BX2996" s="3" t="s">
        <v>377</v>
      </c>
      <c r="BY2996" s="3">
        <v>9900</v>
      </c>
      <c r="BZ2996" s="3" t="s">
        <v>165</v>
      </c>
      <c r="CA2996" s="3" t="s">
        <v>2523</v>
      </c>
      <c r="CC2996" s="3" t="s">
        <v>98</v>
      </c>
      <c r="CD2996" s="3">
        <v>2040</v>
      </c>
      <c r="CE2996" s="3" t="s">
        <v>86</v>
      </c>
      <c r="CF2996" s="4">
        <v>44567</v>
      </c>
      <c r="CI2996" s="3">
        <v>1</v>
      </c>
      <c r="CJ2996" s="3">
        <v>1</v>
      </c>
      <c r="CK2996" s="3">
        <v>22</v>
      </c>
      <c r="CL2996" s="3" t="s">
        <v>87</v>
      </c>
    </row>
    <row r="2997" spans="1:90" x14ac:dyDescent="0.2">
      <c r="A2997" s="3" t="s">
        <v>72</v>
      </c>
      <c r="B2997" s="3" t="s">
        <v>73</v>
      </c>
      <c r="C2997" s="3" t="s">
        <v>74</v>
      </c>
      <c r="E2997" s="3" t="str">
        <f>"FES1162843572"</f>
        <v>FES1162843572</v>
      </c>
      <c r="F2997" s="4">
        <v>44566</v>
      </c>
      <c r="G2997" s="3">
        <v>202207</v>
      </c>
      <c r="H2997" s="3" t="s">
        <v>75</v>
      </c>
      <c r="I2997" s="3" t="s">
        <v>76</v>
      </c>
      <c r="J2997" s="3" t="s">
        <v>77</v>
      </c>
      <c r="K2997" s="3" t="s">
        <v>78</v>
      </c>
      <c r="L2997" s="3" t="s">
        <v>90</v>
      </c>
      <c r="M2997" s="3" t="s">
        <v>91</v>
      </c>
      <c r="N2997" s="3" t="s">
        <v>2254</v>
      </c>
      <c r="O2997" s="3" t="s">
        <v>82</v>
      </c>
      <c r="P2997" s="3" t="str">
        <f>"2170815663                    "</f>
        <v xml:space="preserve">2170815663                    </v>
      </c>
      <c r="Q2997" s="3">
        <v>0</v>
      </c>
      <c r="R2997" s="3">
        <v>0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  <c r="AE2997" s="3">
        <v>0</v>
      </c>
      <c r="AF2997" s="3">
        <v>0</v>
      </c>
      <c r="AG2997" s="3">
        <v>0</v>
      </c>
      <c r="AH2997" s="3">
        <v>0</v>
      </c>
      <c r="AI2997" s="3">
        <v>0</v>
      </c>
      <c r="AJ2997" s="3">
        <v>0</v>
      </c>
      <c r="AK2997" s="3">
        <v>23.18</v>
      </c>
      <c r="AL2997" s="3">
        <v>0</v>
      </c>
      <c r="AM2997" s="3">
        <v>0</v>
      </c>
      <c r="AN2997" s="3">
        <v>0</v>
      </c>
      <c r="AO2997" s="3">
        <v>0</v>
      </c>
      <c r="AP2997" s="3">
        <v>0</v>
      </c>
      <c r="AQ2997" s="3">
        <v>0</v>
      </c>
      <c r="AR2997" s="3">
        <v>0</v>
      </c>
      <c r="AS2997" s="3">
        <v>0</v>
      </c>
      <c r="AT2997" s="3">
        <v>0</v>
      </c>
      <c r="AU2997" s="3">
        <v>0</v>
      </c>
      <c r="AV2997" s="3">
        <v>0</v>
      </c>
      <c r="AW2997" s="3">
        <v>0</v>
      </c>
      <c r="AX2997" s="3">
        <v>0</v>
      </c>
      <c r="AY2997" s="3">
        <v>0</v>
      </c>
      <c r="AZ2997" s="3">
        <v>0</v>
      </c>
      <c r="BA2997" s="3">
        <v>0</v>
      </c>
      <c r="BB2997" s="3">
        <v>0</v>
      </c>
      <c r="BC2997" s="3">
        <v>0</v>
      </c>
      <c r="BD2997" s="3">
        <v>0</v>
      </c>
      <c r="BE2997" s="3">
        <v>0</v>
      </c>
      <c r="BF2997" s="3">
        <v>0</v>
      </c>
      <c r="BG2997" s="3">
        <v>0</v>
      </c>
      <c r="BH2997" s="3">
        <v>1</v>
      </c>
      <c r="BI2997" s="3">
        <v>3</v>
      </c>
      <c r="BJ2997" s="3">
        <v>2</v>
      </c>
      <c r="BK2997" s="3">
        <v>3</v>
      </c>
      <c r="BL2997" s="3">
        <v>88.48</v>
      </c>
      <c r="BM2997" s="3">
        <v>13.27</v>
      </c>
      <c r="BN2997" s="3">
        <v>101.75</v>
      </c>
      <c r="BO2997" s="3">
        <v>101.75</v>
      </c>
      <c r="BQ2997" s="3" t="s">
        <v>83</v>
      </c>
      <c r="BR2997" s="3" t="s">
        <v>364</v>
      </c>
      <c r="BS2997" s="4">
        <v>44567</v>
      </c>
      <c r="BT2997" s="5">
        <v>0.31666666666666665</v>
      </c>
      <c r="BU2997" s="3" t="s">
        <v>2737</v>
      </c>
      <c r="BV2997" s="3" t="s">
        <v>105</v>
      </c>
      <c r="BY2997" s="3">
        <v>9900</v>
      </c>
      <c r="BZ2997" s="3" t="s">
        <v>165</v>
      </c>
      <c r="CA2997" s="3" t="s">
        <v>2738</v>
      </c>
      <c r="CC2997" s="3" t="s">
        <v>91</v>
      </c>
      <c r="CD2997" s="3">
        <v>7493</v>
      </c>
      <c r="CE2997" s="3" t="s">
        <v>86</v>
      </c>
      <c r="CF2997" s="4">
        <v>44568</v>
      </c>
      <c r="CI2997" s="3">
        <v>1</v>
      </c>
      <c r="CJ2997" s="3">
        <v>1</v>
      </c>
      <c r="CK2997" s="3">
        <v>21</v>
      </c>
      <c r="CL2997" s="3" t="s">
        <v>87</v>
      </c>
    </row>
    <row r="2998" spans="1:90" x14ac:dyDescent="0.2">
      <c r="A2998" s="3" t="s">
        <v>72</v>
      </c>
      <c r="B2998" s="3" t="s">
        <v>73</v>
      </c>
      <c r="C2998" s="3" t="s">
        <v>74</v>
      </c>
      <c r="E2998" s="3" t="str">
        <f>"FES1162843598"</f>
        <v>FES1162843598</v>
      </c>
      <c r="F2998" s="4">
        <v>44566</v>
      </c>
      <c r="G2998" s="3">
        <v>202207</v>
      </c>
      <c r="H2998" s="3" t="s">
        <v>75</v>
      </c>
      <c r="I2998" s="3" t="s">
        <v>76</v>
      </c>
      <c r="J2998" s="3" t="s">
        <v>77</v>
      </c>
      <c r="K2998" s="3" t="s">
        <v>78</v>
      </c>
      <c r="L2998" s="3" t="s">
        <v>101</v>
      </c>
      <c r="M2998" s="3" t="s">
        <v>102</v>
      </c>
      <c r="N2998" s="3" t="s">
        <v>103</v>
      </c>
      <c r="O2998" s="3" t="s">
        <v>82</v>
      </c>
      <c r="P2998" s="3" t="str">
        <f>"2170815671                    "</f>
        <v xml:space="preserve">2170815671                    </v>
      </c>
      <c r="Q2998" s="3">
        <v>0</v>
      </c>
      <c r="R2998" s="3">
        <v>0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  <c r="AE2998" s="3">
        <v>0</v>
      </c>
      <c r="AF2998" s="3">
        <v>0</v>
      </c>
      <c r="AG2998" s="3">
        <v>0</v>
      </c>
      <c r="AH2998" s="3">
        <v>0</v>
      </c>
      <c r="AI2998" s="3">
        <v>0</v>
      </c>
      <c r="AJ2998" s="3">
        <v>0</v>
      </c>
      <c r="AK2998" s="3">
        <v>15.46</v>
      </c>
      <c r="AL2998" s="3">
        <v>0</v>
      </c>
      <c r="AM2998" s="3">
        <v>0</v>
      </c>
      <c r="AN2998" s="3">
        <v>0</v>
      </c>
      <c r="AO2998" s="3">
        <v>0</v>
      </c>
      <c r="AP2998" s="3">
        <v>0</v>
      </c>
      <c r="AQ2998" s="3">
        <v>0</v>
      </c>
      <c r="AR2998" s="3">
        <v>0</v>
      </c>
      <c r="AS2998" s="3">
        <v>0</v>
      </c>
      <c r="AT2998" s="3">
        <v>0</v>
      </c>
      <c r="AU2998" s="3">
        <v>0</v>
      </c>
      <c r="AV2998" s="3">
        <v>0</v>
      </c>
      <c r="AW2998" s="3">
        <v>0</v>
      </c>
      <c r="AX2998" s="3">
        <v>0</v>
      </c>
      <c r="AY2998" s="3">
        <v>0</v>
      </c>
      <c r="AZ2998" s="3">
        <v>0</v>
      </c>
      <c r="BA2998" s="3">
        <v>0</v>
      </c>
      <c r="BB2998" s="3">
        <v>0</v>
      </c>
      <c r="BC2998" s="3">
        <v>0</v>
      </c>
      <c r="BD2998" s="3">
        <v>0</v>
      </c>
      <c r="BE2998" s="3">
        <v>0</v>
      </c>
      <c r="BF2998" s="3">
        <v>0</v>
      </c>
      <c r="BG2998" s="3">
        <v>0</v>
      </c>
      <c r="BH2998" s="3">
        <v>1</v>
      </c>
      <c r="BI2998" s="3">
        <v>2</v>
      </c>
      <c r="BJ2998" s="3">
        <v>1.8</v>
      </c>
      <c r="BK2998" s="3">
        <v>2</v>
      </c>
      <c r="BL2998" s="3">
        <v>59</v>
      </c>
      <c r="BM2998" s="3">
        <v>8.85</v>
      </c>
      <c r="BN2998" s="3">
        <v>67.849999999999994</v>
      </c>
      <c r="BO2998" s="3">
        <v>67.849999999999994</v>
      </c>
      <c r="BQ2998" s="3" t="s">
        <v>83</v>
      </c>
      <c r="BR2998" s="3" t="s">
        <v>364</v>
      </c>
      <c r="BS2998" s="4">
        <v>44567</v>
      </c>
      <c r="BT2998" s="5">
        <v>0.39999999999999997</v>
      </c>
      <c r="BU2998" s="3" t="s">
        <v>2742</v>
      </c>
      <c r="BV2998" s="3" t="s">
        <v>105</v>
      </c>
      <c r="BY2998" s="3">
        <v>9000</v>
      </c>
      <c r="BZ2998" s="3" t="s">
        <v>165</v>
      </c>
      <c r="CA2998" s="3" t="s">
        <v>334</v>
      </c>
      <c r="CC2998" s="3" t="s">
        <v>102</v>
      </c>
      <c r="CD2998" s="3">
        <v>4001</v>
      </c>
      <c r="CE2998" s="3" t="s">
        <v>86</v>
      </c>
      <c r="CF2998" s="4">
        <v>44567</v>
      </c>
      <c r="CI2998" s="3">
        <v>1</v>
      </c>
      <c r="CJ2998" s="3">
        <v>1</v>
      </c>
      <c r="CK2998" s="3">
        <v>21</v>
      </c>
      <c r="CL2998" s="3" t="s">
        <v>87</v>
      </c>
    </row>
    <row r="2999" spans="1:90" x14ac:dyDescent="0.2">
      <c r="A2999" s="3" t="s">
        <v>72</v>
      </c>
      <c r="B2999" s="3" t="s">
        <v>73</v>
      </c>
      <c r="C2999" s="3" t="s">
        <v>74</v>
      </c>
      <c r="E2999" s="3" t="str">
        <f>"FES1162843781"</f>
        <v>FES1162843781</v>
      </c>
      <c r="F2999" s="4">
        <v>44566</v>
      </c>
      <c r="G2999" s="3">
        <v>202207</v>
      </c>
      <c r="H2999" s="3" t="s">
        <v>75</v>
      </c>
      <c r="I2999" s="3" t="s">
        <v>76</v>
      </c>
      <c r="J2999" s="3" t="s">
        <v>77</v>
      </c>
      <c r="K2999" s="3" t="s">
        <v>78</v>
      </c>
      <c r="L2999" s="3" t="s">
        <v>2383</v>
      </c>
      <c r="M2999" s="3" t="s">
        <v>2384</v>
      </c>
      <c r="N2999" s="3" t="s">
        <v>2385</v>
      </c>
      <c r="O2999" s="3" t="s">
        <v>82</v>
      </c>
      <c r="P2999" s="3" t="str">
        <f>"2170815710                    "</f>
        <v xml:space="preserve">2170815710                    </v>
      </c>
      <c r="Q2999" s="3">
        <v>0</v>
      </c>
      <c r="R2999" s="3">
        <v>0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  <c r="AE2999" s="3">
        <v>0</v>
      </c>
      <c r="AF2999" s="3">
        <v>0</v>
      </c>
      <c r="AG2999" s="3">
        <v>0</v>
      </c>
      <c r="AH2999" s="3">
        <v>0</v>
      </c>
      <c r="AI2999" s="3">
        <v>0</v>
      </c>
      <c r="AJ2999" s="3">
        <v>0</v>
      </c>
      <c r="AK2999" s="3">
        <v>29.95</v>
      </c>
      <c r="AL2999" s="3">
        <v>0</v>
      </c>
      <c r="AM2999" s="3">
        <v>0</v>
      </c>
      <c r="AN2999" s="3">
        <v>0</v>
      </c>
      <c r="AO2999" s="3">
        <v>0</v>
      </c>
      <c r="AP2999" s="3">
        <v>0</v>
      </c>
      <c r="AQ2999" s="3">
        <v>0</v>
      </c>
      <c r="AR2999" s="3">
        <v>0</v>
      </c>
      <c r="AS2999" s="3">
        <v>0</v>
      </c>
      <c r="AT2999" s="3">
        <v>0</v>
      </c>
      <c r="AU2999" s="3">
        <v>0</v>
      </c>
      <c r="AV2999" s="3">
        <v>0</v>
      </c>
      <c r="AW2999" s="3">
        <v>0</v>
      </c>
      <c r="AX2999" s="3">
        <v>0</v>
      </c>
      <c r="AY2999" s="3">
        <v>0</v>
      </c>
      <c r="AZ2999" s="3">
        <v>0</v>
      </c>
      <c r="BA2999" s="3">
        <v>0</v>
      </c>
      <c r="BB2999" s="3">
        <v>0</v>
      </c>
      <c r="BC2999" s="3">
        <v>0</v>
      </c>
      <c r="BD2999" s="3">
        <v>0</v>
      </c>
      <c r="BE2999" s="3">
        <v>0</v>
      </c>
      <c r="BF2999" s="3">
        <v>0</v>
      </c>
      <c r="BG2999" s="3">
        <v>0</v>
      </c>
      <c r="BH2999" s="3">
        <v>1</v>
      </c>
      <c r="BI2999" s="3">
        <v>2</v>
      </c>
      <c r="BJ2999" s="3">
        <v>2</v>
      </c>
      <c r="BK2999" s="3">
        <v>2</v>
      </c>
      <c r="BL2999" s="3">
        <v>114.31</v>
      </c>
      <c r="BM2999" s="3">
        <v>17.149999999999999</v>
      </c>
      <c r="BN2999" s="3">
        <v>131.46</v>
      </c>
      <c r="BO2999" s="3">
        <v>131.46</v>
      </c>
      <c r="BQ2999" s="3" t="s">
        <v>83</v>
      </c>
      <c r="BR2999" s="3" t="s">
        <v>364</v>
      </c>
      <c r="BS2999" s="4">
        <v>44567</v>
      </c>
      <c r="BT2999" s="5">
        <v>0.60069444444444442</v>
      </c>
      <c r="BU2999" s="3" t="s">
        <v>2771</v>
      </c>
      <c r="BV2999" s="3" t="s">
        <v>105</v>
      </c>
      <c r="BY2999" s="3">
        <v>9918</v>
      </c>
      <c r="BZ2999" s="3" t="s">
        <v>165</v>
      </c>
      <c r="CA2999" s="3" t="s">
        <v>2387</v>
      </c>
      <c r="CC2999" s="3" t="s">
        <v>2384</v>
      </c>
      <c r="CD2999" s="3">
        <v>1120</v>
      </c>
      <c r="CE2999" s="3" t="s">
        <v>86</v>
      </c>
      <c r="CF2999" s="4">
        <v>44567</v>
      </c>
      <c r="CI2999" s="3">
        <v>1</v>
      </c>
      <c r="CJ2999" s="3">
        <v>1</v>
      </c>
      <c r="CK2999" s="3">
        <v>23</v>
      </c>
      <c r="CL2999" s="3" t="s">
        <v>87</v>
      </c>
    </row>
    <row r="3000" spans="1:90" x14ac:dyDescent="0.2">
      <c r="A3000" s="3" t="s">
        <v>72</v>
      </c>
      <c r="B3000" s="3" t="s">
        <v>73</v>
      </c>
      <c r="C3000" s="3" t="s">
        <v>74</v>
      </c>
      <c r="E3000" s="3" t="str">
        <f>"FES1162843683"</f>
        <v>FES1162843683</v>
      </c>
      <c r="F3000" s="4">
        <v>44566</v>
      </c>
      <c r="G3000" s="3">
        <v>202207</v>
      </c>
      <c r="H3000" s="3" t="s">
        <v>75</v>
      </c>
      <c r="I3000" s="3" t="s">
        <v>76</v>
      </c>
      <c r="J3000" s="3" t="s">
        <v>77</v>
      </c>
      <c r="K3000" s="3" t="s">
        <v>78</v>
      </c>
      <c r="L3000" s="3" t="s">
        <v>171</v>
      </c>
      <c r="M3000" s="3" t="s">
        <v>172</v>
      </c>
      <c r="N3000" s="3" t="s">
        <v>624</v>
      </c>
      <c r="O3000" s="3" t="s">
        <v>82</v>
      </c>
      <c r="P3000" s="3" t="str">
        <f>"2170814369                    "</f>
        <v xml:space="preserve">2170814369                    </v>
      </c>
      <c r="Q3000" s="3">
        <v>0</v>
      </c>
      <c r="R3000" s="3">
        <v>0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  <c r="AE3000" s="3">
        <v>0</v>
      </c>
      <c r="AF3000" s="3">
        <v>0</v>
      </c>
      <c r="AG3000" s="3">
        <v>0</v>
      </c>
      <c r="AH3000" s="3">
        <v>0</v>
      </c>
      <c r="AI3000" s="3">
        <v>0</v>
      </c>
      <c r="AJ3000" s="3">
        <v>0</v>
      </c>
      <c r="AK3000" s="3">
        <v>30.91</v>
      </c>
      <c r="AL3000" s="3">
        <v>0</v>
      </c>
      <c r="AM3000" s="3">
        <v>0</v>
      </c>
      <c r="AN3000" s="3">
        <v>0</v>
      </c>
      <c r="AO3000" s="3">
        <v>0</v>
      </c>
      <c r="AP3000" s="3">
        <v>0</v>
      </c>
      <c r="AQ3000" s="3">
        <v>0</v>
      </c>
      <c r="AR3000" s="3">
        <v>0</v>
      </c>
      <c r="AS3000" s="3">
        <v>0</v>
      </c>
      <c r="AT3000" s="3">
        <v>0</v>
      </c>
      <c r="AU3000" s="3">
        <v>0</v>
      </c>
      <c r="AV3000" s="3">
        <v>0</v>
      </c>
      <c r="AW3000" s="3">
        <v>0</v>
      </c>
      <c r="AX3000" s="3">
        <v>0</v>
      </c>
      <c r="AY3000" s="3">
        <v>0</v>
      </c>
      <c r="AZ3000" s="3">
        <v>0</v>
      </c>
      <c r="BA3000" s="3">
        <v>0</v>
      </c>
      <c r="BB3000" s="3">
        <v>0</v>
      </c>
      <c r="BC3000" s="3">
        <v>0</v>
      </c>
      <c r="BD3000" s="3">
        <v>0</v>
      </c>
      <c r="BE3000" s="3">
        <v>0</v>
      </c>
      <c r="BF3000" s="3">
        <v>0</v>
      </c>
      <c r="BG3000" s="3">
        <v>0</v>
      </c>
      <c r="BH3000" s="3">
        <v>1</v>
      </c>
      <c r="BI3000" s="3">
        <v>4</v>
      </c>
      <c r="BJ3000" s="3">
        <v>1.8</v>
      </c>
      <c r="BK3000" s="3">
        <v>4</v>
      </c>
      <c r="BL3000" s="3">
        <v>117.97</v>
      </c>
      <c r="BM3000" s="3">
        <v>17.7</v>
      </c>
      <c r="BN3000" s="3">
        <v>135.66999999999999</v>
      </c>
      <c r="BO3000" s="3">
        <v>135.66999999999999</v>
      </c>
      <c r="BQ3000" s="3" t="s">
        <v>89</v>
      </c>
      <c r="BR3000" s="3" t="s">
        <v>364</v>
      </c>
      <c r="BS3000" s="4">
        <v>44567</v>
      </c>
      <c r="BT3000" s="5">
        <v>0.47152777777777777</v>
      </c>
      <c r="BU3000" s="3" t="s">
        <v>118</v>
      </c>
      <c r="BV3000" s="3" t="s">
        <v>87</v>
      </c>
      <c r="BW3000" s="3" t="s">
        <v>457</v>
      </c>
      <c r="BX3000" s="3" t="s">
        <v>279</v>
      </c>
      <c r="BY3000" s="3">
        <v>9000</v>
      </c>
      <c r="BZ3000" s="3" t="s">
        <v>165</v>
      </c>
      <c r="CA3000" s="3" t="s">
        <v>331</v>
      </c>
      <c r="CC3000" s="3" t="s">
        <v>172</v>
      </c>
      <c r="CD3000" s="3">
        <v>6001</v>
      </c>
      <c r="CE3000" s="3" t="s">
        <v>86</v>
      </c>
      <c r="CF3000" s="4">
        <v>44567</v>
      </c>
      <c r="CI3000" s="3">
        <v>1</v>
      </c>
      <c r="CJ3000" s="3">
        <v>1</v>
      </c>
      <c r="CK3000" s="3">
        <v>21</v>
      </c>
      <c r="CL3000" s="3" t="s">
        <v>87</v>
      </c>
    </row>
    <row r="3001" spans="1:90" x14ac:dyDescent="0.2">
      <c r="A3001" s="3" t="s">
        <v>72</v>
      </c>
      <c r="B3001" s="3" t="s">
        <v>73</v>
      </c>
      <c r="C3001" s="3" t="s">
        <v>74</v>
      </c>
      <c r="E3001" s="3" t="str">
        <f>"FES1162843761"</f>
        <v>FES1162843761</v>
      </c>
      <c r="F3001" s="4">
        <v>44566</v>
      </c>
      <c r="G3001" s="3">
        <v>202207</v>
      </c>
      <c r="H3001" s="3" t="s">
        <v>75</v>
      </c>
      <c r="I3001" s="3" t="s">
        <v>76</v>
      </c>
      <c r="J3001" s="3" t="s">
        <v>77</v>
      </c>
      <c r="K3001" s="3" t="s">
        <v>78</v>
      </c>
      <c r="L3001" s="3" t="s">
        <v>167</v>
      </c>
      <c r="M3001" s="3" t="s">
        <v>168</v>
      </c>
      <c r="N3001" s="3" t="s">
        <v>247</v>
      </c>
      <c r="O3001" s="3" t="s">
        <v>148</v>
      </c>
      <c r="P3001" s="3" t="str">
        <f>"2170814494                    "</f>
        <v xml:space="preserve">2170814494                    </v>
      </c>
      <c r="Q3001" s="3">
        <v>0</v>
      </c>
      <c r="R3001" s="3">
        <v>0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  <c r="AE3001" s="3">
        <v>0</v>
      </c>
      <c r="AF3001" s="3">
        <v>0</v>
      </c>
      <c r="AG3001" s="3">
        <v>0</v>
      </c>
      <c r="AH3001" s="3">
        <v>0</v>
      </c>
      <c r="AI3001" s="3">
        <v>0</v>
      </c>
      <c r="AJ3001" s="3">
        <v>0</v>
      </c>
      <c r="AK3001" s="3">
        <v>29.89</v>
      </c>
      <c r="AL3001" s="3">
        <v>0</v>
      </c>
      <c r="AM3001" s="3">
        <v>0</v>
      </c>
      <c r="AN3001" s="3">
        <v>0</v>
      </c>
      <c r="AO3001" s="3">
        <v>0</v>
      </c>
      <c r="AP3001" s="3">
        <v>0</v>
      </c>
      <c r="AQ3001" s="3">
        <v>0</v>
      </c>
      <c r="AR3001" s="3">
        <v>0</v>
      </c>
      <c r="AS3001" s="3">
        <v>0</v>
      </c>
      <c r="AT3001" s="3">
        <v>0</v>
      </c>
      <c r="AU3001" s="3">
        <v>0</v>
      </c>
      <c r="AV3001" s="3">
        <v>0</v>
      </c>
      <c r="AW3001" s="3">
        <v>0</v>
      </c>
      <c r="AX3001" s="3">
        <v>0</v>
      </c>
      <c r="AY3001" s="3">
        <v>0</v>
      </c>
      <c r="AZ3001" s="3">
        <v>0</v>
      </c>
      <c r="BA3001" s="3">
        <v>0</v>
      </c>
      <c r="BB3001" s="3">
        <v>0</v>
      </c>
      <c r="BC3001" s="3">
        <v>0</v>
      </c>
      <c r="BD3001" s="3">
        <v>0</v>
      </c>
      <c r="BE3001" s="3">
        <v>0</v>
      </c>
      <c r="BF3001" s="3">
        <v>0</v>
      </c>
      <c r="BG3001" s="3">
        <v>0</v>
      </c>
      <c r="BH3001" s="3">
        <v>1</v>
      </c>
      <c r="BI3001" s="3">
        <v>12</v>
      </c>
      <c r="BJ3001" s="3">
        <v>10.6</v>
      </c>
      <c r="BK3001" s="3">
        <v>12</v>
      </c>
      <c r="BL3001" s="3">
        <v>119.34</v>
      </c>
      <c r="BM3001" s="3">
        <v>17.899999999999999</v>
      </c>
      <c r="BN3001" s="3">
        <v>137.24</v>
      </c>
      <c r="BO3001" s="3">
        <v>137.24</v>
      </c>
      <c r="BQ3001" s="3" t="s">
        <v>89</v>
      </c>
      <c r="BR3001" s="3" t="s">
        <v>364</v>
      </c>
      <c r="BS3001" s="4">
        <v>44568</v>
      </c>
      <c r="BT3001" s="5">
        <v>0.54652777777777783</v>
      </c>
      <c r="BU3001" s="3" t="s">
        <v>2644</v>
      </c>
      <c r="BV3001" s="3" t="s">
        <v>105</v>
      </c>
      <c r="BY3001" s="3">
        <v>52800</v>
      </c>
      <c r="BZ3001" s="3" t="s">
        <v>327</v>
      </c>
      <c r="CA3001" s="3" t="s">
        <v>553</v>
      </c>
      <c r="CC3001" s="3" t="s">
        <v>168</v>
      </c>
      <c r="CD3001" s="3">
        <v>6229</v>
      </c>
      <c r="CE3001" s="3" t="s">
        <v>86</v>
      </c>
      <c r="CF3001" s="4">
        <v>44571</v>
      </c>
      <c r="CI3001" s="3">
        <v>2</v>
      </c>
      <c r="CJ3001" s="3">
        <v>2</v>
      </c>
      <c r="CK3001" s="3">
        <v>41</v>
      </c>
      <c r="CL3001" s="3" t="s">
        <v>87</v>
      </c>
    </row>
    <row r="3002" spans="1:90" x14ac:dyDescent="0.2">
      <c r="A3002" s="3" t="s">
        <v>72</v>
      </c>
      <c r="B3002" s="3" t="s">
        <v>73</v>
      </c>
      <c r="C3002" s="3" t="s">
        <v>74</v>
      </c>
      <c r="E3002" s="3" t="str">
        <f>"FES1162843426"</f>
        <v>FES1162843426</v>
      </c>
      <c r="F3002" s="4">
        <v>44565</v>
      </c>
      <c r="G3002" s="3">
        <v>202207</v>
      </c>
      <c r="H3002" s="3" t="s">
        <v>75</v>
      </c>
      <c r="I3002" s="3" t="s">
        <v>76</v>
      </c>
      <c r="J3002" s="3" t="s">
        <v>77</v>
      </c>
      <c r="K3002" s="3" t="s">
        <v>78</v>
      </c>
      <c r="L3002" s="3" t="s">
        <v>464</v>
      </c>
      <c r="M3002" s="3" t="s">
        <v>465</v>
      </c>
      <c r="N3002" s="3" t="s">
        <v>1682</v>
      </c>
      <c r="O3002" s="3" t="s">
        <v>82</v>
      </c>
      <c r="P3002" s="3" t="str">
        <f>"2170812948                    "</f>
        <v xml:space="preserve">2170812948                    </v>
      </c>
      <c r="Q3002" s="3">
        <v>0</v>
      </c>
      <c r="R3002" s="3">
        <v>0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  <c r="AE3002" s="3">
        <v>0</v>
      </c>
      <c r="AF3002" s="3">
        <v>0</v>
      </c>
      <c r="AG3002" s="3">
        <v>0</v>
      </c>
      <c r="AH3002" s="3">
        <v>0</v>
      </c>
      <c r="AI3002" s="3">
        <v>0</v>
      </c>
      <c r="AJ3002" s="3">
        <v>0</v>
      </c>
      <c r="AK3002" s="3">
        <v>13.26</v>
      </c>
      <c r="AL3002" s="3">
        <v>0</v>
      </c>
      <c r="AM3002" s="3">
        <v>0</v>
      </c>
      <c r="AN3002" s="3">
        <v>0</v>
      </c>
      <c r="AO3002" s="3">
        <v>0</v>
      </c>
      <c r="AP3002" s="3">
        <v>0</v>
      </c>
      <c r="AQ3002" s="3">
        <v>0</v>
      </c>
      <c r="AR3002" s="3">
        <v>0</v>
      </c>
      <c r="AS3002" s="3">
        <v>0</v>
      </c>
      <c r="AT3002" s="3">
        <v>0</v>
      </c>
      <c r="AU3002" s="3">
        <v>0</v>
      </c>
      <c r="AV3002" s="3">
        <v>0</v>
      </c>
      <c r="AW3002" s="3">
        <v>0</v>
      </c>
      <c r="AX3002" s="3">
        <v>0</v>
      </c>
      <c r="AY3002" s="3">
        <v>0</v>
      </c>
      <c r="AZ3002" s="3">
        <v>0</v>
      </c>
      <c r="BA3002" s="3">
        <v>0</v>
      </c>
      <c r="BB3002" s="3">
        <v>0</v>
      </c>
      <c r="BC3002" s="3">
        <v>0</v>
      </c>
      <c r="BD3002" s="3">
        <v>0</v>
      </c>
      <c r="BE3002" s="3">
        <v>0</v>
      </c>
      <c r="BF3002" s="3">
        <v>0</v>
      </c>
      <c r="BG3002" s="3">
        <v>0</v>
      </c>
      <c r="BH3002" s="3">
        <v>1</v>
      </c>
      <c r="BI3002" s="3">
        <v>1</v>
      </c>
      <c r="BJ3002" s="3">
        <v>0.2</v>
      </c>
      <c r="BK3002" s="3">
        <v>1</v>
      </c>
      <c r="BL3002" s="3">
        <v>47.27</v>
      </c>
      <c r="BM3002" s="3">
        <v>7.09</v>
      </c>
      <c r="BN3002" s="3">
        <v>54.36</v>
      </c>
      <c r="BO3002" s="3">
        <v>54.36</v>
      </c>
      <c r="BQ3002" s="3" t="s">
        <v>89</v>
      </c>
      <c r="BR3002" s="3" t="s">
        <v>308</v>
      </c>
      <c r="BS3002" s="4">
        <v>44566</v>
      </c>
      <c r="BT3002" s="5">
        <v>0.32916666666666666</v>
      </c>
      <c r="BU3002" s="3" t="s">
        <v>1683</v>
      </c>
      <c r="BV3002" s="3" t="s">
        <v>105</v>
      </c>
      <c r="BY3002" s="3">
        <v>1200</v>
      </c>
      <c r="BZ3002" s="3" t="s">
        <v>165</v>
      </c>
      <c r="CA3002" s="3" t="s">
        <v>763</v>
      </c>
      <c r="CC3002" s="3" t="s">
        <v>465</v>
      </c>
      <c r="CD3002" s="3">
        <v>1501</v>
      </c>
      <c r="CE3002" s="3" t="s">
        <v>93</v>
      </c>
      <c r="CF3002" s="4">
        <v>44566</v>
      </c>
      <c r="CI3002" s="3">
        <v>1</v>
      </c>
      <c r="CJ3002" s="3">
        <v>1</v>
      </c>
      <c r="CK3002" s="3">
        <v>22</v>
      </c>
      <c r="CL3002" s="3" t="s">
        <v>87</v>
      </c>
    </row>
    <row r="3003" spans="1:90" x14ac:dyDescent="0.2">
      <c r="A3003" s="3" t="s">
        <v>72</v>
      </c>
      <c r="B3003" s="3" t="s">
        <v>73</v>
      </c>
      <c r="C3003" s="3" t="s">
        <v>74</v>
      </c>
      <c r="E3003" s="3" t="str">
        <f>"FES1162843420"</f>
        <v>FES1162843420</v>
      </c>
      <c r="F3003" s="4">
        <v>44566</v>
      </c>
      <c r="G3003" s="3">
        <v>202207</v>
      </c>
      <c r="H3003" s="3" t="s">
        <v>75</v>
      </c>
      <c r="I3003" s="3" t="s">
        <v>76</v>
      </c>
      <c r="J3003" s="3" t="s">
        <v>77</v>
      </c>
      <c r="K3003" s="3" t="s">
        <v>78</v>
      </c>
      <c r="L3003" s="3" t="s">
        <v>129</v>
      </c>
      <c r="M3003" s="3" t="s">
        <v>130</v>
      </c>
      <c r="N3003" s="3" t="s">
        <v>131</v>
      </c>
      <c r="O3003" s="3" t="s">
        <v>82</v>
      </c>
      <c r="P3003" s="3" t="str">
        <f>"2170811843                    "</f>
        <v xml:space="preserve">2170811843                    </v>
      </c>
      <c r="Q3003" s="3">
        <v>0</v>
      </c>
      <c r="R3003" s="3">
        <v>0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  <c r="AE3003" s="3">
        <v>0</v>
      </c>
      <c r="AF3003" s="3">
        <v>0</v>
      </c>
      <c r="AG3003" s="3">
        <v>0</v>
      </c>
      <c r="AH3003" s="3">
        <v>0</v>
      </c>
      <c r="AI3003" s="3">
        <v>0</v>
      </c>
      <c r="AJ3003" s="3">
        <v>0</v>
      </c>
      <c r="AK3003" s="3">
        <v>29.95</v>
      </c>
      <c r="AL3003" s="3">
        <v>0</v>
      </c>
      <c r="AM3003" s="3">
        <v>0</v>
      </c>
      <c r="AN3003" s="3">
        <v>0</v>
      </c>
      <c r="AO3003" s="3">
        <v>0</v>
      </c>
      <c r="AP3003" s="3">
        <v>0</v>
      </c>
      <c r="AQ3003" s="3">
        <v>0</v>
      </c>
      <c r="AR3003" s="3">
        <v>0</v>
      </c>
      <c r="AS3003" s="3">
        <v>0</v>
      </c>
      <c r="AT3003" s="3">
        <v>0</v>
      </c>
      <c r="AU3003" s="3">
        <v>0</v>
      </c>
      <c r="AV3003" s="3">
        <v>0</v>
      </c>
      <c r="AW3003" s="3">
        <v>0</v>
      </c>
      <c r="AX3003" s="3">
        <v>0</v>
      </c>
      <c r="AY3003" s="3">
        <v>0</v>
      </c>
      <c r="AZ3003" s="3">
        <v>0</v>
      </c>
      <c r="BA3003" s="3">
        <v>0</v>
      </c>
      <c r="BB3003" s="3">
        <v>0</v>
      </c>
      <c r="BC3003" s="3">
        <v>0</v>
      </c>
      <c r="BD3003" s="3">
        <v>0</v>
      </c>
      <c r="BE3003" s="3">
        <v>0</v>
      </c>
      <c r="BF3003" s="3">
        <v>0</v>
      </c>
      <c r="BG3003" s="3">
        <v>0</v>
      </c>
      <c r="BH3003" s="3">
        <v>1</v>
      </c>
      <c r="BI3003" s="3">
        <v>1</v>
      </c>
      <c r="BJ3003" s="3">
        <v>1.1000000000000001</v>
      </c>
      <c r="BK3003" s="3">
        <v>1.5</v>
      </c>
      <c r="BL3003" s="3">
        <v>114.31</v>
      </c>
      <c r="BM3003" s="3">
        <v>17.149999999999999</v>
      </c>
      <c r="BN3003" s="3">
        <v>131.46</v>
      </c>
      <c r="BO3003" s="3">
        <v>131.46</v>
      </c>
      <c r="BQ3003" s="3" t="s">
        <v>83</v>
      </c>
      <c r="BR3003" s="3" t="s">
        <v>308</v>
      </c>
      <c r="BS3003" s="4">
        <v>44571</v>
      </c>
      <c r="BT3003" s="5">
        <v>0.58333333333333337</v>
      </c>
      <c r="BU3003" s="3" t="s">
        <v>2571</v>
      </c>
      <c r="BV3003" s="3" t="s">
        <v>87</v>
      </c>
      <c r="BW3003" s="3" t="s">
        <v>453</v>
      </c>
      <c r="BX3003" s="3" t="s">
        <v>2519</v>
      </c>
      <c r="BY3003" s="3">
        <v>5320</v>
      </c>
      <c r="BZ3003" s="3" t="s">
        <v>165</v>
      </c>
      <c r="CA3003" s="3" t="s">
        <v>406</v>
      </c>
      <c r="CC3003" s="3" t="s">
        <v>130</v>
      </c>
      <c r="CD3003" s="3">
        <v>3370</v>
      </c>
      <c r="CE3003" s="3" t="s">
        <v>86</v>
      </c>
      <c r="CF3003" s="4">
        <v>44572</v>
      </c>
      <c r="CI3003" s="3">
        <v>2</v>
      </c>
      <c r="CJ3003" s="3">
        <v>3</v>
      </c>
      <c r="CK3003" s="3">
        <v>23</v>
      </c>
      <c r="CL3003" s="3" t="s">
        <v>87</v>
      </c>
    </row>
    <row r="3004" spans="1:90" x14ac:dyDescent="0.2">
      <c r="A3004" s="3" t="s">
        <v>72</v>
      </c>
      <c r="B3004" s="3" t="s">
        <v>73</v>
      </c>
      <c r="C3004" s="3" t="s">
        <v>74</v>
      </c>
      <c r="E3004" s="3" t="str">
        <f>"FES1162843502"</f>
        <v>FES1162843502</v>
      </c>
      <c r="F3004" s="4">
        <v>44565</v>
      </c>
      <c r="G3004" s="3">
        <v>202207</v>
      </c>
      <c r="H3004" s="3" t="s">
        <v>75</v>
      </c>
      <c r="I3004" s="3" t="s">
        <v>76</v>
      </c>
      <c r="J3004" s="3" t="s">
        <v>77</v>
      </c>
      <c r="K3004" s="3" t="s">
        <v>78</v>
      </c>
      <c r="L3004" s="3" t="s">
        <v>90</v>
      </c>
      <c r="M3004" s="3" t="s">
        <v>91</v>
      </c>
      <c r="N3004" s="3" t="s">
        <v>760</v>
      </c>
      <c r="O3004" s="3" t="s">
        <v>82</v>
      </c>
      <c r="P3004" s="3" t="str">
        <f>"2170815605                    "</f>
        <v xml:space="preserve">2170815605                    </v>
      </c>
      <c r="Q3004" s="3">
        <v>0</v>
      </c>
      <c r="R3004" s="3">
        <v>0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  <c r="AE3004" s="3">
        <v>0</v>
      </c>
      <c r="AF3004" s="3">
        <v>0</v>
      </c>
      <c r="AG3004" s="3">
        <v>0</v>
      </c>
      <c r="AH3004" s="3">
        <v>0</v>
      </c>
      <c r="AI3004" s="3">
        <v>0</v>
      </c>
      <c r="AJ3004" s="3">
        <v>0</v>
      </c>
      <c r="AK3004" s="3">
        <v>16.98</v>
      </c>
      <c r="AL3004" s="3">
        <v>0</v>
      </c>
      <c r="AM3004" s="3">
        <v>0</v>
      </c>
      <c r="AN3004" s="3">
        <v>0</v>
      </c>
      <c r="AO3004" s="3">
        <v>0</v>
      </c>
      <c r="AP3004" s="3">
        <v>0</v>
      </c>
      <c r="AQ3004" s="3">
        <v>0</v>
      </c>
      <c r="AR3004" s="3">
        <v>0</v>
      </c>
      <c r="AS3004" s="3">
        <v>0</v>
      </c>
      <c r="AT3004" s="3">
        <v>0</v>
      </c>
      <c r="AU3004" s="3">
        <v>0</v>
      </c>
      <c r="AV3004" s="3">
        <v>0</v>
      </c>
      <c r="AW3004" s="3">
        <v>0</v>
      </c>
      <c r="AX3004" s="3">
        <v>0</v>
      </c>
      <c r="AY3004" s="3">
        <v>0</v>
      </c>
      <c r="AZ3004" s="3">
        <v>0</v>
      </c>
      <c r="BA3004" s="3">
        <v>0</v>
      </c>
      <c r="BB3004" s="3">
        <v>0</v>
      </c>
      <c r="BC3004" s="3">
        <v>0</v>
      </c>
      <c r="BD3004" s="3">
        <v>0</v>
      </c>
      <c r="BE3004" s="3">
        <v>0</v>
      </c>
      <c r="BF3004" s="3">
        <v>0</v>
      </c>
      <c r="BG3004" s="3">
        <v>0</v>
      </c>
      <c r="BH3004" s="3">
        <v>1</v>
      </c>
      <c r="BI3004" s="3">
        <v>1</v>
      </c>
      <c r="BJ3004" s="3">
        <v>0.2</v>
      </c>
      <c r="BK3004" s="3">
        <v>1</v>
      </c>
      <c r="BL3004" s="3">
        <v>60.52</v>
      </c>
      <c r="BM3004" s="3">
        <v>9.08</v>
      </c>
      <c r="BN3004" s="3">
        <v>69.599999999999994</v>
      </c>
      <c r="BO3004" s="3">
        <v>69.599999999999994</v>
      </c>
      <c r="BQ3004" s="3" t="s">
        <v>83</v>
      </c>
      <c r="BR3004" s="3" t="s">
        <v>308</v>
      </c>
      <c r="BS3004" s="4">
        <v>44566</v>
      </c>
      <c r="BT3004" s="5">
        <v>0.3347222222222222</v>
      </c>
      <c r="BU3004" s="3" t="s">
        <v>761</v>
      </c>
      <c r="BV3004" s="3" t="s">
        <v>105</v>
      </c>
      <c r="BY3004" s="3">
        <v>1200</v>
      </c>
      <c r="BZ3004" s="3" t="s">
        <v>165</v>
      </c>
      <c r="CA3004" s="3" t="s">
        <v>566</v>
      </c>
      <c r="CC3004" s="3" t="s">
        <v>91</v>
      </c>
      <c r="CD3004" s="3">
        <v>7460</v>
      </c>
      <c r="CE3004" s="3" t="s">
        <v>93</v>
      </c>
      <c r="CF3004" s="4">
        <v>44567</v>
      </c>
      <c r="CI3004" s="3">
        <v>1</v>
      </c>
      <c r="CJ3004" s="3">
        <v>1</v>
      </c>
      <c r="CK3004" s="3">
        <v>21</v>
      </c>
      <c r="CL3004" s="3" t="s">
        <v>87</v>
      </c>
    </row>
    <row r="3005" spans="1:90" x14ac:dyDescent="0.2">
      <c r="A3005" s="3" t="s">
        <v>72</v>
      </c>
      <c r="B3005" s="3" t="s">
        <v>73</v>
      </c>
      <c r="C3005" s="3" t="s">
        <v>74</v>
      </c>
      <c r="E3005" s="3" t="str">
        <f>"FES1162843619"</f>
        <v>FES1162843619</v>
      </c>
      <c r="F3005" s="4">
        <v>44566</v>
      </c>
      <c r="G3005" s="3">
        <v>202207</v>
      </c>
      <c r="H3005" s="3" t="s">
        <v>75</v>
      </c>
      <c r="I3005" s="3" t="s">
        <v>76</v>
      </c>
      <c r="J3005" s="3" t="s">
        <v>77</v>
      </c>
      <c r="K3005" s="3" t="s">
        <v>78</v>
      </c>
      <c r="L3005" s="3" t="s">
        <v>731</v>
      </c>
      <c r="M3005" s="3" t="s">
        <v>732</v>
      </c>
      <c r="N3005" s="3" t="s">
        <v>733</v>
      </c>
      <c r="O3005" s="3" t="s">
        <v>82</v>
      </c>
      <c r="P3005" s="3" t="str">
        <f>"2170815694                    "</f>
        <v xml:space="preserve">2170815694                    </v>
      </c>
      <c r="Q3005" s="3">
        <v>0</v>
      </c>
      <c r="R3005" s="3">
        <v>0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  <c r="AE3005" s="3">
        <v>0</v>
      </c>
      <c r="AF3005" s="3">
        <v>0</v>
      </c>
      <c r="AG3005" s="3">
        <v>0</v>
      </c>
      <c r="AH3005" s="3">
        <v>0</v>
      </c>
      <c r="AI3005" s="3">
        <v>0</v>
      </c>
      <c r="AJ3005" s="3">
        <v>0</v>
      </c>
      <c r="AK3005" s="3">
        <v>29.95</v>
      </c>
      <c r="AL3005" s="3">
        <v>0</v>
      </c>
      <c r="AM3005" s="3">
        <v>0</v>
      </c>
      <c r="AN3005" s="3">
        <v>0</v>
      </c>
      <c r="AO3005" s="3">
        <v>0</v>
      </c>
      <c r="AP3005" s="3">
        <v>0</v>
      </c>
      <c r="AQ3005" s="3">
        <v>0</v>
      </c>
      <c r="AR3005" s="3">
        <v>0</v>
      </c>
      <c r="AS3005" s="3">
        <v>0</v>
      </c>
      <c r="AT3005" s="3">
        <v>0</v>
      </c>
      <c r="AU3005" s="3">
        <v>0</v>
      </c>
      <c r="AV3005" s="3">
        <v>0</v>
      </c>
      <c r="AW3005" s="3">
        <v>0</v>
      </c>
      <c r="AX3005" s="3">
        <v>0</v>
      </c>
      <c r="AY3005" s="3">
        <v>0</v>
      </c>
      <c r="AZ3005" s="3">
        <v>0</v>
      </c>
      <c r="BA3005" s="3">
        <v>0</v>
      </c>
      <c r="BB3005" s="3">
        <v>0</v>
      </c>
      <c r="BC3005" s="3">
        <v>0</v>
      </c>
      <c r="BD3005" s="3">
        <v>0</v>
      </c>
      <c r="BE3005" s="3">
        <v>0</v>
      </c>
      <c r="BF3005" s="3">
        <v>0</v>
      </c>
      <c r="BG3005" s="3">
        <v>0</v>
      </c>
      <c r="BH3005" s="3">
        <v>1</v>
      </c>
      <c r="BI3005" s="3">
        <v>2</v>
      </c>
      <c r="BJ3005" s="3">
        <v>2</v>
      </c>
      <c r="BK3005" s="3">
        <v>2</v>
      </c>
      <c r="BL3005" s="3">
        <v>114.31</v>
      </c>
      <c r="BM3005" s="3">
        <v>17.149999999999999</v>
      </c>
      <c r="BN3005" s="3">
        <v>131.46</v>
      </c>
      <c r="BO3005" s="3">
        <v>131.46</v>
      </c>
      <c r="BQ3005" s="3" t="s">
        <v>89</v>
      </c>
      <c r="BR3005" s="3" t="s">
        <v>364</v>
      </c>
      <c r="BS3005" s="4">
        <v>44567</v>
      </c>
      <c r="BT3005" s="5">
        <v>0.54166666666666663</v>
      </c>
      <c r="BU3005" s="3" t="s">
        <v>2513</v>
      </c>
      <c r="BV3005" s="3" t="s">
        <v>105</v>
      </c>
      <c r="BY3005" s="3">
        <v>9900</v>
      </c>
      <c r="BZ3005" s="3" t="s">
        <v>165</v>
      </c>
      <c r="CA3005" s="3" t="s">
        <v>328</v>
      </c>
      <c r="CC3005" s="3" t="s">
        <v>732</v>
      </c>
      <c r="CD3005" s="3">
        <v>3290</v>
      </c>
      <c r="CE3005" s="3" t="s">
        <v>86</v>
      </c>
      <c r="CF3005" s="4">
        <v>44568</v>
      </c>
      <c r="CI3005" s="3">
        <v>1</v>
      </c>
      <c r="CJ3005" s="3">
        <v>1</v>
      </c>
      <c r="CK3005" s="3">
        <v>23</v>
      </c>
      <c r="CL3005" s="3" t="s">
        <v>87</v>
      </c>
    </row>
    <row r="3006" spans="1:90" x14ac:dyDescent="0.2">
      <c r="A3006" s="3" t="s">
        <v>72</v>
      </c>
      <c r="B3006" s="3" t="s">
        <v>73</v>
      </c>
      <c r="C3006" s="3" t="s">
        <v>74</v>
      </c>
      <c r="E3006" s="3" t="str">
        <f>"FES1162843459"</f>
        <v>FES1162843459</v>
      </c>
      <c r="F3006" s="4">
        <v>44565</v>
      </c>
      <c r="G3006" s="3">
        <v>202207</v>
      </c>
      <c r="H3006" s="3" t="s">
        <v>75</v>
      </c>
      <c r="I3006" s="3" t="s">
        <v>76</v>
      </c>
      <c r="J3006" s="3" t="s">
        <v>77</v>
      </c>
      <c r="K3006" s="3" t="s">
        <v>78</v>
      </c>
      <c r="L3006" s="3" t="s">
        <v>97</v>
      </c>
      <c r="M3006" s="3" t="s">
        <v>98</v>
      </c>
      <c r="N3006" s="3" t="s">
        <v>593</v>
      </c>
      <c r="O3006" s="3" t="s">
        <v>82</v>
      </c>
      <c r="P3006" s="3" t="str">
        <f>"2170813925                    "</f>
        <v xml:space="preserve">2170813925                    </v>
      </c>
      <c r="Q3006" s="3">
        <v>0</v>
      </c>
      <c r="R3006" s="3">
        <v>0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  <c r="AE3006" s="3">
        <v>0</v>
      </c>
      <c r="AF3006" s="3">
        <v>0</v>
      </c>
      <c r="AG3006" s="3">
        <v>0</v>
      </c>
      <c r="AH3006" s="3">
        <v>0</v>
      </c>
      <c r="AI3006" s="3">
        <v>0</v>
      </c>
      <c r="AJ3006" s="3">
        <v>0</v>
      </c>
      <c r="AK3006" s="3">
        <v>13.26</v>
      </c>
      <c r="AL3006" s="3">
        <v>0</v>
      </c>
      <c r="AM3006" s="3">
        <v>0</v>
      </c>
      <c r="AN3006" s="3">
        <v>0</v>
      </c>
      <c r="AO3006" s="3">
        <v>0</v>
      </c>
      <c r="AP3006" s="3">
        <v>0</v>
      </c>
      <c r="AQ3006" s="3">
        <v>0</v>
      </c>
      <c r="AR3006" s="3">
        <v>0</v>
      </c>
      <c r="AS3006" s="3">
        <v>0</v>
      </c>
      <c r="AT3006" s="3">
        <v>0</v>
      </c>
      <c r="AU3006" s="3">
        <v>0</v>
      </c>
      <c r="AV3006" s="3">
        <v>0</v>
      </c>
      <c r="AW3006" s="3">
        <v>0</v>
      </c>
      <c r="AX3006" s="3">
        <v>0</v>
      </c>
      <c r="AY3006" s="3">
        <v>0</v>
      </c>
      <c r="AZ3006" s="3">
        <v>0</v>
      </c>
      <c r="BA3006" s="3">
        <v>0</v>
      </c>
      <c r="BB3006" s="3">
        <v>0</v>
      </c>
      <c r="BC3006" s="3">
        <v>0</v>
      </c>
      <c r="BD3006" s="3">
        <v>0</v>
      </c>
      <c r="BE3006" s="3">
        <v>0</v>
      </c>
      <c r="BF3006" s="3">
        <v>0</v>
      </c>
      <c r="BG3006" s="3">
        <v>0</v>
      </c>
      <c r="BH3006" s="3">
        <v>1</v>
      </c>
      <c r="BI3006" s="3">
        <v>2</v>
      </c>
      <c r="BJ3006" s="3">
        <v>1.1000000000000001</v>
      </c>
      <c r="BK3006" s="3">
        <v>2</v>
      </c>
      <c r="BL3006" s="3">
        <v>47.27</v>
      </c>
      <c r="BM3006" s="3">
        <v>7.09</v>
      </c>
      <c r="BN3006" s="3">
        <v>54.36</v>
      </c>
      <c r="BO3006" s="3">
        <v>54.36</v>
      </c>
      <c r="BQ3006" s="3" t="s">
        <v>83</v>
      </c>
      <c r="BR3006" s="3" t="s">
        <v>308</v>
      </c>
      <c r="BS3006" s="4">
        <v>44566</v>
      </c>
      <c r="BT3006" s="5">
        <v>0.43055555555555558</v>
      </c>
      <c r="BU3006" s="3" t="s">
        <v>2728</v>
      </c>
      <c r="BV3006" s="3" t="s">
        <v>105</v>
      </c>
      <c r="BY3006" s="3">
        <v>5320</v>
      </c>
      <c r="BZ3006" s="3" t="s">
        <v>165</v>
      </c>
      <c r="CC3006" s="3" t="s">
        <v>98</v>
      </c>
      <c r="CD3006" s="3">
        <v>2094</v>
      </c>
      <c r="CE3006" s="3" t="s">
        <v>86</v>
      </c>
      <c r="CF3006" s="4">
        <v>44567</v>
      </c>
      <c r="CI3006" s="3">
        <v>1</v>
      </c>
      <c r="CJ3006" s="3">
        <v>1</v>
      </c>
      <c r="CK3006" s="3">
        <v>22</v>
      </c>
      <c r="CL3006" s="3" t="s">
        <v>87</v>
      </c>
    </row>
    <row r="3007" spans="1:90" x14ac:dyDescent="0.2">
      <c r="A3007" s="3" t="s">
        <v>72</v>
      </c>
      <c r="B3007" s="3" t="s">
        <v>73</v>
      </c>
      <c r="C3007" s="3" t="s">
        <v>74</v>
      </c>
      <c r="E3007" s="3" t="str">
        <f>"FES1162843457"</f>
        <v>FES1162843457</v>
      </c>
      <c r="F3007" s="4">
        <v>44565</v>
      </c>
      <c r="G3007" s="3">
        <v>202207</v>
      </c>
      <c r="H3007" s="3" t="s">
        <v>75</v>
      </c>
      <c r="I3007" s="3" t="s">
        <v>76</v>
      </c>
      <c r="J3007" s="3" t="s">
        <v>77</v>
      </c>
      <c r="K3007" s="3" t="s">
        <v>78</v>
      </c>
      <c r="L3007" s="3" t="s">
        <v>90</v>
      </c>
      <c r="M3007" s="3" t="s">
        <v>91</v>
      </c>
      <c r="N3007" s="3" t="s">
        <v>157</v>
      </c>
      <c r="O3007" s="3" t="s">
        <v>82</v>
      </c>
      <c r="P3007" s="3" t="str">
        <f>"2170813910                    "</f>
        <v xml:space="preserve">2170813910                    </v>
      </c>
      <c r="Q3007" s="3">
        <v>0</v>
      </c>
      <c r="R3007" s="3">
        <v>0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  <c r="AE3007" s="3">
        <v>0</v>
      </c>
      <c r="AF3007" s="3">
        <v>0</v>
      </c>
      <c r="AG3007" s="3">
        <v>0</v>
      </c>
      <c r="AH3007" s="3">
        <v>0</v>
      </c>
      <c r="AI3007" s="3">
        <v>0</v>
      </c>
      <c r="AJ3007" s="3">
        <v>0</v>
      </c>
      <c r="AK3007" s="3">
        <v>16.98</v>
      </c>
      <c r="AL3007" s="3">
        <v>0</v>
      </c>
      <c r="AM3007" s="3">
        <v>0</v>
      </c>
      <c r="AN3007" s="3">
        <v>0</v>
      </c>
      <c r="AO3007" s="3">
        <v>0</v>
      </c>
      <c r="AP3007" s="3">
        <v>0</v>
      </c>
      <c r="AQ3007" s="3">
        <v>0</v>
      </c>
      <c r="AR3007" s="3">
        <v>0</v>
      </c>
      <c r="AS3007" s="3">
        <v>0</v>
      </c>
      <c r="AT3007" s="3">
        <v>0</v>
      </c>
      <c r="AU3007" s="3">
        <v>0</v>
      </c>
      <c r="AV3007" s="3">
        <v>0</v>
      </c>
      <c r="AW3007" s="3">
        <v>0</v>
      </c>
      <c r="AX3007" s="3">
        <v>0</v>
      </c>
      <c r="AY3007" s="3">
        <v>0</v>
      </c>
      <c r="AZ3007" s="3">
        <v>0</v>
      </c>
      <c r="BA3007" s="3">
        <v>0</v>
      </c>
      <c r="BB3007" s="3">
        <v>0</v>
      </c>
      <c r="BC3007" s="3">
        <v>0</v>
      </c>
      <c r="BD3007" s="3">
        <v>0</v>
      </c>
      <c r="BE3007" s="3">
        <v>0</v>
      </c>
      <c r="BF3007" s="3">
        <v>0</v>
      </c>
      <c r="BG3007" s="3">
        <v>0</v>
      </c>
      <c r="BH3007" s="3">
        <v>1</v>
      </c>
      <c r="BI3007" s="3">
        <v>1</v>
      </c>
      <c r="BJ3007" s="3">
        <v>1.1000000000000001</v>
      </c>
      <c r="BK3007" s="3">
        <v>1.5</v>
      </c>
      <c r="BL3007" s="3">
        <v>60.52</v>
      </c>
      <c r="BM3007" s="3">
        <v>9.08</v>
      </c>
      <c r="BN3007" s="3">
        <v>69.599999999999994</v>
      </c>
      <c r="BO3007" s="3">
        <v>69.599999999999994</v>
      </c>
      <c r="BQ3007" s="3" t="s">
        <v>89</v>
      </c>
      <c r="BR3007" s="3" t="s">
        <v>308</v>
      </c>
      <c r="BS3007" s="4">
        <v>44566</v>
      </c>
      <c r="BT3007" s="5">
        <v>0.31597222222222221</v>
      </c>
      <c r="BU3007" s="3" t="s">
        <v>2772</v>
      </c>
      <c r="BV3007" s="3" t="s">
        <v>105</v>
      </c>
      <c r="BY3007" s="3">
        <v>5600</v>
      </c>
      <c r="BZ3007" s="3" t="s">
        <v>165</v>
      </c>
      <c r="CA3007" s="3" t="s">
        <v>328</v>
      </c>
      <c r="CC3007" s="3" t="s">
        <v>91</v>
      </c>
      <c r="CD3007" s="3">
        <v>7441</v>
      </c>
      <c r="CE3007" s="3" t="s">
        <v>86</v>
      </c>
      <c r="CF3007" s="4">
        <v>44567</v>
      </c>
      <c r="CI3007" s="3">
        <v>1</v>
      </c>
      <c r="CJ3007" s="3">
        <v>1</v>
      </c>
      <c r="CK3007" s="3">
        <v>21</v>
      </c>
      <c r="CL3007" s="3" t="s">
        <v>87</v>
      </c>
    </row>
    <row r="3008" spans="1:90" x14ac:dyDescent="0.2">
      <c r="A3008" s="3" t="s">
        <v>72</v>
      </c>
      <c r="B3008" s="3" t="s">
        <v>73</v>
      </c>
      <c r="C3008" s="3" t="s">
        <v>74</v>
      </c>
      <c r="E3008" s="3" t="str">
        <f>"FES1162843409"</f>
        <v>FES1162843409</v>
      </c>
      <c r="F3008" s="4">
        <v>44565</v>
      </c>
      <c r="G3008" s="3">
        <v>202207</v>
      </c>
      <c r="H3008" s="3" t="s">
        <v>75</v>
      </c>
      <c r="I3008" s="3" t="s">
        <v>76</v>
      </c>
      <c r="J3008" s="3" t="s">
        <v>77</v>
      </c>
      <c r="K3008" s="3" t="s">
        <v>78</v>
      </c>
      <c r="L3008" s="3" t="s">
        <v>171</v>
      </c>
      <c r="M3008" s="3" t="s">
        <v>172</v>
      </c>
      <c r="N3008" s="3" t="s">
        <v>2773</v>
      </c>
      <c r="O3008" s="3" t="s">
        <v>82</v>
      </c>
      <c r="P3008" s="3" t="str">
        <f>"2170806862                    "</f>
        <v xml:space="preserve">2170806862                    </v>
      </c>
      <c r="Q3008" s="3">
        <v>0</v>
      </c>
      <c r="R3008" s="3">
        <v>0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  <c r="AE3008" s="3">
        <v>0</v>
      </c>
      <c r="AF3008" s="3">
        <v>0</v>
      </c>
      <c r="AG3008" s="3">
        <v>0</v>
      </c>
      <c r="AH3008" s="3">
        <v>0</v>
      </c>
      <c r="AI3008" s="3">
        <v>0</v>
      </c>
      <c r="AJ3008" s="3">
        <v>0</v>
      </c>
      <c r="AK3008" s="3">
        <v>38.200000000000003</v>
      </c>
      <c r="AL3008" s="3">
        <v>0</v>
      </c>
      <c r="AM3008" s="3">
        <v>0</v>
      </c>
      <c r="AN3008" s="3">
        <v>0</v>
      </c>
      <c r="AO3008" s="3">
        <v>0</v>
      </c>
      <c r="AP3008" s="3">
        <v>0</v>
      </c>
      <c r="AQ3008" s="3">
        <v>0</v>
      </c>
      <c r="AR3008" s="3">
        <v>0</v>
      </c>
      <c r="AS3008" s="3">
        <v>0</v>
      </c>
      <c r="AT3008" s="3">
        <v>0</v>
      </c>
      <c r="AU3008" s="3">
        <v>0</v>
      </c>
      <c r="AV3008" s="3">
        <v>0</v>
      </c>
      <c r="AW3008" s="3">
        <v>0</v>
      </c>
      <c r="AX3008" s="3">
        <v>0</v>
      </c>
      <c r="AY3008" s="3">
        <v>0</v>
      </c>
      <c r="AZ3008" s="3">
        <v>0</v>
      </c>
      <c r="BA3008" s="3">
        <v>0</v>
      </c>
      <c r="BB3008" s="3">
        <v>0</v>
      </c>
      <c r="BC3008" s="3">
        <v>0</v>
      </c>
      <c r="BD3008" s="3">
        <v>0</v>
      </c>
      <c r="BE3008" s="3">
        <v>0</v>
      </c>
      <c r="BF3008" s="3">
        <v>0</v>
      </c>
      <c r="BG3008" s="3">
        <v>0</v>
      </c>
      <c r="BH3008" s="3">
        <v>1</v>
      </c>
      <c r="BI3008" s="3">
        <v>3</v>
      </c>
      <c r="BJ3008" s="3">
        <v>4.0999999999999996</v>
      </c>
      <c r="BK3008" s="3">
        <v>4.5</v>
      </c>
      <c r="BL3008" s="3">
        <v>136.13999999999999</v>
      </c>
      <c r="BM3008" s="3">
        <v>20.420000000000002</v>
      </c>
      <c r="BN3008" s="3">
        <v>156.56</v>
      </c>
      <c r="BO3008" s="3">
        <v>156.56</v>
      </c>
      <c r="BQ3008" s="3" t="s">
        <v>89</v>
      </c>
      <c r="BR3008" s="3" t="s">
        <v>308</v>
      </c>
      <c r="BS3008" s="4">
        <v>44567</v>
      </c>
      <c r="BT3008" s="5">
        <v>0.44444444444444442</v>
      </c>
      <c r="BU3008" s="3" t="s">
        <v>2774</v>
      </c>
      <c r="BV3008" s="3" t="s">
        <v>87</v>
      </c>
      <c r="BW3008" s="3" t="s">
        <v>457</v>
      </c>
      <c r="BX3008" s="3" t="s">
        <v>279</v>
      </c>
      <c r="BY3008" s="3">
        <v>20358</v>
      </c>
      <c r="BZ3008" s="3" t="s">
        <v>165</v>
      </c>
      <c r="CA3008" s="3" t="s">
        <v>328</v>
      </c>
      <c r="CC3008" s="3" t="s">
        <v>172</v>
      </c>
      <c r="CD3008" s="3">
        <v>6001</v>
      </c>
      <c r="CE3008" s="3" t="s">
        <v>86</v>
      </c>
      <c r="CF3008" s="4">
        <v>44571</v>
      </c>
      <c r="CI3008" s="3">
        <v>1</v>
      </c>
      <c r="CJ3008" s="3">
        <v>2</v>
      </c>
      <c r="CK3008" s="3">
        <v>21</v>
      </c>
      <c r="CL3008" s="3" t="s">
        <v>87</v>
      </c>
    </row>
    <row r="3009" spans="1:90" x14ac:dyDescent="0.2">
      <c r="A3009" s="3" t="s">
        <v>72</v>
      </c>
      <c r="B3009" s="3" t="s">
        <v>73</v>
      </c>
      <c r="C3009" s="3" t="s">
        <v>74</v>
      </c>
      <c r="E3009" s="3" t="str">
        <f>"FES1162843746"</f>
        <v>FES1162843746</v>
      </c>
      <c r="F3009" s="4">
        <v>44566</v>
      </c>
      <c r="G3009" s="3">
        <v>202207</v>
      </c>
      <c r="H3009" s="3" t="s">
        <v>75</v>
      </c>
      <c r="I3009" s="3" t="s">
        <v>76</v>
      </c>
      <c r="J3009" s="3" t="s">
        <v>77</v>
      </c>
      <c r="K3009" s="3" t="s">
        <v>78</v>
      </c>
      <c r="L3009" s="3" t="s">
        <v>97</v>
      </c>
      <c r="M3009" s="3" t="s">
        <v>98</v>
      </c>
      <c r="N3009" s="3" t="s">
        <v>593</v>
      </c>
      <c r="O3009" s="3" t="s">
        <v>82</v>
      </c>
      <c r="P3009" s="3" t="str">
        <f>"2170813925                    "</f>
        <v xml:space="preserve">2170813925                    </v>
      </c>
      <c r="Q3009" s="3">
        <v>0</v>
      </c>
      <c r="R3009" s="3">
        <v>0</v>
      </c>
      <c r="S3009" s="3">
        <v>0</v>
      </c>
      <c r="T3009" s="3">
        <v>0</v>
      </c>
      <c r="U3009" s="3">
        <v>0</v>
      </c>
      <c r="V3009" s="3">
        <v>0</v>
      </c>
      <c r="W3009" s="3">
        <v>0</v>
      </c>
      <c r="X3009" s="3">
        <v>0</v>
      </c>
      <c r="Y3009" s="3">
        <v>0</v>
      </c>
      <c r="Z3009" s="3">
        <v>0</v>
      </c>
      <c r="AA3009" s="3">
        <v>0</v>
      </c>
      <c r="AB3009" s="3">
        <v>0</v>
      </c>
      <c r="AC3009" s="3">
        <v>0</v>
      </c>
      <c r="AD3009" s="3">
        <v>0</v>
      </c>
      <c r="AE3009" s="3">
        <v>0</v>
      </c>
      <c r="AF3009" s="3">
        <v>0</v>
      </c>
      <c r="AG3009" s="3">
        <v>0</v>
      </c>
      <c r="AH3009" s="3">
        <v>0</v>
      </c>
      <c r="AI3009" s="3">
        <v>0</v>
      </c>
      <c r="AJ3009" s="3">
        <v>0</v>
      </c>
      <c r="AK3009" s="3">
        <v>12.07</v>
      </c>
      <c r="AL3009" s="3">
        <v>0</v>
      </c>
      <c r="AM3009" s="3">
        <v>0</v>
      </c>
      <c r="AN3009" s="3">
        <v>0</v>
      </c>
      <c r="AO3009" s="3">
        <v>0</v>
      </c>
      <c r="AP3009" s="3">
        <v>0</v>
      </c>
      <c r="AQ3009" s="3">
        <v>0</v>
      </c>
      <c r="AR3009" s="3">
        <v>0</v>
      </c>
      <c r="AS3009" s="3">
        <v>0</v>
      </c>
      <c r="AT3009" s="3">
        <v>0</v>
      </c>
      <c r="AU3009" s="3">
        <v>0</v>
      </c>
      <c r="AV3009" s="3">
        <v>0</v>
      </c>
      <c r="AW3009" s="3">
        <v>0</v>
      </c>
      <c r="AX3009" s="3">
        <v>0</v>
      </c>
      <c r="AY3009" s="3">
        <v>0</v>
      </c>
      <c r="AZ3009" s="3">
        <v>0</v>
      </c>
      <c r="BA3009" s="3">
        <v>0</v>
      </c>
      <c r="BB3009" s="3">
        <v>0</v>
      </c>
      <c r="BC3009" s="3">
        <v>0</v>
      </c>
      <c r="BD3009" s="3">
        <v>0</v>
      </c>
      <c r="BE3009" s="3">
        <v>0</v>
      </c>
      <c r="BF3009" s="3">
        <v>0</v>
      </c>
      <c r="BG3009" s="3">
        <v>0</v>
      </c>
      <c r="BH3009" s="3">
        <v>1</v>
      </c>
      <c r="BI3009" s="3">
        <v>2</v>
      </c>
      <c r="BJ3009" s="3">
        <v>1.1000000000000001</v>
      </c>
      <c r="BK3009" s="3">
        <v>2</v>
      </c>
      <c r="BL3009" s="3">
        <v>46.08</v>
      </c>
      <c r="BM3009" s="3">
        <v>6.91</v>
      </c>
      <c r="BN3009" s="3">
        <v>52.99</v>
      </c>
      <c r="BO3009" s="3">
        <v>52.99</v>
      </c>
      <c r="BQ3009" s="3" t="s">
        <v>83</v>
      </c>
      <c r="BR3009" s="3" t="s">
        <v>364</v>
      </c>
      <c r="BS3009" s="4">
        <v>44567</v>
      </c>
      <c r="BT3009" s="5">
        <v>0.47361111111111115</v>
      </c>
      <c r="BU3009" s="3" t="s">
        <v>540</v>
      </c>
      <c r="BV3009" s="3" t="s">
        <v>87</v>
      </c>
      <c r="BW3009" s="3" t="s">
        <v>278</v>
      </c>
      <c r="BX3009" s="3" t="s">
        <v>1722</v>
      </c>
      <c r="BY3009" s="3">
        <v>5320</v>
      </c>
      <c r="BZ3009" s="3" t="s">
        <v>165</v>
      </c>
      <c r="CA3009" s="3" t="s">
        <v>952</v>
      </c>
      <c r="CC3009" s="3" t="s">
        <v>98</v>
      </c>
      <c r="CD3009" s="3">
        <v>2094</v>
      </c>
      <c r="CE3009" s="3" t="s">
        <v>86</v>
      </c>
      <c r="CF3009" s="4">
        <v>44568</v>
      </c>
      <c r="CI3009" s="3">
        <v>1</v>
      </c>
      <c r="CJ3009" s="3">
        <v>1</v>
      </c>
      <c r="CK3009" s="3">
        <v>22</v>
      </c>
      <c r="CL3009" s="3" t="s">
        <v>87</v>
      </c>
    </row>
    <row r="3010" spans="1:90" x14ac:dyDescent="0.2">
      <c r="A3010" s="3" t="s">
        <v>72</v>
      </c>
      <c r="B3010" s="3" t="s">
        <v>73</v>
      </c>
      <c r="C3010" s="3" t="s">
        <v>74</v>
      </c>
      <c r="E3010" s="3" t="str">
        <f>"FES1162843483"</f>
        <v>FES1162843483</v>
      </c>
      <c r="F3010" s="4">
        <v>44565</v>
      </c>
      <c r="G3010" s="3">
        <v>202207</v>
      </c>
      <c r="H3010" s="3" t="s">
        <v>75</v>
      </c>
      <c r="I3010" s="3" t="s">
        <v>76</v>
      </c>
      <c r="J3010" s="3" t="s">
        <v>77</v>
      </c>
      <c r="K3010" s="3" t="s">
        <v>78</v>
      </c>
      <c r="L3010" s="3" t="s">
        <v>115</v>
      </c>
      <c r="M3010" s="3" t="s">
        <v>116</v>
      </c>
      <c r="N3010" s="3" t="s">
        <v>902</v>
      </c>
      <c r="O3010" s="3" t="s">
        <v>82</v>
      </c>
      <c r="P3010" s="3" t="str">
        <f>"2170814482                    "</f>
        <v xml:space="preserve">2170814482                    </v>
      </c>
      <c r="Q3010" s="3">
        <v>0</v>
      </c>
      <c r="R3010" s="3">
        <v>0</v>
      </c>
      <c r="S3010" s="3">
        <v>0</v>
      </c>
      <c r="T3010" s="3">
        <v>0</v>
      </c>
      <c r="U3010" s="3">
        <v>0</v>
      </c>
      <c r="V3010" s="3">
        <v>0</v>
      </c>
      <c r="W3010" s="3">
        <v>0</v>
      </c>
      <c r="X3010" s="3">
        <v>0</v>
      </c>
      <c r="Y3010" s="3">
        <v>0</v>
      </c>
      <c r="Z3010" s="3">
        <v>0</v>
      </c>
      <c r="AA3010" s="3">
        <v>0</v>
      </c>
      <c r="AB3010" s="3">
        <v>0</v>
      </c>
      <c r="AC3010" s="3">
        <v>0</v>
      </c>
      <c r="AD3010" s="3">
        <v>0</v>
      </c>
      <c r="AE3010" s="3">
        <v>0</v>
      </c>
      <c r="AF3010" s="3">
        <v>0</v>
      </c>
      <c r="AG3010" s="3">
        <v>0</v>
      </c>
      <c r="AH3010" s="3">
        <v>0</v>
      </c>
      <c r="AI3010" s="3">
        <v>0</v>
      </c>
      <c r="AJ3010" s="3">
        <v>0</v>
      </c>
      <c r="AK3010" s="3">
        <v>13.26</v>
      </c>
      <c r="AL3010" s="3">
        <v>0</v>
      </c>
      <c r="AM3010" s="3">
        <v>0</v>
      </c>
      <c r="AN3010" s="3">
        <v>0</v>
      </c>
      <c r="AO3010" s="3">
        <v>0</v>
      </c>
      <c r="AP3010" s="3">
        <v>0</v>
      </c>
      <c r="AQ3010" s="3">
        <v>0</v>
      </c>
      <c r="AR3010" s="3">
        <v>0</v>
      </c>
      <c r="AS3010" s="3">
        <v>0</v>
      </c>
      <c r="AT3010" s="3">
        <v>0</v>
      </c>
      <c r="AU3010" s="3">
        <v>0</v>
      </c>
      <c r="AV3010" s="3">
        <v>0</v>
      </c>
      <c r="AW3010" s="3">
        <v>0</v>
      </c>
      <c r="AX3010" s="3">
        <v>0</v>
      </c>
      <c r="AY3010" s="3">
        <v>0</v>
      </c>
      <c r="AZ3010" s="3">
        <v>0</v>
      </c>
      <c r="BA3010" s="3">
        <v>0</v>
      </c>
      <c r="BB3010" s="3">
        <v>0</v>
      </c>
      <c r="BC3010" s="3">
        <v>0</v>
      </c>
      <c r="BD3010" s="3">
        <v>0</v>
      </c>
      <c r="BE3010" s="3">
        <v>0</v>
      </c>
      <c r="BF3010" s="3">
        <v>0</v>
      </c>
      <c r="BG3010" s="3">
        <v>0</v>
      </c>
      <c r="BH3010" s="3">
        <v>1</v>
      </c>
      <c r="BI3010" s="3">
        <v>1</v>
      </c>
      <c r="BJ3010" s="3">
        <v>0.2</v>
      </c>
      <c r="BK3010" s="3">
        <v>1</v>
      </c>
      <c r="BL3010" s="3">
        <v>47.27</v>
      </c>
      <c r="BM3010" s="3">
        <v>7.09</v>
      </c>
      <c r="BN3010" s="3">
        <v>54.36</v>
      </c>
      <c r="BO3010" s="3">
        <v>54.36</v>
      </c>
      <c r="BQ3010" s="3" t="s">
        <v>83</v>
      </c>
      <c r="BR3010" s="3" t="s">
        <v>308</v>
      </c>
      <c r="BS3010" s="4">
        <v>44566</v>
      </c>
      <c r="BT3010" s="5">
        <v>0.32083333333333336</v>
      </c>
      <c r="BU3010" s="3" t="s">
        <v>2530</v>
      </c>
      <c r="BV3010" s="3" t="s">
        <v>105</v>
      </c>
      <c r="BY3010" s="3">
        <v>1200</v>
      </c>
      <c r="BZ3010" s="3" t="s">
        <v>165</v>
      </c>
      <c r="CA3010" s="3" t="s">
        <v>1350</v>
      </c>
      <c r="CC3010" s="3" t="s">
        <v>116</v>
      </c>
      <c r="CD3010" s="3">
        <v>1559</v>
      </c>
      <c r="CE3010" s="3" t="s">
        <v>93</v>
      </c>
      <c r="CF3010" s="4">
        <v>44566</v>
      </c>
      <c r="CI3010" s="3">
        <v>1</v>
      </c>
      <c r="CJ3010" s="3">
        <v>1</v>
      </c>
      <c r="CK3010" s="3">
        <v>22</v>
      </c>
      <c r="CL3010" s="3" t="s">
        <v>87</v>
      </c>
    </row>
    <row r="3011" spans="1:90" x14ac:dyDescent="0.2">
      <c r="A3011" s="3" t="s">
        <v>72</v>
      </c>
      <c r="B3011" s="3" t="s">
        <v>73</v>
      </c>
      <c r="C3011" s="3" t="s">
        <v>74</v>
      </c>
      <c r="E3011" s="3" t="str">
        <f>"FES1162843357"</f>
        <v>FES1162843357</v>
      </c>
      <c r="F3011" s="4">
        <v>44565</v>
      </c>
      <c r="G3011" s="3">
        <v>202207</v>
      </c>
      <c r="H3011" s="3" t="s">
        <v>75</v>
      </c>
      <c r="I3011" s="3" t="s">
        <v>76</v>
      </c>
      <c r="J3011" s="3" t="s">
        <v>77</v>
      </c>
      <c r="K3011" s="3" t="s">
        <v>78</v>
      </c>
      <c r="L3011" s="3" t="s">
        <v>167</v>
      </c>
      <c r="M3011" s="3" t="s">
        <v>168</v>
      </c>
      <c r="N3011" s="3" t="s">
        <v>247</v>
      </c>
      <c r="O3011" s="3" t="s">
        <v>82</v>
      </c>
      <c r="P3011" s="3" t="str">
        <f>"2170815501                    "</f>
        <v xml:space="preserve">2170815501                    </v>
      </c>
      <c r="Q3011" s="3">
        <v>0</v>
      </c>
      <c r="R3011" s="3">
        <v>0</v>
      </c>
      <c r="S3011" s="3">
        <v>0</v>
      </c>
      <c r="T3011" s="3">
        <v>0</v>
      </c>
      <c r="U3011" s="3">
        <v>0</v>
      </c>
      <c r="V3011" s="3">
        <v>0</v>
      </c>
      <c r="W3011" s="3">
        <v>0</v>
      </c>
      <c r="X3011" s="3">
        <v>0</v>
      </c>
      <c r="Y3011" s="3">
        <v>0</v>
      </c>
      <c r="Z3011" s="3">
        <v>0</v>
      </c>
      <c r="AA3011" s="3">
        <v>0</v>
      </c>
      <c r="AB3011" s="3">
        <v>0</v>
      </c>
      <c r="AC3011" s="3">
        <v>0</v>
      </c>
      <c r="AD3011" s="3">
        <v>0</v>
      </c>
      <c r="AE3011" s="3">
        <v>0</v>
      </c>
      <c r="AF3011" s="3">
        <v>0</v>
      </c>
      <c r="AG3011" s="3">
        <v>0</v>
      </c>
      <c r="AH3011" s="3">
        <v>0</v>
      </c>
      <c r="AI3011" s="3">
        <v>0</v>
      </c>
      <c r="AJ3011" s="3">
        <v>0</v>
      </c>
      <c r="AK3011" s="3">
        <v>16.98</v>
      </c>
      <c r="AL3011" s="3">
        <v>0</v>
      </c>
      <c r="AM3011" s="3">
        <v>0</v>
      </c>
      <c r="AN3011" s="3">
        <v>0</v>
      </c>
      <c r="AO3011" s="3">
        <v>0</v>
      </c>
      <c r="AP3011" s="3">
        <v>0</v>
      </c>
      <c r="AQ3011" s="3">
        <v>0</v>
      </c>
      <c r="AR3011" s="3">
        <v>0</v>
      </c>
      <c r="AS3011" s="3">
        <v>0</v>
      </c>
      <c r="AT3011" s="3">
        <v>0</v>
      </c>
      <c r="AU3011" s="3">
        <v>0</v>
      </c>
      <c r="AV3011" s="3">
        <v>0</v>
      </c>
      <c r="AW3011" s="3">
        <v>0</v>
      </c>
      <c r="AX3011" s="3">
        <v>0</v>
      </c>
      <c r="AY3011" s="3">
        <v>0</v>
      </c>
      <c r="AZ3011" s="3">
        <v>0</v>
      </c>
      <c r="BA3011" s="3">
        <v>0</v>
      </c>
      <c r="BB3011" s="3">
        <v>0</v>
      </c>
      <c r="BC3011" s="3">
        <v>0</v>
      </c>
      <c r="BD3011" s="3">
        <v>0</v>
      </c>
      <c r="BE3011" s="3">
        <v>0</v>
      </c>
      <c r="BF3011" s="3">
        <v>0</v>
      </c>
      <c r="BG3011" s="3">
        <v>0</v>
      </c>
      <c r="BH3011" s="3">
        <v>1</v>
      </c>
      <c r="BI3011" s="3">
        <v>1</v>
      </c>
      <c r="BJ3011" s="3">
        <v>0.2</v>
      </c>
      <c r="BK3011" s="3">
        <v>1</v>
      </c>
      <c r="BL3011" s="3">
        <v>60.52</v>
      </c>
      <c r="BM3011" s="3">
        <v>9.08</v>
      </c>
      <c r="BN3011" s="3">
        <v>69.599999999999994</v>
      </c>
      <c r="BO3011" s="3">
        <v>69.599999999999994</v>
      </c>
      <c r="BQ3011" s="3" t="s">
        <v>89</v>
      </c>
      <c r="BR3011" s="3" t="s">
        <v>308</v>
      </c>
      <c r="BS3011" s="4">
        <v>44566</v>
      </c>
      <c r="BT3011" s="5">
        <v>0.47222222222222227</v>
      </c>
      <c r="BU3011" s="3" t="s">
        <v>2515</v>
      </c>
      <c r="BV3011" s="3" t="s">
        <v>87</v>
      </c>
      <c r="BW3011" s="3" t="s">
        <v>457</v>
      </c>
      <c r="BX3011" s="3" t="s">
        <v>279</v>
      </c>
      <c r="BY3011" s="3">
        <v>1200</v>
      </c>
      <c r="BZ3011" s="3" t="s">
        <v>165</v>
      </c>
      <c r="CA3011" s="3" t="s">
        <v>553</v>
      </c>
      <c r="CC3011" s="3" t="s">
        <v>168</v>
      </c>
      <c r="CD3011" s="3">
        <v>6229</v>
      </c>
      <c r="CE3011" s="3" t="s">
        <v>93</v>
      </c>
      <c r="CF3011" s="4">
        <v>44566</v>
      </c>
      <c r="CI3011" s="3">
        <v>1</v>
      </c>
      <c r="CJ3011" s="3">
        <v>1</v>
      </c>
      <c r="CK3011" s="3">
        <v>21</v>
      </c>
      <c r="CL3011" s="3" t="s">
        <v>87</v>
      </c>
    </row>
    <row r="3012" spans="1:90" x14ac:dyDescent="0.2">
      <c r="A3012" s="3" t="s">
        <v>72</v>
      </c>
      <c r="B3012" s="3" t="s">
        <v>73</v>
      </c>
      <c r="C3012" s="3" t="s">
        <v>74</v>
      </c>
      <c r="E3012" s="3" t="str">
        <f>"FES1162843360"</f>
        <v>FES1162843360</v>
      </c>
      <c r="F3012" s="4">
        <v>44565</v>
      </c>
      <c r="G3012" s="3">
        <v>202207</v>
      </c>
      <c r="H3012" s="3" t="s">
        <v>75</v>
      </c>
      <c r="I3012" s="3" t="s">
        <v>76</v>
      </c>
      <c r="J3012" s="3" t="s">
        <v>77</v>
      </c>
      <c r="K3012" s="3" t="s">
        <v>78</v>
      </c>
      <c r="L3012" s="3" t="s">
        <v>171</v>
      </c>
      <c r="M3012" s="3" t="s">
        <v>172</v>
      </c>
      <c r="N3012" s="3" t="s">
        <v>200</v>
      </c>
      <c r="O3012" s="3" t="s">
        <v>82</v>
      </c>
      <c r="P3012" s="3" t="str">
        <f>"2170815557                    "</f>
        <v xml:space="preserve">2170815557                    </v>
      </c>
      <c r="Q3012" s="3">
        <v>0</v>
      </c>
      <c r="R3012" s="3">
        <v>0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  <c r="AE3012" s="3">
        <v>0</v>
      </c>
      <c r="AF3012" s="3">
        <v>0</v>
      </c>
      <c r="AG3012" s="3">
        <v>0</v>
      </c>
      <c r="AH3012" s="3">
        <v>0</v>
      </c>
      <c r="AI3012" s="3">
        <v>0</v>
      </c>
      <c r="AJ3012" s="3">
        <v>0</v>
      </c>
      <c r="AK3012" s="3">
        <v>16.98</v>
      </c>
      <c r="AL3012" s="3">
        <v>0</v>
      </c>
      <c r="AM3012" s="3">
        <v>0</v>
      </c>
      <c r="AN3012" s="3">
        <v>0</v>
      </c>
      <c r="AO3012" s="3">
        <v>0</v>
      </c>
      <c r="AP3012" s="3">
        <v>0</v>
      </c>
      <c r="AQ3012" s="3">
        <v>0</v>
      </c>
      <c r="AR3012" s="3">
        <v>0</v>
      </c>
      <c r="AS3012" s="3">
        <v>0</v>
      </c>
      <c r="AT3012" s="3">
        <v>0</v>
      </c>
      <c r="AU3012" s="3">
        <v>0</v>
      </c>
      <c r="AV3012" s="3">
        <v>0</v>
      </c>
      <c r="AW3012" s="3">
        <v>0</v>
      </c>
      <c r="AX3012" s="3">
        <v>0</v>
      </c>
      <c r="AY3012" s="3">
        <v>0</v>
      </c>
      <c r="AZ3012" s="3">
        <v>0</v>
      </c>
      <c r="BA3012" s="3">
        <v>0</v>
      </c>
      <c r="BB3012" s="3">
        <v>0</v>
      </c>
      <c r="BC3012" s="3">
        <v>0</v>
      </c>
      <c r="BD3012" s="3">
        <v>0</v>
      </c>
      <c r="BE3012" s="3">
        <v>0</v>
      </c>
      <c r="BF3012" s="3">
        <v>0</v>
      </c>
      <c r="BG3012" s="3">
        <v>0</v>
      </c>
      <c r="BH3012" s="3">
        <v>1</v>
      </c>
      <c r="BI3012" s="3">
        <v>1</v>
      </c>
      <c r="BJ3012" s="3">
        <v>0.2</v>
      </c>
      <c r="BK3012" s="3">
        <v>1</v>
      </c>
      <c r="BL3012" s="3">
        <v>60.52</v>
      </c>
      <c r="BM3012" s="3">
        <v>9.08</v>
      </c>
      <c r="BN3012" s="3">
        <v>69.599999999999994</v>
      </c>
      <c r="BO3012" s="3">
        <v>69.599999999999994</v>
      </c>
      <c r="BQ3012" s="3" t="s">
        <v>89</v>
      </c>
      <c r="BR3012" s="3" t="s">
        <v>308</v>
      </c>
      <c r="BS3012" s="4">
        <v>44566</v>
      </c>
      <c r="BT3012" s="5">
        <v>0.4201388888888889</v>
      </c>
      <c r="BU3012" s="3" t="s">
        <v>908</v>
      </c>
      <c r="BV3012" s="3" t="s">
        <v>105</v>
      </c>
      <c r="BY3012" s="3">
        <v>1200</v>
      </c>
      <c r="BZ3012" s="3" t="s">
        <v>165</v>
      </c>
      <c r="CA3012" s="3" t="s">
        <v>814</v>
      </c>
      <c r="CC3012" s="3" t="s">
        <v>172</v>
      </c>
      <c r="CD3012" s="3">
        <v>6001</v>
      </c>
      <c r="CE3012" s="3" t="s">
        <v>93</v>
      </c>
      <c r="CF3012" s="4">
        <v>44566</v>
      </c>
      <c r="CI3012" s="3">
        <v>1</v>
      </c>
      <c r="CJ3012" s="3">
        <v>1</v>
      </c>
      <c r="CK3012" s="3">
        <v>21</v>
      </c>
      <c r="CL3012" s="3" t="s">
        <v>87</v>
      </c>
    </row>
    <row r="3013" spans="1:90" x14ac:dyDescent="0.2">
      <c r="A3013" s="3" t="s">
        <v>72</v>
      </c>
      <c r="B3013" s="3" t="s">
        <v>73</v>
      </c>
      <c r="C3013" s="3" t="s">
        <v>74</v>
      </c>
      <c r="E3013" s="3" t="str">
        <f>"FES1162843709"</f>
        <v>FES1162843709</v>
      </c>
      <c r="F3013" s="4">
        <v>44566</v>
      </c>
      <c r="G3013" s="3">
        <v>202207</v>
      </c>
      <c r="H3013" s="3" t="s">
        <v>75</v>
      </c>
      <c r="I3013" s="3" t="s">
        <v>76</v>
      </c>
      <c r="J3013" s="3" t="s">
        <v>77</v>
      </c>
      <c r="K3013" s="3" t="s">
        <v>78</v>
      </c>
      <c r="L3013" s="3" t="s">
        <v>171</v>
      </c>
      <c r="M3013" s="3" t="s">
        <v>172</v>
      </c>
      <c r="N3013" s="3" t="s">
        <v>200</v>
      </c>
      <c r="O3013" s="3" t="s">
        <v>82</v>
      </c>
      <c r="P3013" s="3" t="str">
        <f>"2170815440                    "</f>
        <v xml:space="preserve">2170815440                    </v>
      </c>
      <c r="Q3013" s="3">
        <v>0</v>
      </c>
      <c r="R3013" s="3">
        <v>0</v>
      </c>
      <c r="S3013" s="3">
        <v>0</v>
      </c>
      <c r="T3013" s="3">
        <v>0</v>
      </c>
      <c r="U3013" s="3">
        <v>0</v>
      </c>
      <c r="V3013" s="3">
        <v>0</v>
      </c>
      <c r="W3013" s="3">
        <v>0</v>
      </c>
      <c r="X3013" s="3">
        <v>0</v>
      </c>
      <c r="Y3013" s="3">
        <v>0</v>
      </c>
      <c r="Z3013" s="3">
        <v>0</v>
      </c>
      <c r="AA3013" s="3">
        <v>0</v>
      </c>
      <c r="AB3013" s="3">
        <v>0</v>
      </c>
      <c r="AC3013" s="3">
        <v>0</v>
      </c>
      <c r="AD3013" s="3">
        <v>0</v>
      </c>
      <c r="AE3013" s="3">
        <v>0</v>
      </c>
      <c r="AF3013" s="3">
        <v>0</v>
      </c>
      <c r="AG3013" s="3">
        <v>0</v>
      </c>
      <c r="AH3013" s="3">
        <v>0</v>
      </c>
      <c r="AI3013" s="3">
        <v>0</v>
      </c>
      <c r="AJ3013" s="3">
        <v>0</v>
      </c>
      <c r="AK3013" s="3">
        <v>15.46</v>
      </c>
      <c r="AL3013" s="3">
        <v>0</v>
      </c>
      <c r="AM3013" s="3">
        <v>0</v>
      </c>
      <c r="AN3013" s="3">
        <v>0</v>
      </c>
      <c r="AO3013" s="3">
        <v>0</v>
      </c>
      <c r="AP3013" s="3">
        <v>0</v>
      </c>
      <c r="AQ3013" s="3">
        <v>0</v>
      </c>
      <c r="AR3013" s="3">
        <v>0</v>
      </c>
      <c r="AS3013" s="3">
        <v>0</v>
      </c>
      <c r="AT3013" s="3">
        <v>0</v>
      </c>
      <c r="AU3013" s="3">
        <v>0</v>
      </c>
      <c r="AV3013" s="3">
        <v>0</v>
      </c>
      <c r="AW3013" s="3">
        <v>0</v>
      </c>
      <c r="AX3013" s="3">
        <v>0</v>
      </c>
      <c r="AY3013" s="3">
        <v>0</v>
      </c>
      <c r="AZ3013" s="3">
        <v>0</v>
      </c>
      <c r="BA3013" s="3">
        <v>0</v>
      </c>
      <c r="BB3013" s="3">
        <v>0</v>
      </c>
      <c r="BC3013" s="3">
        <v>0</v>
      </c>
      <c r="BD3013" s="3">
        <v>0</v>
      </c>
      <c r="BE3013" s="3">
        <v>0</v>
      </c>
      <c r="BF3013" s="3">
        <v>0</v>
      </c>
      <c r="BG3013" s="3">
        <v>0</v>
      </c>
      <c r="BH3013" s="3">
        <v>1</v>
      </c>
      <c r="BI3013" s="3">
        <v>1</v>
      </c>
      <c r="BJ3013" s="3">
        <v>0.2</v>
      </c>
      <c r="BK3013" s="3">
        <v>1</v>
      </c>
      <c r="BL3013" s="3">
        <v>59</v>
      </c>
      <c r="BM3013" s="3">
        <v>8.85</v>
      </c>
      <c r="BN3013" s="3">
        <v>67.849999999999994</v>
      </c>
      <c r="BO3013" s="3">
        <v>67.849999999999994</v>
      </c>
      <c r="BQ3013" s="3" t="s">
        <v>89</v>
      </c>
      <c r="BR3013" s="3" t="s">
        <v>364</v>
      </c>
      <c r="BS3013" s="4">
        <v>44567</v>
      </c>
      <c r="BT3013" s="5">
        <v>0.41666666666666669</v>
      </c>
      <c r="BU3013" s="3" t="s">
        <v>908</v>
      </c>
      <c r="BV3013" s="3" t="s">
        <v>105</v>
      </c>
      <c r="BY3013" s="3">
        <v>1200</v>
      </c>
      <c r="BZ3013" s="3" t="s">
        <v>165</v>
      </c>
      <c r="CA3013" s="3" t="s">
        <v>814</v>
      </c>
      <c r="CC3013" s="3" t="s">
        <v>172</v>
      </c>
      <c r="CD3013" s="3">
        <v>6001</v>
      </c>
      <c r="CE3013" s="3" t="s">
        <v>93</v>
      </c>
      <c r="CF3013" s="4">
        <v>44567</v>
      </c>
      <c r="CI3013" s="3">
        <v>1</v>
      </c>
      <c r="CJ3013" s="3">
        <v>1</v>
      </c>
      <c r="CK3013" s="3">
        <v>21</v>
      </c>
      <c r="CL3013" s="3" t="s">
        <v>87</v>
      </c>
    </row>
    <row r="3014" spans="1:90" x14ac:dyDescent="0.2">
      <c r="A3014" s="3" t="s">
        <v>72</v>
      </c>
      <c r="B3014" s="3" t="s">
        <v>73</v>
      </c>
      <c r="C3014" s="3" t="s">
        <v>74</v>
      </c>
      <c r="E3014" s="3" t="str">
        <f>"FES1162843421"</f>
        <v>FES1162843421</v>
      </c>
      <c r="F3014" s="4">
        <v>44565</v>
      </c>
      <c r="G3014" s="3">
        <v>202207</v>
      </c>
      <c r="H3014" s="3" t="s">
        <v>75</v>
      </c>
      <c r="I3014" s="3" t="s">
        <v>76</v>
      </c>
      <c r="J3014" s="3" t="s">
        <v>77</v>
      </c>
      <c r="K3014" s="3" t="s">
        <v>78</v>
      </c>
      <c r="L3014" s="3" t="s">
        <v>138</v>
      </c>
      <c r="M3014" s="3" t="s">
        <v>139</v>
      </c>
      <c r="N3014" s="3" t="s">
        <v>152</v>
      </c>
      <c r="O3014" s="3" t="s">
        <v>82</v>
      </c>
      <c r="P3014" s="3" t="str">
        <f>"2170812664                    "</f>
        <v xml:space="preserve">2170812664                    </v>
      </c>
      <c r="Q3014" s="3">
        <v>0</v>
      </c>
      <c r="R3014" s="3">
        <v>0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  <c r="AE3014" s="3">
        <v>0</v>
      </c>
      <c r="AF3014" s="3">
        <v>0</v>
      </c>
      <c r="AG3014" s="3">
        <v>0</v>
      </c>
      <c r="AH3014" s="3">
        <v>0</v>
      </c>
      <c r="AI3014" s="3">
        <v>0</v>
      </c>
      <c r="AJ3014" s="3">
        <v>0</v>
      </c>
      <c r="AK3014" s="3">
        <v>16.98</v>
      </c>
      <c r="AL3014" s="3">
        <v>0</v>
      </c>
      <c r="AM3014" s="3">
        <v>0</v>
      </c>
      <c r="AN3014" s="3">
        <v>0</v>
      </c>
      <c r="AO3014" s="3">
        <v>0</v>
      </c>
      <c r="AP3014" s="3">
        <v>0</v>
      </c>
      <c r="AQ3014" s="3">
        <v>0</v>
      </c>
      <c r="AR3014" s="3">
        <v>0</v>
      </c>
      <c r="AS3014" s="3">
        <v>0</v>
      </c>
      <c r="AT3014" s="3">
        <v>0</v>
      </c>
      <c r="AU3014" s="3">
        <v>0</v>
      </c>
      <c r="AV3014" s="3">
        <v>0</v>
      </c>
      <c r="AW3014" s="3">
        <v>0</v>
      </c>
      <c r="AX3014" s="3">
        <v>0</v>
      </c>
      <c r="AY3014" s="3">
        <v>0</v>
      </c>
      <c r="AZ3014" s="3">
        <v>0</v>
      </c>
      <c r="BA3014" s="3">
        <v>0</v>
      </c>
      <c r="BB3014" s="3">
        <v>0</v>
      </c>
      <c r="BC3014" s="3">
        <v>0</v>
      </c>
      <c r="BD3014" s="3">
        <v>0</v>
      </c>
      <c r="BE3014" s="3">
        <v>0</v>
      </c>
      <c r="BF3014" s="3">
        <v>0</v>
      </c>
      <c r="BG3014" s="3">
        <v>0</v>
      </c>
      <c r="BH3014" s="3">
        <v>1</v>
      </c>
      <c r="BI3014" s="3">
        <v>1</v>
      </c>
      <c r="BJ3014" s="3">
        <v>0.8</v>
      </c>
      <c r="BK3014" s="3">
        <v>1</v>
      </c>
      <c r="BL3014" s="3">
        <v>60.52</v>
      </c>
      <c r="BM3014" s="3">
        <v>9.08</v>
      </c>
      <c r="BN3014" s="3">
        <v>69.599999999999994</v>
      </c>
      <c r="BO3014" s="3">
        <v>69.599999999999994</v>
      </c>
      <c r="BQ3014" s="3" t="s">
        <v>83</v>
      </c>
      <c r="BR3014" s="3" t="s">
        <v>308</v>
      </c>
      <c r="BS3014" s="4">
        <v>44566</v>
      </c>
      <c r="BT3014" s="5">
        <v>0.36527777777777781</v>
      </c>
      <c r="BU3014" s="3" t="s">
        <v>2582</v>
      </c>
      <c r="BV3014" s="3" t="s">
        <v>105</v>
      </c>
      <c r="BY3014" s="3">
        <v>4000</v>
      </c>
      <c r="BZ3014" s="3" t="s">
        <v>165</v>
      </c>
      <c r="CA3014" s="3" t="s">
        <v>303</v>
      </c>
      <c r="CC3014" s="3" t="s">
        <v>139</v>
      </c>
      <c r="CD3014" s="3">
        <v>3610</v>
      </c>
      <c r="CE3014" s="3" t="s">
        <v>86</v>
      </c>
      <c r="CF3014" s="4">
        <v>44566</v>
      </c>
      <c r="CI3014" s="3">
        <v>1</v>
      </c>
      <c r="CJ3014" s="3">
        <v>1</v>
      </c>
      <c r="CK3014" s="3">
        <v>21</v>
      </c>
      <c r="CL3014" s="3" t="s">
        <v>87</v>
      </c>
    </row>
    <row r="3015" spans="1:90" x14ac:dyDescent="0.2">
      <c r="A3015" s="3" t="s">
        <v>72</v>
      </c>
      <c r="B3015" s="3" t="s">
        <v>73</v>
      </c>
      <c r="C3015" s="3" t="s">
        <v>74</v>
      </c>
      <c r="E3015" s="3" t="str">
        <f>"FES1162843345"</f>
        <v>FES1162843345</v>
      </c>
      <c r="F3015" s="4">
        <v>44565</v>
      </c>
      <c r="G3015" s="3">
        <v>202207</v>
      </c>
      <c r="H3015" s="3" t="s">
        <v>75</v>
      </c>
      <c r="I3015" s="3" t="s">
        <v>76</v>
      </c>
      <c r="J3015" s="3" t="s">
        <v>77</v>
      </c>
      <c r="K3015" s="3" t="s">
        <v>78</v>
      </c>
      <c r="L3015" s="3" t="s">
        <v>716</v>
      </c>
      <c r="M3015" s="3" t="s">
        <v>717</v>
      </c>
      <c r="N3015" s="3" t="s">
        <v>718</v>
      </c>
      <c r="O3015" s="3" t="s">
        <v>82</v>
      </c>
      <c r="P3015" s="3" t="str">
        <f>"2170815379                    "</f>
        <v xml:space="preserve">2170815379                    </v>
      </c>
      <c r="Q3015" s="3">
        <v>0</v>
      </c>
      <c r="R3015" s="3">
        <v>0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  <c r="AE3015" s="3">
        <v>0</v>
      </c>
      <c r="AF3015" s="3">
        <v>0</v>
      </c>
      <c r="AG3015" s="3">
        <v>0</v>
      </c>
      <c r="AH3015" s="3">
        <v>0</v>
      </c>
      <c r="AI3015" s="3">
        <v>0</v>
      </c>
      <c r="AJ3015" s="3">
        <v>0</v>
      </c>
      <c r="AK3015" s="3">
        <v>32.9</v>
      </c>
      <c r="AL3015" s="3">
        <v>0</v>
      </c>
      <c r="AM3015" s="3">
        <v>0</v>
      </c>
      <c r="AN3015" s="3">
        <v>0</v>
      </c>
      <c r="AO3015" s="3">
        <v>0</v>
      </c>
      <c r="AP3015" s="3">
        <v>0</v>
      </c>
      <c r="AQ3015" s="3">
        <v>0</v>
      </c>
      <c r="AR3015" s="3">
        <v>0</v>
      </c>
      <c r="AS3015" s="3">
        <v>0</v>
      </c>
      <c r="AT3015" s="3">
        <v>0</v>
      </c>
      <c r="AU3015" s="3">
        <v>0</v>
      </c>
      <c r="AV3015" s="3">
        <v>0</v>
      </c>
      <c r="AW3015" s="3">
        <v>0</v>
      </c>
      <c r="AX3015" s="3">
        <v>0</v>
      </c>
      <c r="AY3015" s="3">
        <v>0</v>
      </c>
      <c r="AZ3015" s="3">
        <v>0</v>
      </c>
      <c r="BA3015" s="3">
        <v>0</v>
      </c>
      <c r="BB3015" s="3">
        <v>0</v>
      </c>
      <c r="BC3015" s="3">
        <v>0</v>
      </c>
      <c r="BD3015" s="3">
        <v>0</v>
      </c>
      <c r="BE3015" s="3">
        <v>0</v>
      </c>
      <c r="BF3015" s="3">
        <v>0</v>
      </c>
      <c r="BG3015" s="3">
        <v>0</v>
      </c>
      <c r="BH3015" s="3">
        <v>1</v>
      </c>
      <c r="BI3015" s="3">
        <v>1</v>
      </c>
      <c r="BJ3015" s="3">
        <v>0.2</v>
      </c>
      <c r="BK3015" s="3">
        <v>1</v>
      </c>
      <c r="BL3015" s="3">
        <v>117.26</v>
      </c>
      <c r="BM3015" s="3">
        <v>17.59</v>
      </c>
      <c r="BN3015" s="3">
        <v>134.85</v>
      </c>
      <c r="BO3015" s="3">
        <v>134.85</v>
      </c>
      <c r="BQ3015" s="3" t="s">
        <v>89</v>
      </c>
      <c r="BR3015" s="3" t="s">
        <v>308</v>
      </c>
      <c r="BS3015" s="4">
        <v>44566</v>
      </c>
      <c r="BT3015" s="5">
        <v>0.53819444444444442</v>
      </c>
      <c r="BU3015" s="3" t="s">
        <v>1218</v>
      </c>
      <c r="BV3015" s="3" t="s">
        <v>105</v>
      </c>
      <c r="BY3015" s="3">
        <v>1200</v>
      </c>
      <c r="BZ3015" s="3" t="s">
        <v>165</v>
      </c>
      <c r="CA3015" s="3" t="s">
        <v>720</v>
      </c>
      <c r="CC3015" s="3" t="s">
        <v>717</v>
      </c>
      <c r="CD3015" s="3">
        <v>1028</v>
      </c>
      <c r="CE3015" s="3" t="s">
        <v>93</v>
      </c>
      <c r="CF3015" s="4">
        <v>44566</v>
      </c>
      <c r="CI3015" s="3">
        <v>1</v>
      </c>
      <c r="CJ3015" s="3">
        <v>1</v>
      </c>
      <c r="CK3015" s="3">
        <v>23</v>
      </c>
      <c r="CL3015" s="3" t="s">
        <v>87</v>
      </c>
    </row>
    <row r="3016" spans="1:90" x14ac:dyDescent="0.2">
      <c r="A3016" s="3" t="s">
        <v>72</v>
      </c>
      <c r="B3016" s="3" t="s">
        <v>73</v>
      </c>
      <c r="C3016" s="3" t="s">
        <v>74</v>
      </c>
      <c r="E3016" s="3" t="str">
        <f>"FES1162843642"</f>
        <v>FES1162843642</v>
      </c>
      <c r="F3016" s="4">
        <v>44566</v>
      </c>
      <c r="G3016" s="3">
        <v>202207</v>
      </c>
      <c r="H3016" s="3" t="s">
        <v>75</v>
      </c>
      <c r="I3016" s="3" t="s">
        <v>76</v>
      </c>
      <c r="J3016" s="3" t="s">
        <v>77</v>
      </c>
      <c r="K3016" s="3" t="s">
        <v>78</v>
      </c>
      <c r="L3016" s="3" t="s">
        <v>90</v>
      </c>
      <c r="M3016" s="3" t="s">
        <v>91</v>
      </c>
      <c r="N3016" s="3" t="s">
        <v>711</v>
      </c>
      <c r="O3016" s="3" t="s">
        <v>82</v>
      </c>
      <c r="P3016" s="3" t="str">
        <f>"2170808790                    "</f>
        <v xml:space="preserve">2170808790                    </v>
      </c>
      <c r="Q3016" s="3">
        <v>0</v>
      </c>
      <c r="R3016" s="3">
        <v>0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  <c r="AE3016" s="3">
        <v>0</v>
      </c>
      <c r="AF3016" s="3">
        <v>0</v>
      </c>
      <c r="AG3016" s="3">
        <v>0</v>
      </c>
      <c r="AH3016" s="3">
        <v>0</v>
      </c>
      <c r="AI3016" s="3">
        <v>0</v>
      </c>
      <c r="AJ3016" s="3">
        <v>0</v>
      </c>
      <c r="AK3016" s="3">
        <v>73.39</v>
      </c>
      <c r="AL3016" s="3">
        <v>0</v>
      </c>
      <c r="AM3016" s="3">
        <v>0</v>
      </c>
      <c r="AN3016" s="3">
        <v>0</v>
      </c>
      <c r="AO3016" s="3">
        <v>0</v>
      </c>
      <c r="AP3016" s="3">
        <v>0</v>
      </c>
      <c r="AQ3016" s="3">
        <v>0</v>
      </c>
      <c r="AR3016" s="3">
        <v>0</v>
      </c>
      <c r="AS3016" s="3">
        <v>0</v>
      </c>
      <c r="AT3016" s="3">
        <v>0</v>
      </c>
      <c r="AU3016" s="3">
        <v>0</v>
      </c>
      <c r="AV3016" s="3">
        <v>0</v>
      </c>
      <c r="AW3016" s="3">
        <v>0</v>
      </c>
      <c r="AX3016" s="3">
        <v>0</v>
      </c>
      <c r="AY3016" s="3">
        <v>0</v>
      </c>
      <c r="AZ3016" s="3">
        <v>0</v>
      </c>
      <c r="BA3016" s="3">
        <v>0</v>
      </c>
      <c r="BB3016" s="3">
        <v>0</v>
      </c>
      <c r="BC3016" s="3">
        <v>0</v>
      </c>
      <c r="BD3016" s="3">
        <v>0</v>
      </c>
      <c r="BE3016" s="3">
        <v>0</v>
      </c>
      <c r="BF3016" s="3">
        <v>0</v>
      </c>
      <c r="BG3016" s="3">
        <v>0</v>
      </c>
      <c r="BH3016" s="3">
        <v>1</v>
      </c>
      <c r="BI3016" s="3">
        <v>6</v>
      </c>
      <c r="BJ3016" s="3">
        <v>9.1</v>
      </c>
      <c r="BK3016" s="3">
        <v>9.5</v>
      </c>
      <c r="BL3016" s="3">
        <v>280.13</v>
      </c>
      <c r="BM3016" s="3">
        <v>42.02</v>
      </c>
      <c r="BN3016" s="3">
        <v>322.14999999999998</v>
      </c>
      <c r="BO3016" s="3">
        <v>322.14999999999998</v>
      </c>
      <c r="BQ3016" s="3" t="s">
        <v>83</v>
      </c>
      <c r="BR3016" s="3" t="s">
        <v>364</v>
      </c>
      <c r="BS3016" s="4">
        <v>44571</v>
      </c>
      <c r="BT3016" s="5">
        <v>0.41250000000000003</v>
      </c>
      <c r="BU3016" s="3" t="s">
        <v>2745</v>
      </c>
      <c r="BV3016" s="3" t="s">
        <v>87</v>
      </c>
      <c r="BW3016" s="3" t="s">
        <v>493</v>
      </c>
      <c r="BX3016" s="3" t="s">
        <v>2746</v>
      </c>
      <c r="BY3016" s="3">
        <v>45632</v>
      </c>
      <c r="BZ3016" s="3" t="s">
        <v>165</v>
      </c>
      <c r="CA3016" s="3" t="s">
        <v>2775</v>
      </c>
      <c r="CC3016" s="3" t="s">
        <v>91</v>
      </c>
      <c r="CD3016" s="3">
        <v>7441</v>
      </c>
      <c r="CE3016" s="3" t="s">
        <v>86</v>
      </c>
      <c r="CF3016" s="4">
        <v>44574</v>
      </c>
      <c r="CI3016" s="3">
        <v>1</v>
      </c>
      <c r="CJ3016" s="3">
        <v>3</v>
      </c>
      <c r="CK3016" s="3">
        <v>21</v>
      </c>
      <c r="CL3016" s="3" t="s">
        <v>87</v>
      </c>
    </row>
    <row r="3017" spans="1:90" x14ac:dyDescent="0.2">
      <c r="A3017" s="3" t="s">
        <v>72</v>
      </c>
      <c r="B3017" s="3" t="s">
        <v>73</v>
      </c>
      <c r="C3017" s="3" t="s">
        <v>74</v>
      </c>
      <c r="E3017" s="3" t="str">
        <f>"FES1162843500"</f>
        <v>FES1162843500</v>
      </c>
      <c r="F3017" s="4">
        <v>44565</v>
      </c>
      <c r="G3017" s="3">
        <v>202207</v>
      </c>
      <c r="H3017" s="3" t="s">
        <v>75</v>
      </c>
      <c r="I3017" s="3" t="s">
        <v>76</v>
      </c>
      <c r="J3017" s="3" t="s">
        <v>77</v>
      </c>
      <c r="K3017" s="3" t="s">
        <v>78</v>
      </c>
      <c r="L3017" s="3" t="s">
        <v>250</v>
      </c>
      <c r="M3017" s="3" t="s">
        <v>251</v>
      </c>
      <c r="N3017" s="3" t="s">
        <v>252</v>
      </c>
      <c r="O3017" s="3" t="s">
        <v>82</v>
      </c>
      <c r="P3017" s="3" t="str">
        <f>"2170815606                    "</f>
        <v xml:space="preserve">2170815606                    </v>
      </c>
      <c r="Q3017" s="3">
        <v>0</v>
      </c>
      <c r="R3017" s="3">
        <v>0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  <c r="AE3017" s="3">
        <v>0</v>
      </c>
      <c r="AF3017" s="3">
        <v>0</v>
      </c>
      <c r="AG3017" s="3">
        <v>0</v>
      </c>
      <c r="AH3017" s="3">
        <v>0</v>
      </c>
      <c r="AI3017" s="3">
        <v>0</v>
      </c>
      <c r="AJ3017" s="3">
        <v>0</v>
      </c>
      <c r="AK3017" s="3">
        <v>32.9</v>
      </c>
      <c r="AL3017" s="3">
        <v>0</v>
      </c>
      <c r="AM3017" s="3">
        <v>0</v>
      </c>
      <c r="AN3017" s="3">
        <v>0</v>
      </c>
      <c r="AO3017" s="3">
        <v>0</v>
      </c>
      <c r="AP3017" s="3">
        <v>0</v>
      </c>
      <c r="AQ3017" s="3">
        <v>0</v>
      </c>
      <c r="AR3017" s="3">
        <v>0</v>
      </c>
      <c r="AS3017" s="3">
        <v>0</v>
      </c>
      <c r="AT3017" s="3">
        <v>0</v>
      </c>
      <c r="AU3017" s="3">
        <v>0</v>
      </c>
      <c r="AV3017" s="3">
        <v>0</v>
      </c>
      <c r="AW3017" s="3">
        <v>0</v>
      </c>
      <c r="AX3017" s="3">
        <v>0</v>
      </c>
      <c r="AY3017" s="3">
        <v>0</v>
      </c>
      <c r="AZ3017" s="3">
        <v>0</v>
      </c>
      <c r="BA3017" s="3">
        <v>0</v>
      </c>
      <c r="BB3017" s="3">
        <v>0</v>
      </c>
      <c r="BC3017" s="3">
        <v>0</v>
      </c>
      <c r="BD3017" s="3">
        <v>0</v>
      </c>
      <c r="BE3017" s="3">
        <v>0</v>
      </c>
      <c r="BF3017" s="3">
        <v>0</v>
      </c>
      <c r="BG3017" s="3">
        <v>0</v>
      </c>
      <c r="BH3017" s="3">
        <v>1</v>
      </c>
      <c r="BI3017" s="3">
        <v>1</v>
      </c>
      <c r="BJ3017" s="3">
        <v>0.2</v>
      </c>
      <c r="BK3017" s="3">
        <v>1</v>
      </c>
      <c r="BL3017" s="3">
        <v>117.26</v>
      </c>
      <c r="BM3017" s="3">
        <v>17.59</v>
      </c>
      <c r="BN3017" s="3">
        <v>134.85</v>
      </c>
      <c r="BO3017" s="3">
        <v>134.85</v>
      </c>
      <c r="BQ3017" s="3" t="s">
        <v>253</v>
      </c>
      <c r="BR3017" s="3" t="s">
        <v>308</v>
      </c>
      <c r="BS3017" s="4">
        <v>44566</v>
      </c>
      <c r="BT3017" s="5">
        <v>0.57638888888888895</v>
      </c>
      <c r="BU3017" s="3" t="s">
        <v>2041</v>
      </c>
      <c r="BV3017" s="3" t="s">
        <v>105</v>
      </c>
      <c r="BY3017" s="3">
        <v>1200</v>
      </c>
      <c r="BZ3017" s="3" t="s">
        <v>165</v>
      </c>
      <c r="CA3017" s="3" t="s">
        <v>368</v>
      </c>
      <c r="CC3017" s="3" t="s">
        <v>251</v>
      </c>
      <c r="CD3017" s="3">
        <v>6300</v>
      </c>
      <c r="CE3017" s="3" t="s">
        <v>93</v>
      </c>
      <c r="CF3017" s="4">
        <v>44566</v>
      </c>
      <c r="CI3017" s="3">
        <v>2</v>
      </c>
      <c r="CJ3017" s="3">
        <v>1</v>
      </c>
      <c r="CK3017" s="3">
        <v>23</v>
      </c>
      <c r="CL3017" s="3" t="s">
        <v>87</v>
      </c>
    </row>
    <row r="3018" spans="1:90" x14ac:dyDescent="0.2">
      <c r="A3018" s="3" t="s">
        <v>72</v>
      </c>
      <c r="B3018" s="3" t="s">
        <v>73</v>
      </c>
      <c r="C3018" s="3" t="s">
        <v>74</v>
      </c>
      <c r="E3018" s="3" t="str">
        <f>"FES1162843679"</f>
        <v>FES1162843679</v>
      </c>
      <c r="F3018" s="4">
        <v>44566</v>
      </c>
      <c r="G3018" s="3">
        <v>202207</v>
      </c>
      <c r="H3018" s="3" t="s">
        <v>75</v>
      </c>
      <c r="I3018" s="3" t="s">
        <v>76</v>
      </c>
      <c r="J3018" s="3" t="s">
        <v>77</v>
      </c>
      <c r="K3018" s="3" t="s">
        <v>78</v>
      </c>
      <c r="L3018" s="3" t="s">
        <v>171</v>
      </c>
      <c r="M3018" s="3" t="s">
        <v>172</v>
      </c>
      <c r="N3018" s="3" t="s">
        <v>838</v>
      </c>
      <c r="O3018" s="3" t="s">
        <v>82</v>
      </c>
      <c r="P3018" s="3" t="str">
        <f>"2170814329                    "</f>
        <v xml:space="preserve">2170814329                    </v>
      </c>
      <c r="Q3018" s="3">
        <v>0</v>
      </c>
      <c r="R3018" s="3">
        <v>0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  <c r="AE3018" s="3">
        <v>0</v>
      </c>
      <c r="AF3018" s="3">
        <v>0</v>
      </c>
      <c r="AG3018" s="3">
        <v>0</v>
      </c>
      <c r="AH3018" s="3">
        <v>0</v>
      </c>
      <c r="AI3018" s="3">
        <v>0</v>
      </c>
      <c r="AJ3018" s="3">
        <v>0</v>
      </c>
      <c r="AK3018" s="3">
        <v>30.91</v>
      </c>
      <c r="AL3018" s="3">
        <v>0</v>
      </c>
      <c r="AM3018" s="3">
        <v>0</v>
      </c>
      <c r="AN3018" s="3">
        <v>0</v>
      </c>
      <c r="AO3018" s="3">
        <v>0</v>
      </c>
      <c r="AP3018" s="3">
        <v>0</v>
      </c>
      <c r="AQ3018" s="3">
        <v>0</v>
      </c>
      <c r="AR3018" s="3">
        <v>0</v>
      </c>
      <c r="AS3018" s="3">
        <v>0</v>
      </c>
      <c r="AT3018" s="3">
        <v>0</v>
      </c>
      <c r="AU3018" s="3">
        <v>0</v>
      </c>
      <c r="AV3018" s="3">
        <v>0</v>
      </c>
      <c r="AW3018" s="3">
        <v>0</v>
      </c>
      <c r="AX3018" s="3">
        <v>0</v>
      </c>
      <c r="AY3018" s="3">
        <v>0</v>
      </c>
      <c r="AZ3018" s="3">
        <v>0</v>
      </c>
      <c r="BA3018" s="3">
        <v>0</v>
      </c>
      <c r="BB3018" s="3">
        <v>0</v>
      </c>
      <c r="BC3018" s="3">
        <v>0</v>
      </c>
      <c r="BD3018" s="3">
        <v>0</v>
      </c>
      <c r="BE3018" s="3">
        <v>0</v>
      </c>
      <c r="BF3018" s="3">
        <v>0</v>
      </c>
      <c r="BG3018" s="3">
        <v>0</v>
      </c>
      <c r="BH3018" s="3">
        <v>1</v>
      </c>
      <c r="BI3018" s="3">
        <v>2</v>
      </c>
      <c r="BJ3018" s="3">
        <v>3.9</v>
      </c>
      <c r="BK3018" s="3">
        <v>4</v>
      </c>
      <c r="BL3018" s="3">
        <v>117.97</v>
      </c>
      <c r="BM3018" s="3">
        <v>17.7</v>
      </c>
      <c r="BN3018" s="3">
        <v>135.66999999999999</v>
      </c>
      <c r="BO3018" s="3">
        <v>135.66999999999999</v>
      </c>
      <c r="BQ3018" s="3" t="s">
        <v>83</v>
      </c>
      <c r="BR3018" s="3" t="s">
        <v>364</v>
      </c>
      <c r="BS3018" s="4">
        <v>44567</v>
      </c>
      <c r="BT3018" s="5">
        <v>0.47500000000000003</v>
      </c>
      <c r="BU3018" s="3" t="s">
        <v>2776</v>
      </c>
      <c r="BV3018" s="3" t="s">
        <v>87</v>
      </c>
      <c r="BW3018" s="3" t="s">
        <v>457</v>
      </c>
      <c r="BX3018" s="3" t="s">
        <v>279</v>
      </c>
      <c r="BY3018" s="3">
        <v>19584</v>
      </c>
      <c r="BZ3018" s="3" t="s">
        <v>165</v>
      </c>
      <c r="CC3018" s="3" t="s">
        <v>172</v>
      </c>
      <c r="CD3018" s="3">
        <v>6001</v>
      </c>
      <c r="CE3018" s="3" t="s">
        <v>86</v>
      </c>
      <c r="CF3018" s="4">
        <v>44567</v>
      </c>
      <c r="CI3018" s="3">
        <v>1</v>
      </c>
      <c r="CJ3018" s="3">
        <v>1</v>
      </c>
      <c r="CK3018" s="3">
        <v>21</v>
      </c>
      <c r="CL3018" s="3" t="s">
        <v>87</v>
      </c>
    </row>
    <row r="3019" spans="1:90" x14ac:dyDescent="0.2">
      <c r="A3019" s="3" t="s">
        <v>72</v>
      </c>
      <c r="B3019" s="3" t="s">
        <v>73</v>
      </c>
      <c r="C3019" s="3" t="s">
        <v>74</v>
      </c>
      <c r="E3019" s="3" t="str">
        <f>"FES1162843505"</f>
        <v>FES1162843505</v>
      </c>
      <c r="F3019" s="4">
        <v>44565</v>
      </c>
      <c r="G3019" s="3">
        <v>202207</v>
      </c>
      <c r="H3019" s="3" t="s">
        <v>75</v>
      </c>
      <c r="I3019" s="3" t="s">
        <v>76</v>
      </c>
      <c r="J3019" s="3" t="s">
        <v>77</v>
      </c>
      <c r="K3019" s="3" t="s">
        <v>78</v>
      </c>
      <c r="L3019" s="3" t="s">
        <v>250</v>
      </c>
      <c r="M3019" s="3" t="s">
        <v>251</v>
      </c>
      <c r="N3019" s="3" t="s">
        <v>252</v>
      </c>
      <c r="O3019" s="3" t="s">
        <v>148</v>
      </c>
      <c r="P3019" s="3" t="str">
        <f>"2170815612                    "</f>
        <v xml:space="preserve">2170815612                    </v>
      </c>
      <c r="Q3019" s="3">
        <v>0</v>
      </c>
      <c r="R3019" s="3">
        <v>0</v>
      </c>
      <c r="S3019" s="3">
        <v>0</v>
      </c>
      <c r="T3019" s="3">
        <v>0</v>
      </c>
      <c r="U3019" s="3">
        <v>0</v>
      </c>
      <c r="V3019" s="3">
        <v>0</v>
      </c>
      <c r="W3019" s="3">
        <v>0</v>
      </c>
      <c r="X3019" s="3">
        <v>0</v>
      </c>
      <c r="Y3019" s="3">
        <v>0</v>
      </c>
      <c r="Z3019" s="3">
        <v>0</v>
      </c>
      <c r="AA3019" s="3">
        <v>0</v>
      </c>
      <c r="AB3019" s="3">
        <v>0</v>
      </c>
      <c r="AC3019" s="3">
        <v>0</v>
      </c>
      <c r="AD3019" s="3">
        <v>0</v>
      </c>
      <c r="AE3019" s="3">
        <v>0</v>
      </c>
      <c r="AF3019" s="3">
        <v>0</v>
      </c>
      <c r="AG3019" s="3">
        <v>0</v>
      </c>
      <c r="AH3019" s="3">
        <v>0</v>
      </c>
      <c r="AI3019" s="3">
        <v>0</v>
      </c>
      <c r="AJ3019" s="3">
        <v>0</v>
      </c>
      <c r="AK3019" s="3">
        <v>55.78</v>
      </c>
      <c r="AL3019" s="3">
        <v>0</v>
      </c>
      <c r="AM3019" s="3">
        <v>0</v>
      </c>
      <c r="AN3019" s="3">
        <v>0</v>
      </c>
      <c r="AO3019" s="3">
        <v>0</v>
      </c>
      <c r="AP3019" s="3">
        <v>0</v>
      </c>
      <c r="AQ3019" s="3">
        <v>0</v>
      </c>
      <c r="AR3019" s="3">
        <v>0</v>
      </c>
      <c r="AS3019" s="3">
        <v>0</v>
      </c>
      <c r="AT3019" s="3">
        <v>0</v>
      </c>
      <c r="AU3019" s="3">
        <v>0</v>
      </c>
      <c r="AV3019" s="3">
        <v>0</v>
      </c>
      <c r="AW3019" s="3">
        <v>0</v>
      </c>
      <c r="AX3019" s="3">
        <v>0</v>
      </c>
      <c r="AY3019" s="3">
        <v>0</v>
      </c>
      <c r="AZ3019" s="3">
        <v>0</v>
      </c>
      <c r="BA3019" s="3">
        <v>0</v>
      </c>
      <c r="BB3019" s="3">
        <v>0</v>
      </c>
      <c r="BC3019" s="3">
        <v>0</v>
      </c>
      <c r="BD3019" s="3">
        <v>0</v>
      </c>
      <c r="BE3019" s="3">
        <v>0</v>
      </c>
      <c r="BF3019" s="3">
        <v>0</v>
      </c>
      <c r="BG3019" s="3">
        <v>0</v>
      </c>
      <c r="BH3019" s="3">
        <v>1</v>
      </c>
      <c r="BI3019" s="3">
        <v>8</v>
      </c>
      <c r="BJ3019" s="3">
        <v>18.3</v>
      </c>
      <c r="BK3019" s="3">
        <v>19</v>
      </c>
      <c r="BL3019" s="3">
        <v>204.06</v>
      </c>
      <c r="BM3019" s="3">
        <v>30.61</v>
      </c>
      <c r="BN3019" s="3">
        <v>234.67</v>
      </c>
      <c r="BO3019" s="3">
        <v>234.67</v>
      </c>
      <c r="BQ3019" s="3" t="s">
        <v>253</v>
      </c>
      <c r="BR3019" s="3" t="s">
        <v>308</v>
      </c>
      <c r="BS3019" s="4">
        <v>44567</v>
      </c>
      <c r="BT3019" s="5">
        <v>0.56111111111111112</v>
      </c>
      <c r="BU3019" s="3" t="s">
        <v>1485</v>
      </c>
      <c r="BV3019" s="3" t="s">
        <v>105</v>
      </c>
      <c r="BY3019" s="3">
        <v>91264</v>
      </c>
      <c r="BZ3019" s="3" t="s">
        <v>327</v>
      </c>
      <c r="CA3019" s="3" t="s">
        <v>368</v>
      </c>
      <c r="CC3019" s="3" t="s">
        <v>251</v>
      </c>
      <c r="CD3019" s="3">
        <v>6300</v>
      </c>
      <c r="CE3019" s="3" t="s">
        <v>86</v>
      </c>
      <c r="CF3019" s="4">
        <v>44567</v>
      </c>
      <c r="CI3019" s="3">
        <v>3</v>
      </c>
      <c r="CJ3019" s="3">
        <v>2</v>
      </c>
      <c r="CK3019" s="3">
        <v>43</v>
      </c>
      <c r="CL3019" s="3" t="s">
        <v>87</v>
      </c>
    </row>
    <row r="3020" spans="1:90" x14ac:dyDescent="0.2">
      <c r="A3020" s="3" t="s">
        <v>72</v>
      </c>
      <c r="B3020" s="3" t="s">
        <v>73</v>
      </c>
      <c r="C3020" s="3" t="s">
        <v>74</v>
      </c>
      <c r="E3020" s="3" t="str">
        <f>"FES1162843644"</f>
        <v>FES1162843644</v>
      </c>
      <c r="F3020" s="4">
        <v>44566</v>
      </c>
      <c r="G3020" s="3">
        <v>202207</v>
      </c>
      <c r="H3020" s="3" t="s">
        <v>75</v>
      </c>
      <c r="I3020" s="3" t="s">
        <v>76</v>
      </c>
      <c r="J3020" s="3" t="s">
        <v>77</v>
      </c>
      <c r="K3020" s="3" t="s">
        <v>78</v>
      </c>
      <c r="L3020" s="3" t="s">
        <v>90</v>
      </c>
      <c r="M3020" s="3" t="s">
        <v>91</v>
      </c>
      <c r="N3020" s="3" t="s">
        <v>600</v>
      </c>
      <c r="O3020" s="3" t="s">
        <v>82</v>
      </c>
      <c r="P3020" s="3" t="str">
        <f>"2170810193                    "</f>
        <v xml:space="preserve">2170810193                    </v>
      </c>
      <c r="Q3020" s="3">
        <v>0</v>
      </c>
      <c r="R3020" s="3">
        <v>0</v>
      </c>
      <c r="S3020" s="3">
        <v>0</v>
      </c>
      <c r="T3020" s="3">
        <v>0</v>
      </c>
      <c r="U3020" s="3">
        <v>0</v>
      </c>
      <c r="V3020" s="3">
        <v>0</v>
      </c>
      <c r="W3020" s="3">
        <v>0</v>
      </c>
      <c r="X3020" s="3">
        <v>0</v>
      </c>
      <c r="Y3020" s="3">
        <v>0</v>
      </c>
      <c r="Z3020" s="3">
        <v>0</v>
      </c>
      <c r="AA3020" s="3">
        <v>0</v>
      </c>
      <c r="AB3020" s="3">
        <v>0</v>
      </c>
      <c r="AC3020" s="3">
        <v>0</v>
      </c>
      <c r="AD3020" s="3">
        <v>0</v>
      </c>
      <c r="AE3020" s="3">
        <v>0</v>
      </c>
      <c r="AF3020" s="3">
        <v>0</v>
      </c>
      <c r="AG3020" s="3">
        <v>0</v>
      </c>
      <c r="AH3020" s="3">
        <v>0</v>
      </c>
      <c r="AI3020" s="3">
        <v>0</v>
      </c>
      <c r="AJ3020" s="3">
        <v>0</v>
      </c>
      <c r="AK3020" s="3">
        <v>15.46</v>
      </c>
      <c r="AL3020" s="3">
        <v>0</v>
      </c>
      <c r="AM3020" s="3">
        <v>0</v>
      </c>
      <c r="AN3020" s="3">
        <v>0</v>
      </c>
      <c r="AO3020" s="3">
        <v>0</v>
      </c>
      <c r="AP3020" s="3">
        <v>0</v>
      </c>
      <c r="AQ3020" s="3">
        <v>0</v>
      </c>
      <c r="AR3020" s="3">
        <v>0</v>
      </c>
      <c r="AS3020" s="3">
        <v>0</v>
      </c>
      <c r="AT3020" s="3">
        <v>0</v>
      </c>
      <c r="AU3020" s="3">
        <v>0</v>
      </c>
      <c r="AV3020" s="3">
        <v>0</v>
      </c>
      <c r="AW3020" s="3">
        <v>0</v>
      </c>
      <c r="AX3020" s="3">
        <v>0</v>
      </c>
      <c r="AY3020" s="3">
        <v>0</v>
      </c>
      <c r="AZ3020" s="3">
        <v>0</v>
      </c>
      <c r="BA3020" s="3">
        <v>0</v>
      </c>
      <c r="BB3020" s="3">
        <v>0</v>
      </c>
      <c r="BC3020" s="3">
        <v>0</v>
      </c>
      <c r="BD3020" s="3">
        <v>0</v>
      </c>
      <c r="BE3020" s="3">
        <v>0</v>
      </c>
      <c r="BF3020" s="3">
        <v>0</v>
      </c>
      <c r="BG3020" s="3">
        <v>0</v>
      </c>
      <c r="BH3020" s="3">
        <v>1</v>
      </c>
      <c r="BI3020" s="3">
        <v>1</v>
      </c>
      <c r="BJ3020" s="3">
        <v>1.7</v>
      </c>
      <c r="BK3020" s="3">
        <v>2</v>
      </c>
      <c r="BL3020" s="3">
        <v>59</v>
      </c>
      <c r="BM3020" s="3">
        <v>8.85</v>
      </c>
      <c r="BN3020" s="3">
        <v>67.849999999999994</v>
      </c>
      <c r="BO3020" s="3">
        <v>67.849999999999994</v>
      </c>
      <c r="BQ3020" s="3" t="s">
        <v>89</v>
      </c>
      <c r="BR3020" s="3" t="s">
        <v>364</v>
      </c>
      <c r="BS3020" s="4">
        <v>44578</v>
      </c>
      <c r="BT3020" s="5">
        <v>0.36805555555555558</v>
      </c>
      <c r="BU3020" s="3" t="s">
        <v>601</v>
      </c>
      <c r="BV3020" s="3" t="s">
        <v>87</v>
      </c>
      <c r="BW3020" s="3" t="s">
        <v>353</v>
      </c>
      <c r="BX3020" s="3" t="s">
        <v>602</v>
      </c>
      <c r="BY3020" s="3">
        <v>8325</v>
      </c>
      <c r="BZ3020" s="3" t="s">
        <v>165</v>
      </c>
      <c r="CA3020" s="3" t="s">
        <v>603</v>
      </c>
      <c r="CC3020" s="3" t="s">
        <v>91</v>
      </c>
      <c r="CD3020" s="3">
        <v>7945</v>
      </c>
      <c r="CE3020" s="3" t="s">
        <v>86</v>
      </c>
      <c r="CF3020" s="4">
        <v>44579</v>
      </c>
      <c r="CI3020" s="3">
        <v>1</v>
      </c>
      <c r="CJ3020" s="3">
        <v>8</v>
      </c>
      <c r="CK3020" s="3">
        <v>21</v>
      </c>
      <c r="CL3020" s="3" t="s">
        <v>87</v>
      </c>
    </row>
    <row r="3021" spans="1:90" x14ac:dyDescent="0.2">
      <c r="A3021" s="3" t="s">
        <v>72</v>
      </c>
      <c r="B3021" s="3" t="s">
        <v>73</v>
      </c>
      <c r="C3021" s="3" t="s">
        <v>74</v>
      </c>
      <c r="E3021" s="3" t="str">
        <f>"FES1162843519"</f>
        <v>FES1162843519</v>
      </c>
      <c r="F3021" s="4">
        <v>44565</v>
      </c>
      <c r="G3021" s="3">
        <v>202207</v>
      </c>
      <c r="H3021" s="3" t="s">
        <v>75</v>
      </c>
      <c r="I3021" s="3" t="s">
        <v>76</v>
      </c>
      <c r="J3021" s="3" t="s">
        <v>77</v>
      </c>
      <c r="K3021" s="3" t="s">
        <v>78</v>
      </c>
      <c r="L3021" s="3" t="s">
        <v>187</v>
      </c>
      <c r="M3021" s="3" t="s">
        <v>188</v>
      </c>
      <c r="N3021" s="3" t="s">
        <v>189</v>
      </c>
      <c r="O3021" s="3" t="s">
        <v>82</v>
      </c>
      <c r="P3021" s="3" t="str">
        <f>"2170812314                    "</f>
        <v xml:space="preserve">2170812314                    </v>
      </c>
      <c r="Q3021" s="3">
        <v>0</v>
      </c>
      <c r="R3021" s="3">
        <v>0</v>
      </c>
      <c r="S3021" s="3">
        <v>0</v>
      </c>
      <c r="T3021" s="3">
        <v>0</v>
      </c>
      <c r="U3021" s="3">
        <v>0</v>
      </c>
      <c r="V3021" s="3">
        <v>0</v>
      </c>
      <c r="W3021" s="3">
        <v>0</v>
      </c>
      <c r="X3021" s="3">
        <v>0</v>
      </c>
      <c r="Y3021" s="3">
        <v>0</v>
      </c>
      <c r="Z3021" s="3">
        <v>0</v>
      </c>
      <c r="AA3021" s="3">
        <v>0</v>
      </c>
      <c r="AB3021" s="3">
        <v>0</v>
      </c>
      <c r="AC3021" s="3">
        <v>0</v>
      </c>
      <c r="AD3021" s="3">
        <v>0</v>
      </c>
      <c r="AE3021" s="3">
        <v>0</v>
      </c>
      <c r="AF3021" s="3">
        <v>0</v>
      </c>
      <c r="AG3021" s="3">
        <v>0</v>
      </c>
      <c r="AH3021" s="3">
        <v>0</v>
      </c>
      <c r="AI3021" s="3">
        <v>0</v>
      </c>
      <c r="AJ3021" s="3">
        <v>0</v>
      </c>
      <c r="AK3021" s="3">
        <v>70.05</v>
      </c>
      <c r="AL3021" s="3">
        <v>0</v>
      </c>
      <c r="AM3021" s="3">
        <v>0</v>
      </c>
      <c r="AN3021" s="3">
        <v>0</v>
      </c>
      <c r="AO3021" s="3">
        <v>0</v>
      </c>
      <c r="AP3021" s="3">
        <v>0</v>
      </c>
      <c r="AQ3021" s="3">
        <v>0</v>
      </c>
      <c r="AR3021" s="3">
        <v>0</v>
      </c>
      <c r="AS3021" s="3">
        <v>0</v>
      </c>
      <c r="AT3021" s="3">
        <v>0</v>
      </c>
      <c r="AU3021" s="3">
        <v>0</v>
      </c>
      <c r="AV3021" s="3">
        <v>0</v>
      </c>
      <c r="AW3021" s="3">
        <v>0</v>
      </c>
      <c r="AX3021" s="3">
        <v>0</v>
      </c>
      <c r="AY3021" s="3">
        <v>0</v>
      </c>
      <c r="AZ3021" s="3">
        <v>0</v>
      </c>
      <c r="BA3021" s="3">
        <v>0</v>
      </c>
      <c r="BB3021" s="3">
        <v>0</v>
      </c>
      <c r="BC3021" s="3">
        <v>0</v>
      </c>
      <c r="BD3021" s="3">
        <v>0</v>
      </c>
      <c r="BE3021" s="3">
        <v>0</v>
      </c>
      <c r="BF3021" s="3">
        <v>0</v>
      </c>
      <c r="BG3021" s="3">
        <v>0</v>
      </c>
      <c r="BH3021" s="3">
        <v>1</v>
      </c>
      <c r="BI3021" s="3">
        <v>1</v>
      </c>
      <c r="BJ3021" s="3">
        <v>4.0999999999999996</v>
      </c>
      <c r="BK3021" s="3">
        <v>4.5</v>
      </c>
      <c r="BL3021" s="3">
        <v>249.66</v>
      </c>
      <c r="BM3021" s="3">
        <v>37.450000000000003</v>
      </c>
      <c r="BN3021" s="3">
        <v>287.11</v>
      </c>
      <c r="BO3021" s="3">
        <v>287.11</v>
      </c>
      <c r="BQ3021" s="3" t="s">
        <v>83</v>
      </c>
      <c r="BR3021" s="3" t="s">
        <v>308</v>
      </c>
      <c r="BS3021" s="4">
        <v>44566</v>
      </c>
      <c r="BT3021" s="5">
        <v>0.4597222222222222</v>
      </c>
      <c r="BU3021" s="3" t="s">
        <v>955</v>
      </c>
      <c r="BV3021" s="3" t="s">
        <v>105</v>
      </c>
      <c r="BY3021" s="3">
        <v>20358</v>
      </c>
      <c r="BZ3021" s="3" t="s">
        <v>165</v>
      </c>
      <c r="CA3021" s="3" t="s">
        <v>268</v>
      </c>
      <c r="CC3021" s="3" t="s">
        <v>188</v>
      </c>
      <c r="CD3021" s="3">
        <v>7300</v>
      </c>
      <c r="CE3021" s="3" t="s">
        <v>86</v>
      </c>
      <c r="CF3021" s="4">
        <v>44567</v>
      </c>
      <c r="CI3021" s="3">
        <v>1</v>
      </c>
      <c r="CJ3021" s="3">
        <v>1</v>
      </c>
      <c r="CK3021" s="3">
        <v>23</v>
      </c>
      <c r="CL3021" s="3" t="s">
        <v>87</v>
      </c>
    </row>
    <row r="3022" spans="1:90" x14ac:dyDescent="0.2">
      <c r="A3022" s="3" t="s">
        <v>72</v>
      </c>
      <c r="B3022" s="3" t="s">
        <v>73</v>
      </c>
      <c r="C3022" s="3" t="s">
        <v>74</v>
      </c>
      <c r="E3022" s="3" t="str">
        <f>"FES1162843780"</f>
        <v>FES1162843780</v>
      </c>
      <c r="F3022" s="4">
        <v>44566</v>
      </c>
      <c r="G3022" s="3">
        <v>202207</v>
      </c>
      <c r="H3022" s="3" t="s">
        <v>75</v>
      </c>
      <c r="I3022" s="3" t="s">
        <v>76</v>
      </c>
      <c r="J3022" s="3" t="s">
        <v>77</v>
      </c>
      <c r="K3022" s="3" t="s">
        <v>78</v>
      </c>
      <c r="L3022" s="3" t="s">
        <v>75</v>
      </c>
      <c r="M3022" s="3" t="s">
        <v>76</v>
      </c>
      <c r="N3022" s="3" t="s">
        <v>147</v>
      </c>
      <c r="O3022" s="3" t="s">
        <v>82</v>
      </c>
      <c r="P3022" s="3" t="str">
        <f>"2170815705                    "</f>
        <v xml:space="preserve">2170815705                    </v>
      </c>
      <c r="Q3022" s="3">
        <v>0</v>
      </c>
      <c r="R3022" s="3">
        <v>0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  <c r="AE3022" s="3">
        <v>0</v>
      </c>
      <c r="AF3022" s="3">
        <v>0</v>
      </c>
      <c r="AG3022" s="3">
        <v>0</v>
      </c>
      <c r="AH3022" s="3">
        <v>0</v>
      </c>
      <c r="AI3022" s="3">
        <v>0</v>
      </c>
      <c r="AJ3022" s="3">
        <v>0</v>
      </c>
      <c r="AK3022" s="3">
        <v>12.07</v>
      </c>
      <c r="AL3022" s="3">
        <v>0</v>
      </c>
      <c r="AM3022" s="3">
        <v>0</v>
      </c>
      <c r="AN3022" s="3">
        <v>0</v>
      </c>
      <c r="AO3022" s="3">
        <v>0</v>
      </c>
      <c r="AP3022" s="3">
        <v>0</v>
      </c>
      <c r="AQ3022" s="3">
        <v>0</v>
      </c>
      <c r="AR3022" s="3">
        <v>0</v>
      </c>
      <c r="AS3022" s="3">
        <v>0</v>
      </c>
      <c r="AT3022" s="3">
        <v>0</v>
      </c>
      <c r="AU3022" s="3">
        <v>0</v>
      </c>
      <c r="AV3022" s="3">
        <v>0</v>
      </c>
      <c r="AW3022" s="3">
        <v>0</v>
      </c>
      <c r="AX3022" s="3">
        <v>0</v>
      </c>
      <c r="AY3022" s="3">
        <v>0</v>
      </c>
      <c r="AZ3022" s="3">
        <v>0</v>
      </c>
      <c r="BA3022" s="3">
        <v>0</v>
      </c>
      <c r="BB3022" s="3">
        <v>0</v>
      </c>
      <c r="BC3022" s="3">
        <v>0</v>
      </c>
      <c r="BD3022" s="3">
        <v>0</v>
      </c>
      <c r="BE3022" s="3">
        <v>0</v>
      </c>
      <c r="BF3022" s="3">
        <v>0</v>
      </c>
      <c r="BG3022" s="3">
        <v>0</v>
      </c>
      <c r="BH3022" s="3">
        <v>1</v>
      </c>
      <c r="BI3022" s="3">
        <v>1</v>
      </c>
      <c r="BJ3022" s="3">
        <v>0.2</v>
      </c>
      <c r="BK3022" s="3">
        <v>1</v>
      </c>
      <c r="BL3022" s="3">
        <v>46.08</v>
      </c>
      <c r="BM3022" s="3">
        <v>6.91</v>
      </c>
      <c r="BN3022" s="3">
        <v>52.99</v>
      </c>
      <c r="BO3022" s="3">
        <v>52.99</v>
      </c>
      <c r="BQ3022" s="3" t="s">
        <v>89</v>
      </c>
      <c r="BR3022" s="3" t="s">
        <v>364</v>
      </c>
      <c r="BS3022" s="4">
        <v>44567</v>
      </c>
      <c r="BT3022" s="5">
        <v>0.3520833333333333</v>
      </c>
      <c r="BU3022" s="3" t="s">
        <v>849</v>
      </c>
      <c r="BV3022" s="3" t="s">
        <v>105</v>
      </c>
      <c r="BY3022" s="3">
        <v>1200</v>
      </c>
      <c r="BZ3022" s="3" t="s">
        <v>165</v>
      </c>
      <c r="CA3022" s="3" t="s">
        <v>477</v>
      </c>
      <c r="CC3022" s="3" t="s">
        <v>76</v>
      </c>
      <c r="CD3022" s="3">
        <v>1645</v>
      </c>
      <c r="CE3022" s="3" t="s">
        <v>93</v>
      </c>
      <c r="CF3022" s="4">
        <v>44568</v>
      </c>
      <c r="CI3022" s="3">
        <v>1</v>
      </c>
      <c r="CJ3022" s="3">
        <v>1</v>
      </c>
      <c r="CK3022" s="3">
        <v>22</v>
      </c>
      <c r="CL3022" s="3" t="s">
        <v>87</v>
      </c>
    </row>
    <row r="3023" spans="1:90" x14ac:dyDescent="0.2">
      <c r="A3023" s="3" t="s">
        <v>72</v>
      </c>
      <c r="B3023" s="3" t="s">
        <v>73</v>
      </c>
      <c r="C3023" s="3" t="s">
        <v>74</v>
      </c>
      <c r="E3023" s="3" t="str">
        <f>"FES1162843318"</f>
        <v>FES1162843318</v>
      </c>
      <c r="F3023" s="4">
        <v>44565</v>
      </c>
      <c r="G3023" s="3">
        <v>202207</v>
      </c>
      <c r="H3023" s="3" t="s">
        <v>75</v>
      </c>
      <c r="I3023" s="3" t="s">
        <v>76</v>
      </c>
      <c r="J3023" s="3" t="s">
        <v>77</v>
      </c>
      <c r="K3023" s="3" t="s">
        <v>78</v>
      </c>
      <c r="L3023" s="3" t="s">
        <v>190</v>
      </c>
      <c r="M3023" s="3" t="s">
        <v>191</v>
      </c>
      <c r="N3023" s="3" t="s">
        <v>2777</v>
      </c>
      <c r="O3023" s="3" t="s">
        <v>82</v>
      </c>
      <c r="P3023" s="3" t="str">
        <f>"2170815537                    "</f>
        <v xml:space="preserve">2170815537                    </v>
      </c>
      <c r="Q3023" s="3">
        <v>0</v>
      </c>
      <c r="R3023" s="3">
        <v>0</v>
      </c>
      <c r="S3023" s="3">
        <v>0</v>
      </c>
      <c r="T3023" s="3">
        <v>0</v>
      </c>
      <c r="U3023" s="3">
        <v>0</v>
      </c>
      <c r="V3023" s="3">
        <v>0</v>
      </c>
      <c r="W3023" s="3">
        <v>0</v>
      </c>
      <c r="X3023" s="3">
        <v>0</v>
      </c>
      <c r="Y3023" s="3">
        <v>0</v>
      </c>
      <c r="Z3023" s="3">
        <v>0</v>
      </c>
      <c r="AA3023" s="3">
        <v>0</v>
      </c>
      <c r="AB3023" s="3">
        <v>0</v>
      </c>
      <c r="AC3023" s="3">
        <v>0</v>
      </c>
      <c r="AD3023" s="3">
        <v>0</v>
      </c>
      <c r="AE3023" s="3">
        <v>0</v>
      </c>
      <c r="AF3023" s="3">
        <v>0</v>
      </c>
      <c r="AG3023" s="3">
        <v>0</v>
      </c>
      <c r="AH3023" s="3">
        <v>0</v>
      </c>
      <c r="AI3023" s="3">
        <v>0</v>
      </c>
      <c r="AJ3023" s="3">
        <v>0</v>
      </c>
      <c r="AK3023" s="3">
        <v>32.9</v>
      </c>
      <c r="AL3023" s="3">
        <v>0</v>
      </c>
      <c r="AM3023" s="3">
        <v>0</v>
      </c>
      <c r="AN3023" s="3">
        <v>0</v>
      </c>
      <c r="AO3023" s="3">
        <v>0</v>
      </c>
      <c r="AP3023" s="3">
        <v>0</v>
      </c>
      <c r="AQ3023" s="3">
        <v>0</v>
      </c>
      <c r="AR3023" s="3">
        <v>0</v>
      </c>
      <c r="AS3023" s="3">
        <v>0</v>
      </c>
      <c r="AT3023" s="3">
        <v>0</v>
      </c>
      <c r="AU3023" s="3">
        <v>0</v>
      </c>
      <c r="AV3023" s="3">
        <v>0</v>
      </c>
      <c r="AW3023" s="3">
        <v>0</v>
      </c>
      <c r="AX3023" s="3">
        <v>0</v>
      </c>
      <c r="AY3023" s="3">
        <v>0</v>
      </c>
      <c r="AZ3023" s="3">
        <v>0</v>
      </c>
      <c r="BA3023" s="3">
        <v>0</v>
      </c>
      <c r="BB3023" s="3">
        <v>0</v>
      </c>
      <c r="BC3023" s="3">
        <v>0</v>
      </c>
      <c r="BD3023" s="3">
        <v>0</v>
      </c>
      <c r="BE3023" s="3">
        <v>0</v>
      </c>
      <c r="BF3023" s="3">
        <v>0</v>
      </c>
      <c r="BG3023" s="3">
        <v>0</v>
      </c>
      <c r="BH3023" s="3">
        <v>1</v>
      </c>
      <c r="BI3023" s="3">
        <v>1</v>
      </c>
      <c r="BJ3023" s="3">
        <v>0.2</v>
      </c>
      <c r="BK3023" s="3">
        <v>1</v>
      </c>
      <c r="BL3023" s="3">
        <v>117.26</v>
      </c>
      <c r="BM3023" s="3">
        <v>17.59</v>
      </c>
      <c r="BN3023" s="3">
        <v>134.85</v>
      </c>
      <c r="BO3023" s="3">
        <v>134.85</v>
      </c>
      <c r="BQ3023" s="3" t="s">
        <v>83</v>
      </c>
      <c r="BR3023" s="3" t="s">
        <v>308</v>
      </c>
      <c r="BS3023" s="4">
        <v>44566</v>
      </c>
      <c r="BT3023" s="5">
        <v>0.3611111111111111</v>
      </c>
      <c r="BU3023" s="3" t="s">
        <v>2778</v>
      </c>
      <c r="BV3023" s="3" t="s">
        <v>105</v>
      </c>
      <c r="BY3023" s="3">
        <v>1200</v>
      </c>
      <c r="BZ3023" s="3" t="s">
        <v>165</v>
      </c>
      <c r="CA3023" s="3" t="s">
        <v>2779</v>
      </c>
      <c r="CC3023" s="3" t="s">
        <v>191</v>
      </c>
      <c r="CD3023" s="3">
        <v>1034</v>
      </c>
      <c r="CE3023" s="3" t="s">
        <v>93</v>
      </c>
      <c r="CF3023" s="4">
        <v>44566</v>
      </c>
      <c r="CI3023" s="3">
        <v>1</v>
      </c>
      <c r="CJ3023" s="3">
        <v>1</v>
      </c>
      <c r="CK3023" s="3">
        <v>23</v>
      </c>
      <c r="CL3023" s="3" t="s">
        <v>87</v>
      </c>
    </row>
    <row r="3024" spans="1:90" x14ac:dyDescent="0.2">
      <c r="A3024" s="3" t="s">
        <v>72</v>
      </c>
      <c r="B3024" s="3" t="s">
        <v>73</v>
      </c>
      <c r="C3024" s="3" t="s">
        <v>74</v>
      </c>
      <c r="E3024" s="3" t="str">
        <f>"FES1162843638"</f>
        <v>FES1162843638</v>
      </c>
      <c r="F3024" s="4">
        <v>44566</v>
      </c>
      <c r="G3024" s="3">
        <v>202207</v>
      </c>
      <c r="H3024" s="3" t="s">
        <v>75</v>
      </c>
      <c r="I3024" s="3" t="s">
        <v>76</v>
      </c>
      <c r="J3024" s="3" t="s">
        <v>77</v>
      </c>
      <c r="K3024" s="3" t="s">
        <v>78</v>
      </c>
      <c r="L3024" s="3" t="s">
        <v>90</v>
      </c>
      <c r="M3024" s="3" t="s">
        <v>91</v>
      </c>
      <c r="N3024" s="3" t="s">
        <v>600</v>
      </c>
      <c r="O3024" s="3" t="s">
        <v>82</v>
      </c>
      <c r="P3024" s="3" t="str">
        <f>"2170806744                    "</f>
        <v xml:space="preserve">2170806744                    </v>
      </c>
      <c r="Q3024" s="3">
        <v>0</v>
      </c>
      <c r="R3024" s="3">
        <v>0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  <c r="AE3024" s="3">
        <v>0</v>
      </c>
      <c r="AF3024" s="3">
        <v>0</v>
      </c>
      <c r="AG3024" s="3">
        <v>0</v>
      </c>
      <c r="AH3024" s="3">
        <v>0</v>
      </c>
      <c r="AI3024" s="3">
        <v>0</v>
      </c>
      <c r="AJ3024" s="3">
        <v>0</v>
      </c>
      <c r="AK3024" s="3">
        <v>15.46</v>
      </c>
      <c r="AL3024" s="3">
        <v>0</v>
      </c>
      <c r="AM3024" s="3">
        <v>0</v>
      </c>
      <c r="AN3024" s="3">
        <v>0</v>
      </c>
      <c r="AO3024" s="3">
        <v>0</v>
      </c>
      <c r="AP3024" s="3">
        <v>0</v>
      </c>
      <c r="AQ3024" s="3">
        <v>0</v>
      </c>
      <c r="AR3024" s="3">
        <v>0</v>
      </c>
      <c r="AS3024" s="3">
        <v>0</v>
      </c>
      <c r="AT3024" s="3">
        <v>0</v>
      </c>
      <c r="AU3024" s="3">
        <v>0</v>
      </c>
      <c r="AV3024" s="3">
        <v>0</v>
      </c>
      <c r="AW3024" s="3">
        <v>0</v>
      </c>
      <c r="AX3024" s="3">
        <v>0</v>
      </c>
      <c r="AY3024" s="3">
        <v>0</v>
      </c>
      <c r="AZ3024" s="3">
        <v>0</v>
      </c>
      <c r="BA3024" s="3">
        <v>0</v>
      </c>
      <c r="BB3024" s="3">
        <v>0</v>
      </c>
      <c r="BC3024" s="3">
        <v>0</v>
      </c>
      <c r="BD3024" s="3">
        <v>0</v>
      </c>
      <c r="BE3024" s="3">
        <v>0</v>
      </c>
      <c r="BF3024" s="3">
        <v>0</v>
      </c>
      <c r="BG3024" s="3">
        <v>0</v>
      </c>
      <c r="BH3024" s="3">
        <v>1</v>
      </c>
      <c r="BI3024" s="3">
        <v>1</v>
      </c>
      <c r="BJ3024" s="3">
        <v>1.7</v>
      </c>
      <c r="BK3024" s="3">
        <v>2</v>
      </c>
      <c r="BL3024" s="3">
        <v>59</v>
      </c>
      <c r="BM3024" s="3">
        <v>8.85</v>
      </c>
      <c r="BN3024" s="3">
        <v>67.849999999999994</v>
      </c>
      <c r="BO3024" s="3">
        <v>67.849999999999994</v>
      </c>
      <c r="BQ3024" s="3" t="s">
        <v>89</v>
      </c>
      <c r="BR3024" s="3" t="s">
        <v>364</v>
      </c>
      <c r="BS3024" s="4">
        <v>44578</v>
      </c>
      <c r="BT3024" s="5">
        <v>0.36805555555555558</v>
      </c>
      <c r="BU3024" s="3" t="s">
        <v>601</v>
      </c>
      <c r="BV3024" s="3" t="s">
        <v>87</v>
      </c>
      <c r="BW3024" s="3" t="s">
        <v>493</v>
      </c>
      <c r="BX3024" s="3" t="s">
        <v>602</v>
      </c>
      <c r="BY3024" s="3">
        <v>8325</v>
      </c>
      <c r="BZ3024" s="3" t="s">
        <v>165</v>
      </c>
      <c r="CA3024" s="3" t="s">
        <v>603</v>
      </c>
      <c r="CC3024" s="3" t="s">
        <v>91</v>
      </c>
      <c r="CD3024" s="3">
        <v>7945</v>
      </c>
      <c r="CE3024" s="3" t="s">
        <v>86</v>
      </c>
      <c r="CF3024" s="4">
        <v>44579</v>
      </c>
      <c r="CI3024" s="3">
        <v>1</v>
      </c>
      <c r="CJ3024" s="3">
        <v>8</v>
      </c>
      <c r="CK3024" s="3">
        <v>21</v>
      </c>
      <c r="CL3024" s="3" t="s">
        <v>87</v>
      </c>
    </row>
    <row r="3025" spans="1:90" x14ac:dyDescent="0.2">
      <c r="A3025" s="3" t="s">
        <v>72</v>
      </c>
      <c r="B3025" s="3" t="s">
        <v>73</v>
      </c>
      <c r="C3025" s="3" t="s">
        <v>74</v>
      </c>
      <c r="E3025" s="3" t="str">
        <f>"FES1162843414"</f>
        <v>FES1162843414</v>
      </c>
      <c r="F3025" s="4">
        <v>44565</v>
      </c>
      <c r="G3025" s="3">
        <v>202207</v>
      </c>
      <c r="H3025" s="3" t="s">
        <v>75</v>
      </c>
      <c r="I3025" s="3" t="s">
        <v>76</v>
      </c>
      <c r="J3025" s="3" t="s">
        <v>77</v>
      </c>
      <c r="K3025" s="3" t="s">
        <v>78</v>
      </c>
      <c r="L3025" s="3" t="s">
        <v>79</v>
      </c>
      <c r="M3025" s="3" t="s">
        <v>80</v>
      </c>
      <c r="N3025" s="3" t="s">
        <v>2780</v>
      </c>
      <c r="O3025" s="3" t="s">
        <v>82</v>
      </c>
      <c r="P3025" s="3" t="str">
        <f>"2170808865                    "</f>
        <v xml:space="preserve">2170808865                    </v>
      </c>
      <c r="Q3025" s="3">
        <v>0</v>
      </c>
      <c r="R3025" s="3">
        <v>0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  <c r="AE3025" s="3">
        <v>0</v>
      </c>
      <c r="AF3025" s="3">
        <v>0</v>
      </c>
      <c r="AG3025" s="3">
        <v>0</v>
      </c>
      <c r="AH3025" s="3">
        <v>0</v>
      </c>
      <c r="AI3025" s="3">
        <v>0</v>
      </c>
      <c r="AJ3025" s="3">
        <v>0</v>
      </c>
      <c r="AK3025" s="3">
        <v>16.98</v>
      </c>
      <c r="AL3025" s="3">
        <v>0</v>
      </c>
      <c r="AM3025" s="3">
        <v>0</v>
      </c>
      <c r="AN3025" s="3">
        <v>0</v>
      </c>
      <c r="AO3025" s="3">
        <v>0</v>
      </c>
      <c r="AP3025" s="3">
        <v>0</v>
      </c>
      <c r="AQ3025" s="3">
        <v>0</v>
      </c>
      <c r="AR3025" s="3">
        <v>0</v>
      </c>
      <c r="AS3025" s="3">
        <v>0</v>
      </c>
      <c r="AT3025" s="3">
        <v>0</v>
      </c>
      <c r="AU3025" s="3">
        <v>0</v>
      </c>
      <c r="AV3025" s="3">
        <v>0</v>
      </c>
      <c r="AW3025" s="3">
        <v>0</v>
      </c>
      <c r="AX3025" s="3">
        <v>0</v>
      </c>
      <c r="AY3025" s="3">
        <v>0</v>
      </c>
      <c r="AZ3025" s="3">
        <v>0</v>
      </c>
      <c r="BA3025" s="3">
        <v>0</v>
      </c>
      <c r="BB3025" s="3">
        <v>0</v>
      </c>
      <c r="BC3025" s="3">
        <v>0</v>
      </c>
      <c r="BD3025" s="3">
        <v>0</v>
      </c>
      <c r="BE3025" s="3">
        <v>0</v>
      </c>
      <c r="BF3025" s="3">
        <v>0</v>
      </c>
      <c r="BG3025" s="3">
        <v>0</v>
      </c>
      <c r="BH3025" s="3">
        <v>1</v>
      </c>
      <c r="BI3025" s="3">
        <v>1</v>
      </c>
      <c r="BJ3025" s="3">
        <v>0.2</v>
      </c>
      <c r="BK3025" s="3">
        <v>1</v>
      </c>
      <c r="BL3025" s="3">
        <v>60.52</v>
      </c>
      <c r="BM3025" s="3">
        <v>9.08</v>
      </c>
      <c r="BN3025" s="3">
        <v>69.599999999999994</v>
      </c>
      <c r="BO3025" s="3">
        <v>69.599999999999994</v>
      </c>
      <c r="BQ3025" s="3" t="s">
        <v>89</v>
      </c>
      <c r="BR3025" s="3" t="s">
        <v>308</v>
      </c>
      <c r="BS3025" s="4">
        <v>44566</v>
      </c>
      <c r="BT3025" s="5">
        <v>0.375</v>
      </c>
      <c r="BU3025" s="3" t="s">
        <v>2781</v>
      </c>
      <c r="BV3025" s="3" t="s">
        <v>105</v>
      </c>
      <c r="BY3025" s="3">
        <v>1200</v>
      </c>
      <c r="BZ3025" s="3" t="s">
        <v>165</v>
      </c>
      <c r="CA3025" s="3" t="s">
        <v>742</v>
      </c>
      <c r="CC3025" s="3" t="s">
        <v>80</v>
      </c>
      <c r="CD3025" s="3">
        <v>200</v>
      </c>
      <c r="CE3025" s="3" t="s">
        <v>93</v>
      </c>
      <c r="CF3025" s="4">
        <v>44566</v>
      </c>
      <c r="CI3025" s="3">
        <v>1</v>
      </c>
      <c r="CJ3025" s="3">
        <v>1</v>
      </c>
      <c r="CK3025" s="3">
        <v>21</v>
      </c>
      <c r="CL3025" s="3" t="s">
        <v>87</v>
      </c>
    </row>
    <row r="3026" spans="1:90" x14ac:dyDescent="0.2">
      <c r="A3026" s="3" t="s">
        <v>72</v>
      </c>
      <c r="B3026" s="3" t="s">
        <v>73</v>
      </c>
      <c r="C3026" s="3" t="s">
        <v>74</v>
      </c>
      <c r="E3026" s="3" t="str">
        <f>"FES1162843678"</f>
        <v>FES1162843678</v>
      </c>
      <c r="F3026" s="4">
        <v>44566</v>
      </c>
      <c r="G3026" s="3">
        <v>202207</v>
      </c>
      <c r="H3026" s="3" t="s">
        <v>75</v>
      </c>
      <c r="I3026" s="3" t="s">
        <v>76</v>
      </c>
      <c r="J3026" s="3" t="s">
        <v>77</v>
      </c>
      <c r="K3026" s="3" t="s">
        <v>78</v>
      </c>
      <c r="L3026" s="3" t="s">
        <v>115</v>
      </c>
      <c r="M3026" s="3" t="s">
        <v>116</v>
      </c>
      <c r="N3026" s="3" t="s">
        <v>442</v>
      </c>
      <c r="O3026" s="3" t="s">
        <v>82</v>
      </c>
      <c r="P3026" s="3" t="str">
        <f>"2170814317                    "</f>
        <v xml:space="preserve">2170814317                    </v>
      </c>
      <c r="Q3026" s="3">
        <v>0</v>
      </c>
      <c r="R3026" s="3">
        <v>0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  <c r="AE3026" s="3">
        <v>0</v>
      </c>
      <c r="AF3026" s="3">
        <v>0</v>
      </c>
      <c r="AG3026" s="3">
        <v>0</v>
      </c>
      <c r="AH3026" s="3">
        <v>0</v>
      </c>
      <c r="AI3026" s="3">
        <v>0</v>
      </c>
      <c r="AJ3026" s="3">
        <v>0</v>
      </c>
      <c r="AK3026" s="3">
        <v>12.07</v>
      </c>
      <c r="AL3026" s="3">
        <v>0</v>
      </c>
      <c r="AM3026" s="3">
        <v>0</v>
      </c>
      <c r="AN3026" s="3">
        <v>0</v>
      </c>
      <c r="AO3026" s="3">
        <v>0</v>
      </c>
      <c r="AP3026" s="3">
        <v>0</v>
      </c>
      <c r="AQ3026" s="3">
        <v>0</v>
      </c>
      <c r="AR3026" s="3">
        <v>0</v>
      </c>
      <c r="AS3026" s="3">
        <v>0</v>
      </c>
      <c r="AT3026" s="3">
        <v>0</v>
      </c>
      <c r="AU3026" s="3">
        <v>0</v>
      </c>
      <c r="AV3026" s="3">
        <v>0</v>
      </c>
      <c r="AW3026" s="3">
        <v>0</v>
      </c>
      <c r="AX3026" s="3">
        <v>0</v>
      </c>
      <c r="AY3026" s="3">
        <v>0</v>
      </c>
      <c r="AZ3026" s="3">
        <v>0</v>
      </c>
      <c r="BA3026" s="3">
        <v>0</v>
      </c>
      <c r="BB3026" s="3">
        <v>0</v>
      </c>
      <c r="BC3026" s="3">
        <v>0</v>
      </c>
      <c r="BD3026" s="3">
        <v>0</v>
      </c>
      <c r="BE3026" s="3">
        <v>0</v>
      </c>
      <c r="BF3026" s="3">
        <v>0</v>
      </c>
      <c r="BG3026" s="3">
        <v>0</v>
      </c>
      <c r="BH3026" s="3">
        <v>1</v>
      </c>
      <c r="BI3026" s="3">
        <v>1</v>
      </c>
      <c r="BJ3026" s="3">
        <v>0.2</v>
      </c>
      <c r="BK3026" s="3">
        <v>1</v>
      </c>
      <c r="BL3026" s="3">
        <v>46.08</v>
      </c>
      <c r="BM3026" s="3">
        <v>6.91</v>
      </c>
      <c r="BN3026" s="3">
        <v>52.99</v>
      </c>
      <c r="BO3026" s="3">
        <v>52.99</v>
      </c>
      <c r="BQ3026" s="3" t="s">
        <v>83</v>
      </c>
      <c r="BR3026" s="3" t="s">
        <v>364</v>
      </c>
      <c r="BS3026" s="4">
        <v>44567</v>
      </c>
      <c r="BT3026" s="5">
        <v>0.31736111111111115</v>
      </c>
      <c r="BU3026" s="3" t="s">
        <v>2782</v>
      </c>
      <c r="BV3026" s="3" t="s">
        <v>105</v>
      </c>
      <c r="BY3026" s="3">
        <v>1200</v>
      </c>
      <c r="BZ3026" s="3" t="s">
        <v>165</v>
      </c>
      <c r="CA3026" s="3" t="s">
        <v>119</v>
      </c>
      <c r="CC3026" s="3" t="s">
        <v>116</v>
      </c>
      <c r="CD3026" s="3">
        <v>1559</v>
      </c>
      <c r="CE3026" s="3" t="s">
        <v>93</v>
      </c>
      <c r="CF3026" s="4">
        <v>44567</v>
      </c>
      <c r="CI3026" s="3">
        <v>1</v>
      </c>
      <c r="CJ3026" s="3">
        <v>1</v>
      </c>
      <c r="CK3026" s="3">
        <v>22</v>
      </c>
      <c r="CL3026" s="3" t="s">
        <v>87</v>
      </c>
    </row>
    <row r="3027" spans="1:90" x14ac:dyDescent="0.2">
      <c r="A3027" s="3" t="s">
        <v>72</v>
      </c>
      <c r="B3027" s="3" t="s">
        <v>73</v>
      </c>
      <c r="C3027" s="3" t="s">
        <v>74</v>
      </c>
      <c r="E3027" s="3" t="str">
        <f>"FES1162843355"</f>
        <v>FES1162843355</v>
      </c>
      <c r="F3027" s="4">
        <v>44565</v>
      </c>
      <c r="G3027" s="3">
        <v>202207</v>
      </c>
      <c r="H3027" s="3" t="s">
        <v>75</v>
      </c>
      <c r="I3027" s="3" t="s">
        <v>76</v>
      </c>
      <c r="J3027" s="3" t="s">
        <v>77</v>
      </c>
      <c r="K3027" s="3" t="s">
        <v>78</v>
      </c>
      <c r="L3027" s="3" t="s">
        <v>90</v>
      </c>
      <c r="M3027" s="3" t="s">
        <v>91</v>
      </c>
      <c r="N3027" s="3" t="s">
        <v>2783</v>
      </c>
      <c r="O3027" s="3" t="s">
        <v>82</v>
      </c>
      <c r="P3027" s="3" t="str">
        <f>"2170815489                    "</f>
        <v xml:space="preserve">2170815489                    </v>
      </c>
      <c r="Q3027" s="3">
        <v>0</v>
      </c>
      <c r="R3027" s="3">
        <v>0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  <c r="AE3027" s="3">
        <v>0</v>
      </c>
      <c r="AF3027" s="3">
        <v>0</v>
      </c>
      <c r="AG3027" s="3">
        <v>0</v>
      </c>
      <c r="AH3027" s="3">
        <v>0</v>
      </c>
      <c r="AI3027" s="3">
        <v>0</v>
      </c>
      <c r="AJ3027" s="3">
        <v>0</v>
      </c>
      <c r="AK3027" s="3">
        <v>16.98</v>
      </c>
      <c r="AL3027" s="3">
        <v>0</v>
      </c>
      <c r="AM3027" s="3">
        <v>0</v>
      </c>
      <c r="AN3027" s="3">
        <v>0</v>
      </c>
      <c r="AO3027" s="3">
        <v>0</v>
      </c>
      <c r="AP3027" s="3">
        <v>0</v>
      </c>
      <c r="AQ3027" s="3">
        <v>0</v>
      </c>
      <c r="AR3027" s="3">
        <v>0</v>
      </c>
      <c r="AS3027" s="3">
        <v>0</v>
      </c>
      <c r="AT3027" s="3">
        <v>0</v>
      </c>
      <c r="AU3027" s="3">
        <v>0</v>
      </c>
      <c r="AV3027" s="3">
        <v>0</v>
      </c>
      <c r="AW3027" s="3">
        <v>0</v>
      </c>
      <c r="AX3027" s="3">
        <v>0</v>
      </c>
      <c r="AY3027" s="3">
        <v>0</v>
      </c>
      <c r="AZ3027" s="3">
        <v>0</v>
      </c>
      <c r="BA3027" s="3">
        <v>0</v>
      </c>
      <c r="BB3027" s="3">
        <v>0</v>
      </c>
      <c r="BC3027" s="3">
        <v>0</v>
      </c>
      <c r="BD3027" s="3">
        <v>0</v>
      </c>
      <c r="BE3027" s="3">
        <v>0</v>
      </c>
      <c r="BF3027" s="3">
        <v>0</v>
      </c>
      <c r="BG3027" s="3">
        <v>0</v>
      </c>
      <c r="BH3027" s="3">
        <v>1</v>
      </c>
      <c r="BI3027" s="3">
        <v>1</v>
      </c>
      <c r="BJ3027" s="3">
        <v>0.2</v>
      </c>
      <c r="BK3027" s="3">
        <v>1</v>
      </c>
      <c r="BL3027" s="3">
        <v>60.52</v>
      </c>
      <c r="BM3027" s="3">
        <v>9.08</v>
      </c>
      <c r="BN3027" s="3">
        <v>69.599999999999994</v>
      </c>
      <c r="BO3027" s="3">
        <v>69.599999999999994</v>
      </c>
      <c r="BQ3027" s="3" t="s">
        <v>83</v>
      </c>
      <c r="BR3027" s="3" t="s">
        <v>308</v>
      </c>
      <c r="BS3027" s="4">
        <v>44566</v>
      </c>
      <c r="BT3027" s="5">
        <v>0.36805555555555558</v>
      </c>
      <c r="BU3027" s="3" t="s">
        <v>2784</v>
      </c>
      <c r="BV3027" s="3" t="s">
        <v>105</v>
      </c>
      <c r="BY3027" s="3">
        <v>1200</v>
      </c>
      <c r="BZ3027" s="3" t="s">
        <v>165</v>
      </c>
      <c r="CA3027" s="3" t="s">
        <v>1632</v>
      </c>
      <c r="CC3027" s="3" t="s">
        <v>91</v>
      </c>
      <c r="CD3027" s="3">
        <v>7925</v>
      </c>
      <c r="CE3027" s="3" t="s">
        <v>93</v>
      </c>
      <c r="CF3027" s="4">
        <v>44567</v>
      </c>
      <c r="CI3027" s="3">
        <v>1</v>
      </c>
      <c r="CJ3027" s="3">
        <v>1</v>
      </c>
      <c r="CK3027" s="3">
        <v>21</v>
      </c>
      <c r="CL3027" s="3" t="s">
        <v>87</v>
      </c>
    </row>
    <row r="3028" spans="1:90" x14ac:dyDescent="0.2">
      <c r="A3028" s="3" t="s">
        <v>72</v>
      </c>
      <c r="B3028" s="3" t="s">
        <v>73</v>
      </c>
      <c r="C3028" s="3" t="s">
        <v>74</v>
      </c>
      <c r="E3028" s="3" t="str">
        <f>"FES1162843639"</f>
        <v>FES1162843639</v>
      </c>
      <c r="F3028" s="4">
        <v>44566</v>
      </c>
      <c r="G3028" s="3">
        <v>202207</v>
      </c>
      <c r="H3028" s="3" t="s">
        <v>75</v>
      </c>
      <c r="I3028" s="3" t="s">
        <v>76</v>
      </c>
      <c r="J3028" s="3" t="s">
        <v>77</v>
      </c>
      <c r="K3028" s="3" t="s">
        <v>78</v>
      </c>
      <c r="L3028" s="3" t="s">
        <v>241</v>
      </c>
      <c r="M3028" s="3" t="s">
        <v>242</v>
      </c>
      <c r="N3028" s="3" t="s">
        <v>243</v>
      </c>
      <c r="O3028" s="3" t="s">
        <v>82</v>
      </c>
      <c r="P3028" s="3" t="str">
        <f>"2170807918                    "</f>
        <v xml:space="preserve">2170807918                    </v>
      </c>
      <c r="Q3028" s="3">
        <v>0</v>
      </c>
      <c r="R3028" s="3">
        <v>0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  <c r="AE3028" s="3">
        <v>0</v>
      </c>
      <c r="AF3028" s="3">
        <v>0</v>
      </c>
      <c r="AG3028" s="3">
        <v>0</v>
      </c>
      <c r="AH3028" s="3">
        <v>0</v>
      </c>
      <c r="AI3028" s="3">
        <v>0</v>
      </c>
      <c r="AJ3028" s="3">
        <v>0</v>
      </c>
      <c r="AK3028" s="3">
        <v>15.46</v>
      </c>
      <c r="AL3028" s="3">
        <v>0</v>
      </c>
      <c r="AM3028" s="3">
        <v>0</v>
      </c>
      <c r="AN3028" s="3">
        <v>0</v>
      </c>
      <c r="AO3028" s="3">
        <v>0</v>
      </c>
      <c r="AP3028" s="3">
        <v>0</v>
      </c>
      <c r="AQ3028" s="3">
        <v>0</v>
      </c>
      <c r="AR3028" s="3">
        <v>0</v>
      </c>
      <c r="AS3028" s="3">
        <v>0</v>
      </c>
      <c r="AT3028" s="3">
        <v>0</v>
      </c>
      <c r="AU3028" s="3">
        <v>0</v>
      </c>
      <c r="AV3028" s="3">
        <v>0</v>
      </c>
      <c r="AW3028" s="3">
        <v>0</v>
      </c>
      <c r="AX3028" s="3">
        <v>0</v>
      </c>
      <c r="AY3028" s="3">
        <v>0</v>
      </c>
      <c r="AZ3028" s="3">
        <v>0</v>
      </c>
      <c r="BA3028" s="3">
        <v>0</v>
      </c>
      <c r="BB3028" s="3">
        <v>0</v>
      </c>
      <c r="BC3028" s="3">
        <v>0</v>
      </c>
      <c r="BD3028" s="3">
        <v>0</v>
      </c>
      <c r="BE3028" s="3">
        <v>0</v>
      </c>
      <c r="BF3028" s="3">
        <v>0</v>
      </c>
      <c r="BG3028" s="3">
        <v>0</v>
      </c>
      <c r="BH3028" s="3">
        <v>1</v>
      </c>
      <c r="BI3028" s="3">
        <v>1</v>
      </c>
      <c r="BJ3028" s="3">
        <v>0.2</v>
      </c>
      <c r="BK3028" s="3">
        <v>1</v>
      </c>
      <c r="BL3028" s="3">
        <v>59</v>
      </c>
      <c r="BM3028" s="3">
        <v>8.85</v>
      </c>
      <c r="BN3028" s="3">
        <v>67.849999999999994</v>
      </c>
      <c r="BO3028" s="3">
        <v>67.849999999999994</v>
      </c>
      <c r="BQ3028" s="3" t="s">
        <v>83</v>
      </c>
      <c r="BR3028" s="3" t="s">
        <v>364</v>
      </c>
      <c r="BS3028" s="4">
        <v>44567</v>
      </c>
      <c r="BT3028" s="5">
        <v>0.41666666666666669</v>
      </c>
      <c r="BU3028" s="3" t="s">
        <v>2785</v>
      </c>
      <c r="BV3028" s="3" t="s">
        <v>105</v>
      </c>
      <c r="BY3028" s="3">
        <v>1200</v>
      </c>
      <c r="BZ3028" s="3" t="s">
        <v>165</v>
      </c>
      <c r="CC3028" s="3" t="s">
        <v>242</v>
      </c>
      <c r="CD3028" s="3">
        <v>7600</v>
      </c>
      <c r="CE3028" s="3" t="s">
        <v>93</v>
      </c>
      <c r="CF3028" s="4">
        <v>44568</v>
      </c>
      <c r="CI3028" s="3">
        <v>1</v>
      </c>
      <c r="CJ3028" s="3">
        <v>1</v>
      </c>
      <c r="CK3028" s="3">
        <v>21</v>
      </c>
      <c r="CL3028" s="3" t="s">
        <v>87</v>
      </c>
    </row>
    <row r="3029" spans="1:90" x14ac:dyDescent="0.2">
      <c r="A3029" s="3" t="s">
        <v>72</v>
      </c>
      <c r="B3029" s="3" t="s">
        <v>73</v>
      </c>
      <c r="C3029" s="3" t="s">
        <v>74</v>
      </c>
      <c r="E3029" s="3" t="str">
        <f>"FES1162843446"</f>
        <v>FES1162843446</v>
      </c>
      <c r="F3029" s="4">
        <v>44565</v>
      </c>
      <c r="G3029" s="3">
        <v>202207</v>
      </c>
      <c r="H3029" s="3" t="s">
        <v>75</v>
      </c>
      <c r="I3029" s="3" t="s">
        <v>76</v>
      </c>
      <c r="J3029" s="3" t="s">
        <v>77</v>
      </c>
      <c r="K3029" s="3" t="s">
        <v>78</v>
      </c>
      <c r="L3029" s="3" t="s">
        <v>90</v>
      </c>
      <c r="M3029" s="3" t="s">
        <v>91</v>
      </c>
      <c r="N3029" s="3" t="s">
        <v>2683</v>
      </c>
      <c r="O3029" s="3" t="s">
        <v>82</v>
      </c>
      <c r="P3029" s="3" t="str">
        <f>"2170813715                    "</f>
        <v xml:space="preserve">2170813715                    </v>
      </c>
      <c r="Q3029" s="3">
        <v>0</v>
      </c>
      <c r="R3029" s="3">
        <v>0</v>
      </c>
      <c r="S3029" s="3">
        <v>0</v>
      </c>
      <c r="T3029" s="3">
        <v>0</v>
      </c>
      <c r="U3029" s="3">
        <v>0</v>
      </c>
      <c r="V3029" s="3">
        <v>0</v>
      </c>
      <c r="W3029" s="3">
        <v>0</v>
      </c>
      <c r="X3029" s="3">
        <v>0</v>
      </c>
      <c r="Y3029" s="3">
        <v>0</v>
      </c>
      <c r="Z3029" s="3">
        <v>0</v>
      </c>
      <c r="AA3029" s="3">
        <v>0</v>
      </c>
      <c r="AB3029" s="3">
        <v>0</v>
      </c>
      <c r="AC3029" s="3">
        <v>0</v>
      </c>
      <c r="AD3029" s="3">
        <v>0</v>
      </c>
      <c r="AE3029" s="3">
        <v>0</v>
      </c>
      <c r="AF3029" s="3">
        <v>0</v>
      </c>
      <c r="AG3029" s="3">
        <v>0</v>
      </c>
      <c r="AH3029" s="3">
        <v>0</v>
      </c>
      <c r="AI3029" s="3">
        <v>0</v>
      </c>
      <c r="AJ3029" s="3">
        <v>0</v>
      </c>
      <c r="AK3029" s="3">
        <v>16.98</v>
      </c>
      <c r="AL3029" s="3">
        <v>0</v>
      </c>
      <c r="AM3029" s="3">
        <v>0</v>
      </c>
      <c r="AN3029" s="3">
        <v>0</v>
      </c>
      <c r="AO3029" s="3">
        <v>0</v>
      </c>
      <c r="AP3029" s="3">
        <v>0</v>
      </c>
      <c r="AQ3029" s="3">
        <v>0</v>
      </c>
      <c r="AR3029" s="3">
        <v>0</v>
      </c>
      <c r="AS3029" s="3">
        <v>0</v>
      </c>
      <c r="AT3029" s="3">
        <v>0</v>
      </c>
      <c r="AU3029" s="3">
        <v>0</v>
      </c>
      <c r="AV3029" s="3">
        <v>0</v>
      </c>
      <c r="AW3029" s="3">
        <v>0</v>
      </c>
      <c r="AX3029" s="3">
        <v>0</v>
      </c>
      <c r="AY3029" s="3">
        <v>0</v>
      </c>
      <c r="AZ3029" s="3">
        <v>0</v>
      </c>
      <c r="BA3029" s="3">
        <v>0</v>
      </c>
      <c r="BB3029" s="3">
        <v>0</v>
      </c>
      <c r="BC3029" s="3">
        <v>0</v>
      </c>
      <c r="BD3029" s="3">
        <v>0</v>
      </c>
      <c r="BE3029" s="3">
        <v>0</v>
      </c>
      <c r="BF3029" s="3">
        <v>0</v>
      </c>
      <c r="BG3029" s="3">
        <v>0</v>
      </c>
      <c r="BH3029" s="3">
        <v>1</v>
      </c>
      <c r="BI3029" s="3">
        <v>1</v>
      </c>
      <c r="BJ3029" s="3">
        <v>0.2</v>
      </c>
      <c r="BK3029" s="3">
        <v>1</v>
      </c>
      <c r="BL3029" s="3">
        <v>60.52</v>
      </c>
      <c r="BM3029" s="3">
        <v>9.08</v>
      </c>
      <c r="BN3029" s="3">
        <v>69.599999999999994</v>
      </c>
      <c r="BO3029" s="3">
        <v>69.599999999999994</v>
      </c>
      <c r="BQ3029" s="3" t="s">
        <v>83</v>
      </c>
      <c r="BR3029" s="3" t="s">
        <v>308</v>
      </c>
      <c r="BS3029" s="4">
        <v>44566</v>
      </c>
      <c r="BT3029" s="5">
        <v>0.32777777777777778</v>
      </c>
      <c r="BU3029" s="3" t="s">
        <v>2786</v>
      </c>
      <c r="BV3029" s="3" t="s">
        <v>105</v>
      </c>
      <c r="BY3029" s="3">
        <v>1200</v>
      </c>
      <c r="BZ3029" s="3" t="s">
        <v>165</v>
      </c>
      <c r="CA3029" s="3" t="s">
        <v>692</v>
      </c>
      <c r="CC3029" s="3" t="s">
        <v>91</v>
      </c>
      <c r="CD3029" s="3">
        <v>7441</v>
      </c>
      <c r="CE3029" s="3" t="s">
        <v>93</v>
      </c>
      <c r="CF3029" s="4">
        <v>44567</v>
      </c>
      <c r="CI3029" s="3">
        <v>1</v>
      </c>
      <c r="CJ3029" s="3">
        <v>1</v>
      </c>
      <c r="CK3029" s="3">
        <v>21</v>
      </c>
      <c r="CL3029" s="3" t="s">
        <v>87</v>
      </c>
    </row>
    <row r="3030" spans="1:90" x14ac:dyDescent="0.2">
      <c r="A3030" s="3" t="s">
        <v>72</v>
      </c>
      <c r="B3030" s="3" t="s">
        <v>73</v>
      </c>
      <c r="C3030" s="3" t="s">
        <v>74</v>
      </c>
      <c r="E3030" s="3" t="str">
        <f>"FES1162843728"</f>
        <v>FES1162843728</v>
      </c>
      <c r="F3030" s="4">
        <v>44566</v>
      </c>
      <c r="G3030" s="3">
        <v>202207</v>
      </c>
      <c r="H3030" s="3" t="s">
        <v>75</v>
      </c>
      <c r="I3030" s="3" t="s">
        <v>76</v>
      </c>
      <c r="J3030" s="3" t="s">
        <v>77</v>
      </c>
      <c r="K3030" s="3" t="s">
        <v>78</v>
      </c>
      <c r="L3030" s="3" t="s">
        <v>335</v>
      </c>
      <c r="M3030" s="3" t="s">
        <v>336</v>
      </c>
      <c r="N3030" s="3" t="s">
        <v>1197</v>
      </c>
      <c r="O3030" s="3" t="s">
        <v>82</v>
      </c>
      <c r="P3030" s="3" t="str">
        <f>"2170813371                    "</f>
        <v xml:space="preserve">2170813371                    </v>
      </c>
      <c r="Q3030" s="3">
        <v>0</v>
      </c>
      <c r="R3030" s="3">
        <v>0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  <c r="AE3030" s="3">
        <v>0</v>
      </c>
      <c r="AF3030" s="3">
        <v>0</v>
      </c>
      <c r="AG3030" s="3">
        <v>0</v>
      </c>
      <c r="AH3030" s="3">
        <v>0</v>
      </c>
      <c r="AI3030" s="3">
        <v>0</v>
      </c>
      <c r="AJ3030" s="3">
        <v>0</v>
      </c>
      <c r="AK3030" s="3">
        <v>15.46</v>
      </c>
      <c r="AL3030" s="3">
        <v>0</v>
      </c>
      <c r="AM3030" s="3">
        <v>0</v>
      </c>
      <c r="AN3030" s="3">
        <v>0</v>
      </c>
      <c r="AO3030" s="3">
        <v>0</v>
      </c>
      <c r="AP3030" s="3">
        <v>0</v>
      </c>
      <c r="AQ3030" s="3">
        <v>0</v>
      </c>
      <c r="AR3030" s="3">
        <v>0</v>
      </c>
      <c r="AS3030" s="3">
        <v>0</v>
      </c>
      <c r="AT3030" s="3">
        <v>0</v>
      </c>
      <c r="AU3030" s="3">
        <v>0</v>
      </c>
      <c r="AV3030" s="3">
        <v>0</v>
      </c>
      <c r="AW3030" s="3">
        <v>0</v>
      </c>
      <c r="AX3030" s="3">
        <v>0</v>
      </c>
      <c r="AY3030" s="3">
        <v>0</v>
      </c>
      <c r="AZ3030" s="3">
        <v>0</v>
      </c>
      <c r="BA3030" s="3">
        <v>0</v>
      </c>
      <c r="BB3030" s="3">
        <v>0</v>
      </c>
      <c r="BC3030" s="3">
        <v>0</v>
      </c>
      <c r="BD3030" s="3">
        <v>0</v>
      </c>
      <c r="BE3030" s="3">
        <v>0</v>
      </c>
      <c r="BF3030" s="3">
        <v>0</v>
      </c>
      <c r="BG3030" s="3">
        <v>0</v>
      </c>
      <c r="BH3030" s="3">
        <v>1</v>
      </c>
      <c r="BI3030" s="3">
        <v>1</v>
      </c>
      <c r="BJ3030" s="3">
        <v>0.2</v>
      </c>
      <c r="BK3030" s="3">
        <v>1</v>
      </c>
      <c r="BL3030" s="3">
        <v>59</v>
      </c>
      <c r="BM3030" s="3">
        <v>8.85</v>
      </c>
      <c r="BN3030" s="3">
        <v>67.849999999999994</v>
      </c>
      <c r="BO3030" s="3">
        <v>67.849999999999994</v>
      </c>
      <c r="BR3030" s="3" t="s">
        <v>364</v>
      </c>
      <c r="BS3030" s="4">
        <v>44567</v>
      </c>
      <c r="BT3030" s="5">
        <v>0.38541666666666669</v>
      </c>
      <c r="BU3030" s="3" t="s">
        <v>1808</v>
      </c>
      <c r="BV3030" s="3" t="s">
        <v>105</v>
      </c>
      <c r="BY3030" s="3">
        <v>1200</v>
      </c>
      <c r="BZ3030" s="3" t="s">
        <v>165</v>
      </c>
      <c r="CA3030" s="3" t="s">
        <v>528</v>
      </c>
      <c r="CC3030" s="3" t="s">
        <v>336</v>
      </c>
      <c r="CD3030" s="3">
        <v>4133</v>
      </c>
      <c r="CE3030" s="3" t="s">
        <v>93</v>
      </c>
      <c r="CF3030" s="4">
        <v>44567</v>
      </c>
      <c r="CI3030" s="3">
        <v>1</v>
      </c>
      <c r="CJ3030" s="3">
        <v>1</v>
      </c>
      <c r="CK3030" s="3">
        <v>21</v>
      </c>
      <c r="CL3030" s="3" t="s">
        <v>87</v>
      </c>
    </row>
    <row r="3031" spans="1:90" x14ac:dyDescent="0.2">
      <c r="A3031" s="3" t="s">
        <v>72</v>
      </c>
      <c r="B3031" s="3" t="s">
        <v>73</v>
      </c>
      <c r="C3031" s="3" t="s">
        <v>74</v>
      </c>
      <c r="E3031" s="3" t="str">
        <f>"FES1162843072"</f>
        <v>FES1162843072</v>
      </c>
      <c r="F3031" s="4">
        <v>44564</v>
      </c>
      <c r="G3031" s="3">
        <v>202207</v>
      </c>
      <c r="H3031" s="3" t="s">
        <v>75</v>
      </c>
      <c r="I3031" s="3" t="s">
        <v>76</v>
      </c>
      <c r="J3031" s="3" t="s">
        <v>77</v>
      </c>
      <c r="K3031" s="3" t="s">
        <v>78</v>
      </c>
      <c r="L3031" s="3" t="s">
        <v>90</v>
      </c>
      <c r="M3031" s="3" t="s">
        <v>91</v>
      </c>
      <c r="N3031" s="3" t="s">
        <v>132</v>
      </c>
      <c r="O3031" s="3" t="s">
        <v>82</v>
      </c>
      <c r="P3031" s="3" t="str">
        <f>"2170814628                    "</f>
        <v xml:space="preserve">2170814628                    </v>
      </c>
      <c r="Q3031" s="3">
        <v>0</v>
      </c>
      <c r="R3031" s="3">
        <v>0</v>
      </c>
      <c r="S3031" s="3">
        <v>0</v>
      </c>
      <c r="T3031" s="3">
        <v>0</v>
      </c>
      <c r="U3031" s="3">
        <v>0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0</v>
      </c>
      <c r="AC3031" s="3">
        <v>0</v>
      </c>
      <c r="AD3031" s="3">
        <v>0</v>
      </c>
      <c r="AE3031" s="3">
        <v>0</v>
      </c>
      <c r="AF3031" s="3">
        <v>0</v>
      </c>
      <c r="AG3031" s="3">
        <v>0</v>
      </c>
      <c r="AH3031" s="3">
        <v>0</v>
      </c>
      <c r="AI3031" s="3">
        <v>0</v>
      </c>
      <c r="AJ3031" s="3">
        <v>0</v>
      </c>
      <c r="AK3031" s="3">
        <v>16.98</v>
      </c>
      <c r="AL3031" s="3">
        <v>0</v>
      </c>
      <c r="AM3031" s="3">
        <v>0</v>
      </c>
      <c r="AN3031" s="3">
        <v>0</v>
      </c>
      <c r="AO3031" s="3">
        <v>0</v>
      </c>
      <c r="AP3031" s="3">
        <v>0</v>
      </c>
      <c r="AQ3031" s="3">
        <v>0</v>
      </c>
      <c r="AR3031" s="3">
        <v>0</v>
      </c>
      <c r="AS3031" s="3">
        <v>0</v>
      </c>
      <c r="AT3031" s="3">
        <v>0</v>
      </c>
      <c r="AU3031" s="3">
        <v>0</v>
      </c>
      <c r="AV3031" s="3">
        <v>0</v>
      </c>
      <c r="AW3031" s="3">
        <v>0</v>
      </c>
      <c r="AX3031" s="3">
        <v>0</v>
      </c>
      <c r="AY3031" s="3">
        <v>0</v>
      </c>
      <c r="AZ3031" s="3">
        <v>0</v>
      </c>
      <c r="BA3031" s="3">
        <v>0</v>
      </c>
      <c r="BB3031" s="3">
        <v>0</v>
      </c>
      <c r="BC3031" s="3">
        <v>0</v>
      </c>
      <c r="BD3031" s="3">
        <v>0</v>
      </c>
      <c r="BE3031" s="3">
        <v>0</v>
      </c>
      <c r="BF3031" s="3">
        <v>0</v>
      </c>
      <c r="BG3031" s="3">
        <v>0</v>
      </c>
      <c r="BH3031" s="3">
        <v>1</v>
      </c>
      <c r="BI3031" s="3">
        <v>1</v>
      </c>
      <c r="BJ3031" s="3">
        <v>0.2</v>
      </c>
      <c r="BK3031" s="3">
        <v>1</v>
      </c>
      <c r="BL3031" s="3">
        <v>60.52</v>
      </c>
      <c r="BM3031" s="3">
        <v>9.08</v>
      </c>
      <c r="BN3031" s="3">
        <v>69.599999999999994</v>
      </c>
      <c r="BO3031" s="3">
        <v>69.599999999999994</v>
      </c>
      <c r="BQ3031" s="3" t="s">
        <v>83</v>
      </c>
      <c r="BR3031" s="3" t="s">
        <v>308</v>
      </c>
      <c r="BS3031" s="4">
        <v>44565</v>
      </c>
      <c r="BT3031" s="5">
        <v>0.39861111111111108</v>
      </c>
      <c r="BU3031" s="3" t="s">
        <v>2527</v>
      </c>
      <c r="BV3031" s="3" t="s">
        <v>105</v>
      </c>
      <c r="BY3031" s="3">
        <v>1200</v>
      </c>
      <c r="BZ3031" s="3" t="s">
        <v>165</v>
      </c>
      <c r="CA3031" s="3" t="s">
        <v>641</v>
      </c>
      <c r="CC3031" s="3" t="s">
        <v>91</v>
      </c>
      <c r="CD3031" s="3">
        <v>7530</v>
      </c>
      <c r="CE3031" s="3" t="s">
        <v>93</v>
      </c>
      <c r="CF3031" s="4">
        <v>44566</v>
      </c>
      <c r="CI3031" s="3">
        <v>1</v>
      </c>
      <c r="CJ3031" s="3">
        <v>1</v>
      </c>
      <c r="CK3031" s="3">
        <v>21</v>
      </c>
      <c r="CL3031" s="3" t="s">
        <v>87</v>
      </c>
    </row>
    <row r="3032" spans="1:90" x14ac:dyDescent="0.2">
      <c r="A3032" s="3" t="s">
        <v>72</v>
      </c>
      <c r="B3032" s="3" t="s">
        <v>73</v>
      </c>
      <c r="C3032" s="3" t="s">
        <v>74</v>
      </c>
      <c r="E3032" s="3" t="str">
        <f>"FES1162843673"</f>
        <v>FES1162843673</v>
      </c>
      <c r="F3032" s="4">
        <v>44566</v>
      </c>
      <c r="G3032" s="3">
        <v>202207</v>
      </c>
      <c r="H3032" s="3" t="s">
        <v>75</v>
      </c>
      <c r="I3032" s="3" t="s">
        <v>76</v>
      </c>
      <c r="J3032" s="3" t="s">
        <v>77</v>
      </c>
      <c r="K3032" s="3" t="s">
        <v>78</v>
      </c>
      <c r="L3032" s="3" t="s">
        <v>171</v>
      </c>
      <c r="M3032" s="3" t="s">
        <v>172</v>
      </c>
      <c r="N3032" s="3" t="s">
        <v>2423</v>
      </c>
      <c r="O3032" s="3" t="s">
        <v>82</v>
      </c>
      <c r="P3032" s="3" t="str">
        <f>"2170814244                    "</f>
        <v xml:space="preserve">2170814244                    </v>
      </c>
      <c r="Q3032" s="3">
        <v>0</v>
      </c>
      <c r="R3032" s="3">
        <v>0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  <c r="AE3032" s="3">
        <v>0</v>
      </c>
      <c r="AF3032" s="3">
        <v>0</v>
      </c>
      <c r="AG3032" s="3">
        <v>0</v>
      </c>
      <c r="AH3032" s="3">
        <v>0</v>
      </c>
      <c r="AI3032" s="3">
        <v>0</v>
      </c>
      <c r="AJ3032" s="3">
        <v>0</v>
      </c>
      <c r="AK3032" s="3">
        <v>15.46</v>
      </c>
      <c r="AL3032" s="3">
        <v>0</v>
      </c>
      <c r="AM3032" s="3">
        <v>0</v>
      </c>
      <c r="AN3032" s="3">
        <v>0</v>
      </c>
      <c r="AO3032" s="3">
        <v>0</v>
      </c>
      <c r="AP3032" s="3">
        <v>0</v>
      </c>
      <c r="AQ3032" s="3">
        <v>0</v>
      </c>
      <c r="AR3032" s="3">
        <v>0</v>
      </c>
      <c r="AS3032" s="3">
        <v>0</v>
      </c>
      <c r="AT3032" s="3">
        <v>0</v>
      </c>
      <c r="AU3032" s="3">
        <v>0</v>
      </c>
      <c r="AV3032" s="3">
        <v>0</v>
      </c>
      <c r="AW3032" s="3">
        <v>0</v>
      </c>
      <c r="AX3032" s="3">
        <v>0</v>
      </c>
      <c r="AY3032" s="3">
        <v>0</v>
      </c>
      <c r="AZ3032" s="3">
        <v>0</v>
      </c>
      <c r="BA3032" s="3">
        <v>0</v>
      </c>
      <c r="BB3032" s="3">
        <v>0</v>
      </c>
      <c r="BC3032" s="3">
        <v>0</v>
      </c>
      <c r="BD3032" s="3">
        <v>0</v>
      </c>
      <c r="BE3032" s="3">
        <v>0</v>
      </c>
      <c r="BF3032" s="3">
        <v>0</v>
      </c>
      <c r="BG3032" s="3">
        <v>0</v>
      </c>
      <c r="BH3032" s="3">
        <v>1</v>
      </c>
      <c r="BI3032" s="3">
        <v>1</v>
      </c>
      <c r="BJ3032" s="3">
        <v>0.2</v>
      </c>
      <c r="BK3032" s="3">
        <v>1</v>
      </c>
      <c r="BL3032" s="3">
        <v>59</v>
      </c>
      <c r="BM3032" s="3">
        <v>8.85</v>
      </c>
      <c r="BN3032" s="3">
        <v>67.849999999999994</v>
      </c>
      <c r="BO3032" s="3">
        <v>67.849999999999994</v>
      </c>
      <c r="BQ3032" s="3" t="s">
        <v>89</v>
      </c>
      <c r="BR3032" s="3" t="s">
        <v>364</v>
      </c>
      <c r="BS3032" s="4">
        <v>44567</v>
      </c>
      <c r="BT3032" s="5">
        <v>0.50902777777777775</v>
      </c>
      <c r="BU3032" s="3" t="s">
        <v>2787</v>
      </c>
      <c r="BV3032" s="3" t="s">
        <v>87</v>
      </c>
      <c r="BW3032" s="3" t="s">
        <v>457</v>
      </c>
      <c r="BX3032" s="3" t="s">
        <v>2542</v>
      </c>
      <c r="BY3032" s="3">
        <v>1200</v>
      </c>
      <c r="BZ3032" s="3" t="s">
        <v>165</v>
      </c>
      <c r="CA3032" s="3" t="s">
        <v>263</v>
      </c>
      <c r="CC3032" s="3" t="s">
        <v>172</v>
      </c>
      <c r="CD3032" s="3">
        <v>6001</v>
      </c>
      <c r="CE3032" s="3" t="s">
        <v>93</v>
      </c>
      <c r="CF3032" s="4">
        <v>44567</v>
      </c>
      <c r="CI3032" s="3">
        <v>1</v>
      </c>
      <c r="CJ3032" s="3">
        <v>1</v>
      </c>
      <c r="CK3032" s="3">
        <v>21</v>
      </c>
      <c r="CL3032" s="3" t="s">
        <v>87</v>
      </c>
    </row>
    <row r="3033" spans="1:90" x14ac:dyDescent="0.2">
      <c r="A3033" s="3" t="s">
        <v>72</v>
      </c>
      <c r="B3033" s="3" t="s">
        <v>73</v>
      </c>
      <c r="C3033" s="3" t="s">
        <v>74</v>
      </c>
      <c r="E3033" s="3" t="str">
        <f>"FES1162843435"</f>
        <v>FES1162843435</v>
      </c>
      <c r="F3033" s="4">
        <v>44565</v>
      </c>
      <c r="G3033" s="3">
        <v>202207</v>
      </c>
      <c r="H3033" s="3" t="s">
        <v>75</v>
      </c>
      <c r="I3033" s="3" t="s">
        <v>76</v>
      </c>
      <c r="J3033" s="3" t="s">
        <v>77</v>
      </c>
      <c r="K3033" s="3" t="s">
        <v>78</v>
      </c>
      <c r="L3033" s="3" t="s">
        <v>90</v>
      </c>
      <c r="M3033" s="3" t="s">
        <v>91</v>
      </c>
      <c r="N3033" s="3" t="s">
        <v>1142</v>
      </c>
      <c r="O3033" s="3" t="s">
        <v>82</v>
      </c>
      <c r="P3033" s="3" t="str">
        <f>"2170813609                    "</f>
        <v xml:space="preserve">2170813609                    </v>
      </c>
      <c r="Q3033" s="3">
        <v>0</v>
      </c>
      <c r="R3033" s="3">
        <v>0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  <c r="AE3033" s="3">
        <v>0</v>
      </c>
      <c r="AF3033" s="3">
        <v>0</v>
      </c>
      <c r="AG3033" s="3">
        <v>0</v>
      </c>
      <c r="AH3033" s="3">
        <v>0</v>
      </c>
      <c r="AI3033" s="3">
        <v>0</v>
      </c>
      <c r="AJ3033" s="3">
        <v>0</v>
      </c>
      <c r="AK3033" s="3">
        <v>16.98</v>
      </c>
      <c r="AL3033" s="3">
        <v>0</v>
      </c>
      <c r="AM3033" s="3">
        <v>0</v>
      </c>
      <c r="AN3033" s="3">
        <v>0</v>
      </c>
      <c r="AO3033" s="3">
        <v>0</v>
      </c>
      <c r="AP3033" s="3">
        <v>0</v>
      </c>
      <c r="AQ3033" s="3">
        <v>0</v>
      </c>
      <c r="AR3033" s="3">
        <v>0</v>
      </c>
      <c r="AS3033" s="3">
        <v>0</v>
      </c>
      <c r="AT3033" s="3">
        <v>0</v>
      </c>
      <c r="AU3033" s="3">
        <v>0</v>
      </c>
      <c r="AV3033" s="3">
        <v>0</v>
      </c>
      <c r="AW3033" s="3">
        <v>0</v>
      </c>
      <c r="AX3033" s="3">
        <v>0</v>
      </c>
      <c r="AY3033" s="3">
        <v>0</v>
      </c>
      <c r="AZ3033" s="3">
        <v>0</v>
      </c>
      <c r="BA3033" s="3">
        <v>0</v>
      </c>
      <c r="BB3033" s="3">
        <v>0</v>
      </c>
      <c r="BC3033" s="3">
        <v>0</v>
      </c>
      <c r="BD3033" s="3">
        <v>0</v>
      </c>
      <c r="BE3033" s="3">
        <v>0</v>
      </c>
      <c r="BF3033" s="3">
        <v>0</v>
      </c>
      <c r="BG3033" s="3">
        <v>0</v>
      </c>
      <c r="BH3033" s="3">
        <v>1</v>
      </c>
      <c r="BI3033" s="3">
        <v>1</v>
      </c>
      <c r="BJ3033" s="3">
        <v>0.2</v>
      </c>
      <c r="BK3033" s="3">
        <v>1</v>
      </c>
      <c r="BL3033" s="3">
        <v>60.52</v>
      </c>
      <c r="BM3033" s="3">
        <v>9.08</v>
      </c>
      <c r="BN3033" s="3">
        <v>69.599999999999994</v>
      </c>
      <c r="BO3033" s="3">
        <v>69.599999999999994</v>
      </c>
      <c r="BQ3033" s="3" t="s">
        <v>83</v>
      </c>
      <c r="BR3033" s="3" t="s">
        <v>308</v>
      </c>
      <c r="BS3033" s="4">
        <v>44566</v>
      </c>
      <c r="BT3033" s="5">
        <v>0.41250000000000003</v>
      </c>
      <c r="BU3033" s="3" t="s">
        <v>2658</v>
      </c>
      <c r="BV3033" s="3" t="s">
        <v>105</v>
      </c>
      <c r="BY3033" s="3">
        <v>1200</v>
      </c>
      <c r="BZ3033" s="3" t="s">
        <v>165</v>
      </c>
      <c r="CA3033" s="3" t="s">
        <v>2659</v>
      </c>
      <c r="CC3033" s="3" t="s">
        <v>91</v>
      </c>
      <c r="CD3033" s="3">
        <v>7490</v>
      </c>
      <c r="CE3033" s="3" t="s">
        <v>93</v>
      </c>
      <c r="CF3033" s="4">
        <v>44567</v>
      </c>
      <c r="CI3033" s="3">
        <v>1</v>
      </c>
      <c r="CJ3033" s="3">
        <v>1</v>
      </c>
      <c r="CK3033" s="3">
        <v>21</v>
      </c>
      <c r="CL3033" s="3" t="s">
        <v>87</v>
      </c>
    </row>
    <row r="3034" spans="1:90" x14ac:dyDescent="0.2">
      <c r="A3034" s="3" t="s">
        <v>72</v>
      </c>
      <c r="B3034" s="3" t="s">
        <v>73</v>
      </c>
      <c r="C3034" s="3" t="s">
        <v>74</v>
      </c>
      <c r="E3034" s="3" t="str">
        <f>"FES1162843727"</f>
        <v>FES1162843727</v>
      </c>
      <c r="F3034" s="4">
        <v>44566</v>
      </c>
      <c r="G3034" s="3">
        <v>202207</v>
      </c>
      <c r="H3034" s="3" t="s">
        <v>75</v>
      </c>
      <c r="I3034" s="3" t="s">
        <v>76</v>
      </c>
      <c r="J3034" s="3" t="s">
        <v>77</v>
      </c>
      <c r="K3034" s="3" t="s">
        <v>78</v>
      </c>
      <c r="L3034" s="3" t="s">
        <v>335</v>
      </c>
      <c r="M3034" s="3" t="s">
        <v>336</v>
      </c>
      <c r="N3034" s="3" t="s">
        <v>704</v>
      </c>
      <c r="O3034" s="3" t="s">
        <v>82</v>
      </c>
      <c r="P3034" s="3" t="str">
        <f>"2170813278                    "</f>
        <v xml:space="preserve">2170813278                    </v>
      </c>
      <c r="Q3034" s="3">
        <v>0</v>
      </c>
      <c r="R3034" s="3">
        <v>0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  <c r="AE3034" s="3">
        <v>0</v>
      </c>
      <c r="AF3034" s="3">
        <v>0</v>
      </c>
      <c r="AG3034" s="3">
        <v>0</v>
      </c>
      <c r="AH3034" s="3">
        <v>0</v>
      </c>
      <c r="AI3034" s="3">
        <v>0</v>
      </c>
      <c r="AJ3034" s="3">
        <v>0</v>
      </c>
      <c r="AK3034" s="3">
        <v>23.18</v>
      </c>
      <c r="AL3034" s="3">
        <v>0</v>
      </c>
      <c r="AM3034" s="3">
        <v>0</v>
      </c>
      <c r="AN3034" s="3">
        <v>0</v>
      </c>
      <c r="AO3034" s="3">
        <v>0</v>
      </c>
      <c r="AP3034" s="3">
        <v>0</v>
      </c>
      <c r="AQ3034" s="3">
        <v>15</v>
      </c>
      <c r="AR3034" s="3">
        <v>0</v>
      </c>
      <c r="AS3034" s="3">
        <v>0</v>
      </c>
      <c r="AT3034" s="3">
        <v>0</v>
      </c>
      <c r="AU3034" s="3">
        <v>0</v>
      </c>
      <c r="AV3034" s="3">
        <v>0</v>
      </c>
      <c r="AW3034" s="3">
        <v>0</v>
      </c>
      <c r="AX3034" s="3">
        <v>0</v>
      </c>
      <c r="AY3034" s="3">
        <v>0</v>
      </c>
      <c r="AZ3034" s="3">
        <v>0</v>
      </c>
      <c r="BA3034" s="3">
        <v>0</v>
      </c>
      <c r="BB3034" s="3">
        <v>0</v>
      </c>
      <c r="BC3034" s="3">
        <v>0</v>
      </c>
      <c r="BD3034" s="3">
        <v>0</v>
      </c>
      <c r="BE3034" s="3">
        <v>0</v>
      </c>
      <c r="BF3034" s="3">
        <v>0</v>
      </c>
      <c r="BG3034" s="3">
        <v>0</v>
      </c>
      <c r="BH3034" s="3">
        <v>1</v>
      </c>
      <c r="BI3034" s="3">
        <v>3</v>
      </c>
      <c r="BJ3034" s="3">
        <v>1.1000000000000001</v>
      </c>
      <c r="BK3034" s="3">
        <v>3</v>
      </c>
      <c r="BL3034" s="3">
        <v>103.48</v>
      </c>
      <c r="BM3034" s="3">
        <v>15.52</v>
      </c>
      <c r="BN3034" s="3">
        <v>119</v>
      </c>
      <c r="BO3034" s="3">
        <v>119</v>
      </c>
      <c r="BQ3034" s="3" t="s">
        <v>705</v>
      </c>
      <c r="BR3034" s="3" t="s">
        <v>364</v>
      </c>
      <c r="BS3034" s="4">
        <v>44567</v>
      </c>
      <c r="BT3034" s="5">
        <v>0.39444444444444443</v>
      </c>
      <c r="BU3034" s="3" t="s">
        <v>1549</v>
      </c>
      <c r="BV3034" s="3" t="s">
        <v>105</v>
      </c>
      <c r="BY3034" s="3">
        <v>5320</v>
      </c>
      <c r="BZ3034" s="3" t="s">
        <v>446</v>
      </c>
      <c r="CA3034" s="3" t="s">
        <v>528</v>
      </c>
      <c r="CC3034" s="3" t="s">
        <v>336</v>
      </c>
      <c r="CD3034" s="3">
        <v>4133</v>
      </c>
      <c r="CE3034" s="3" t="s">
        <v>86</v>
      </c>
      <c r="CF3034" s="4">
        <v>44567</v>
      </c>
      <c r="CI3034" s="3">
        <v>1</v>
      </c>
      <c r="CJ3034" s="3">
        <v>1</v>
      </c>
      <c r="CK3034" s="3">
        <v>21</v>
      </c>
      <c r="CL3034" s="3" t="s">
        <v>87</v>
      </c>
    </row>
    <row r="3035" spans="1:90" x14ac:dyDescent="0.2">
      <c r="A3035" s="3" t="s">
        <v>72</v>
      </c>
      <c r="B3035" s="3" t="s">
        <v>73</v>
      </c>
      <c r="C3035" s="3" t="s">
        <v>74</v>
      </c>
      <c r="E3035" s="3" t="str">
        <f>"FES1162843230"</f>
        <v>FES1162843230</v>
      </c>
      <c r="F3035" s="4">
        <v>44564</v>
      </c>
      <c r="G3035" s="3">
        <v>202207</v>
      </c>
      <c r="H3035" s="3" t="s">
        <v>75</v>
      </c>
      <c r="I3035" s="3" t="s">
        <v>76</v>
      </c>
      <c r="J3035" s="3" t="s">
        <v>77</v>
      </c>
      <c r="K3035" s="3" t="s">
        <v>78</v>
      </c>
      <c r="L3035" s="3" t="s">
        <v>75</v>
      </c>
      <c r="M3035" s="3" t="s">
        <v>76</v>
      </c>
      <c r="N3035" s="3" t="s">
        <v>2373</v>
      </c>
      <c r="O3035" s="3" t="s">
        <v>82</v>
      </c>
      <c r="P3035" s="3" t="str">
        <f>"2170814427                    "</f>
        <v xml:space="preserve">2170814427                    </v>
      </c>
      <c r="Q3035" s="3">
        <v>0</v>
      </c>
      <c r="R3035" s="3">
        <v>0</v>
      </c>
      <c r="S3035" s="3">
        <v>0</v>
      </c>
      <c r="T3035" s="3">
        <v>0</v>
      </c>
      <c r="U3035" s="3">
        <v>0</v>
      </c>
      <c r="V3035" s="3">
        <v>0</v>
      </c>
      <c r="W3035" s="3">
        <v>0</v>
      </c>
      <c r="X3035" s="3">
        <v>0</v>
      </c>
      <c r="Y3035" s="3">
        <v>0</v>
      </c>
      <c r="Z3035" s="3">
        <v>0</v>
      </c>
      <c r="AA3035" s="3">
        <v>0</v>
      </c>
      <c r="AB3035" s="3">
        <v>0</v>
      </c>
      <c r="AC3035" s="3">
        <v>0</v>
      </c>
      <c r="AD3035" s="3">
        <v>0</v>
      </c>
      <c r="AE3035" s="3">
        <v>0</v>
      </c>
      <c r="AF3035" s="3">
        <v>0</v>
      </c>
      <c r="AG3035" s="3">
        <v>0</v>
      </c>
      <c r="AH3035" s="3">
        <v>0</v>
      </c>
      <c r="AI3035" s="3">
        <v>0</v>
      </c>
      <c r="AJ3035" s="3">
        <v>0</v>
      </c>
      <c r="AK3035" s="3">
        <v>13.26</v>
      </c>
      <c r="AL3035" s="3">
        <v>0</v>
      </c>
      <c r="AM3035" s="3">
        <v>0</v>
      </c>
      <c r="AN3035" s="3">
        <v>0</v>
      </c>
      <c r="AO3035" s="3">
        <v>0</v>
      </c>
      <c r="AP3035" s="3">
        <v>0</v>
      </c>
      <c r="AQ3035" s="3">
        <v>0</v>
      </c>
      <c r="AR3035" s="3">
        <v>0</v>
      </c>
      <c r="AS3035" s="3">
        <v>0</v>
      </c>
      <c r="AT3035" s="3">
        <v>0</v>
      </c>
      <c r="AU3035" s="3">
        <v>0</v>
      </c>
      <c r="AV3035" s="3">
        <v>0</v>
      </c>
      <c r="AW3035" s="3">
        <v>0</v>
      </c>
      <c r="AX3035" s="3">
        <v>0</v>
      </c>
      <c r="AY3035" s="3">
        <v>0</v>
      </c>
      <c r="AZ3035" s="3">
        <v>0</v>
      </c>
      <c r="BA3035" s="3">
        <v>0</v>
      </c>
      <c r="BB3035" s="3">
        <v>0</v>
      </c>
      <c r="BC3035" s="3">
        <v>0</v>
      </c>
      <c r="BD3035" s="3">
        <v>0</v>
      </c>
      <c r="BE3035" s="3">
        <v>0</v>
      </c>
      <c r="BF3035" s="3">
        <v>0</v>
      </c>
      <c r="BG3035" s="3">
        <v>0</v>
      </c>
      <c r="BH3035" s="3">
        <v>1</v>
      </c>
      <c r="BI3035" s="3">
        <v>1</v>
      </c>
      <c r="BJ3035" s="3">
        <v>0.2</v>
      </c>
      <c r="BK3035" s="3">
        <v>1</v>
      </c>
      <c r="BL3035" s="3">
        <v>47.27</v>
      </c>
      <c r="BM3035" s="3">
        <v>7.09</v>
      </c>
      <c r="BN3035" s="3">
        <v>54.36</v>
      </c>
      <c r="BO3035" s="3">
        <v>54.36</v>
      </c>
      <c r="BQ3035" s="3" t="s">
        <v>145</v>
      </c>
      <c r="BR3035" s="3" t="s">
        <v>308</v>
      </c>
      <c r="BS3035" s="4">
        <v>44565</v>
      </c>
      <c r="BT3035" s="5">
        <v>0.39444444444444443</v>
      </c>
      <c r="BU3035" s="3" t="s">
        <v>2667</v>
      </c>
      <c r="BV3035" s="3" t="s">
        <v>105</v>
      </c>
      <c r="BY3035" s="3">
        <v>1200</v>
      </c>
      <c r="BZ3035" s="3" t="s">
        <v>165</v>
      </c>
      <c r="CA3035" s="3" t="s">
        <v>523</v>
      </c>
      <c r="CC3035" s="3" t="s">
        <v>76</v>
      </c>
      <c r="CD3035" s="3">
        <v>1614</v>
      </c>
      <c r="CE3035" s="3" t="s">
        <v>93</v>
      </c>
      <c r="CF3035" s="4">
        <v>44565</v>
      </c>
      <c r="CI3035" s="3">
        <v>1</v>
      </c>
      <c r="CJ3035" s="3">
        <v>1</v>
      </c>
      <c r="CK3035" s="3">
        <v>22</v>
      </c>
      <c r="CL3035" s="3" t="s">
        <v>87</v>
      </c>
    </row>
    <row r="3036" spans="1:90" x14ac:dyDescent="0.2">
      <c r="A3036" s="3" t="s">
        <v>72</v>
      </c>
      <c r="B3036" s="3" t="s">
        <v>73</v>
      </c>
      <c r="C3036" s="3" t="s">
        <v>74</v>
      </c>
      <c r="E3036" s="3" t="str">
        <f>"FES1162843631"</f>
        <v>FES1162843631</v>
      </c>
      <c r="F3036" s="4">
        <v>44566</v>
      </c>
      <c r="G3036" s="3">
        <v>202207</v>
      </c>
      <c r="H3036" s="3" t="s">
        <v>75</v>
      </c>
      <c r="I3036" s="3" t="s">
        <v>76</v>
      </c>
      <c r="J3036" s="3" t="s">
        <v>77</v>
      </c>
      <c r="K3036" s="3" t="s">
        <v>78</v>
      </c>
      <c r="L3036" s="3" t="s">
        <v>162</v>
      </c>
      <c r="M3036" s="3" t="s">
        <v>163</v>
      </c>
      <c r="N3036" s="3" t="s">
        <v>164</v>
      </c>
      <c r="O3036" s="3" t="s">
        <v>82</v>
      </c>
      <c r="P3036" s="3" t="str">
        <f>"2170796597                    "</f>
        <v xml:space="preserve">2170796597                    </v>
      </c>
      <c r="Q3036" s="3">
        <v>0</v>
      </c>
      <c r="R3036" s="3">
        <v>0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  <c r="AE3036" s="3">
        <v>0</v>
      </c>
      <c r="AF3036" s="3">
        <v>0</v>
      </c>
      <c r="AG3036" s="3">
        <v>0</v>
      </c>
      <c r="AH3036" s="3">
        <v>0</v>
      </c>
      <c r="AI3036" s="3">
        <v>0</v>
      </c>
      <c r="AJ3036" s="3">
        <v>0</v>
      </c>
      <c r="AK3036" s="3">
        <v>12.07</v>
      </c>
      <c r="AL3036" s="3">
        <v>0</v>
      </c>
      <c r="AM3036" s="3">
        <v>0</v>
      </c>
      <c r="AN3036" s="3">
        <v>0</v>
      </c>
      <c r="AO3036" s="3">
        <v>0</v>
      </c>
      <c r="AP3036" s="3">
        <v>0</v>
      </c>
      <c r="AQ3036" s="3">
        <v>0</v>
      </c>
      <c r="AR3036" s="3">
        <v>0</v>
      </c>
      <c r="AS3036" s="3">
        <v>0</v>
      </c>
      <c r="AT3036" s="3">
        <v>0</v>
      </c>
      <c r="AU3036" s="3">
        <v>0</v>
      </c>
      <c r="AV3036" s="3">
        <v>0</v>
      </c>
      <c r="AW3036" s="3">
        <v>0</v>
      </c>
      <c r="AX3036" s="3">
        <v>0</v>
      </c>
      <c r="AY3036" s="3">
        <v>0</v>
      </c>
      <c r="AZ3036" s="3">
        <v>0</v>
      </c>
      <c r="BA3036" s="3">
        <v>0</v>
      </c>
      <c r="BB3036" s="3">
        <v>0</v>
      </c>
      <c r="BC3036" s="3">
        <v>0</v>
      </c>
      <c r="BD3036" s="3">
        <v>0</v>
      </c>
      <c r="BE3036" s="3">
        <v>0</v>
      </c>
      <c r="BF3036" s="3">
        <v>0</v>
      </c>
      <c r="BG3036" s="3">
        <v>0</v>
      </c>
      <c r="BH3036" s="3">
        <v>1</v>
      </c>
      <c r="BI3036" s="3">
        <v>1</v>
      </c>
      <c r="BJ3036" s="3">
        <v>0.2</v>
      </c>
      <c r="BK3036" s="3">
        <v>1</v>
      </c>
      <c r="BL3036" s="3">
        <v>46.08</v>
      </c>
      <c r="BM3036" s="3">
        <v>6.91</v>
      </c>
      <c r="BN3036" s="3">
        <v>52.99</v>
      </c>
      <c r="BO3036" s="3">
        <v>52.99</v>
      </c>
      <c r="BQ3036" s="3" t="s">
        <v>89</v>
      </c>
      <c r="BR3036" s="3" t="s">
        <v>364</v>
      </c>
      <c r="BS3036" s="4">
        <v>44567</v>
      </c>
      <c r="BT3036" s="5">
        <v>0.3576388888888889</v>
      </c>
      <c r="BU3036" s="3" t="s">
        <v>2788</v>
      </c>
      <c r="BV3036" s="3" t="s">
        <v>105</v>
      </c>
      <c r="BY3036" s="3">
        <v>1200</v>
      </c>
      <c r="BZ3036" s="3" t="s">
        <v>165</v>
      </c>
      <c r="CA3036" s="3" t="s">
        <v>2597</v>
      </c>
      <c r="CC3036" s="3" t="s">
        <v>163</v>
      </c>
      <c r="CD3036" s="3">
        <v>1428</v>
      </c>
      <c r="CE3036" s="3" t="s">
        <v>93</v>
      </c>
      <c r="CF3036" s="4">
        <v>44567</v>
      </c>
      <c r="CI3036" s="3">
        <v>1</v>
      </c>
      <c r="CJ3036" s="3">
        <v>1</v>
      </c>
      <c r="CK3036" s="3">
        <v>22</v>
      </c>
      <c r="CL3036" s="3" t="s">
        <v>87</v>
      </c>
    </row>
    <row r="3037" spans="1:90" x14ac:dyDescent="0.2">
      <c r="A3037" s="3" t="s">
        <v>72</v>
      </c>
      <c r="B3037" s="3" t="s">
        <v>73</v>
      </c>
      <c r="C3037" s="3" t="s">
        <v>74</v>
      </c>
      <c r="E3037" s="3" t="str">
        <f>"FES1162843344"</f>
        <v>FES1162843344</v>
      </c>
      <c r="F3037" s="4">
        <v>44565</v>
      </c>
      <c r="G3037" s="3">
        <v>202207</v>
      </c>
      <c r="H3037" s="3" t="s">
        <v>75</v>
      </c>
      <c r="I3037" s="3" t="s">
        <v>76</v>
      </c>
      <c r="J3037" s="3" t="s">
        <v>77</v>
      </c>
      <c r="K3037" s="3" t="s">
        <v>78</v>
      </c>
      <c r="L3037" s="3" t="s">
        <v>138</v>
      </c>
      <c r="M3037" s="3" t="s">
        <v>139</v>
      </c>
      <c r="N3037" s="3" t="s">
        <v>152</v>
      </c>
      <c r="O3037" s="3" t="s">
        <v>82</v>
      </c>
      <c r="P3037" s="3" t="str">
        <f>"2170815306                    "</f>
        <v xml:space="preserve">2170815306                    </v>
      </c>
      <c r="Q3037" s="3">
        <v>0</v>
      </c>
      <c r="R3037" s="3">
        <v>0</v>
      </c>
      <c r="S3037" s="3">
        <v>0</v>
      </c>
      <c r="T3037" s="3">
        <v>0</v>
      </c>
      <c r="U3037" s="3">
        <v>0</v>
      </c>
      <c r="V3037" s="3">
        <v>0</v>
      </c>
      <c r="W3037" s="3">
        <v>0</v>
      </c>
      <c r="X3037" s="3">
        <v>0</v>
      </c>
      <c r="Y3037" s="3">
        <v>0</v>
      </c>
      <c r="Z3037" s="3">
        <v>0</v>
      </c>
      <c r="AA3037" s="3">
        <v>0</v>
      </c>
      <c r="AB3037" s="3">
        <v>0</v>
      </c>
      <c r="AC3037" s="3">
        <v>0</v>
      </c>
      <c r="AD3037" s="3">
        <v>0</v>
      </c>
      <c r="AE3037" s="3">
        <v>0</v>
      </c>
      <c r="AF3037" s="3">
        <v>0</v>
      </c>
      <c r="AG3037" s="3">
        <v>0</v>
      </c>
      <c r="AH3037" s="3">
        <v>0</v>
      </c>
      <c r="AI3037" s="3">
        <v>0</v>
      </c>
      <c r="AJ3037" s="3">
        <v>0</v>
      </c>
      <c r="AK3037" s="3">
        <v>16.98</v>
      </c>
      <c r="AL3037" s="3">
        <v>0</v>
      </c>
      <c r="AM3037" s="3">
        <v>0</v>
      </c>
      <c r="AN3037" s="3">
        <v>0</v>
      </c>
      <c r="AO3037" s="3">
        <v>0</v>
      </c>
      <c r="AP3037" s="3">
        <v>0</v>
      </c>
      <c r="AQ3037" s="3">
        <v>0</v>
      </c>
      <c r="AR3037" s="3">
        <v>0</v>
      </c>
      <c r="AS3037" s="3">
        <v>0</v>
      </c>
      <c r="AT3037" s="3">
        <v>0</v>
      </c>
      <c r="AU3037" s="3">
        <v>0</v>
      </c>
      <c r="AV3037" s="3">
        <v>0</v>
      </c>
      <c r="AW3037" s="3">
        <v>0</v>
      </c>
      <c r="AX3037" s="3">
        <v>0</v>
      </c>
      <c r="AY3037" s="3">
        <v>0</v>
      </c>
      <c r="AZ3037" s="3">
        <v>0</v>
      </c>
      <c r="BA3037" s="3">
        <v>0</v>
      </c>
      <c r="BB3037" s="3">
        <v>0</v>
      </c>
      <c r="BC3037" s="3">
        <v>0</v>
      </c>
      <c r="BD3037" s="3">
        <v>0</v>
      </c>
      <c r="BE3037" s="3">
        <v>0</v>
      </c>
      <c r="BF3037" s="3">
        <v>0</v>
      </c>
      <c r="BG3037" s="3">
        <v>0</v>
      </c>
      <c r="BH3037" s="3">
        <v>1</v>
      </c>
      <c r="BI3037" s="3">
        <v>1</v>
      </c>
      <c r="BJ3037" s="3">
        <v>0.6</v>
      </c>
      <c r="BK3037" s="3">
        <v>1</v>
      </c>
      <c r="BL3037" s="3">
        <v>60.52</v>
      </c>
      <c r="BM3037" s="3">
        <v>9.08</v>
      </c>
      <c r="BN3037" s="3">
        <v>69.599999999999994</v>
      </c>
      <c r="BO3037" s="3">
        <v>69.599999999999994</v>
      </c>
      <c r="BQ3037" s="3" t="s">
        <v>83</v>
      </c>
      <c r="BR3037" s="3" t="s">
        <v>308</v>
      </c>
      <c r="BS3037" s="4">
        <v>44566</v>
      </c>
      <c r="BT3037" s="5">
        <v>0.3659722222222222</v>
      </c>
      <c r="BU3037" s="3" t="s">
        <v>2572</v>
      </c>
      <c r="BV3037" s="3" t="s">
        <v>105</v>
      </c>
      <c r="BY3037" s="3">
        <v>2800</v>
      </c>
      <c r="BZ3037" s="3" t="s">
        <v>165</v>
      </c>
      <c r="CA3037" s="3" t="s">
        <v>303</v>
      </c>
      <c r="CC3037" s="3" t="s">
        <v>139</v>
      </c>
      <c r="CD3037" s="3">
        <v>3610</v>
      </c>
      <c r="CE3037" s="3" t="s">
        <v>86</v>
      </c>
      <c r="CF3037" s="4">
        <v>44566</v>
      </c>
      <c r="CI3037" s="3">
        <v>1</v>
      </c>
      <c r="CJ3037" s="3">
        <v>1</v>
      </c>
      <c r="CK3037" s="3">
        <v>21</v>
      </c>
      <c r="CL3037" s="3" t="s">
        <v>87</v>
      </c>
    </row>
    <row r="3038" spans="1:90" x14ac:dyDescent="0.2">
      <c r="A3038" s="3" t="s">
        <v>72</v>
      </c>
      <c r="B3038" s="3" t="s">
        <v>73</v>
      </c>
      <c r="C3038" s="3" t="s">
        <v>74</v>
      </c>
      <c r="E3038" s="3" t="str">
        <f>"FES1162843633"</f>
        <v>FES1162843633</v>
      </c>
      <c r="F3038" s="4">
        <v>44566</v>
      </c>
      <c r="G3038" s="3">
        <v>202207</v>
      </c>
      <c r="H3038" s="3" t="s">
        <v>75</v>
      </c>
      <c r="I3038" s="3" t="s">
        <v>76</v>
      </c>
      <c r="J3038" s="3" t="s">
        <v>77</v>
      </c>
      <c r="K3038" s="3" t="s">
        <v>78</v>
      </c>
      <c r="L3038" s="3" t="s">
        <v>75</v>
      </c>
      <c r="M3038" s="3" t="s">
        <v>76</v>
      </c>
      <c r="N3038" s="3" t="s">
        <v>147</v>
      </c>
      <c r="O3038" s="3" t="s">
        <v>82</v>
      </c>
      <c r="P3038" s="3" t="str">
        <f>"2170800912                    "</f>
        <v xml:space="preserve">2170800912                    </v>
      </c>
      <c r="Q3038" s="3">
        <v>0</v>
      </c>
      <c r="R3038" s="3">
        <v>0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  <c r="AE3038" s="3">
        <v>0</v>
      </c>
      <c r="AF3038" s="3">
        <v>0</v>
      </c>
      <c r="AG3038" s="3">
        <v>0</v>
      </c>
      <c r="AH3038" s="3">
        <v>0</v>
      </c>
      <c r="AI3038" s="3">
        <v>0</v>
      </c>
      <c r="AJ3038" s="3">
        <v>0</v>
      </c>
      <c r="AK3038" s="3">
        <v>12.07</v>
      </c>
      <c r="AL3038" s="3">
        <v>0</v>
      </c>
      <c r="AM3038" s="3">
        <v>0</v>
      </c>
      <c r="AN3038" s="3">
        <v>0</v>
      </c>
      <c r="AO3038" s="3">
        <v>0</v>
      </c>
      <c r="AP3038" s="3">
        <v>0</v>
      </c>
      <c r="AQ3038" s="3">
        <v>0</v>
      </c>
      <c r="AR3038" s="3">
        <v>0</v>
      </c>
      <c r="AS3038" s="3">
        <v>0</v>
      </c>
      <c r="AT3038" s="3">
        <v>0</v>
      </c>
      <c r="AU3038" s="3">
        <v>0</v>
      </c>
      <c r="AV3038" s="3">
        <v>0</v>
      </c>
      <c r="AW3038" s="3">
        <v>0</v>
      </c>
      <c r="AX3038" s="3">
        <v>0</v>
      </c>
      <c r="AY3038" s="3">
        <v>0</v>
      </c>
      <c r="AZ3038" s="3">
        <v>0</v>
      </c>
      <c r="BA3038" s="3">
        <v>0</v>
      </c>
      <c r="BB3038" s="3">
        <v>0</v>
      </c>
      <c r="BC3038" s="3">
        <v>0</v>
      </c>
      <c r="BD3038" s="3">
        <v>0</v>
      </c>
      <c r="BE3038" s="3">
        <v>0</v>
      </c>
      <c r="BF3038" s="3">
        <v>0</v>
      </c>
      <c r="BG3038" s="3">
        <v>0</v>
      </c>
      <c r="BH3038" s="3">
        <v>1</v>
      </c>
      <c r="BI3038" s="3">
        <v>1</v>
      </c>
      <c r="BJ3038" s="3">
        <v>2</v>
      </c>
      <c r="BK3038" s="3">
        <v>2</v>
      </c>
      <c r="BL3038" s="3">
        <v>46.08</v>
      </c>
      <c r="BM3038" s="3">
        <v>6.91</v>
      </c>
      <c r="BN3038" s="3">
        <v>52.99</v>
      </c>
      <c r="BO3038" s="3">
        <v>52.99</v>
      </c>
      <c r="BQ3038" s="3" t="s">
        <v>89</v>
      </c>
      <c r="BR3038" s="3" t="s">
        <v>364</v>
      </c>
      <c r="BS3038" s="4">
        <v>44567</v>
      </c>
      <c r="BT3038" s="5">
        <v>0.3576388888888889</v>
      </c>
      <c r="BU3038" s="3" t="s">
        <v>2789</v>
      </c>
      <c r="BV3038" s="3" t="s">
        <v>105</v>
      </c>
      <c r="BY3038" s="3">
        <v>9918</v>
      </c>
      <c r="BZ3038" s="3" t="s">
        <v>165</v>
      </c>
      <c r="CA3038" s="3" t="s">
        <v>477</v>
      </c>
      <c r="CC3038" s="3" t="s">
        <v>76</v>
      </c>
      <c r="CD3038" s="3">
        <v>1645</v>
      </c>
      <c r="CE3038" s="3" t="s">
        <v>86</v>
      </c>
      <c r="CF3038" s="4">
        <v>44568</v>
      </c>
      <c r="CI3038" s="3">
        <v>1</v>
      </c>
      <c r="CJ3038" s="3">
        <v>1</v>
      </c>
      <c r="CK3038" s="3">
        <v>22</v>
      </c>
      <c r="CL3038" s="3" t="s">
        <v>87</v>
      </c>
    </row>
    <row r="3039" spans="1:90" x14ac:dyDescent="0.2">
      <c r="A3039" s="3" t="s">
        <v>72</v>
      </c>
      <c r="B3039" s="3" t="s">
        <v>73</v>
      </c>
      <c r="C3039" s="3" t="s">
        <v>74</v>
      </c>
      <c r="E3039" s="3" t="str">
        <f>"FES1162843381"</f>
        <v>FES1162843381</v>
      </c>
      <c r="F3039" s="4">
        <v>44565</v>
      </c>
      <c r="G3039" s="3">
        <v>202207</v>
      </c>
      <c r="H3039" s="3" t="s">
        <v>75</v>
      </c>
      <c r="I3039" s="3" t="s">
        <v>76</v>
      </c>
      <c r="J3039" s="3" t="s">
        <v>77</v>
      </c>
      <c r="K3039" s="3" t="s">
        <v>78</v>
      </c>
      <c r="L3039" s="3" t="s">
        <v>75</v>
      </c>
      <c r="M3039" s="3" t="s">
        <v>76</v>
      </c>
      <c r="N3039" s="3" t="s">
        <v>688</v>
      </c>
      <c r="O3039" s="3" t="s">
        <v>82</v>
      </c>
      <c r="P3039" s="3" t="str">
        <f>"2170814093                    "</f>
        <v xml:space="preserve">2170814093                    </v>
      </c>
      <c r="Q3039" s="3">
        <v>0</v>
      </c>
      <c r="R3039" s="3">
        <v>0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  <c r="AE3039" s="3">
        <v>0</v>
      </c>
      <c r="AF3039" s="3">
        <v>0</v>
      </c>
      <c r="AG3039" s="3">
        <v>0</v>
      </c>
      <c r="AH3039" s="3">
        <v>0</v>
      </c>
      <c r="AI3039" s="3">
        <v>0</v>
      </c>
      <c r="AJ3039" s="3">
        <v>0</v>
      </c>
      <c r="AK3039" s="3">
        <v>13.26</v>
      </c>
      <c r="AL3039" s="3">
        <v>0</v>
      </c>
      <c r="AM3039" s="3">
        <v>0</v>
      </c>
      <c r="AN3039" s="3">
        <v>0</v>
      </c>
      <c r="AO3039" s="3">
        <v>0</v>
      </c>
      <c r="AP3039" s="3">
        <v>0</v>
      </c>
      <c r="AQ3039" s="3">
        <v>0</v>
      </c>
      <c r="AR3039" s="3">
        <v>0</v>
      </c>
      <c r="AS3039" s="3">
        <v>0</v>
      </c>
      <c r="AT3039" s="3">
        <v>0</v>
      </c>
      <c r="AU3039" s="3">
        <v>0</v>
      </c>
      <c r="AV3039" s="3">
        <v>0</v>
      </c>
      <c r="AW3039" s="3">
        <v>0</v>
      </c>
      <c r="AX3039" s="3">
        <v>0</v>
      </c>
      <c r="AY3039" s="3">
        <v>0</v>
      </c>
      <c r="AZ3039" s="3">
        <v>0</v>
      </c>
      <c r="BA3039" s="3">
        <v>0</v>
      </c>
      <c r="BB3039" s="3">
        <v>0</v>
      </c>
      <c r="BC3039" s="3">
        <v>0</v>
      </c>
      <c r="BD3039" s="3">
        <v>0</v>
      </c>
      <c r="BE3039" s="3">
        <v>0</v>
      </c>
      <c r="BF3039" s="3">
        <v>0</v>
      </c>
      <c r="BG3039" s="3">
        <v>0</v>
      </c>
      <c r="BH3039" s="3">
        <v>1</v>
      </c>
      <c r="BI3039" s="3">
        <v>2</v>
      </c>
      <c r="BJ3039" s="3">
        <v>1.1000000000000001</v>
      </c>
      <c r="BK3039" s="3">
        <v>2</v>
      </c>
      <c r="BL3039" s="3">
        <v>47.27</v>
      </c>
      <c r="BM3039" s="3">
        <v>7.09</v>
      </c>
      <c r="BN3039" s="3">
        <v>54.36</v>
      </c>
      <c r="BO3039" s="3">
        <v>54.36</v>
      </c>
      <c r="BQ3039" s="3" t="s">
        <v>83</v>
      </c>
      <c r="BR3039" s="3" t="s">
        <v>308</v>
      </c>
      <c r="BS3039" s="4">
        <v>44566</v>
      </c>
      <c r="BT3039" s="5">
        <v>0.49444444444444446</v>
      </c>
      <c r="BU3039" s="3" t="s">
        <v>689</v>
      </c>
      <c r="BV3039" s="3" t="s">
        <v>87</v>
      </c>
      <c r="BW3039" s="3" t="s">
        <v>353</v>
      </c>
      <c r="BX3039" s="3" t="s">
        <v>618</v>
      </c>
      <c r="BY3039" s="3">
        <v>5320</v>
      </c>
      <c r="BZ3039" s="3" t="s">
        <v>165</v>
      </c>
      <c r="CA3039" s="3" t="s">
        <v>227</v>
      </c>
      <c r="CC3039" s="3" t="s">
        <v>76</v>
      </c>
      <c r="CD3039" s="3">
        <v>1620</v>
      </c>
      <c r="CE3039" s="3" t="s">
        <v>86</v>
      </c>
      <c r="CF3039" s="4">
        <v>44566</v>
      </c>
      <c r="CI3039" s="3">
        <v>1</v>
      </c>
      <c r="CJ3039" s="3">
        <v>1</v>
      </c>
      <c r="CK3039" s="3">
        <v>22</v>
      </c>
      <c r="CL3039" s="3" t="s">
        <v>87</v>
      </c>
    </row>
    <row r="3040" spans="1:90" x14ac:dyDescent="0.2">
      <c r="A3040" s="3" t="s">
        <v>72</v>
      </c>
      <c r="B3040" s="3" t="s">
        <v>73</v>
      </c>
      <c r="C3040" s="3" t="s">
        <v>74</v>
      </c>
      <c r="E3040" s="3" t="str">
        <f>"FES1162843437"</f>
        <v>FES1162843437</v>
      </c>
      <c r="F3040" s="4">
        <v>44565</v>
      </c>
      <c r="G3040" s="3">
        <v>202207</v>
      </c>
      <c r="H3040" s="3" t="s">
        <v>75</v>
      </c>
      <c r="I3040" s="3" t="s">
        <v>76</v>
      </c>
      <c r="J3040" s="3" t="s">
        <v>77</v>
      </c>
      <c r="K3040" s="3" t="s">
        <v>78</v>
      </c>
      <c r="L3040" s="3" t="s">
        <v>171</v>
      </c>
      <c r="M3040" s="3" t="s">
        <v>172</v>
      </c>
      <c r="N3040" s="3" t="s">
        <v>454</v>
      </c>
      <c r="O3040" s="3" t="s">
        <v>82</v>
      </c>
      <c r="P3040" s="3" t="str">
        <f>"2170813623                    "</f>
        <v xml:space="preserve">2170813623                    </v>
      </c>
      <c r="Q3040" s="3">
        <v>0</v>
      </c>
      <c r="R3040" s="3">
        <v>0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  <c r="AE3040" s="3">
        <v>0</v>
      </c>
      <c r="AF3040" s="3">
        <v>0</v>
      </c>
      <c r="AG3040" s="3">
        <v>0</v>
      </c>
      <c r="AH3040" s="3">
        <v>0</v>
      </c>
      <c r="AI3040" s="3">
        <v>0</v>
      </c>
      <c r="AJ3040" s="3">
        <v>0</v>
      </c>
      <c r="AK3040" s="3">
        <v>16.98</v>
      </c>
      <c r="AL3040" s="3">
        <v>0</v>
      </c>
      <c r="AM3040" s="3">
        <v>0</v>
      </c>
      <c r="AN3040" s="3">
        <v>0</v>
      </c>
      <c r="AO3040" s="3">
        <v>0</v>
      </c>
      <c r="AP3040" s="3">
        <v>0</v>
      </c>
      <c r="AQ3040" s="3">
        <v>0</v>
      </c>
      <c r="AR3040" s="3">
        <v>0</v>
      </c>
      <c r="AS3040" s="3">
        <v>0</v>
      </c>
      <c r="AT3040" s="3">
        <v>0</v>
      </c>
      <c r="AU3040" s="3">
        <v>0</v>
      </c>
      <c r="AV3040" s="3">
        <v>0</v>
      </c>
      <c r="AW3040" s="3">
        <v>0</v>
      </c>
      <c r="AX3040" s="3">
        <v>0</v>
      </c>
      <c r="AY3040" s="3">
        <v>0</v>
      </c>
      <c r="AZ3040" s="3">
        <v>0</v>
      </c>
      <c r="BA3040" s="3">
        <v>0</v>
      </c>
      <c r="BB3040" s="3">
        <v>0</v>
      </c>
      <c r="BC3040" s="3">
        <v>0</v>
      </c>
      <c r="BD3040" s="3">
        <v>0</v>
      </c>
      <c r="BE3040" s="3">
        <v>0</v>
      </c>
      <c r="BF3040" s="3">
        <v>0</v>
      </c>
      <c r="BG3040" s="3">
        <v>0</v>
      </c>
      <c r="BH3040" s="3">
        <v>1</v>
      </c>
      <c r="BI3040" s="3">
        <v>1</v>
      </c>
      <c r="BJ3040" s="3">
        <v>0.2</v>
      </c>
      <c r="BK3040" s="3">
        <v>1</v>
      </c>
      <c r="BL3040" s="3">
        <v>60.52</v>
      </c>
      <c r="BM3040" s="3">
        <v>9.08</v>
      </c>
      <c r="BN3040" s="3">
        <v>69.599999999999994</v>
      </c>
      <c r="BO3040" s="3">
        <v>69.599999999999994</v>
      </c>
      <c r="BQ3040" s="3" t="s">
        <v>89</v>
      </c>
      <c r="BR3040" s="3" t="s">
        <v>308</v>
      </c>
      <c r="BS3040" s="4">
        <v>44566</v>
      </c>
      <c r="BT3040" s="5">
        <v>0.43472222222222223</v>
      </c>
      <c r="BU3040" s="3" t="s">
        <v>1989</v>
      </c>
      <c r="BV3040" s="3" t="s">
        <v>105</v>
      </c>
      <c r="BY3040" s="3">
        <v>1200</v>
      </c>
      <c r="BZ3040" s="3" t="s">
        <v>165</v>
      </c>
      <c r="CA3040" s="3" t="s">
        <v>509</v>
      </c>
      <c r="CC3040" s="3" t="s">
        <v>172</v>
      </c>
      <c r="CD3040" s="3">
        <v>6001</v>
      </c>
      <c r="CE3040" s="3" t="s">
        <v>93</v>
      </c>
      <c r="CF3040" s="4">
        <v>44566</v>
      </c>
      <c r="CI3040" s="3">
        <v>1</v>
      </c>
      <c r="CJ3040" s="3">
        <v>1</v>
      </c>
      <c r="CK3040" s="3">
        <v>21</v>
      </c>
      <c r="CL3040" s="3" t="s">
        <v>87</v>
      </c>
    </row>
    <row r="3041" spans="1:90" x14ac:dyDescent="0.2">
      <c r="A3041" s="3" t="s">
        <v>72</v>
      </c>
      <c r="B3041" s="3" t="s">
        <v>73</v>
      </c>
      <c r="C3041" s="3" t="s">
        <v>74</v>
      </c>
      <c r="E3041" s="3" t="str">
        <f>"FES1162843049"</f>
        <v>FES1162843049</v>
      </c>
      <c r="F3041" s="4">
        <v>44564</v>
      </c>
      <c r="G3041" s="3">
        <v>202207</v>
      </c>
      <c r="H3041" s="3" t="s">
        <v>75</v>
      </c>
      <c r="I3041" s="3" t="s">
        <v>76</v>
      </c>
      <c r="J3041" s="3" t="s">
        <v>77</v>
      </c>
      <c r="K3041" s="3" t="s">
        <v>78</v>
      </c>
      <c r="L3041" s="3" t="s">
        <v>101</v>
      </c>
      <c r="M3041" s="3" t="s">
        <v>102</v>
      </c>
      <c r="N3041" s="3" t="s">
        <v>1387</v>
      </c>
      <c r="O3041" s="3" t="s">
        <v>82</v>
      </c>
      <c r="P3041" s="3" t="str">
        <f>"2170815406                    "</f>
        <v xml:space="preserve">2170815406                    </v>
      </c>
      <c r="Q3041" s="3">
        <v>0</v>
      </c>
      <c r="R3041" s="3">
        <v>0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  <c r="AE3041" s="3">
        <v>0</v>
      </c>
      <c r="AF3041" s="3">
        <v>0</v>
      </c>
      <c r="AG3041" s="3">
        <v>0</v>
      </c>
      <c r="AH3041" s="3">
        <v>0</v>
      </c>
      <c r="AI3041" s="3">
        <v>0</v>
      </c>
      <c r="AJ3041" s="3">
        <v>0</v>
      </c>
      <c r="AK3041" s="3">
        <v>16.98</v>
      </c>
      <c r="AL3041" s="3">
        <v>0</v>
      </c>
      <c r="AM3041" s="3">
        <v>0</v>
      </c>
      <c r="AN3041" s="3">
        <v>0</v>
      </c>
      <c r="AO3041" s="3">
        <v>0</v>
      </c>
      <c r="AP3041" s="3">
        <v>0</v>
      </c>
      <c r="AQ3041" s="3">
        <v>0</v>
      </c>
      <c r="AR3041" s="3">
        <v>0</v>
      </c>
      <c r="AS3041" s="3">
        <v>0</v>
      </c>
      <c r="AT3041" s="3">
        <v>0</v>
      </c>
      <c r="AU3041" s="3">
        <v>0</v>
      </c>
      <c r="AV3041" s="3">
        <v>0</v>
      </c>
      <c r="AW3041" s="3">
        <v>0</v>
      </c>
      <c r="AX3041" s="3">
        <v>0</v>
      </c>
      <c r="AY3041" s="3">
        <v>0</v>
      </c>
      <c r="AZ3041" s="3">
        <v>0</v>
      </c>
      <c r="BA3041" s="3">
        <v>0</v>
      </c>
      <c r="BB3041" s="3">
        <v>0</v>
      </c>
      <c r="BC3041" s="3">
        <v>0</v>
      </c>
      <c r="BD3041" s="3">
        <v>0</v>
      </c>
      <c r="BE3041" s="3">
        <v>0</v>
      </c>
      <c r="BF3041" s="3">
        <v>0</v>
      </c>
      <c r="BG3041" s="3">
        <v>0</v>
      </c>
      <c r="BH3041" s="3">
        <v>1</v>
      </c>
      <c r="BI3041" s="3">
        <v>1</v>
      </c>
      <c r="BJ3041" s="3">
        <v>0.2</v>
      </c>
      <c r="BK3041" s="3">
        <v>1</v>
      </c>
      <c r="BL3041" s="3">
        <v>60.52</v>
      </c>
      <c r="BM3041" s="3">
        <v>9.08</v>
      </c>
      <c r="BN3041" s="3">
        <v>69.599999999999994</v>
      </c>
      <c r="BO3041" s="3">
        <v>69.599999999999994</v>
      </c>
      <c r="BQ3041" s="3" t="s">
        <v>83</v>
      </c>
      <c r="BR3041" s="3" t="s">
        <v>308</v>
      </c>
      <c r="BS3041" s="4">
        <v>44565</v>
      </c>
      <c r="BT3041" s="5">
        <v>0.3756944444444445</v>
      </c>
      <c r="BU3041" s="3" t="s">
        <v>2790</v>
      </c>
      <c r="BV3041" s="3" t="s">
        <v>105</v>
      </c>
      <c r="BY3041" s="3">
        <v>1200</v>
      </c>
      <c r="BZ3041" s="3" t="s">
        <v>165</v>
      </c>
      <c r="CA3041" s="3" t="s">
        <v>615</v>
      </c>
      <c r="CC3041" s="3" t="s">
        <v>102</v>
      </c>
      <c r="CD3041" s="3">
        <v>4052</v>
      </c>
      <c r="CE3041" s="3" t="s">
        <v>93</v>
      </c>
      <c r="CF3041" s="4">
        <v>44565</v>
      </c>
      <c r="CI3041" s="3">
        <v>1</v>
      </c>
      <c r="CJ3041" s="3">
        <v>1</v>
      </c>
      <c r="CK3041" s="3">
        <v>21</v>
      </c>
      <c r="CL3041" s="3" t="s">
        <v>87</v>
      </c>
    </row>
    <row r="3042" spans="1:90" x14ac:dyDescent="0.2">
      <c r="A3042" s="3" t="s">
        <v>72</v>
      </c>
      <c r="B3042" s="3" t="s">
        <v>73</v>
      </c>
      <c r="C3042" s="3" t="s">
        <v>74</v>
      </c>
      <c r="E3042" s="3" t="str">
        <f>"FES1162843624"</f>
        <v>FES1162843624</v>
      </c>
      <c r="F3042" s="4">
        <v>44566</v>
      </c>
      <c r="G3042" s="3">
        <v>202207</v>
      </c>
      <c r="H3042" s="3" t="s">
        <v>75</v>
      </c>
      <c r="I3042" s="3" t="s">
        <v>76</v>
      </c>
      <c r="J3042" s="3" t="s">
        <v>77</v>
      </c>
      <c r="K3042" s="3" t="s">
        <v>78</v>
      </c>
      <c r="L3042" s="3" t="s">
        <v>97</v>
      </c>
      <c r="M3042" s="3" t="s">
        <v>98</v>
      </c>
      <c r="N3042" s="3" t="s">
        <v>1408</v>
      </c>
      <c r="O3042" s="3" t="s">
        <v>82</v>
      </c>
      <c r="P3042" s="3" t="str">
        <f>"2170815701                    "</f>
        <v xml:space="preserve">2170815701                    </v>
      </c>
      <c r="Q3042" s="3">
        <v>0</v>
      </c>
      <c r="R3042" s="3">
        <v>0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  <c r="AE3042" s="3">
        <v>0</v>
      </c>
      <c r="AF3042" s="3">
        <v>0</v>
      </c>
      <c r="AG3042" s="3">
        <v>0</v>
      </c>
      <c r="AH3042" s="3">
        <v>0</v>
      </c>
      <c r="AI3042" s="3">
        <v>0</v>
      </c>
      <c r="AJ3042" s="3">
        <v>0</v>
      </c>
      <c r="AK3042" s="3">
        <v>12.07</v>
      </c>
      <c r="AL3042" s="3">
        <v>0</v>
      </c>
      <c r="AM3042" s="3">
        <v>0</v>
      </c>
      <c r="AN3042" s="3">
        <v>0</v>
      </c>
      <c r="AO3042" s="3">
        <v>0</v>
      </c>
      <c r="AP3042" s="3">
        <v>0</v>
      </c>
      <c r="AQ3042" s="3">
        <v>0</v>
      </c>
      <c r="AR3042" s="3">
        <v>0</v>
      </c>
      <c r="AS3042" s="3">
        <v>0</v>
      </c>
      <c r="AT3042" s="3">
        <v>0</v>
      </c>
      <c r="AU3042" s="3">
        <v>0</v>
      </c>
      <c r="AV3042" s="3">
        <v>0</v>
      </c>
      <c r="AW3042" s="3">
        <v>0</v>
      </c>
      <c r="AX3042" s="3">
        <v>0</v>
      </c>
      <c r="AY3042" s="3">
        <v>0</v>
      </c>
      <c r="AZ3042" s="3">
        <v>0</v>
      </c>
      <c r="BA3042" s="3">
        <v>0</v>
      </c>
      <c r="BB3042" s="3">
        <v>0</v>
      </c>
      <c r="BC3042" s="3">
        <v>0</v>
      </c>
      <c r="BD3042" s="3">
        <v>0</v>
      </c>
      <c r="BE3042" s="3">
        <v>0</v>
      </c>
      <c r="BF3042" s="3">
        <v>0</v>
      </c>
      <c r="BG3042" s="3">
        <v>0</v>
      </c>
      <c r="BH3042" s="3">
        <v>1</v>
      </c>
      <c r="BI3042" s="3">
        <v>1</v>
      </c>
      <c r="BJ3042" s="3">
        <v>0.2</v>
      </c>
      <c r="BK3042" s="3">
        <v>1</v>
      </c>
      <c r="BL3042" s="3">
        <v>46.08</v>
      </c>
      <c r="BM3042" s="3">
        <v>6.91</v>
      </c>
      <c r="BN3042" s="3">
        <v>52.99</v>
      </c>
      <c r="BO3042" s="3">
        <v>52.99</v>
      </c>
      <c r="BR3042" s="3" t="s">
        <v>364</v>
      </c>
      <c r="BS3042" s="4">
        <v>44567</v>
      </c>
      <c r="BT3042" s="5">
        <v>0.43541666666666662</v>
      </c>
      <c r="BU3042" s="3" t="s">
        <v>2791</v>
      </c>
      <c r="BV3042" s="3" t="s">
        <v>105</v>
      </c>
      <c r="BY3042" s="3">
        <v>1200</v>
      </c>
      <c r="BZ3042" s="3" t="s">
        <v>165</v>
      </c>
      <c r="CA3042" s="3" t="s">
        <v>952</v>
      </c>
      <c r="CC3042" s="3" t="s">
        <v>98</v>
      </c>
      <c r="CD3042" s="3">
        <v>2049</v>
      </c>
      <c r="CE3042" s="3" t="s">
        <v>93</v>
      </c>
      <c r="CF3042" s="4">
        <v>44568</v>
      </c>
      <c r="CI3042" s="3">
        <v>1</v>
      </c>
      <c r="CJ3042" s="3">
        <v>1</v>
      </c>
      <c r="CK3042" s="3">
        <v>22</v>
      </c>
      <c r="CL3042" s="3" t="s">
        <v>87</v>
      </c>
    </row>
    <row r="3043" spans="1:90" x14ac:dyDescent="0.2">
      <c r="A3043" s="3" t="s">
        <v>72</v>
      </c>
      <c r="B3043" s="3" t="s">
        <v>73</v>
      </c>
      <c r="C3043" s="3" t="s">
        <v>74</v>
      </c>
      <c r="E3043" s="3" t="str">
        <f>"FES1162843999"</f>
        <v>FES1162843999</v>
      </c>
      <c r="F3043" s="4">
        <v>44567</v>
      </c>
      <c r="G3043" s="3">
        <v>202207</v>
      </c>
      <c r="H3043" s="3" t="s">
        <v>75</v>
      </c>
      <c r="I3043" s="3" t="s">
        <v>76</v>
      </c>
      <c r="J3043" s="3" t="s">
        <v>77</v>
      </c>
      <c r="K3043" s="3" t="s">
        <v>78</v>
      </c>
      <c r="L3043" s="3" t="s">
        <v>97</v>
      </c>
      <c r="M3043" s="3" t="s">
        <v>98</v>
      </c>
      <c r="N3043" s="3" t="s">
        <v>1068</v>
      </c>
      <c r="O3043" s="3" t="s">
        <v>82</v>
      </c>
      <c r="P3043" s="3" t="str">
        <f>"2170815729                    "</f>
        <v xml:space="preserve">2170815729                    </v>
      </c>
      <c r="Q3043" s="3">
        <v>0</v>
      </c>
      <c r="R3043" s="3">
        <v>0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  <c r="AE3043" s="3">
        <v>0</v>
      </c>
      <c r="AF3043" s="3">
        <v>0</v>
      </c>
      <c r="AG3043" s="3">
        <v>0</v>
      </c>
      <c r="AH3043" s="3">
        <v>0</v>
      </c>
      <c r="AI3043" s="3">
        <v>0</v>
      </c>
      <c r="AJ3043" s="3">
        <v>0</v>
      </c>
      <c r="AK3043" s="3">
        <v>12.07</v>
      </c>
      <c r="AL3043" s="3">
        <v>0</v>
      </c>
      <c r="AM3043" s="3">
        <v>0</v>
      </c>
      <c r="AN3043" s="3">
        <v>0</v>
      </c>
      <c r="AO3043" s="3">
        <v>0</v>
      </c>
      <c r="AP3043" s="3">
        <v>0</v>
      </c>
      <c r="AQ3043" s="3">
        <v>0</v>
      </c>
      <c r="AR3043" s="3">
        <v>0</v>
      </c>
      <c r="AS3043" s="3">
        <v>0</v>
      </c>
      <c r="AT3043" s="3">
        <v>0</v>
      </c>
      <c r="AU3043" s="3">
        <v>0</v>
      </c>
      <c r="AV3043" s="3">
        <v>0</v>
      </c>
      <c r="AW3043" s="3">
        <v>0</v>
      </c>
      <c r="AX3043" s="3">
        <v>0</v>
      </c>
      <c r="AY3043" s="3">
        <v>0</v>
      </c>
      <c r="AZ3043" s="3">
        <v>0</v>
      </c>
      <c r="BA3043" s="3">
        <v>0</v>
      </c>
      <c r="BB3043" s="3">
        <v>0</v>
      </c>
      <c r="BC3043" s="3">
        <v>0</v>
      </c>
      <c r="BD3043" s="3">
        <v>0</v>
      </c>
      <c r="BE3043" s="3">
        <v>0</v>
      </c>
      <c r="BF3043" s="3">
        <v>0</v>
      </c>
      <c r="BG3043" s="3">
        <v>0</v>
      </c>
      <c r="BH3043" s="3">
        <v>1</v>
      </c>
      <c r="BI3043" s="3">
        <v>1</v>
      </c>
      <c r="BJ3043" s="3">
        <v>0.2</v>
      </c>
      <c r="BK3043" s="3">
        <v>1</v>
      </c>
      <c r="BL3043" s="3">
        <v>46.08</v>
      </c>
      <c r="BM3043" s="3">
        <v>6.91</v>
      </c>
      <c r="BN3043" s="3">
        <v>52.99</v>
      </c>
      <c r="BO3043" s="3">
        <v>52.99</v>
      </c>
      <c r="BR3043" s="3" t="s">
        <v>364</v>
      </c>
      <c r="BS3043" s="4">
        <v>44568</v>
      </c>
      <c r="BT3043" s="5">
        <v>0.55138888888888882</v>
      </c>
      <c r="BU3043" s="3" t="s">
        <v>2792</v>
      </c>
      <c r="BV3043" s="3" t="s">
        <v>87</v>
      </c>
      <c r="BW3043" s="3" t="s">
        <v>353</v>
      </c>
      <c r="BX3043" s="3" t="s">
        <v>377</v>
      </c>
      <c r="BY3043" s="3">
        <v>1200</v>
      </c>
      <c r="BZ3043" s="3" t="s">
        <v>165</v>
      </c>
      <c r="CA3043" s="3" t="s">
        <v>952</v>
      </c>
      <c r="CC3043" s="3" t="s">
        <v>98</v>
      </c>
      <c r="CD3043" s="3">
        <v>2013</v>
      </c>
      <c r="CE3043" s="3" t="s">
        <v>93</v>
      </c>
      <c r="CF3043" s="4">
        <v>44568</v>
      </c>
      <c r="CI3043" s="3">
        <v>1</v>
      </c>
      <c r="CJ3043" s="3">
        <v>1</v>
      </c>
      <c r="CK3043" s="3">
        <v>22</v>
      </c>
      <c r="CL3043" s="3" t="s">
        <v>87</v>
      </c>
    </row>
    <row r="3044" spans="1:90" x14ac:dyDescent="0.2">
      <c r="A3044" s="3" t="s">
        <v>72</v>
      </c>
      <c r="B3044" s="3" t="s">
        <v>73</v>
      </c>
      <c r="C3044" s="3" t="s">
        <v>74</v>
      </c>
      <c r="E3044" s="3" t="str">
        <f>"FES1162843942"</f>
        <v>FES1162843942</v>
      </c>
      <c r="F3044" s="4">
        <v>44567</v>
      </c>
      <c r="G3044" s="3">
        <v>202207</v>
      </c>
      <c r="H3044" s="3" t="s">
        <v>75</v>
      </c>
      <c r="I3044" s="3" t="s">
        <v>76</v>
      </c>
      <c r="J3044" s="3" t="s">
        <v>77</v>
      </c>
      <c r="K3044" s="3" t="s">
        <v>78</v>
      </c>
      <c r="L3044" s="3" t="s">
        <v>171</v>
      </c>
      <c r="M3044" s="3" t="s">
        <v>172</v>
      </c>
      <c r="N3044" s="3" t="s">
        <v>454</v>
      </c>
      <c r="O3044" s="3" t="s">
        <v>82</v>
      </c>
      <c r="P3044" s="3" t="str">
        <f>"2170813778                    "</f>
        <v xml:space="preserve">2170813778                    </v>
      </c>
      <c r="Q3044" s="3">
        <v>0</v>
      </c>
      <c r="R3044" s="3">
        <v>0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  <c r="AE3044" s="3">
        <v>0</v>
      </c>
      <c r="AF3044" s="3">
        <v>0</v>
      </c>
      <c r="AG3044" s="3">
        <v>0</v>
      </c>
      <c r="AH3044" s="3">
        <v>0</v>
      </c>
      <c r="AI3044" s="3">
        <v>0</v>
      </c>
      <c r="AJ3044" s="3">
        <v>0</v>
      </c>
      <c r="AK3044" s="3">
        <v>15.46</v>
      </c>
      <c r="AL3044" s="3">
        <v>0</v>
      </c>
      <c r="AM3044" s="3">
        <v>0</v>
      </c>
      <c r="AN3044" s="3">
        <v>0</v>
      </c>
      <c r="AO3044" s="3">
        <v>0</v>
      </c>
      <c r="AP3044" s="3">
        <v>0</v>
      </c>
      <c r="AQ3044" s="3">
        <v>0</v>
      </c>
      <c r="AR3044" s="3">
        <v>0</v>
      </c>
      <c r="AS3044" s="3">
        <v>0</v>
      </c>
      <c r="AT3044" s="3">
        <v>0</v>
      </c>
      <c r="AU3044" s="3">
        <v>0</v>
      </c>
      <c r="AV3044" s="3">
        <v>0</v>
      </c>
      <c r="AW3044" s="3">
        <v>0</v>
      </c>
      <c r="AX3044" s="3">
        <v>0</v>
      </c>
      <c r="AY3044" s="3">
        <v>0</v>
      </c>
      <c r="AZ3044" s="3">
        <v>0</v>
      </c>
      <c r="BA3044" s="3">
        <v>0</v>
      </c>
      <c r="BB3044" s="3">
        <v>0</v>
      </c>
      <c r="BC3044" s="3">
        <v>0</v>
      </c>
      <c r="BD3044" s="3">
        <v>0</v>
      </c>
      <c r="BE3044" s="3">
        <v>0</v>
      </c>
      <c r="BF3044" s="3">
        <v>0</v>
      </c>
      <c r="BG3044" s="3">
        <v>0</v>
      </c>
      <c r="BH3044" s="3">
        <v>1</v>
      </c>
      <c r="BI3044" s="3">
        <v>1</v>
      </c>
      <c r="BJ3044" s="3">
        <v>0.2</v>
      </c>
      <c r="BK3044" s="3">
        <v>1</v>
      </c>
      <c r="BL3044" s="3">
        <v>59</v>
      </c>
      <c r="BM3044" s="3">
        <v>8.85</v>
      </c>
      <c r="BN3044" s="3">
        <v>67.849999999999994</v>
      </c>
      <c r="BO3044" s="3">
        <v>67.849999999999994</v>
      </c>
      <c r="BQ3044" s="3" t="s">
        <v>89</v>
      </c>
      <c r="BR3044" s="3" t="s">
        <v>364</v>
      </c>
      <c r="BS3044" s="4">
        <v>44568</v>
      </c>
      <c r="BT3044" s="5">
        <v>0.50416666666666665</v>
      </c>
      <c r="BU3044" s="3" t="s">
        <v>1989</v>
      </c>
      <c r="BV3044" s="3" t="s">
        <v>87</v>
      </c>
      <c r="BW3044" s="3" t="s">
        <v>457</v>
      </c>
      <c r="BX3044" s="3" t="s">
        <v>279</v>
      </c>
      <c r="BY3044" s="3">
        <v>1200</v>
      </c>
      <c r="BZ3044" s="3" t="s">
        <v>165</v>
      </c>
      <c r="CA3044" s="3" t="s">
        <v>509</v>
      </c>
      <c r="CC3044" s="3" t="s">
        <v>172</v>
      </c>
      <c r="CD3044" s="3">
        <v>6001</v>
      </c>
      <c r="CE3044" s="3" t="s">
        <v>93</v>
      </c>
      <c r="CF3044" s="4">
        <v>44571</v>
      </c>
      <c r="CI3044" s="3">
        <v>1</v>
      </c>
      <c r="CJ3044" s="3">
        <v>1</v>
      </c>
      <c r="CK3044" s="3">
        <v>21</v>
      </c>
      <c r="CL3044" s="3" t="s">
        <v>87</v>
      </c>
    </row>
    <row r="3045" spans="1:90" x14ac:dyDescent="0.2">
      <c r="A3045" s="3" t="s">
        <v>72</v>
      </c>
      <c r="B3045" s="3" t="s">
        <v>73</v>
      </c>
      <c r="C3045" s="3" t="s">
        <v>74</v>
      </c>
      <c r="E3045" s="3" t="str">
        <f>"FES1162843982"</f>
        <v>FES1162843982</v>
      </c>
      <c r="F3045" s="4">
        <v>44567</v>
      </c>
      <c r="G3045" s="3">
        <v>202207</v>
      </c>
      <c r="H3045" s="3" t="s">
        <v>75</v>
      </c>
      <c r="I3045" s="3" t="s">
        <v>76</v>
      </c>
      <c r="J3045" s="3" t="s">
        <v>77</v>
      </c>
      <c r="K3045" s="3" t="s">
        <v>78</v>
      </c>
      <c r="L3045" s="3" t="s">
        <v>90</v>
      </c>
      <c r="M3045" s="3" t="s">
        <v>91</v>
      </c>
      <c r="N3045" s="3" t="s">
        <v>735</v>
      </c>
      <c r="O3045" s="3" t="s">
        <v>82</v>
      </c>
      <c r="P3045" s="3" t="str">
        <f>"2170815107                    "</f>
        <v xml:space="preserve">2170815107                    </v>
      </c>
      <c r="Q3045" s="3">
        <v>0</v>
      </c>
      <c r="R3045" s="3">
        <v>0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  <c r="AE3045" s="3">
        <v>0</v>
      </c>
      <c r="AF3045" s="3">
        <v>0</v>
      </c>
      <c r="AG3045" s="3">
        <v>0</v>
      </c>
      <c r="AH3045" s="3">
        <v>0</v>
      </c>
      <c r="AI3045" s="3">
        <v>0</v>
      </c>
      <c r="AJ3045" s="3">
        <v>0</v>
      </c>
      <c r="AK3045" s="3">
        <v>15.46</v>
      </c>
      <c r="AL3045" s="3">
        <v>0</v>
      </c>
      <c r="AM3045" s="3">
        <v>0</v>
      </c>
      <c r="AN3045" s="3">
        <v>0</v>
      </c>
      <c r="AO3045" s="3">
        <v>0</v>
      </c>
      <c r="AP3045" s="3">
        <v>0</v>
      </c>
      <c r="AQ3045" s="3">
        <v>0</v>
      </c>
      <c r="AR3045" s="3">
        <v>0</v>
      </c>
      <c r="AS3045" s="3">
        <v>0</v>
      </c>
      <c r="AT3045" s="3">
        <v>0</v>
      </c>
      <c r="AU3045" s="3">
        <v>0</v>
      </c>
      <c r="AV3045" s="3">
        <v>0</v>
      </c>
      <c r="AW3045" s="3">
        <v>0</v>
      </c>
      <c r="AX3045" s="3">
        <v>0</v>
      </c>
      <c r="AY3045" s="3">
        <v>0</v>
      </c>
      <c r="AZ3045" s="3">
        <v>0</v>
      </c>
      <c r="BA3045" s="3">
        <v>0</v>
      </c>
      <c r="BB3045" s="3">
        <v>0</v>
      </c>
      <c r="BC3045" s="3">
        <v>0</v>
      </c>
      <c r="BD3045" s="3">
        <v>0</v>
      </c>
      <c r="BE3045" s="3">
        <v>0</v>
      </c>
      <c r="BF3045" s="3">
        <v>0</v>
      </c>
      <c r="BG3045" s="3">
        <v>0</v>
      </c>
      <c r="BH3045" s="3">
        <v>1</v>
      </c>
      <c r="BI3045" s="3">
        <v>1</v>
      </c>
      <c r="BJ3045" s="3">
        <v>0.2</v>
      </c>
      <c r="BK3045" s="3">
        <v>1</v>
      </c>
      <c r="BL3045" s="3">
        <v>59</v>
      </c>
      <c r="BM3045" s="3">
        <v>8.85</v>
      </c>
      <c r="BN3045" s="3">
        <v>67.849999999999994</v>
      </c>
      <c r="BO3045" s="3">
        <v>67.849999999999994</v>
      </c>
      <c r="BQ3045" s="3" t="s">
        <v>273</v>
      </c>
      <c r="BR3045" s="3" t="s">
        <v>364</v>
      </c>
      <c r="BS3045" s="4">
        <v>44568</v>
      </c>
      <c r="BT3045" s="5">
        <v>0.34791666666666665</v>
      </c>
      <c r="BU3045" s="3" t="s">
        <v>2793</v>
      </c>
      <c r="BV3045" s="3" t="s">
        <v>105</v>
      </c>
      <c r="BY3045" s="3">
        <v>1200</v>
      </c>
      <c r="BZ3045" s="3" t="s">
        <v>165</v>
      </c>
      <c r="CA3045" s="3" t="s">
        <v>566</v>
      </c>
      <c r="CC3045" s="3" t="s">
        <v>91</v>
      </c>
      <c r="CD3045" s="3">
        <v>7460</v>
      </c>
      <c r="CE3045" s="3" t="s">
        <v>93</v>
      </c>
      <c r="CF3045" s="4">
        <v>44571</v>
      </c>
      <c r="CI3045" s="3">
        <v>1</v>
      </c>
      <c r="CJ3045" s="3">
        <v>1</v>
      </c>
      <c r="CK3045" s="3">
        <v>21</v>
      </c>
      <c r="CL3045" s="3" t="s">
        <v>87</v>
      </c>
    </row>
    <row r="3046" spans="1:90" x14ac:dyDescent="0.2">
      <c r="A3046" s="3" t="s">
        <v>72</v>
      </c>
      <c r="B3046" s="3" t="s">
        <v>73</v>
      </c>
      <c r="C3046" s="3" t="s">
        <v>74</v>
      </c>
      <c r="E3046" s="3" t="str">
        <f>"FES1162843750"</f>
        <v>FES1162843750</v>
      </c>
      <c r="F3046" s="4">
        <v>44567</v>
      </c>
      <c r="G3046" s="3">
        <v>202207</v>
      </c>
      <c r="H3046" s="3" t="s">
        <v>75</v>
      </c>
      <c r="I3046" s="3" t="s">
        <v>76</v>
      </c>
      <c r="J3046" s="3" t="s">
        <v>77</v>
      </c>
      <c r="K3046" s="3" t="s">
        <v>78</v>
      </c>
      <c r="L3046" s="3" t="s">
        <v>171</v>
      </c>
      <c r="M3046" s="3" t="s">
        <v>172</v>
      </c>
      <c r="N3046" s="3" t="s">
        <v>235</v>
      </c>
      <c r="O3046" s="3" t="s">
        <v>148</v>
      </c>
      <c r="P3046" s="3" t="str">
        <f>"2170814235                    "</f>
        <v xml:space="preserve">2170814235                    </v>
      </c>
      <c r="Q3046" s="3">
        <v>0</v>
      </c>
      <c r="R3046" s="3">
        <v>0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  <c r="AE3046" s="3">
        <v>0</v>
      </c>
      <c r="AF3046" s="3">
        <v>0</v>
      </c>
      <c r="AG3046" s="3">
        <v>0</v>
      </c>
      <c r="AH3046" s="3">
        <v>0</v>
      </c>
      <c r="AI3046" s="3">
        <v>0</v>
      </c>
      <c r="AJ3046" s="3">
        <v>0</v>
      </c>
      <c r="AK3046" s="3">
        <v>36.049999999999997</v>
      </c>
      <c r="AL3046" s="3">
        <v>0</v>
      </c>
      <c r="AM3046" s="3">
        <v>0</v>
      </c>
      <c r="AN3046" s="3">
        <v>0</v>
      </c>
      <c r="AO3046" s="3">
        <v>0</v>
      </c>
      <c r="AP3046" s="3">
        <v>0</v>
      </c>
      <c r="AQ3046" s="3">
        <v>0</v>
      </c>
      <c r="AR3046" s="3">
        <v>0</v>
      </c>
      <c r="AS3046" s="3">
        <v>0</v>
      </c>
      <c r="AT3046" s="3">
        <v>0</v>
      </c>
      <c r="AU3046" s="3">
        <v>0</v>
      </c>
      <c r="AV3046" s="3">
        <v>0</v>
      </c>
      <c r="AW3046" s="3">
        <v>0</v>
      </c>
      <c r="AX3046" s="3">
        <v>0</v>
      </c>
      <c r="AY3046" s="3">
        <v>0</v>
      </c>
      <c r="AZ3046" s="3">
        <v>0</v>
      </c>
      <c r="BA3046" s="3">
        <v>0</v>
      </c>
      <c r="BB3046" s="3">
        <v>0</v>
      </c>
      <c r="BC3046" s="3">
        <v>0</v>
      </c>
      <c r="BD3046" s="3">
        <v>0</v>
      </c>
      <c r="BE3046" s="3">
        <v>0</v>
      </c>
      <c r="BF3046" s="3">
        <v>0</v>
      </c>
      <c r="BG3046" s="3">
        <v>0</v>
      </c>
      <c r="BH3046" s="3">
        <v>1</v>
      </c>
      <c r="BI3046" s="3">
        <v>20</v>
      </c>
      <c r="BJ3046" s="3">
        <v>13.7</v>
      </c>
      <c r="BK3046" s="3">
        <v>20</v>
      </c>
      <c r="BL3046" s="3">
        <v>142.85</v>
      </c>
      <c r="BM3046" s="3">
        <v>21.43</v>
      </c>
      <c r="BN3046" s="3">
        <v>164.28</v>
      </c>
      <c r="BO3046" s="3">
        <v>164.28</v>
      </c>
      <c r="BQ3046" s="3" t="s">
        <v>89</v>
      </c>
      <c r="BR3046" s="3" t="s">
        <v>364</v>
      </c>
      <c r="BS3046" s="4">
        <v>44571</v>
      </c>
      <c r="BT3046" s="5">
        <v>0.39444444444444443</v>
      </c>
      <c r="BU3046" s="3" t="s">
        <v>2557</v>
      </c>
      <c r="BV3046" s="3" t="s">
        <v>105</v>
      </c>
      <c r="BY3046" s="3">
        <v>68400</v>
      </c>
      <c r="BZ3046" s="3" t="s">
        <v>327</v>
      </c>
      <c r="CA3046" s="3" t="s">
        <v>263</v>
      </c>
      <c r="CC3046" s="3" t="s">
        <v>172</v>
      </c>
      <c r="CD3046" s="3">
        <v>6001</v>
      </c>
      <c r="CE3046" s="3" t="s">
        <v>86</v>
      </c>
      <c r="CF3046" s="4">
        <v>44572</v>
      </c>
      <c r="CI3046" s="3">
        <v>2</v>
      </c>
      <c r="CJ3046" s="3">
        <v>2</v>
      </c>
      <c r="CK3046" s="3">
        <v>41</v>
      </c>
      <c r="CL3046" s="3" t="s">
        <v>87</v>
      </c>
    </row>
    <row r="3047" spans="1:90" x14ac:dyDescent="0.2">
      <c r="A3047" s="3" t="s">
        <v>72</v>
      </c>
      <c r="B3047" s="3" t="s">
        <v>73</v>
      </c>
      <c r="C3047" s="3" t="s">
        <v>74</v>
      </c>
      <c r="E3047" s="3" t="str">
        <f>"FES1162843726"</f>
        <v>FES1162843726</v>
      </c>
      <c r="F3047" s="4">
        <v>44567</v>
      </c>
      <c r="G3047" s="3">
        <v>202207</v>
      </c>
      <c r="H3047" s="3" t="s">
        <v>75</v>
      </c>
      <c r="I3047" s="3" t="s">
        <v>76</v>
      </c>
      <c r="J3047" s="3" t="s">
        <v>77</v>
      </c>
      <c r="K3047" s="3" t="s">
        <v>78</v>
      </c>
      <c r="L3047" s="3" t="s">
        <v>90</v>
      </c>
      <c r="M3047" s="3" t="s">
        <v>91</v>
      </c>
      <c r="N3047" s="3" t="s">
        <v>577</v>
      </c>
      <c r="O3047" s="3" t="s">
        <v>82</v>
      </c>
      <c r="P3047" s="3" t="str">
        <f>"2170813269                    "</f>
        <v xml:space="preserve">2170813269                    </v>
      </c>
      <c r="Q3047" s="3">
        <v>0</v>
      </c>
      <c r="R3047" s="3">
        <v>0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  <c r="AE3047" s="3">
        <v>0</v>
      </c>
      <c r="AF3047" s="3">
        <v>0</v>
      </c>
      <c r="AG3047" s="3">
        <v>0</v>
      </c>
      <c r="AH3047" s="3">
        <v>0</v>
      </c>
      <c r="AI3047" s="3">
        <v>0</v>
      </c>
      <c r="AJ3047" s="3">
        <v>0</v>
      </c>
      <c r="AK3047" s="3">
        <v>77.260000000000005</v>
      </c>
      <c r="AL3047" s="3">
        <v>0</v>
      </c>
      <c r="AM3047" s="3">
        <v>0</v>
      </c>
      <c r="AN3047" s="3">
        <v>0</v>
      </c>
      <c r="AO3047" s="3">
        <v>0</v>
      </c>
      <c r="AP3047" s="3">
        <v>0</v>
      </c>
      <c r="AQ3047" s="3">
        <v>0</v>
      </c>
      <c r="AR3047" s="3">
        <v>0</v>
      </c>
      <c r="AS3047" s="3">
        <v>0</v>
      </c>
      <c r="AT3047" s="3">
        <v>0</v>
      </c>
      <c r="AU3047" s="3">
        <v>0</v>
      </c>
      <c r="AV3047" s="3">
        <v>0</v>
      </c>
      <c r="AW3047" s="3">
        <v>0</v>
      </c>
      <c r="AX3047" s="3">
        <v>0</v>
      </c>
      <c r="AY3047" s="3">
        <v>0</v>
      </c>
      <c r="AZ3047" s="3">
        <v>0</v>
      </c>
      <c r="BA3047" s="3">
        <v>0</v>
      </c>
      <c r="BB3047" s="3">
        <v>0</v>
      </c>
      <c r="BC3047" s="3">
        <v>0</v>
      </c>
      <c r="BD3047" s="3">
        <v>0</v>
      </c>
      <c r="BE3047" s="3">
        <v>0</v>
      </c>
      <c r="BF3047" s="3">
        <v>0</v>
      </c>
      <c r="BG3047" s="3">
        <v>0</v>
      </c>
      <c r="BH3047" s="3">
        <v>1</v>
      </c>
      <c r="BI3047" s="3">
        <v>10</v>
      </c>
      <c r="BJ3047" s="3">
        <v>4.0999999999999996</v>
      </c>
      <c r="BK3047" s="3">
        <v>10</v>
      </c>
      <c r="BL3047" s="3">
        <v>294.88</v>
      </c>
      <c r="BM3047" s="3">
        <v>44.23</v>
      </c>
      <c r="BN3047" s="3">
        <v>339.11</v>
      </c>
      <c r="BO3047" s="3">
        <v>339.11</v>
      </c>
      <c r="BQ3047" s="3" t="s">
        <v>126</v>
      </c>
      <c r="BR3047" s="3" t="s">
        <v>364</v>
      </c>
      <c r="BS3047" s="4">
        <v>44568</v>
      </c>
      <c r="BT3047" s="5">
        <v>0.39513888888888887</v>
      </c>
      <c r="BU3047" s="3" t="s">
        <v>578</v>
      </c>
      <c r="BV3047" s="3" t="s">
        <v>105</v>
      </c>
      <c r="BY3047" s="3">
        <v>20358</v>
      </c>
      <c r="BZ3047" s="3" t="s">
        <v>165</v>
      </c>
      <c r="CA3047" s="3" t="s">
        <v>271</v>
      </c>
      <c r="CC3047" s="3" t="s">
        <v>91</v>
      </c>
      <c r="CD3047" s="3">
        <v>7441</v>
      </c>
      <c r="CE3047" s="3" t="s">
        <v>86</v>
      </c>
      <c r="CF3047" s="4">
        <v>44571</v>
      </c>
      <c r="CI3047" s="3">
        <v>1</v>
      </c>
      <c r="CJ3047" s="3">
        <v>1</v>
      </c>
      <c r="CK3047" s="3">
        <v>21</v>
      </c>
      <c r="CL3047" s="3" t="s">
        <v>87</v>
      </c>
    </row>
    <row r="3048" spans="1:90" x14ac:dyDescent="0.2">
      <c r="A3048" s="3" t="s">
        <v>72</v>
      </c>
      <c r="B3048" s="3" t="s">
        <v>73</v>
      </c>
      <c r="C3048" s="3" t="s">
        <v>74</v>
      </c>
      <c r="E3048" s="3" t="str">
        <f>"FES1162843748"</f>
        <v>FES1162843748</v>
      </c>
      <c r="F3048" s="4">
        <v>44567</v>
      </c>
      <c r="G3048" s="3">
        <v>202207</v>
      </c>
      <c r="H3048" s="3" t="s">
        <v>75</v>
      </c>
      <c r="I3048" s="3" t="s">
        <v>76</v>
      </c>
      <c r="J3048" s="3" t="s">
        <v>77</v>
      </c>
      <c r="K3048" s="3" t="s">
        <v>78</v>
      </c>
      <c r="L3048" s="3" t="s">
        <v>101</v>
      </c>
      <c r="M3048" s="3" t="s">
        <v>102</v>
      </c>
      <c r="N3048" s="3" t="s">
        <v>2794</v>
      </c>
      <c r="O3048" s="3" t="s">
        <v>82</v>
      </c>
      <c r="P3048" s="3" t="str">
        <f>"2170814224                    "</f>
        <v xml:space="preserve">2170814224                    </v>
      </c>
      <c r="Q3048" s="3">
        <v>0</v>
      </c>
      <c r="R3048" s="3">
        <v>0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  <c r="AE3048" s="3">
        <v>0</v>
      </c>
      <c r="AF3048" s="3">
        <v>0</v>
      </c>
      <c r="AG3048" s="3">
        <v>0</v>
      </c>
      <c r="AH3048" s="3">
        <v>0</v>
      </c>
      <c r="AI3048" s="3">
        <v>0</v>
      </c>
      <c r="AJ3048" s="3">
        <v>0</v>
      </c>
      <c r="AK3048" s="3">
        <v>15.46</v>
      </c>
      <c r="AL3048" s="3">
        <v>0</v>
      </c>
      <c r="AM3048" s="3">
        <v>0</v>
      </c>
      <c r="AN3048" s="3">
        <v>0</v>
      </c>
      <c r="AO3048" s="3">
        <v>0</v>
      </c>
      <c r="AP3048" s="3">
        <v>0</v>
      </c>
      <c r="AQ3048" s="3">
        <v>0</v>
      </c>
      <c r="AR3048" s="3">
        <v>0</v>
      </c>
      <c r="AS3048" s="3">
        <v>0</v>
      </c>
      <c r="AT3048" s="3">
        <v>0</v>
      </c>
      <c r="AU3048" s="3">
        <v>0</v>
      </c>
      <c r="AV3048" s="3">
        <v>0</v>
      </c>
      <c r="AW3048" s="3">
        <v>0</v>
      </c>
      <c r="AX3048" s="3">
        <v>0</v>
      </c>
      <c r="AY3048" s="3">
        <v>0</v>
      </c>
      <c r="AZ3048" s="3">
        <v>0</v>
      </c>
      <c r="BA3048" s="3">
        <v>0</v>
      </c>
      <c r="BB3048" s="3">
        <v>0</v>
      </c>
      <c r="BC3048" s="3">
        <v>0</v>
      </c>
      <c r="BD3048" s="3">
        <v>0</v>
      </c>
      <c r="BE3048" s="3">
        <v>0</v>
      </c>
      <c r="BF3048" s="3">
        <v>0</v>
      </c>
      <c r="BG3048" s="3">
        <v>0</v>
      </c>
      <c r="BH3048" s="3">
        <v>1</v>
      </c>
      <c r="BI3048" s="3">
        <v>1</v>
      </c>
      <c r="BJ3048" s="3">
        <v>2</v>
      </c>
      <c r="BK3048" s="3">
        <v>2</v>
      </c>
      <c r="BL3048" s="3">
        <v>59</v>
      </c>
      <c r="BM3048" s="3">
        <v>8.85</v>
      </c>
      <c r="BN3048" s="3">
        <v>67.849999999999994</v>
      </c>
      <c r="BO3048" s="3">
        <v>67.849999999999994</v>
      </c>
      <c r="BQ3048" s="3" t="s">
        <v>2795</v>
      </c>
      <c r="BR3048" s="3" t="s">
        <v>364</v>
      </c>
      <c r="BS3048" s="4">
        <v>44568</v>
      </c>
      <c r="BT3048" s="5">
        <v>0.41666666666666669</v>
      </c>
      <c r="BU3048" s="3" t="s">
        <v>2796</v>
      </c>
      <c r="BV3048" s="3" t="s">
        <v>105</v>
      </c>
      <c r="BY3048" s="3">
        <v>9900</v>
      </c>
      <c r="BZ3048" s="3" t="s">
        <v>165</v>
      </c>
      <c r="CC3048" s="3" t="s">
        <v>102</v>
      </c>
      <c r="CD3048" s="3">
        <v>4052</v>
      </c>
      <c r="CE3048" s="3" t="s">
        <v>86</v>
      </c>
      <c r="CF3048" s="4">
        <v>44568</v>
      </c>
      <c r="CI3048" s="3">
        <v>1</v>
      </c>
      <c r="CJ3048" s="3">
        <v>1</v>
      </c>
      <c r="CK3048" s="3">
        <v>21</v>
      </c>
      <c r="CL3048" s="3" t="s">
        <v>87</v>
      </c>
    </row>
    <row r="3049" spans="1:90" x14ac:dyDescent="0.2">
      <c r="A3049" s="3" t="s">
        <v>72</v>
      </c>
      <c r="B3049" s="3" t="s">
        <v>73</v>
      </c>
      <c r="C3049" s="3" t="s">
        <v>74</v>
      </c>
      <c r="E3049" s="3" t="str">
        <f>"FES1162842978"</f>
        <v>FES1162842978</v>
      </c>
      <c r="F3049" s="4">
        <v>44567</v>
      </c>
      <c r="G3049" s="3">
        <v>202207</v>
      </c>
      <c r="H3049" s="3" t="s">
        <v>75</v>
      </c>
      <c r="I3049" s="3" t="s">
        <v>76</v>
      </c>
      <c r="J3049" s="3" t="s">
        <v>77</v>
      </c>
      <c r="K3049" s="3" t="s">
        <v>78</v>
      </c>
      <c r="L3049" s="3" t="s">
        <v>162</v>
      </c>
      <c r="M3049" s="3" t="s">
        <v>163</v>
      </c>
      <c r="N3049" s="3" t="s">
        <v>2797</v>
      </c>
      <c r="O3049" s="3" t="s">
        <v>82</v>
      </c>
      <c r="P3049" s="3" t="str">
        <f>"2170813175                    "</f>
        <v xml:space="preserve">2170813175                    </v>
      </c>
      <c r="Q3049" s="3">
        <v>0</v>
      </c>
      <c r="R3049" s="3">
        <v>0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  <c r="AE3049" s="3">
        <v>0</v>
      </c>
      <c r="AF3049" s="3">
        <v>0</v>
      </c>
      <c r="AG3049" s="3">
        <v>0</v>
      </c>
      <c r="AH3049" s="3">
        <v>0</v>
      </c>
      <c r="AI3049" s="3">
        <v>0</v>
      </c>
      <c r="AJ3049" s="3">
        <v>0</v>
      </c>
      <c r="AK3049" s="3">
        <v>12.07</v>
      </c>
      <c r="AL3049" s="3">
        <v>0</v>
      </c>
      <c r="AM3049" s="3">
        <v>0</v>
      </c>
      <c r="AN3049" s="3">
        <v>0</v>
      </c>
      <c r="AO3049" s="3">
        <v>0</v>
      </c>
      <c r="AP3049" s="3">
        <v>0</v>
      </c>
      <c r="AQ3049" s="3">
        <v>0</v>
      </c>
      <c r="AR3049" s="3">
        <v>0</v>
      </c>
      <c r="AS3049" s="3">
        <v>0</v>
      </c>
      <c r="AT3049" s="3">
        <v>0</v>
      </c>
      <c r="AU3049" s="3">
        <v>0</v>
      </c>
      <c r="AV3049" s="3">
        <v>0</v>
      </c>
      <c r="AW3049" s="3">
        <v>0</v>
      </c>
      <c r="AX3049" s="3">
        <v>0</v>
      </c>
      <c r="AY3049" s="3">
        <v>0</v>
      </c>
      <c r="AZ3049" s="3">
        <v>0</v>
      </c>
      <c r="BA3049" s="3">
        <v>0</v>
      </c>
      <c r="BB3049" s="3">
        <v>0</v>
      </c>
      <c r="BC3049" s="3">
        <v>0</v>
      </c>
      <c r="BD3049" s="3">
        <v>0</v>
      </c>
      <c r="BE3049" s="3">
        <v>0</v>
      </c>
      <c r="BF3049" s="3">
        <v>0</v>
      </c>
      <c r="BG3049" s="3">
        <v>0</v>
      </c>
      <c r="BH3049" s="3">
        <v>1</v>
      </c>
      <c r="BI3049" s="3">
        <v>1</v>
      </c>
      <c r="BJ3049" s="3">
        <v>0.2</v>
      </c>
      <c r="BK3049" s="3">
        <v>1</v>
      </c>
      <c r="BL3049" s="3">
        <v>46.08</v>
      </c>
      <c r="BM3049" s="3">
        <v>6.91</v>
      </c>
      <c r="BN3049" s="3">
        <v>52.99</v>
      </c>
      <c r="BO3049" s="3">
        <v>52.99</v>
      </c>
      <c r="BQ3049" s="3" t="s">
        <v>2798</v>
      </c>
      <c r="BR3049" s="3" t="s">
        <v>364</v>
      </c>
      <c r="BS3049" s="4">
        <v>44568</v>
      </c>
      <c r="BT3049" s="5">
        <v>0.39097222222222222</v>
      </c>
      <c r="BU3049" s="3" t="s">
        <v>2799</v>
      </c>
      <c r="BV3049" s="3" t="s">
        <v>105</v>
      </c>
      <c r="BY3049" s="3">
        <v>1200</v>
      </c>
      <c r="BZ3049" s="3" t="s">
        <v>165</v>
      </c>
      <c r="CA3049" s="3" t="s">
        <v>2671</v>
      </c>
      <c r="CC3049" s="3" t="s">
        <v>163</v>
      </c>
      <c r="CD3049" s="3">
        <v>1419</v>
      </c>
      <c r="CE3049" s="3" t="s">
        <v>93</v>
      </c>
      <c r="CF3049" s="4">
        <v>44568</v>
      </c>
      <c r="CI3049" s="3">
        <v>1</v>
      </c>
      <c r="CJ3049" s="3">
        <v>1</v>
      </c>
      <c r="CK3049" s="3">
        <v>22</v>
      </c>
      <c r="CL3049" s="3" t="s">
        <v>87</v>
      </c>
    </row>
    <row r="3050" spans="1:90" x14ac:dyDescent="0.2">
      <c r="A3050" s="3" t="s">
        <v>72</v>
      </c>
      <c r="B3050" s="3" t="s">
        <v>73</v>
      </c>
      <c r="C3050" s="3" t="s">
        <v>74</v>
      </c>
      <c r="E3050" s="3" t="str">
        <f>"FES1162843645"</f>
        <v>FES1162843645</v>
      </c>
      <c r="F3050" s="4">
        <v>44567</v>
      </c>
      <c r="G3050" s="3">
        <v>202207</v>
      </c>
      <c r="H3050" s="3" t="s">
        <v>75</v>
      </c>
      <c r="I3050" s="3" t="s">
        <v>76</v>
      </c>
      <c r="J3050" s="3" t="s">
        <v>77</v>
      </c>
      <c r="K3050" s="3" t="s">
        <v>78</v>
      </c>
      <c r="L3050" s="3" t="s">
        <v>101</v>
      </c>
      <c r="M3050" s="3" t="s">
        <v>102</v>
      </c>
      <c r="N3050" s="3" t="s">
        <v>272</v>
      </c>
      <c r="O3050" s="3" t="s">
        <v>82</v>
      </c>
      <c r="P3050" s="3" t="str">
        <f>"2170810312                    "</f>
        <v xml:space="preserve">2170810312                    </v>
      </c>
      <c r="Q3050" s="3">
        <v>0</v>
      </c>
      <c r="R3050" s="3">
        <v>0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  <c r="AE3050" s="3">
        <v>0</v>
      </c>
      <c r="AF3050" s="3">
        <v>0</v>
      </c>
      <c r="AG3050" s="3">
        <v>0</v>
      </c>
      <c r="AH3050" s="3">
        <v>0</v>
      </c>
      <c r="AI3050" s="3">
        <v>0</v>
      </c>
      <c r="AJ3050" s="3">
        <v>0</v>
      </c>
      <c r="AK3050" s="3">
        <v>30.91</v>
      </c>
      <c r="AL3050" s="3">
        <v>0</v>
      </c>
      <c r="AM3050" s="3">
        <v>0</v>
      </c>
      <c r="AN3050" s="3">
        <v>0</v>
      </c>
      <c r="AO3050" s="3">
        <v>0</v>
      </c>
      <c r="AP3050" s="3">
        <v>0</v>
      </c>
      <c r="AQ3050" s="3">
        <v>0</v>
      </c>
      <c r="AR3050" s="3">
        <v>0</v>
      </c>
      <c r="AS3050" s="3">
        <v>0</v>
      </c>
      <c r="AT3050" s="3">
        <v>0</v>
      </c>
      <c r="AU3050" s="3">
        <v>0</v>
      </c>
      <c r="AV3050" s="3">
        <v>0</v>
      </c>
      <c r="AW3050" s="3">
        <v>0</v>
      </c>
      <c r="AX3050" s="3">
        <v>0</v>
      </c>
      <c r="AY3050" s="3">
        <v>0</v>
      </c>
      <c r="AZ3050" s="3">
        <v>0</v>
      </c>
      <c r="BA3050" s="3">
        <v>0</v>
      </c>
      <c r="BB3050" s="3">
        <v>0</v>
      </c>
      <c r="BC3050" s="3">
        <v>0</v>
      </c>
      <c r="BD3050" s="3">
        <v>0</v>
      </c>
      <c r="BE3050" s="3">
        <v>0</v>
      </c>
      <c r="BF3050" s="3">
        <v>0</v>
      </c>
      <c r="BG3050" s="3">
        <v>0</v>
      </c>
      <c r="BH3050" s="3">
        <v>1</v>
      </c>
      <c r="BI3050" s="3">
        <v>4</v>
      </c>
      <c r="BJ3050" s="3">
        <v>1.6</v>
      </c>
      <c r="BK3050" s="3">
        <v>4</v>
      </c>
      <c r="BL3050" s="3">
        <v>117.97</v>
      </c>
      <c r="BM3050" s="3">
        <v>17.7</v>
      </c>
      <c r="BN3050" s="3">
        <v>135.66999999999999</v>
      </c>
      <c r="BO3050" s="3">
        <v>135.66999999999999</v>
      </c>
      <c r="BQ3050" s="3" t="s">
        <v>273</v>
      </c>
      <c r="BR3050" s="3" t="s">
        <v>364</v>
      </c>
      <c r="BS3050" s="4">
        <v>44568</v>
      </c>
      <c r="BT3050" s="5">
        <v>0.42499999999999999</v>
      </c>
      <c r="BU3050" s="3" t="s">
        <v>2147</v>
      </c>
      <c r="BV3050" s="3" t="s">
        <v>105</v>
      </c>
      <c r="BY3050" s="3">
        <v>7840</v>
      </c>
      <c r="BZ3050" s="3" t="s">
        <v>165</v>
      </c>
      <c r="CA3050" s="3" t="s">
        <v>2148</v>
      </c>
      <c r="CC3050" s="3" t="s">
        <v>102</v>
      </c>
      <c r="CD3050" s="3">
        <v>4000</v>
      </c>
      <c r="CE3050" s="3" t="s">
        <v>86</v>
      </c>
      <c r="CF3050" s="4">
        <v>44568</v>
      </c>
      <c r="CI3050" s="3">
        <v>1</v>
      </c>
      <c r="CJ3050" s="3">
        <v>1</v>
      </c>
      <c r="CK3050" s="3">
        <v>21</v>
      </c>
      <c r="CL3050" s="3" t="s">
        <v>87</v>
      </c>
    </row>
    <row r="3051" spans="1:90" x14ac:dyDescent="0.2">
      <c r="A3051" s="3" t="s">
        <v>72</v>
      </c>
      <c r="B3051" s="3" t="s">
        <v>73</v>
      </c>
      <c r="C3051" s="3" t="s">
        <v>74</v>
      </c>
      <c r="E3051" s="3" t="str">
        <f>"FES1162843791"</f>
        <v>FES1162843791</v>
      </c>
      <c r="F3051" s="4">
        <v>44567</v>
      </c>
      <c r="G3051" s="3">
        <v>202207</v>
      </c>
      <c r="H3051" s="3" t="s">
        <v>75</v>
      </c>
      <c r="I3051" s="3" t="s">
        <v>76</v>
      </c>
      <c r="J3051" s="3" t="s">
        <v>77</v>
      </c>
      <c r="K3051" s="3" t="s">
        <v>78</v>
      </c>
      <c r="L3051" s="3" t="s">
        <v>101</v>
      </c>
      <c r="M3051" s="3" t="s">
        <v>102</v>
      </c>
      <c r="N3051" s="3" t="s">
        <v>2800</v>
      </c>
      <c r="O3051" s="3" t="s">
        <v>82</v>
      </c>
      <c r="P3051" s="3" t="str">
        <f>"2170815726                    "</f>
        <v xml:space="preserve">2170815726                    </v>
      </c>
      <c r="Q3051" s="3">
        <v>0</v>
      </c>
      <c r="R3051" s="3">
        <v>0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  <c r="AE3051" s="3">
        <v>0</v>
      </c>
      <c r="AF3051" s="3">
        <v>0</v>
      </c>
      <c r="AG3051" s="3">
        <v>0</v>
      </c>
      <c r="AH3051" s="3">
        <v>0</v>
      </c>
      <c r="AI3051" s="3">
        <v>0</v>
      </c>
      <c r="AJ3051" s="3">
        <v>0</v>
      </c>
      <c r="AK3051" s="3">
        <v>15.46</v>
      </c>
      <c r="AL3051" s="3">
        <v>0</v>
      </c>
      <c r="AM3051" s="3">
        <v>0</v>
      </c>
      <c r="AN3051" s="3">
        <v>0</v>
      </c>
      <c r="AO3051" s="3">
        <v>0</v>
      </c>
      <c r="AP3051" s="3">
        <v>0</v>
      </c>
      <c r="AQ3051" s="3">
        <v>0</v>
      </c>
      <c r="AR3051" s="3">
        <v>0</v>
      </c>
      <c r="AS3051" s="3">
        <v>0</v>
      </c>
      <c r="AT3051" s="3">
        <v>0</v>
      </c>
      <c r="AU3051" s="3">
        <v>0</v>
      </c>
      <c r="AV3051" s="3">
        <v>0</v>
      </c>
      <c r="AW3051" s="3">
        <v>0</v>
      </c>
      <c r="AX3051" s="3">
        <v>0</v>
      </c>
      <c r="AY3051" s="3">
        <v>0</v>
      </c>
      <c r="AZ3051" s="3">
        <v>0</v>
      </c>
      <c r="BA3051" s="3">
        <v>0</v>
      </c>
      <c r="BB3051" s="3">
        <v>0</v>
      </c>
      <c r="BC3051" s="3">
        <v>0</v>
      </c>
      <c r="BD3051" s="3">
        <v>0</v>
      </c>
      <c r="BE3051" s="3">
        <v>0</v>
      </c>
      <c r="BF3051" s="3">
        <v>0</v>
      </c>
      <c r="BG3051" s="3">
        <v>0</v>
      </c>
      <c r="BH3051" s="3">
        <v>1</v>
      </c>
      <c r="BI3051" s="3">
        <v>1</v>
      </c>
      <c r="BJ3051" s="3">
        <v>1.9</v>
      </c>
      <c r="BK3051" s="3">
        <v>2</v>
      </c>
      <c r="BL3051" s="3">
        <v>59</v>
      </c>
      <c r="BM3051" s="3">
        <v>8.85</v>
      </c>
      <c r="BN3051" s="3">
        <v>67.849999999999994</v>
      </c>
      <c r="BO3051" s="3">
        <v>67.849999999999994</v>
      </c>
      <c r="BQ3051" s="3" t="s">
        <v>2801</v>
      </c>
      <c r="BR3051" s="3" t="s">
        <v>364</v>
      </c>
      <c r="BS3051" s="4">
        <v>44572</v>
      </c>
      <c r="BT3051" s="5">
        <v>0.35069444444444442</v>
      </c>
      <c r="BU3051" s="3" t="s">
        <v>2802</v>
      </c>
      <c r="BV3051" s="3" t="s">
        <v>87</v>
      </c>
      <c r="BW3051" s="3" t="s">
        <v>278</v>
      </c>
      <c r="BX3051" s="3" t="s">
        <v>279</v>
      </c>
      <c r="BY3051" s="3">
        <v>9728</v>
      </c>
      <c r="BZ3051" s="3" t="s">
        <v>165</v>
      </c>
      <c r="CA3051" s="3" t="s">
        <v>571</v>
      </c>
      <c r="CC3051" s="3" t="s">
        <v>102</v>
      </c>
      <c r="CD3051" s="3">
        <v>4068</v>
      </c>
      <c r="CE3051" s="3" t="s">
        <v>86</v>
      </c>
      <c r="CF3051" s="4">
        <v>44572</v>
      </c>
      <c r="CI3051" s="3">
        <v>1</v>
      </c>
      <c r="CJ3051" s="3">
        <v>3</v>
      </c>
      <c r="CK3051" s="3">
        <v>21</v>
      </c>
      <c r="CL3051" s="3" t="s">
        <v>87</v>
      </c>
    </row>
    <row r="3052" spans="1:90" x14ac:dyDescent="0.2">
      <c r="A3052" s="3" t="s">
        <v>72</v>
      </c>
      <c r="B3052" s="3" t="s">
        <v>73</v>
      </c>
      <c r="C3052" s="3" t="s">
        <v>74</v>
      </c>
      <c r="E3052" s="3" t="str">
        <f>"FES1162843757"</f>
        <v>FES1162843757</v>
      </c>
      <c r="F3052" s="4">
        <v>44567</v>
      </c>
      <c r="G3052" s="3">
        <v>202207</v>
      </c>
      <c r="H3052" s="3" t="s">
        <v>75</v>
      </c>
      <c r="I3052" s="3" t="s">
        <v>76</v>
      </c>
      <c r="J3052" s="3" t="s">
        <v>77</v>
      </c>
      <c r="K3052" s="3" t="s">
        <v>78</v>
      </c>
      <c r="L3052" s="3" t="s">
        <v>171</v>
      </c>
      <c r="M3052" s="3" t="s">
        <v>172</v>
      </c>
      <c r="N3052" s="3" t="s">
        <v>725</v>
      </c>
      <c r="O3052" s="3" t="s">
        <v>82</v>
      </c>
      <c r="P3052" s="3" t="str">
        <f>"2170814364                    "</f>
        <v xml:space="preserve">2170814364                    </v>
      </c>
      <c r="Q3052" s="3">
        <v>0</v>
      </c>
      <c r="R3052" s="3">
        <v>0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  <c r="AE3052" s="3">
        <v>0</v>
      </c>
      <c r="AF3052" s="3">
        <v>0</v>
      </c>
      <c r="AG3052" s="3">
        <v>0</v>
      </c>
      <c r="AH3052" s="3">
        <v>0</v>
      </c>
      <c r="AI3052" s="3">
        <v>0</v>
      </c>
      <c r="AJ3052" s="3">
        <v>0</v>
      </c>
      <c r="AK3052" s="3">
        <v>23.18</v>
      </c>
      <c r="AL3052" s="3">
        <v>0</v>
      </c>
      <c r="AM3052" s="3">
        <v>0</v>
      </c>
      <c r="AN3052" s="3">
        <v>0</v>
      </c>
      <c r="AO3052" s="3">
        <v>0</v>
      </c>
      <c r="AP3052" s="3">
        <v>0</v>
      </c>
      <c r="AQ3052" s="3">
        <v>0</v>
      </c>
      <c r="AR3052" s="3">
        <v>0</v>
      </c>
      <c r="AS3052" s="3">
        <v>0</v>
      </c>
      <c r="AT3052" s="3">
        <v>0</v>
      </c>
      <c r="AU3052" s="3">
        <v>0</v>
      </c>
      <c r="AV3052" s="3">
        <v>0</v>
      </c>
      <c r="AW3052" s="3">
        <v>0</v>
      </c>
      <c r="AX3052" s="3">
        <v>0</v>
      </c>
      <c r="AY3052" s="3">
        <v>0</v>
      </c>
      <c r="AZ3052" s="3">
        <v>0</v>
      </c>
      <c r="BA3052" s="3">
        <v>0</v>
      </c>
      <c r="BB3052" s="3">
        <v>0</v>
      </c>
      <c r="BC3052" s="3">
        <v>0</v>
      </c>
      <c r="BD3052" s="3">
        <v>0</v>
      </c>
      <c r="BE3052" s="3">
        <v>0</v>
      </c>
      <c r="BF3052" s="3">
        <v>0</v>
      </c>
      <c r="BG3052" s="3">
        <v>0</v>
      </c>
      <c r="BH3052" s="3">
        <v>1</v>
      </c>
      <c r="BI3052" s="3">
        <v>3</v>
      </c>
      <c r="BJ3052" s="3">
        <v>3</v>
      </c>
      <c r="BK3052" s="3">
        <v>3</v>
      </c>
      <c r="BL3052" s="3">
        <v>88.48</v>
      </c>
      <c r="BM3052" s="3">
        <v>13.27</v>
      </c>
      <c r="BN3052" s="3">
        <v>101.75</v>
      </c>
      <c r="BO3052" s="3">
        <v>101.75</v>
      </c>
      <c r="BQ3052" s="3" t="s">
        <v>83</v>
      </c>
      <c r="BR3052" s="3" t="s">
        <v>364</v>
      </c>
      <c r="BS3052" s="4">
        <v>44568</v>
      </c>
      <c r="BT3052" s="5">
        <v>0.34652777777777777</v>
      </c>
      <c r="BU3052" s="3" t="s">
        <v>2803</v>
      </c>
      <c r="BV3052" s="3" t="s">
        <v>105</v>
      </c>
      <c r="BY3052" s="3">
        <v>15210</v>
      </c>
      <c r="BZ3052" s="3" t="s">
        <v>165</v>
      </c>
      <c r="CA3052" s="3" t="s">
        <v>408</v>
      </c>
      <c r="CC3052" s="3" t="s">
        <v>172</v>
      </c>
      <c r="CD3052" s="3">
        <v>6001</v>
      </c>
      <c r="CE3052" s="3" t="s">
        <v>86</v>
      </c>
      <c r="CF3052" s="4">
        <v>44571</v>
      </c>
      <c r="CI3052" s="3">
        <v>1</v>
      </c>
      <c r="CJ3052" s="3">
        <v>1</v>
      </c>
      <c r="CK3052" s="3">
        <v>21</v>
      </c>
      <c r="CL3052" s="3" t="s">
        <v>87</v>
      </c>
    </row>
    <row r="3053" spans="1:90" x14ac:dyDescent="0.2">
      <c r="A3053" s="3" t="s">
        <v>72</v>
      </c>
      <c r="B3053" s="3" t="s">
        <v>73</v>
      </c>
      <c r="C3053" s="3" t="s">
        <v>74</v>
      </c>
      <c r="E3053" s="3" t="str">
        <f>"FES1162843749"</f>
        <v>FES1162843749</v>
      </c>
      <c r="F3053" s="4">
        <v>44567</v>
      </c>
      <c r="G3053" s="3">
        <v>202207</v>
      </c>
      <c r="H3053" s="3" t="s">
        <v>75</v>
      </c>
      <c r="I3053" s="3" t="s">
        <v>76</v>
      </c>
      <c r="J3053" s="3" t="s">
        <v>77</v>
      </c>
      <c r="K3053" s="3" t="s">
        <v>78</v>
      </c>
      <c r="L3053" s="3" t="s">
        <v>171</v>
      </c>
      <c r="M3053" s="3" t="s">
        <v>172</v>
      </c>
      <c r="N3053" s="3" t="s">
        <v>235</v>
      </c>
      <c r="O3053" s="3" t="s">
        <v>148</v>
      </c>
      <c r="P3053" s="3" t="str">
        <f>"2170814231                    "</f>
        <v xml:space="preserve">2170814231                    </v>
      </c>
      <c r="Q3053" s="3">
        <v>0</v>
      </c>
      <c r="R3053" s="3">
        <v>0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  <c r="AE3053" s="3">
        <v>0</v>
      </c>
      <c r="AF3053" s="3">
        <v>0</v>
      </c>
      <c r="AG3053" s="3">
        <v>0</v>
      </c>
      <c r="AH3053" s="3">
        <v>0</v>
      </c>
      <c r="AI3053" s="3">
        <v>0</v>
      </c>
      <c r="AJ3053" s="3">
        <v>0</v>
      </c>
      <c r="AK3053" s="3">
        <v>39.75</v>
      </c>
      <c r="AL3053" s="3">
        <v>0</v>
      </c>
      <c r="AM3053" s="3">
        <v>0</v>
      </c>
      <c r="AN3053" s="3">
        <v>0</v>
      </c>
      <c r="AO3053" s="3">
        <v>0</v>
      </c>
      <c r="AP3053" s="3">
        <v>0</v>
      </c>
      <c r="AQ3053" s="3">
        <v>0</v>
      </c>
      <c r="AR3053" s="3">
        <v>0</v>
      </c>
      <c r="AS3053" s="3">
        <v>0</v>
      </c>
      <c r="AT3053" s="3">
        <v>0</v>
      </c>
      <c r="AU3053" s="3">
        <v>0</v>
      </c>
      <c r="AV3053" s="3">
        <v>0</v>
      </c>
      <c r="AW3053" s="3">
        <v>0</v>
      </c>
      <c r="AX3053" s="3">
        <v>0</v>
      </c>
      <c r="AY3053" s="3">
        <v>0</v>
      </c>
      <c r="AZ3053" s="3">
        <v>0</v>
      </c>
      <c r="BA3053" s="3">
        <v>0</v>
      </c>
      <c r="BB3053" s="3">
        <v>0</v>
      </c>
      <c r="BC3053" s="3">
        <v>0</v>
      </c>
      <c r="BD3053" s="3">
        <v>0</v>
      </c>
      <c r="BE3053" s="3">
        <v>0</v>
      </c>
      <c r="BF3053" s="3">
        <v>0</v>
      </c>
      <c r="BG3053" s="3">
        <v>0</v>
      </c>
      <c r="BH3053" s="3">
        <v>2</v>
      </c>
      <c r="BI3053" s="3">
        <v>23</v>
      </c>
      <c r="BJ3053" s="3">
        <v>16.399999999999999</v>
      </c>
      <c r="BK3053" s="3">
        <v>23</v>
      </c>
      <c r="BL3053" s="3">
        <v>156.96</v>
      </c>
      <c r="BM3053" s="3">
        <v>23.54</v>
      </c>
      <c r="BN3053" s="3">
        <v>180.5</v>
      </c>
      <c r="BO3053" s="3">
        <v>180.5</v>
      </c>
      <c r="BQ3053" s="3" t="s">
        <v>89</v>
      </c>
      <c r="BR3053" s="3" t="s">
        <v>364</v>
      </c>
      <c r="BS3053" s="4">
        <v>44571</v>
      </c>
      <c r="BT3053" s="5">
        <v>0.39513888888888887</v>
      </c>
      <c r="BU3053" s="3" t="s">
        <v>2557</v>
      </c>
      <c r="BV3053" s="3" t="s">
        <v>105</v>
      </c>
      <c r="BY3053" s="3">
        <v>81854</v>
      </c>
      <c r="BZ3053" s="3" t="s">
        <v>327</v>
      </c>
      <c r="CA3053" s="3" t="s">
        <v>263</v>
      </c>
      <c r="CC3053" s="3" t="s">
        <v>172</v>
      </c>
      <c r="CD3053" s="3">
        <v>6001</v>
      </c>
      <c r="CE3053" s="3" t="s">
        <v>221</v>
      </c>
      <c r="CF3053" s="4">
        <v>44572</v>
      </c>
      <c r="CI3053" s="3">
        <v>2</v>
      </c>
      <c r="CJ3053" s="3">
        <v>2</v>
      </c>
      <c r="CK3053" s="3">
        <v>41</v>
      </c>
      <c r="CL3053" s="3" t="s">
        <v>87</v>
      </c>
    </row>
    <row r="3054" spans="1:90" x14ac:dyDescent="0.2">
      <c r="A3054" s="3" t="s">
        <v>72</v>
      </c>
      <c r="B3054" s="3" t="s">
        <v>73</v>
      </c>
      <c r="C3054" s="3" t="s">
        <v>74</v>
      </c>
      <c r="E3054" s="3" t="str">
        <f>"FES1162843810"</f>
        <v>FES1162843810</v>
      </c>
      <c r="F3054" s="4">
        <v>44567</v>
      </c>
      <c r="G3054" s="3">
        <v>202207</v>
      </c>
      <c r="H3054" s="3" t="s">
        <v>75</v>
      </c>
      <c r="I3054" s="3" t="s">
        <v>76</v>
      </c>
      <c r="J3054" s="3" t="s">
        <v>77</v>
      </c>
      <c r="K3054" s="3" t="s">
        <v>78</v>
      </c>
      <c r="L3054" s="3" t="s">
        <v>694</v>
      </c>
      <c r="M3054" s="3" t="s">
        <v>695</v>
      </c>
      <c r="N3054" s="3" t="s">
        <v>699</v>
      </c>
      <c r="O3054" s="3" t="s">
        <v>82</v>
      </c>
      <c r="P3054" s="3" t="str">
        <f>"2170814158                    "</f>
        <v xml:space="preserve">2170814158                    </v>
      </c>
      <c r="Q3054" s="3">
        <v>0</v>
      </c>
      <c r="R3054" s="3">
        <v>0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  <c r="AE3054" s="3">
        <v>0</v>
      </c>
      <c r="AF3054" s="3">
        <v>0</v>
      </c>
      <c r="AG3054" s="3">
        <v>0</v>
      </c>
      <c r="AH3054" s="3">
        <v>0</v>
      </c>
      <c r="AI3054" s="3">
        <v>0</v>
      </c>
      <c r="AJ3054" s="3">
        <v>0</v>
      </c>
      <c r="AK3054" s="3">
        <v>29.95</v>
      </c>
      <c r="AL3054" s="3">
        <v>0</v>
      </c>
      <c r="AM3054" s="3">
        <v>0</v>
      </c>
      <c r="AN3054" s="3">
        <v>0</v>
      </c>
      <c r="AO3054" s="3">
        <v>0</v>
      </c>
      <c r="AP3054" s="3">
        <v>0</v>
      </c>
      <c r="AQ3054" s="3">
        <v>0</v>
      </c>
      <c r="AR3054" s="3">
        <v>0</v>
      </c>
      <c r="AS3054" s="3">
        <v>0</v>
      </c>
      <c r="AT3054" s="3">
        <v>0</v>
      </c>
      <c r="AU3054" s="3">
        <v>0</v>
      </c>
      <c r="AV3054" s="3">
        <v>0</v>
      </c>
      <c r="AW3054" s="3">
        <v>0</v>
      </c>
      <c r="AX3054" s="3">
        <v>0</v>
      </c>
      <c r="AY3054" s="3">
        <v>0</v>
      </c>
      <c r="AZ3054" s="3">
        <v>0</v>
      </c>
      <c r="BA3054" s="3">
        <v>0</v>
      </c>
      <c r="BB3054" s="3">
        <v>0</v>
      </c>
      <c r="BC3054" s="3">
        <v>0</v>
      </c>
      <c r="BD3054" s="3">
        <v>0</v>
      </c>
      <c r="BE3054" s="3">
        <v>0</v>
      </c>
      <c r="BF3054" s="3">
        <v>0</v>
      </c>
      <c r="BG3054" s="3">
        <v>0</v>
      </c>
      <c r="BH3054" s="3">
        <v>1</v>
      </c>
      <c r="BI3054" s="3">
        <v>1</v>
      </c>
      <c r="BJ3054" s="3">
        <v>1.1000000000000001</v>
      </c>
      <c r="BK3054" s="3">
        <v>1.5</v>
      </c>
      <c r="BL3054" s="3">
        <v>114.31</v>
      </c>
      <c r="BM3054" s="3">
        <v>17.149999999999999</v>
      </c>
      <c r="BN3054" s="3">
        <v>131.46</v>
      </c>
      <c r="BO3054" s="3">
        <v>131.46</v>
      </c>
      <c r="BQ3054" s="3" t="s">
        <v>83</v>
      </c>
      <c r="BR3054" s="3" t="s">
        <v>364</v>
      </c>
      <c r="BS3054" s="4">
        <v>44568</v>
      </c>
      <c r="BT3054" s="5">
        <v>0.66249999999999998</v>
      </c>
      <c r="BU3054" s="3" t="s">
        <v>2804</v>
      </c>
      <c r="BV3054" s="3" t="s">
        <v>105</v>
      </c>
      <c r="BY3054" s="3">
        <v>5320</v>
      </c>
      <c r="BZ3054" s="3" t="s">
        <v>165</v>
      </c>
      <c r="CA3054" s="3" t="s">
        <v>2805</v>
      </c>
      <c r="CC3054" s="3" t="s">
        <v>695</v>
      </c>
      <c r="CD3054" s="3">
        <v>4449</v>
      </c>
      <c r="CE3054" s="3" t="s">
        <v>86</v>
      </c>
      <c r="CF3054" s="4">
        <v>44568</v>
      </c>
      <c r="CI3054" s="3">
        <v>1</v>
      </c>
      <c r="CJ3054" s="3">
        <v>1</v>
      </c>
      <c r="CK3054" s="3">
        <v>23</v>
      </c>
      <c r="CL3054" s="3" t="s">
        <v>87</v>
      </c>
    </row>
    <row r="3055" spans="1:90" x14ac:dyDescent="0.2">
      <c r="A3055" s="3" t="s">
        <v>72</v>
      </c>
      <c r="B3055" s="3" t="s">
        <v>73</v>
      </c>
      <c r="C3055" s="3" t="s">
        <v>74</v>
      </c>
      <c r="E3055" s="3" t="str">
        <f>"FES1162843744"</f>
        <v>FES1162843744</v>
      </c>
      <c r="F3055" s="4">
        <v>44567</v>
      </c>
      <c r="G3055" s="3">
        <v>202207</v>
      </c>
      <c r="H3055" s="3" t="s">
        <v>75</v>
      </c>
      <c r="I3055" s="3" t="s">
        <v>76</v>
      </c>
      <c r="J3055" s="3" t="s">
        <v>77</v>
      </c>
      <c r="K3055" s="3" t="s">
        <v>78</v>
      </c>
      <c r="L3055" s="3" t="s">
        <v>94</v>
      </c>
      <c r="M3055" s="3" t="s">
        <v>95</v>
      </c>
      <c r="N3055" s="3" t="s">
        <v>2806</v>
      </c>
      <c r="O3055" s="3" t="s">
        <v>82</v>
      </c>
      <c r="P3055" s="3" t="str">
        <f>"2170813877                    "</f>
        <v xml:space="preserve">2170813877                    </v>
      </c>
      <c r="Q3055" s="3">
        <v>0</v>
      </c>
      <c r="R3055" s="3">
        <v>0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  <c r="AE3055" s="3">
        <v>0</v>
      </c>
      <c r="AF3055" s="3">
        <v>0</v>
      </c>
      <c r="AG3055" s="3">
        <v>0</v>
      </c>
      <c r="AH3055" s="3">
        <v>0</v>
      </c>
      <c r="AI3055" s="3">
        <v>0</v>
      </c>
      <c r="AJ3055" s="3">
        <v>0</v>
      </c>
      <c r="AK3055" s="3">
        <v>54.08</v>
      </c>
      <c r="AL3055" s="3">
        <v>0</v>
      </c>
      <c r="AM3055" s="3">
        <v>0</v>
      </c>
      <c r="AN3055" s="3">
        <v>0</v>
      </c>
      <c r="AO3055" s="3">
        <v>0</v>
      </c>
      <c r="AP3055" s="3">
        <v>0</v>
      </c>
      <c r="AQ3055" s="3">
        <v>0</v>
      </c>
      <c r="AR3055" s="3">
        <v>0</v>
      </c>
      <c r="AS3055" s="3">
        <v>0</v>
      </c>
      <c r="AT3055" s="3">
        <v>0</v>
      </c>
      <c r="AU3055" s="3">
        <v>0</v>
      </c>
      <c r="AV3055" s="3">
        <v>0</v>
      </c>
      <c r="AW3055" s="3">
        <v>0</v>
      </c>
      <c r="AX3055" s="3">
        <v>0</v>
      </c>
      <c r="AY3055" s="3">
        <v>0</v>
      </c>
      <c r="AZ3055" s="3">
        <v>0</v>
      </c>
      <c r="BA3055" s="3">
        <v>0</v>
      </c>
      <c r="BB3055" s="3">
        <v>0</v>
      </c>
      <c r="BC3055" s="3">
        <v>0</v>
      </c>
      <c r="BD3055" s="3">
        <v>0</v>
      </c>
      <c r="BE3055" s="3">
        <v>0</v>
      </c>
      <c r="BF3055" s="3">
        <v>0</v>
      </c>
      <c r="BG3055" s="3">
        <v>0</v>
      </c>
      <c r="BH3055" s="3">
        <v>1</v>
      </c>
      <c r="BI3055" s="3">
        <v>7</v>
      </c>
      <c r="BJ3055" s="3">
        <v>6.9</v>
      </c>
      <c r="BK3055" s="3">
        <v>7</v>
      </c>
      <c r="BL3055" s="3">
        <v>206.42</v>
      </c>
      <c r="BM3055" s="3">
        <v>30.96</v>
      </c>
      <c r="BN3055" s="3">
        <v>237.38</v>
      </c>
      <c r="BO3055" s="3">
        <v>237.38</v>
      </c>
      <c r="BQ3055" s="3" t="s">
        <v>83</v>
      </c>
      <c r="BR3055" s="3" t="s">
        <v>364</v>
      </c>
      <c r="BS3055" s="4">
        <v>44572</v>
      </c>
      <c r="BT3055" s="5">
        <v>0.66319444444444442</v>
      </c>
      <c r="BU3055" s="3" t="s">
        <v>2807</v>
      </c>
      <c r="BV3055" s="3" t="s">
        <v>87</v>
      </c>
      <c r="BW3055" s="3" t="s">
        <v>453</v>
      </c>
      <c r="BX3055" s="3" t="s">
        <v>279</v>
      </c>
      <c r="BY3055" s="3">
        <v>34656</v>
      </c>
      <c r="BZ3055" s="3" t="s">
        <v>165</v>
      </c>
      <c r="CA3055" s="3" t="s">
        <v>328</v>
      </c>
      <c r="CC3055" s="3" t="s">
        <v>95</v>
      </c>
      <c r="CD3055" s="3">
        <v>3201</v>
      </c>
      <c r="CE3055" s="3" t="s">
        <v>86</v>
      </c>
      <c r="CF3055" s="4">
        <v>44574</v>
      </c>
      <c r="CI3055" s="3">
        <v>1</v>
      </c>
      <c r="CJ3055" s="3">
        <v>3</v>
      </c>
      <c r="CK3055" s="3">
        <v>21</v>
      </c>
      <c r="CL3055" s="3" t="s">
        <v>87</v>
      </c>
    </row>
    <row r="3056" spans="1:90" x14ac:dyDescent="0.2">
      <c r="A3056" s="3" t="s">
        <v>72</v>
      </c>
      <c r="B3056" s="3" t="s">
        <v>73</v>
      </c>
      <c r="C3056" s="3" t="s">
        <v>74</v>
      </c>
      <c r="E3056" s="3" t="str">
        <f>"FES1162843747"</f>
        <v>FES1162843747</v>
      </c>
      <c r="F3056" s="4">
        <v>44567</v>
      </c>
      <c r="G3056" s="3">
        <v>202207</v>
      </c>
      <c r="H3056" s="3" t="s">
        <v>75</v>
      </c>
      <c r="I3056" s="3" t="s">
        <v>76</v>
      </c>
      <c r="J3056" s="3" t="s">
        <v>77</v>
      </c>
      <c r="K3056" s="3" t="s">
        <v>78</v>
      </c>
      <c r="L3056" s="3" t="s">
        <v>171</v>
      </c>
      <c r="M3056" s="3" t="s">
        <v>172</v>
      </c>
      <c r="N3056" s="3" t="s">
        <v>235</v>
      </c>
      <c r="O3056" s="3" t="s">
        <v>82</v>
      </c>
      <c r="P3056" s="3" t="str">
        <f>"2170814208                    "</f>
        <v xml:space="preserve">2170814208                    </v>
      </c>
      <c r="Q3056" s="3">
        <v>0</v>
      </c>
      <c r="R3056" s="3">
        <v>0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  <c r="AE3056" s="3">
        <v>0</v>
      </c>
      <c r="AF3056" s="3">
        <v>0</v>
      </c>
      <c r="AG3056" s="3">
        <v>0</v>
      </c>
      <c r="AH3056" s="3">
        <v>0</v>
      </c>
      <c r="AI3056" s="3">
        <v>0</v>
      </c>
      <c r="AJ3056" s="3">
        <v>0</v>
      </c>
      <c r="AK3056" s="3">
        <v>15.46</v>
      </c>
      <c r="AL3056" s="3">
        <v>0</v>
      </c>
      <c r="AM3056" s="3">
        <v>0</v>
      </c>
      <c r="AN3056" s="3">
        <v>0</v>
      </c>
      <c r="AO3056" s="3">
        <v>0</v>
      </c>
      <c r="AP3056" s="3">
        <v>0</v>
      </c>
      <c r="AQ3056" s="3">
        <v>0</v>
      </c>
      <c r="AR3056" s="3">
        <v>0</v>
      </c>
      <c r="AS3056" s="3">
        <v>0</v>
      </c>
      <c r="AT3056" s="3">
        <v>0</v>
      </c>
      <c r="AU3056" s="3">
        <v>0</v>
      </c>
      <c r="AV3056" s="3">
        <v>0</v>
      </c>
      <c r="AW3056" s="3">
        <v>0</v>
      </c>
      <c r="AX3056" s="3">
        <v>0</v>
      </c>
      <c r="AY3056" s="3">
        <v>0</v>
      </c>
      <c r="AZ3056" s="3">
        <v>0</v>
      </c>
      <c r="BA3056" s="3">
        <v>0</v>
      </c>
      <c r="BB3056" s="3">
        <v>0</v>
      </c>
      <c r="BC3056" s="3">
        <v>0</v>
      </c>
      <c r="BD3056" s="3">
        <v>0</v>
      </c>
      <c r="BE3056" s="3">
        <v>0</v>
      </c>
      <c r="BF3056" s="3">
        <v>0</v>
      </c>
      <c r="BG3056" s="3">
        <v>0</v>
      </c>
      <c r="BH3056" s="3">
        <v>1</v>
      </c>
      <c r="BI3056" s="3">
        <v>1</v>
      </c>
      <c r="BJ3056" s="3">
        <v>0.2</v>
      </c>
      <c r="BK3056" s="3">
        <v>1</v>
      </c>
      <c r="BL3056" s="3">
        <v>59</v>
      </c>
      <c r="BM3056" s="3">
        <v>8.85</v>
      </c>
      <c r="BN3056" s="3">
        <v>67.849999999999994</v>
      </c>
      <c r="BO3056" s="3">
        <v>67.849999999999994</v>
      </c>
      <c r="BQ3056" s="3" t="s">
        <v>83</v>
      </c>
      <c r="BR3056" s="3" t="s">
        <v>364</v>
      </c>
      <c r="BS3056" s="4">
        <v>44568</v>
      </c>
      <c r="BT3056" s="5">
        <v>0.41875000000000001</v>
      </c>
      <c r="BU3056" s="3" t="s">
        <v>1488</v>
      </c>
      <c r="BV3056" s="3" t="s">
        <v>105</v>
      </c>
      <c r="BY3056" s="3">
        <v>1200</v>
      </c>
      <c r="BZ3056" s="3" t="s">
        <v>165</v>
      </c>
      <c r="CA3056" s="3" t="s">
        <v>263</v>
      </c>
      <c r="CC3056" s="3" t="s">
        <v>172</v>
      </c>
      <c r="CD3056" s="3">
        <v>6001</v>
      </c>
      <c r="CE3056" s="3" t="s">
        <v>93</v>
      </c>
      <c r="CF3056" s="4">
        <v>44571</v>
      </c>
      <c r="CI3056" s="3">
        <v>1</v>
      </c>
      <c r="CJ3056" s="3">
        <v>1</v>
      </c>
      <c r="CK3056" s="3">
        <v>21</v>
      </c>
      <c r="CL3056" s="3" t="s">
        <v>87</v>
      </c>
    </row>
    <row r="3057" spans="1:90" x14ac:dyDescent="0.2">
      <c r="A3057" s="3" t="s">
        <v>72</v>
      </c>
      <c r="B3057" s="3" t="s">
        <v>73</v>
      </c>
      <c r="C3057" s="3" t="s">
        <v>74</v>
      </c>
      <c r="E3057" s="3" t="str">
        <f>"FES1162843794"</f>
        <v>FES1162843794</v>
      </c>
      <c r="F3057" s="4">
        <v>44567</v>
      </c>
      <c r="G3057" s="3">
        <v>202207</v>
      </c>
      <c r="H3057" s="3" t="s">
        <v>75</v>
      </c>
      <c r="I3057" s="3" t="s">
        <v>76</v>
      </c>
      <c r="J3057" s="3" t="s">
        <v>77</v>
      </c>
      <c r="K3057" s="3" t="s">
        <v>78</v>
      </c>
      <c r="L3057" s="3" t="s">
        <v>158</v>
      </c>
      <c r="M3057" s="3" t="s">
        <v>159</v>
      </c>
      <c r="N3057" s="3" t="s">
        <v>1253</v>
      </c>
      <c r="O3057" s="3" t="s">
        <v>148</v>
      </c>
      <c r="P3057" s="3" t="str">
        <f>"2170815728                    "</f>
        <v xml:space="preserve">2170815728                    </v>
      </c>
      <c r="Q3057" s="3">
        <v>0</v>
      </c>
      <c r="R3057" s="3">
        <v>0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  <c r="AE3057" s="3">
        <v>0</v>
      </c>
      <c r="AF3057" s="3">
        <v>0</v>
      </c>
      <c r="AG3057" s="3">
        <v>0</v>
      </c>
      <c r="AH3057" s="3">
        <v>0</v>
      </c>
      <c r="AI3057" s="3">
        <v>0</v>
      </c>
      <c r="AJ3057" s="3">
        <v>0</v>
      </c>
      <c r="AK3057" s="3">
        <v>25.76</v>
      </c>
      <c r="AL3057" s="3">
        <v>0</v>
      </c>
      <c r="AM3057" s="3">
        <v>0</v>
      </c>
      <c r="AN3057" s="3">
        <v>0</v>
      </c>
      <c r="AO3057" s="3">
        <v>0</v>
      </c>
      <c r="AP3057" s="3">
        <v>0</v>
      </c>
      <c r="AQ3057" s="3">
        <v>0</v>
      </c>
      <c r="AR3057" s="3">
        <v>0</v>
      </c>
      <c r="AS3057" s="3">
        <v>0</v>
      </c>
      <c r="AT3057" s="3">
        <v>0</v>
      </c>
      <c r="AU3057" s="3">
        <v>0</v>
      </c>
      <c r="AV3057" s="3">
        <v>0</v>
      </c>
      <c r="AW3057" s="3">
        <v>0</v>
      </c>
      <c r="AX3057" s="3">
        <v>0</v>
      </c>
      <c r="AY3057" s="3">
        <v>0</v>
      </c>
      <c r="AZ3057" s="3">
        <v>0</v>
      </c>
      <c r="BA3057" s="3">
        <v>0</v>
      </c>
      <c r="BB3057" s="3">
        <v>0</v>
      </c>
      <c r="BC3057" s="3">
        <v>0</v>
      </c>
      <c r="BD3057" s="3">
        <v>0</v>
      </c>
      <c r="BE3057" s="3">
        <v>0</v>
      </c>
      <c r="BF3057" s="3">
        <v>0</v>
      </c>
      <c r="BG3057" s="3">
        <v>0</v>
      </c>
      <c r="BH3057" s="3">
        <v>1</v>
      </c>
      <c r="BI3057" s="3">
        <v>18</v>
      </c>
      <c r="BJ3057" s="3">
        <v>18.3</v>
      </c>
      <c r="BK3057" s="3">
        <v>19</v>
      </c>
      <c r="BL3057" s="3">
        <v>103.58</v>
      </c>
      <c r="BM3057" s="3">
        <v>15.54</v>
      </c>
      <c r="BN3057" s="3">
        <v>119.12</v>
      </c>
      <c r="BO3057" s="3">
        <v>119.12</v>
      </c>
      <c r="BQ3057" s="3" t="s">
        <v>89</v>
      </c>
      <c r="BR3057" s="3" t="s">
        <v>364</v>
      </c>
      <c r="BS3057" s="4">
        <v>44568</v>
      </c>
      <c r="BT3057" s="5">
        <v>0.34236111111111112</v>
      </c>
      <c r="BU3057" s="3" t="s">
        <v>2808</v>
      </c>
      <c r="BV3057" s="3" t="s">
        <v>105</v>
      </c>
      <c r="BY3057" s="3">
        <v>91264</v>
      </c>
      <c r="BZ3057" s="3" t="s">
        <v>327</v>
      </c>
      <c r="CA3057" s="3" t="s">
        <v>825</v>
      </c>
      <c r="CC3057" s="3" t="s">
        <v>159</v>
      </c>
      <c r="CD3057" s="3">
        <v>1459</v>
      </c>
      <c r="CE3057" s="3" t="s">
        <v>86</v>
      </c>
      <c r="CF3057" s="4">
        <v>44568</v>
      </c>
      <c r="CI3057" s="3">
        <v>1</v>
      </c>
      <c r="CJ3057" s="3">
        <v>1</v>
      </c>
      <c r="CK3057" s="3">
        <v>42</v>
      </c>
      <c r="CL3057" s="3" t="s">
        <v>87</v>
      </c>
    </row>
    <row r="3058" spans="1:90" x14ac:dyDescent="0.2">
      <c r="A3058" s="3" t="s">
        <v>72</v>
      </c>
      <c r="B3058" s="3" t="s">
        <v>73</v>
      </c>
      <c r="C3058" s="3" t="s">
        <v>74</v>
      </c>
      <c r="E3058" s="3" t="str">
        <f>"FES1162843742"</f>
        <v>FES1162843742</v>
      </c>
      <c r="F3058" s="4">
        <v>44567</v>
      </c>
      <c r="G3058" s="3">
        <v>202207</v>
      </c>
      <c r="H3058" s="3" t="s">
        <v>75</v>
      </c>
      <c r="I3058" s="3" t="s">
        <v>76</v>
      </c>
      <c r="J3058" s="3" t="s">
        <v>77</v>
      </c>
      <c r="K3058" s="3" t="s">
        <v>78</v>
      </c>
      <c r="L3058" s="3" t="s">
        <v>948</v>
      </c>
      <c r="M3058" s="3" t="s">
        <v>949</v>
      </c>
      <c r="N3058" s="3" t="s">
        <v>1294</v>
      </c>
      <c r="O3058" s="3" t="s">
        <v>82</v>
      </c>
      <c r="P3058" s="3" t="str">
        <f>"2170813851                    "</f>
        <v xml:space="preserve">2170813851                    </v>
      </c>
      <c r="Q3058" s="3">
        <v>0</v>
      </c>
      <c r="R3058" s="3">
        <v>0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  <c r="AE3058" s="3">
        <v>0</v>
      </c>
      <c r="AF3058" s="3">
        <v>0</v>
      </c>
      <c r="AG3058" s="3">
        <v>0</v>
      </c>
      <c r="AH3058" s="3">
        <v>0</v>
      </c>
      <c r="AI3058" s="3">
        <v>0</v>
      </c>
      <c r="AJ3058" s="3">
        <v>0</v>
      </c>
      <c r="AK3058" s="3">
        <v>21.74</v>
      </c>
      <c r="AL3058" s="3">
        <v>0</v>
      </c>
      <c r="AM3058" s="3">
        <v>0</v>
      </c>
      <c r="AN3058" s="3">
        <v>0</v>
      </c>
      <c r="AO3058" s="3">
        <v>0</v>
      </c>
      <c r="AP3058" s="3">
        <v>0</v>
      </c>
      <c r="AQ3058" s="3">
        <v>0</v>
      </c>
      <c r="AR3058" s="3">
        <v>0</v>
      </c>
      <c r="AS3058" s="3">
        <v>0</v>
      </c>
      <c r="AT3058" s="3">
        <v>0</v>
      </c>
      <c r="AU3058" s="3">
        <v>0</v>
      </c>
      <c r="AV3058" s="3">
        <v>0</v>
      </c>
      <c r="AW3058" s="3">
        <v>0</v>
      </c>
      <c r="AX3058" s="3">
        <v>0</v>
      </c>
      <c r="AY3058" s="3">
        <v>0</v>
      </c>
      <c r="AZ3058" s="3">
        <v>0</v>
      </c>
      <c r="BA3058" s="3">
        <v>0</v>
      </c>
      <c r="BB3058" s="3">
        <v>0</v>
      </c>
      <c r="BC3058" s="3">
        <v>0</v>
      </c>
      <c r="BD3058" s="3">
        <v>0</v>
      </c>
      <c r="BE3058" s="3">
        <v>0</v>
      </c>
      <c r="BF3058" s="3">
        <v>0</v>
      </c>
      <c r="BG3058" s="3">
        <v>0</v>
      </c>
      <c r="BH3058" s="3">
        <v>1</v>
      </c>
      <c r="BI3058" s="3">
        <v>2</v>
      </c>
      <c r="BJ3058" s="3">
        <v>0.9</v>
      </c>
      <c r="BK3058" s="3">
        <v>2</v>
      </c>
      <c r="BL3058" s="3">
        <v>82.98</v>
      </c>
      <c r="BM3058" s="3">
        <v>12.45</v>
      </c>
      <c r="BN3058" s="3">
        <v>95.43</v>
      </c>
      <c r="BO3058" s="3">
        <v>95.43</v>
      </c>
      <c r="BR3058" s="3" t="s">
        <v>364</v>
      </c>
      <c r="BS3058" s="4">
        <v>44568</v>
      </c>
      <c r="BT3058" s="5">
        <v>0.51874999999999993</v>
      </c>
      <c r="BU3058" s="3" t="s">
        <v>2630</v>
      </c>
      <c r="BV3058" s="3" t="s">
        <v>105</v>
      </c>
      <c r="BY3058" s="3">
        <v>4500</v>
      </c>
      <c r="BZ3058" s="3" t="s">
        <v>165</v>
      </c>
      <c r="CA3058" s="3" t="s">
        <v>2809</v>
      </c>
      <c r="CC3058" s="3" t="s">
        <v>949</v>
      </c>
      <c r="CD3058" s="3">
        <v>1759</v>
      </c>
      <c r="CE3058" s="3" t="s">
        <v>86</v>
      </c>
      <c r="CF3058" s="4">
        <v>44569</v>
      </c>
      <c r="CI3058" s="3">
        <v>1</v>
      </c>
      <c r="CJ3058" s="3">
        <v>1</v>
      </c>
      <c r="CK3058" s="3">
        <v>24</v>
      </c>
      <c r="CL3058" s="3" t="s">
        <v>87</v>
      </c>
    </row>
    <row r="3059" spans="1:90" x14ac:dyDescent="0.2">
      <c r="A3059" s="3" t="s">
        <v>72</v>
      </c>
      <c r="B3059" s="3" t="s">
        <v>73</v>
      </c>
      <c r="C3059" s="3" t="s">
        <v>74</v>
      </c>
      <c r="E3059" s="3" t="str">
        <f>"FES1162843934"</f>
        <v>FES1162843934</v>
      </c>
      <c r="F3059" s="4">
        <v>44567</v>
      </c>
      <c r="G3059" s="3">
        <v>202207</v>
      </c>
      <c r="H3059" s="3" t="s">
        <v>75</v>
      </c>
      <c r="I3059" s="3" t="s">
        <v>76</v>
      </c>
      <c r="J3059" s="3" t="s">
        <v>77</v>
      </c>
      <c r="K3059" s="3" t="s">
        <v>78</v>
      </c>
      <c r="L3059" s="3" t="s">
        <v>158</v>
      </c>
      <c r="M3059" s="3" t="s">
        <v>159</v>
      </c>
      <c r="N3059" s="3" t="s">
        <v>1156</v>
      </c>
      <c r="O3059" s="3" t="s">
        <v>82</v>
      </c>
      <c r="P3059" s="3" t="str">
        <f>"2170813628                    "</f>
        <v xml:space="preserve">2170813628                    </v>
      </c>
      <c r="Q3059" s="3">
        <v>0</v>
      </c>
      <c r="R3059" s="3">
        <v>0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  <c r="AE3059" s="3">
        <v>0</v>
      </c>
      <c r="AF3059" s="3">
        <v>0</v>
      </c>
      <c r="AG3059" s="3">
        <v>0</v>
      </c>
      <c r="AH3059" s="3">
        <v>0</v>
      </c>
      <c r="AI3059" s="3">
        <v>0</v>
      </c>
      <c r="AJ3059" s="3">
        <v>0</v>
      </c>
      <c r="AK3059" s="3">
        <v>12.07</v>
      </c>
      <c r="AL3059" s="3">
        <v>0</v>
      </c>
      <c r="AM3059" s="3">
        <v>0</v>
      </c>
      <c r="AN3059" s="3">
        <v>0</v>
      </c>
      <c r="AO3059" s="3">
        <v>0</v>
      </c>
      <c r="AP3059" s="3">
        <v>0</v>
      </c>
      <c r="AQ3059" s="3">
        <v>0</v>
      </c>
      <c r="AR3059" s="3">
        <v>0</v>
      </c>
      <c r="AS3059" s="3">
        <v>0</v>
      </c>
      <c r="AT3059" s="3">
        <v>0</v>
      </c>
      <c r="AU3059" s="3">
        <v>0</v>
      </c>
      <c r="AV3059" s="3">
        <v>0</v>
      </c>
      <c r="AW3059" s="3">
        <v>0</v>
      </c>
      <c r="AX3059" s="3">
        <v>0</v>
      </c>
      <c r="AY3059" s="3">
        <v>0</v>
      </c>
      <c r="AZ3059" s="3">
        <v>0</v>
      </c>
      <c r="BA3059" s="3">
        <v>0</v>
      </c>
      <c r="BB3059" s="3">
        <v>0</v>
      </c>
      <c r="BC3059" s="3">
        <v>0</v>
      </c>
      <c r="BD3059" s="3">
        <v>0</v>
      </c>
      <c r="BE3059" s="3">
        <v>0</v>
      </c>
      <c r="BF3059" s="3">
        <v>0</v>
      </c>
      <c r="BG3059" s="3">
        <v>0</v>
      </c>
      <c r="BH3059" s="3">
        <v>1</v>
      </c>
      <c r="BI3059" s="3">
        <v>1</v>
      </c>
      <c r="BJ3059" s="3">
        <v>0.2</v>
      </c>
      <c r="BK3059" s="3">
        <v>1</v>
      </c>
      <c r="BL3059" s="3">
        <v>46.08</v>
      </c>
      <c r="BM3059" s="3">
        <v>6.91</v>
      </c>
      <c r="BN3059" s="3">
        <v>52.99</v>
      </c>
      <c r="BO3059" s="3">
        <v>52.99</v>
      </c>
      <c r="BQ3059" s="3" t="s">
        <v>83</v>
      </c>
      <c r="BR3059" s="3" t="s">
        <v>364</v>
      </c>
      <c r="BS3059" s="4">
        <v>44568</v>
      </c>
      <c r="BT3059" s="5">
        <v>0.33888888888888885</v>
      </c>
      <c r="BU3059" s="3" t="s">
        <v>2720</v>
      </c>
      <c r="BV3059" s="3" t="s">
        <v>105</v>
      </c>
      <c r="BY3059" s="3">
        <v>1200</v>
      </c>
      <c r="BZ3059" s="3" t="s">
        <v>165</v>
      </c>
      <c r="CA3059" s="3" t="s">
        <v>678</v>
      </c>
      <c r="CC3059" s="3" t="s">
        <v>159</v>
      </c>
      <c r="CD3059" s="3">
        <v>1459</v>
      </c>
      <c r="CE3059" s="3" t="s">
        <v>93</v>
      </c>
      <c r="CF3059" s="4">
        <v>44569</v>
      </c>
      <c r="CI3059" s="3">
        <v>1</v>
      </c>
      <c r="CJ3059" s="3">
        <v>1</v>
      </c>
      <c r="CK3059" s="3">
        <v>22</v>
      </c>
      <c r="CL3059" s="3" t="s">
        <v>87</v>
      </c>
    </row>
    <row r="3060" spans="1:90" x14ac:dyDescent="0.2">
      <c r="A3060" s="3" t="s">
        <v>72</v>
      </c>
      <c r="B3060" s="3" t="s">
        <v>73</v>
      </c>
      <c r="C3060" s="3" t="s">
        <v>74</v>
      </c>
      <c r="E3060" s="3" t="str">
        <f>"FES1162843922"</f>
        <v>FES1162843922</v>
      </c>
      <c r="F3060" s="4">
        <v>44567</v>
      </c>
      <c r="G3060" s="3">
        <v>202207</v>
      </c>
      <c r="H3060" s="3" t="s">
        <v>75</v>
      </c>
      <c r="I3060" s="3" t="s">
        <v>76</v>
      </c>
      <c r="J3060" s="3" t="s">
        <v>77</v>
      </c>
      <c r="K3060" s="3" t="s">
        <v>78</v>
      </c>
      <c r="L3060" s="3" t="s">
        <v>167</v>
      </c>
      <c r="M3060" s="3" t="s">
        <v>168</v>
      </c>
      <c r="N3060" s="3" t="s">
        <v>1343</v>
      </c>
      <c r="O3060" s="3" t="s">
        <v>82</v>
      </c>
      <c r="P3060" s="3" t="str">
        <f>"2170813137                    "</f>
        <v xml:space="preserve">2170813137                    </v>
      </c>
      <c r="Q3060" s="3">
        <v>0</v>
      </c>
      <c r="R3060" s="3">
        <v>0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  <c r="AE3060" s="3">
        <v>0</v>
      </c>
      <c r="AF3060" s="3">
        <v>0</v>
      </c>
      <c r="AG3060" s="3">
        <v>0</v>
      </c>
      <c r="AH3060" s="3">
        <v>0</v>
      </c>
      <c r="AI3060" s="3">
        <v>0</v>
      </c>
      <c r="AJ3060" s="3">
        <v>0</v>
      </c>
      <c r="AK3060" s="3">
        <v>15.46</v>
      </c>
      <c r="AL3060" s="3">
        <v>0</v>
      </c>
      <c r="AM3060" s="3">
        <v>0</v>
      </c>
      <c r="AN3060" s="3">
        <v>0</v>
      </c>
      <c r="AO3060" s="3">
        <v>0</v>
      </c>
      <c r="AP3060" s="3">
        <v>0</v>
      </c>
      <c r="AQ3060" s="3">
        <v>0</v>
      </c>
      <c r="AR3060" s="3">
        <v>0</v>
      </c>
      <c r="AS3060" s="3">
        <v>0</v>
      </c>
      <c r="AT3060" s="3">
        <v>0</v>
      </c>
      <c r="AU3060" s="3">
        <v>0</v>
      </c>
      <c r="AV3060" s="3">
        <v>0</v>
      </c>
      <c r="AW3060" s="3">
        <v>0</v>
      </c>
      <c r="AX3060" s="3">
        <v>0</v>
      </c>
      <c r="AY3060" s="3">
        <v>0</v>
      </c>
      <c r="AZ3060" s="3">
        <v>0</v>
      </c>
      <c r="BA3060" s="3">
        <v>0</v>
      </c>
      <c r="BB3060" s="3">
        <v>0</v>
      </c>
      <c r="BC3060" s="3">
        <v>0</v>
      </c>
      <c r="BD3060" s="3">
        <v>0</v>
      </c>
      <c r="BE3060" s="3">
        <v>0</v>
      </c>
      <c r="BF3060" s="3">
        <v>0</v>
      </c>
      <c r="BG3060" s="3">
        <v>0</v>
      </c>
      <c r="BH3060" s="3">
        <v>1</v>
      </c>
      <c r="BI3060" s="3">
        <v>1</v>
      </c>
      <c r="BJ3060" s="3">
        <v>0.2</v>
      </c>
      <c r="BK3060" s="3">
        <v>1</v>
      </c>
      <c r="BL3060" s="3">
        <v>59</v>
      </c>
      <c r="BM3060" s="3">
        <v>8.85</v>
      </c>
      <c r="BN3060" s="3">
        <v>67.849999999999994</v>
      </c>
      <c r="BO3060" s="3">
        <v>67.849999999999994</v>
      </c>
      <c r="BQ3060" s="3" t="s">
        <v>83</v>
      </c>
      <c r="BR3060" s="3" t="s">
        <v>364</v>
      </c>
      <c r="BS3060" s="4">
        <v>44568</v>
      </c>
      <c r="BT3060" s="5">
        <v>0.53611111111111109</v>
      </c>
      <c r="BU3060" s="3" t="s">
        <v>1766</v>
      </c>
      <c r="BV3060" s="3" t="s">
        <v>87</v>
      </c>
      <c r="BW3060" s="3" t="s">
        <v>457</v>
      </c>
      <c r="BX3060" s="3" t="s">
        <v>2542</v>
      </c>
      <c r="BY3060" s="3">
        <v>1200</v>
      </c>
      <c r="BZ3060" s="3" t="s">
        <v>165</v>
      </c>
      <c r="CA3060" s="3" t="s">
        <v>263</v>
      </c>
      <c r="CC3060" s="3" t="s">
        <v>168</v>
      </c>
      <c r="CD3060" s="3">
        <v>6220</v>
      </c>
      <c r="CE3060" s="3" t="s">
        <v>93</v>
      </c>
      <c r="CF3060" s="4">
        <v>44571</v>
      </c>
      <c r="CI3060" s="3">
        <v>1</v>
      </c>
      <c r="CJ3060" s="3">
        <v>1</v>
      </c>
      <c r="CK3060" s="3">
        <v>21</v>
      </c>
      <c r="CL3060" s="3" t="s">
        <v>87</v>
      </c>
    </row>
    <row r="3061" spans="1:90" x14ac:dyDescent="0.2">
      <c r="A3061" s="3" t="s">
        <v>72</v>
      </c>
      <c r="B3061" s="3" t="s">
        <v>73</v>
      </c>
      <c r="C3061" s="3" t="s">
        <v>74</v>
      </c>
      <c r="E3061" s="3" t="str">
        <f>"FES1162843895"</f>
        <v>FES1162843895</v>
      </c>
      <c r="F3061" s="4">
        <v>44567</v>
      </c>
      <c r="G3061" s="3">
        <v>202207</v>
      </c>
      <c r="H3061" s="3" t="s">
        <v>75</v>
      </c>
      <c r="I3061" s="3" t="s">
        <v>76</v>
      </c>
      <c r="J3061" s="3" t="s">
        <v>77</v>
      </c>
      <c r="K3061" s="3" t="s">
        <v>78</v>
      </c>
      <c r="L3061" s="3" t="s">
        <v>171</v>
      </c>
      <c r="M3061" s="3" t="s">
        <v>172</v>
      </c>
      <c r="N3061" s="3" t="s">
        <v>624</v>
      </c>
      <c r="O3061" s="3" t="s">
        <v>82</v>
      </c>
      <c r="P3061" s="3" t="str">
        <f>"2170803565                    "</f>
        <v xml:space="preserve">2170803565                    </v>
      </c>
      <c r="Q3061" s="3">
        <v>0</v>
      </c>
      <c r="R3061" s="3">
        <v>0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  <c r="AE3061" s="3">
        <v>0</v>
      </c>
      <c r="AF3061" s="3">
        <v>0</v>
      </c>
      <c r="AG3061" s="3">
        <v>0</v>
      </c>
      <c r="AH3061" s="3">
        <v>0</v>
      </c>
      <c r="AI3061" s="3">
        <v>0</v>
      </c>
      <c r="AJ3061" s="3">
        <v>0</v>
      </c>
      <c r="AK3061" s="3">
        <v>15.46</v>
      </c>
      <c r="AL3061" s="3">
        <v>0</v>
      </c>
      <c r="AM3061" s="3">
        <v>0</v>
      </c>
      <c r="AN3061" s="3">
        <v>0</v>
      </c>
      <c r="AO3061" s="3">
        <v>0</v>
      </c>
      <c r="AP3061" s="3">
        <v>0</v>
      </c>
      <c r="AQ3061" s="3">
        <v>0</v>
      </c>
      <c r="AR3061" s="3">
        <v>0</v>
      </c>
      <c r="AS3061" s="3">
        <v>0</v>
      </c>
      <c r="AT3061" s="3">
        <v>0</v>
      </c>
      <c r="AU3061" s="3">
        <v>0</v>
      </c>
      <c r="AV3061" s="3">
        <v>0</v>
      </c>
      <c r="AW3061" s="3">
        <v>0</v>
      </c>
      <c r="AX3061" s="3">
        <v>0</v>
      </c>
      <c r="AY3061" s="3">
        <v>0</v>
      </c>
      <c r="AZ3061" s="3">
        <v>0</v>
      </c>
      <c r="BA3061" s="3">
        <v>0</v>
      </c>
      <c r="BB3061" s="3">
        <v>0</v>
      </c>
      <c r="BC3061" s="3">
        <v>0</v>
      </c>
      <c r="BD3061" s="3">
        <v>0</v>
      </c>
      <c r="BE3061" s="3">
        <v>0</v>
      </c>
      <c r="BF3061" s="3">
        <v>0</v>
      </c>
      <c r="BG3061" s="3">
        <v>0</v>
      </c>
      <c r="BH3061" s="3">
        <v>1</v>
      </c>
      <c r="BI3061" s="3">
        <v>1</v>
      </c>
      <c r="BJ3061" s="3">
        <v>0.2</v>
      </c>
      <c r="BK3061" s="3">
        <v>1</v>
      </c>
      <c r="BL3061" s="3">
        <v>59</v>
      </c>
      <c r="BM3061" s="3">
        <v>8.85</v>
      </c>
      <c r="BN3061" s="3">
        <v>67.849999999999994</v>
      </c>
      <c r="BO3061" s="3">
        <v>67.849999999999994</v>
      </c>
      <c r="BQ3061" s="3" t="s">
        <v>89</v>
      </c>
      <c r="BR3061" s="3" t="s">
        <v>364</v>
      </c>
      <c r="BS3061" s="4">
        <v>44568</v>
      </c>
      <c r="BT3061" s="5">
        <v>0.35347222222222219</v>
      </c>
      <c r="BU3061" s="3" t="s">
        <v>2810</v>
      </c>
      <c r="BV3061" s="3" t="s">
        <v>105</v>
      </c>
      <c r="BY3061" s="3">
        <v>1200</v>
      </c>
      <c r="BZ3061" s="3" t="s">
        <v>165</v>
      </c>
      <c r="CA3061" s="3" t="s">
        <v>331</v>
      </c>
      <c r="CC3061" s="3" t="s">
        <v>172</v>
      </c>
      <c r="CD3061" s="3">
        <v>6001</v>
      </c>
      <c r="CE3061" s="3" t="s">
        <v>93</v>
      </c>
      <c r="CF3061" s="4">
        <v>44571</v>
      </c>
      <c r="CI3061" s="3">
        <v>1</v>
      </c>
      <c r="CJ3061" s="3">
        <v>1</v>
      </c>
      <c r="CK3061" s="3">
        <v>21</v>
      </c>
      <c r="CL3061" s="3" t="s">
        <v>87</v>
      </c>
    </row>
    <row r="3062" spans="1:90" x14ac:dyDescent="0.2">
      <c r="A3062" s="3" t="s">
        <v>72</v>
      </c>
      <c r="B3062" s="3" t="s">
        <v>73</v>
      </c>
      <c r="C3062" s="3" t="s">
        <v>74</v>
      </c>
      <c r="E3062" s="3" t="str">
        <f>"FES1162843698"</f>
        <v>FES1162843698</v>
      </c>
      <c r="F3062" s="4">
        <v>44567</v>
      </c>
      <c r="G3062" s="3">
        <v>202207</v>
      </c>
      <c r="H3062" s="3" t="s">
        <v>75</v>
      </c>
      <c r="I3062" s="3" t="s">
        <v>76</v>
      </c>
      <c r="J3062" s="3" t="s">
        <v>77</v>
      </c>
      <c r="K3062" s="3" t="s">
        <v>78</v>
      </c>
      <c r="L3062" s="3" t="s">
        <v>184</v>
      </c>
      <c r="M3062" s="3" t="s">
        <v>185</v>
      </c>
      <c r="N3062" s="3" t="s">
        <v>234</v>
      </c>
      <c r="O3062" s="3" t="s">
        <v>82</v>
      </c>
      <c r="P3062" s="3" t="str">
        <f>"2170814510                    "</f>
        <v xml:space="preserve">2170814510                    </v>
      </c>
      <c r="Q3062" s="3">
        <v>0</v>
      </c>
      <c r="R3062" s="3">
        <v>0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  <c r="AE3062" s="3">
        <v>0</v>
      </c>
      <c r="AF3062" s="3">
        <v>0</v>
      </c>
      <c r="AG3062" s="3">
        <v>0</v>
      </c>
      <c r="AH3062" s="3">
        <v>0</v>
      </c>
      <c r="AI3062" s="3">
        <v>0</v>
      </c>
      <c r="AJ3062" s="3">
        <v>0</v>
      </c>
      <c r="AK3062" s="3">
        <v>15.46</v>
      </c>
      <c r="AL3062" s="3">
        <v>0</v>
      </c>
      <c r="AM3062" s="3">
        <v>0</v>
      </c>
      <c r="AN3062" s="3">
        <v>0</v>
      </c>
      <c r="AO3062" s="3">
        <v>0</v>
      </c>
      <c r="AP3062" s="3">
        <v>0</v>
      </c>
      <c r="AQ3062" s="3">
        <v>0</v>
      </c>
      <c r="AR3062" s="3">
        <v>0</v>
      </c>
      <c r="AS3062" s="3">
        <v>0</v>
      </c>
      <c r="AT3062" s="3">
        <v>0</v>
      </c>
      <c r="AU3062" s="3">
        <v>0</v>
      </c>
      <c r="AV3062" s="3">
        <v>0</v>
      </c>
      <c r="AW3062" s="3">
        <v>0</v>
      </c>
      <c r="AX3062" s="3">
        <v>0</v>
      </c>
      <c r="AY3062" s="3">
        <v>0</v>
      </c>
      <c r="AZ3062" s="3">
        <v>0</v>
      </c>
      <c r="BA3062" s="3">
        <v>0</v>
      </c>
      <c r="BB3062" s="3">
        <v>0</v>
      </c>
      <c r="BC3062" s="3">
        <v>0</v>
      </c>
      <c r="BD3062" s="3">
        <v>0</v>
      </c>
      <c r="BE3062" s="3">
        <v>0</v>
      </c>
      <c r="BF3062" s="3">
        <v>0</v>
      </c>
      <c r="BG3062" s="3">
        <v>0</v>
      </c>
      <c r="BH3062" s="3">
        <v>1</v>
      </c>
      <c r="BI3062" s="3">
        <v>1</v>
      </c>
      <c r="BJ3062" s="3">
        <v>0.2</v>
      </c>
      <c r="BK3062" s="3">
        <v>1</v>
      </c>
      <c r="BL3062" s="3">
        <v>59</v>
      </c>
      <c r="BM3062" s="3">
        <v>8.85</v>
      </c>
      <c r="BN3062" s="3">
        <v>67.849999999999994</v>
      </c>
      <c r="BO3062" s="3">
        <v>67.849999999999994</v>
      </c>
      <c r="BQ3062" s="3" t="s">
        <v>2811</v>
      </c>
      <c r="BR3062" s="3" t="s">
        <v>364</v>
      </c>
      <c r="BS3062" s="4">
        <v>44568</v>
      </c>
      <c r="BT3062" s="5">
        <v>0.41805555555555557</v>
      </c>
      <c r="BU3062" s="3" t="s">
        <v>1888</v>
      </c>
      <c r="BV3062" s="3" t="s">
        <v>105</v>
      </c>
      <c r="BY3062" s="3">
        <v>1200</v>
      </c>
      <c r="BZ3062" s="3" t="s">
        <v>165</v>
      </c>
      <c r="CA3062" s="3" t="s">
        <v>612</v>
      </c>
      <c r="CC3062" s="3" t="s">
        <v>185</v>
      </c>
      <c r="CD3062" s="3">
        <v>5201</v>
      </c>
      <c r="CE3062" s="3" t="s">
        <v>93</v>
      </c>
      <c r="CF3062" s="4">
        <v>44568</v>
      </c>
      <c r="CI3062" s="3">
        <v>1</v>
      </c>
      <c r="CJ3062" s="3">
        <v>1</v>
      </c>
      <c r="CK3062" s="3">
        <v>21</v>
      </c>
      <c r="CL3062" s="3" t="s">
        <v>87</v>
      </c>
    </row>
    <row r="3063" spans="1:90" x14ac:dyDescent="0.2">
      <c r="A3063" s="3" t="s">
        <v>72</v>
      </c>
      <c r="B3063" s="3" t="s">
        <v>73</v>
      </c>
      <c r="C3063" s="3" t="s">
        <v>74</v>
      </c>
      <c r="E3063" s="3" t="str">
        <f>"FES1162843847"</f>
        <v>FES1162843847</v>
      </c>
      <c r="F3063" s="4">
        <v>44567</v>
      </c>
      <c r="G3063" s="3">
        <v>202207</v>
      </c>
      <c r="H3063" s="3" t="s">
        <v>75</v>
      </c>
      <c r="I3063" s="3" t="s">
        <v>76</v>
      </c>
      <c r="J3063" s="3" t="s">
        <v>77</v>
      </c>
      <c r="K3063" s="3" t="s">
        <v>78</v>
      </c>
      <c r="L3063" s="3" t="s">
        <v>383</v>
      </c>
      <c r="M3063" s="3" t="s">
        <v>384</v>
      </c>
      <c r="N3063" s="3" t="s">
        <v>2812</v>
      </c>
      <c r="O3063" s="3" t="s">
        <v>82</v>
      </c>
      <c r="P3063" s="3" t="str">
        <f>"2170815777                    "</f>
        <v xml:space="preserve">2170815777                    </v>
      </c>
      <c r="Q3063" s="3">
        <v>0</v>
      </c>
      <c r="R3063" s="3">
        <v>0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  <c r="AE3063" s="3">
        <v>0</v>
      </c>
      <c r="AF3063" s="3">
        <v>0</v>
      </c>
      <c r="AG3063" s="3">
        <v>0</v>
      </c>
      <c r="AH3063" s="3">
        <v>0</v>
      </c>
      <c r="AI3063" s="3">
        <v>0</v>
      </c>
      <c r="AJ3063" s="3">
        <v>0</v>
      </c>
      <c r="AK3063" s="3">
        <v>124.63</v>
      </c>
      <c r="AL3063" s="3">
        <v>0</v>
      </c>
      <c r="AM3063" s="3">
        <v>0</v>
      </c>
      <c r="AN3063" s="3">
        <v>0</v>
      </c>
      <c r="AO3063" s="3">
        <v>0</v>
      </c>
      <c r="AP3063" s="3">
        <v>0</v>
      </c>
      <c r="AQ3063" s="3">
        <v>0</v>
      </c>
      <c r="AR3063" s="3">
        <v>0</v>
      </c>
      <c r="AS3063" s="3">
        <v>0</v>
      </c>
      <c r="AT3063" s="3">
        <v>0</v>
      </c>
      <c r="AU3063" s="3">
        <v>0</v>
      </c>
      <c r="AV3063" s="3">
        <v>0</v>
      </c>
      <c r="AW3063" s="3">
        <v>0</v>
      </c>
      <c r="AX3063" s="3">
        <v>0</v>
      </c>
      <c r="AY3063" s="3">
        <v>0</v>
      </c>
      <c r="AZ3063" s="3">
        <v>0</v>
      </c>
      <c r="BA3063" s="3">
        <v>0</v>
      </c>
      <c r="BB3063" s="3">
        <v>0</v>
      </c>
      <c r="BC3063" s="3">
        <v>0</v>
      </c>
      <c r="BD3063" s="3">
        <v>0</v>
      </c>
      <c r="BE3063" s="3">
        <v>0</v>
      </c>
      <c r="BF3063" s="3">
        <v>0</v>
      </c>
      <c r="BG3063" s="3">
        <v>0</v>
      </c>
      <c r="BH3063" s="3">
        <v>1</v>
      </c>
      <c r="BI3063" s="3">
        <v>9</v>
      </c>
      <c r="BJ3063" s="3">
        <v>7.3</v>
      </c>
      <c r="BK3063" s="3">
        <v>9</v>
      </c>
      <c r="BL3063" s="3">
        <v>475.69</v>
      </c>
      <c r="BM3063" s="3">
        <v>71.349999999999994</v>
      </c>
      <c r="BN3063" s="3">
        <v>547.04</v>
      </c>
      <c r="BO3063" s="3">
        <v>547.04</v>
      </c>
      <c r="BQ3063" s="3" t="s">
        <v>89</v>
      </c>
      <c r="BR3063" s="3" t="s">
        <v>364</v>
      </c>
      <c r="BS3063" s="4">
        <v>44568</v>
      </c>
      <c r="BT3063" s="5">
        <v>0.37361111111111112</v>
      </c>
      <c r="BU3063" s="3" t="s">
        <v>2813</v>
      </c>
      <c r="BV3063" s="3" t="s">
        <v>105</v>
      </c>
      <c r="BY3063" s="3">
        <v>36450</v>
      </c>
      <c r="BZ3063" s="3" t="s">
        <v>165</v>
      </c>
      <c r="CA3063" s="3" t="s">
        <v>2814</v>
      </c>
      <c r="CC3063" s="3" t="s">
        <v>384</v>
      </c>
      <c r="CD3063" s="3">
        <v>2571</v>
      </c>
      <c r="CE3063" s="3" t="s">
        <v>86</v>
      </c>
      <c r="CF3063" s="4">
        <v>44571</v>
      </c>
      <c r="CI3063" s="3">
        <v>1</v>
      </c>
      <c r="CJ3063" s="3">
        <v>1</v>
      </c>
      <c r="CK3063" s="3">
        <v>23</v>
      </c>
      <c r="CL3063" s="3" t="s">
        <v>87</v>
      </c>
    </row>
    <row r="3064" spans="1:90" x14ac:dyDescent="0.2">
      <c r="A3064" s="3" t="s">
        <v>72</v>
      </c>
      <c r="B3064" s="3" t="s">
        <v>73</v>
      </c>
      <c r="C3064" s="3" t="s">
        <v>74</v>
      </c>
      <c r="E3064" s="3" t="str">
        <f>"FES1162843811"</f>
        <v>FES1162843811</v>
      </c>
      <c r="F3064" s="4">
        <v>44567</v>
      </c>
      <c r="G3064" s="3">
        <v>202207</v>
      </c>
      <c r="H3064" s="3" t="s">
        <v>75</v>
      </c>
      <c r="I3064" s="3" t="s">
        <v>76</v>
      </c>
      <c r="J3064" s="3" t="s">
        <v>77</v>
      </c>
      <c r="K3064" s="3" t="s">
        <v>78</v>
      </c>
      <c r="L3064" s="3" t="s">
        <v>101</v>
      </c>
      <c r="M3064" s="3" t="s">
        <v>102</v>
      </c>
      <c r="N3064" s="3" t="s">
        <v>1689</v>
      </c>
      <c r="O3064" s="3" t="s">
        <v>82</v>
      </c>
      <c r="P3064" s="3" t="str">
        <f>"2170815032                    "</f>
        <v xml:space="preserve">2170815032                    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  <c r="AE3064" s="3">
        <v>0</v>
      </c>
      <c r="AF3064" s="3">
        <v>0</v>
      </c>
      <c r="AG3064" s="3">
        <v>0</v>
      </c>
      <c r="AH3064" s="3">
        <v>0</v>
      </c>
      <c r="AI3064" s="3">
        <v>0</v>
      </c>
      <c r="AJ3064" s="3">
        <v>0</v>
      </c>
      <c r="AK3064" s="3">
        <v>15.46</v>
      </c>
      <c r="AL3064" s="3">
        <v>0</v>
      </c>
      <c r="AM3064" s="3">
        <v>0</v>
      </c>
      <c r="AN3064" s="3">
        <v>0</v>
      </c>
      <c r="AO3064" s="3">
        <v>0</v>
      </c>
      <c r="AP3064" s="3">
        <v>0</v>
      </c>
      <c r="AQ3064" s="3">
        <v>0</v>
      </c>
      <c r="AR3064" s="3">
        <v>0</v>
      </c>
      <c r="AS3064" s="3">
        <v>0</v>
      </c>
      <c r="AT3064" s="3">
        <v>0</v>
      </c>
      <c r="AU3064" s="3">
        <v>0</v>
      </c>
      <c r="AV3064" s="3">
        <v>0</v>
      </c>
      <c r="AW3064" s="3">
        <v>0</v>
      </c>
      <c r="AX3064" s="3">
        <v>0</v>
      </c>
      <c r="AY3064" s="3">
        <v>0</v>
      </c>
      <c r="AZ3064" s="3">
        <v>0</v>
      </c>
      <c r="BA3064" s="3">
        <v>0</v>
      </c>
      <c r="BB3064" s="3">
        <v>0</v>
      </c>
      <c r="BC3064" s="3">
        <v>0</v>
      </c>
      <c r="BD3064" s="3">
        <v>0</v>
      </c>
      <c r="BE3064" s="3">
        <v>0</v>
      </c>
      <c r="BF3064" s="3">
        <v>0</v>
      </c>
      <c r="BG3064" s="3">
        <v>0</v>
      </c>
      <c r="BH3064" s="3">
        <v>1</v>
      </c>
      <c r="BI3064" s="3">
        <v>2</v>
      </c>
      <c r="BJ3064" s="3">
        <v>2</v>
      </c>
      <c r="BK3064" s="3">
        <v>2</v>
      </c>
      <c r="BL3064" s="3">
        <v>59</v>
      </c>
      <c r="BM3064" s="3">
        <v>8.85</v>
      </c>
      <c r="BN3064" s="3">
        <v>67.849999999999994</v>
      </c>
      <c r="BO3064" s="3">
        <v>67.849999999999994</v>
      </c>
      <c r="BQ3064" s="3" t="s">
        <v>83</v>
      </c>
      <c r="BR3064" s="3" t="s">
        <v>364</v>
      </c>
      <c r="BS3064" s="4">
        <v>44568</v>
      </c>
      <c r="BT3064" s="5">
        <v>0.44305555555555554</v>
      </c>
      <c r="BU3064" s="3" t="s">
        <v>2815</v>
      </c>
      <c r="BV3064" s="3" t="s">
        <v>87</v>
      </c>
      <c r="BW3064" s="3" t="s">
        <v>579</v>
      </c>
      <c r="BX3064" s="3" t="s">
        <v>2578</v>
      </c>
      <c r="BY3064" s="3">
        <v>9918</v>
      </c>
      <c r="BZ3064" s="3" t="s">
        <v>165</v>
      </c>
      <c r="CA3064" s="3" t="s">
        <v>339</v>
      </c>
      <c r="CC3064" s="3" t="s">
        <v>102</v>
      </c>
      <c r="CD3064" s="3">
        <v>4052</v>
      </c>
      <c r="CE3064" s="3" t="s">
        <v>86</v>
      </c>
      <c r="CF3064" s="4">
        <v>44571</v>
      </c>
      <c r="CI3064" s="3">
        <v>1</v>
      </c>
      <c r="CJ3064" s="3">
        <v>1</v>
      </c>
      <c r="CK3064" s="3">
        <v>21</v>
      </c>
      <c r="CL3064" s="3" t="s">
        <v>87</v>
      </c>
    </row>
    <row r="3065" spans="1:90" x14ac:dyDescent="0.2">
      <c r="A3065" s="3" t="s">
        <v>72</v>
      </c>
      <c r="B3065" s="3" t="s">
        <v>73</v>
      </c>
      <c r="C3065" s="3" t="s">
        <v>74</v>
      </c>
      <c r="E3065" s="3" t="str">
        <f>"FES1162843933"</f>
        <v>FES1162843933</v>
      </c>
      <c r="F3065" s="4">
        <v>44567</v>
      </c>
      <c r="G3065" s="3">
        <v>202207</v>
      </c>
      <c r="H3065" s="3" t="s">
        <v>75</v>
      </c>
      <c r="I3065" s="3" t="s">
        <v>76</v>
      </c>
      <c r="J3065" s="3" t="s">
        <v>77</v>
      </c>
      <c r="K3065" s="3" t="s">
        <v>78</v>
      </c>
      <c r="L3065" s="3" t="s">
        <v>171</v>
      </c>
      <c r="M3065" s="3" t="s">
        <v>172</v>
      </c>
      <c r="N3065" s="3" t="s">
        <v>454</v>
      </c>
      <c r="O3065" s="3" t="s">
        <v>82</v>
      </c>
      <c r="P3065" s="3" t="str">
        <f>"2170813623                    "</f>
        <v xml:space="preserve">2170813623                    </v>
      </c>
      <c r="Q3065" s="3">
        <v>0</v>
      </c>
      <c r="R3065" s="3">
        <v>0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  <c r="AE3065" s="3">
        <v>0</v>
      </c>
      <c r="AF3065" s="3">
        <v>0</v>
      </c>
      <c r="AG3065" s="3">
        <v>0</v>
      </c>
      <c r="AH3065" s="3">
        <v>0</v>
      </c>
      <c r="AI3065" s="3">
        <v>0</v>
      </c>
      <c r="AJ3065" s="3">
        <v>0</v>
      </c>
      <c r="AK3065" s="3">
        <v>15.46</v>
      </c>
      <c r="AL3065" s="3">
        <v>0</v>
      </c>
      <c r="AM3065" s="3">
        <v>0</v>
      </c>
      <c r="AN3065" s="3">
        <v>0</v>
      </c>
      <c r="AO3065" s="3">
        <v>0</v>
      </c>
      <c r="AP3065" s="3">
        <v>0</v>
      </c>
      <c r="AQ3065" s="3">
        <v>0</v>
      </c>
      <c r="AR3065" s="3">
        <v>0</v>
      </c>
      <c r="AS3065" s="3">
        <v>0</v>
      </c>
      <c r="AT3065" s="3">
        <v>0</v>
      </c>
      <c r="AU3065" s="3">
        <v>0</v>
      </c>
      <c r="AV3065" s="3">
        <v>0</v>
      </c>
      <c r="AW3065" s="3">
        <v>0</v>
      </c>
      <c r="AX3065" s="3">
        <v>0</v>
      </c>
      <c r="AY3065" s="3">
        <v>0</v>
      </c>
      <c r="AZ3065" s="3">
        <v>0</v>
      </c>
      <c r="BA3065" s="3">
        <v>0</v>
      </c>
      <c r="BB3065" s="3">
        <v>0</v>
      </c>
      <c r="BC3065" s="3">
        <v>0</v>
      </c>
      <c r="BD3065" s="3">
        <v>0</v>
      </c>
      <c r="BE3065" s="3">
        <v>0</v>
      </c>
      <c r="BF3065" s="3">
        <v>0</v>
      </c>
      <c r="BG3065" s="3">
        <v>0</v>
      </c>
      <c r="BH3065" s="3">
        <v>1</v>
      </c>
      <c r="BI3065" s="3">
        <v>1</v>
      </c>
      <c r="BJ3065" s="3">
        <v>0.2</v>
      </c>
      <c r="BK3065" s="3">
        <v>1</v>
      </c>
      <c r="BL3065" s="3">
        <v>59</v>
      </c>
      <c r="BM3065" s="3">
        <v>8.85</v>
      </c>
      <c r="BN3065" s="3">
        <v>67.849999999999994</v>
      </c>
      <c r="BO3065" s="3">
        <v>67.849999999999994</v>
      </c>
      <c r="BQ3065" s="3" t="s">
        <v>89</v>
      </c>
      <c r="BR3065" s="3" t="s">
        <v>364</v>
      </c>
      <c r="BS3065" s="4">
        <v>44568</v>
      </c>
      <c r="BT3065" s="5">
        <v>0.50416666666666665</v>
      </c>
      <c r="BU3065" s="3" t="s">
        <v>1989</v>
      </c>
      <c r="BV3065" s="3" t="s">
        <v>87</v>
      </c>
      <c r="BW3065" s="3" t="s">
        <v>457</v>
      </c>
      <c r="BX3065" s="3" t="s">
        <v>279</v>
      </c>
      <c r="BY3065" s="3">
        <v>1200</v>
      </c>
      <c r="BZ3065" s="3" t="s">
        <v>165</v>
      </c>
      <c r="CA3065" s="3" t="s">
        <v>509</v>
      </c>
      <c r="CC3065" s="3" t="s">
        <v>172</v>
      </c>
      <c r="CD3065" s="3">
        <v>6001</v>
      </c>
      <c r="CE3065" s="3" t="s">
        <v>93</v>
      </c>
      <c r="CF3065" s="4">
        <v>44571</v>
      </c>
      <c r="CI3065" s="3">
        <v>1</v>
      </c>
      <c r="CJ3065" s="3">
        <v>1</v>
      </c>
      <c r="CK3065" s="3">
        <v>21</v>
      </c>
      <c r="CL3065" s="3" t="s">
        <v>87</v>
      </c>
    </row>
    <row r="3066" spans="1:90" x14ac:dyDescent="0.2">
      <c r="A3066" s="3" t="s">
        <v>72</v>
      </c>
      <c r="B3066" s="3" t="s">
        <v>73</v>
      </c>
      <c r="C3066" s="3" t="s">
        <v>74</v>
      </c>
      <c r="E3066" s="3" t="str">
        <f>"FES1162843721"</f>
        <v>FES1162843721</v>
      </c>
      <c r="F3066" s="4">
        <v>44567</v>
      </c>
      <c r="G3066" s="3">
        <v>202207</v>
      </c>
      <c r="H3066" s="3" t="s">
        <v>75</v>
      </c>
      <c r="I3066" s="3" t="s">
        <v>76</v>
      </c>
      <c r="J3066" s="3" t="s">
        <v>77</v>
      </c>
      <c r="K3066" s="3" t="s">
        <v>78</v>
      </c>
      <c r="L3066" s="3" t="s">
        <v>162</v>
      </c>
      <c r="M3066" s="3" t="s">
        <v>163</v>
      </c>
      <c r="N3066" s="3" t="s">
        <v>885</v>
      </c>
      <c r="O3066" s="3" t="s">
        <v>82</v>
      </c>
      <c r="P3066" s="3" t="str">
        <f>"2170812354                    "</f>
        <v xml:space="preserve">2170812354                    </v>
      </c>
      <c r="Q3066" s="3">
        <v>0</v>
      </c>
      <c r="R3066" s="3">
        <v>0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  <c r="AE3066" s="3">
        <v>0</v>
      </c>
      <c r="AF3066" s="3">
        <v>0</v>
      </c>
      <c r="AG3066" s="3">
        <v>0</v>
      </c>
      <c r="AH3066" s="3">
        <v>0</v>
      </c>
      <c r="AI3066" s="3">
        <v>0</v>
      </c>
      <c r="AJ3066" s="3">
        <v>0</v>
      </c>
      <c r="AK3066" s="3">
        <v>12.07</v>
      </c>
      <c r="AL3066" s="3">
        <v>0</v>
      </c>
      <c r="AM3066" s="3">
        <v>0</v>
      </c>
      <c r="AN3066" s="3">
        <v>0</v>
      </c>
      <c r="AO3066" s="3">
        <v>0</v>
      </c>
      <c r="AP3066" s="3">
        <v>0</v>
      </c>
      <c r="AQ3066" s="3">
        <v>0</v>
      </c>
      <c r="AR3066" s="3">
        <v>0</v>
      </c>
      <c r="AS3066" s="3">
        <v>0</v>
      </c>
      <c r="AT3066" s="3">
        <v>0</v>
      </c>
      <c r="AU3066" s="3">
        <v>0</v>
      </c>
      <c r="AV3066" s="3">
        <v>0</v>
      </c>
      <c r="AW3066" s="3">
        <v>0</v>
      </c>
      <c r="AX3066" s="3">
        <v>0</v>
      </c>
      <c r="AY3066" s="3">
        <v>0</v>
      </c>
      <c r="AZ3066" s="3">
        <v>0</v>
      </c>
      <c r="BA3066" s="3">
        <v>0</v>
      </c>
      <c r="BB3066" s="3">
        <v>0</v>
      </c>
      <c r="BC3066" s="3">
        <v>0</v>
      </c>
      <c r="BD3066" s="3">
        <v>0</v>
      </c>
      <c r="BE3066" s="3">
        <v>0</v>
      </c>
      <c r="BF3066" s="3">
        <v>0</v>
      </c>
      <c r="BG3066" s="3">
        <v>0</v>
      </c>
      <c r="BH3066" s="3">
        <v>1</v>
      </c>
      <c r="BI3066" s="3">
        <v>2</v>
      </c>
      <c r="BJ3066" s="3">
        <v>0.2</v>
      </c>
      <c r="BK3066" s="3">
        <v>2</v>
      </c>
      <c r="BL3066" s="3">
        <v>46.08</v>
      </c>
      <c r="BM3066" s="3">
        <v>6.91</v>
      </c>
      <c r="BN3066" s="3">
        <v>52.99</v>
      </c>
      <c r="BO3066" s="3">
        <v>52.99</v>
      </c>
      <c r="BQ3066" s="3" t="s">
        <v>83</v>
      </c>
      <c r="BR3066" s="3" t="s">
        <v>364</v>
      </c>
      <c r="BS3066" s="4">
        <v>44568</v>
      </c>
      <c r="BT3066" s="5">
        <v>0.375</v>
      </c>
      <c r="BU3066" s="3" t="s">
        <v>1287</v>
      </c>
      <c r="BV3066" s="3" t="s">
        <v>105</v>
      </c>
      <c r="BY3066" s="3">
        <v>840</v>
      </c>
      <c r="BZ3066" s="3" t="s">
        <v>165</v>
      </c>
      <c r="CA3066" s="3" t="s">
        <v>591</v>
      </c>
      <c r="CC3066" s="3" t="s">
        <v>163</v>
      </c>
      <c r="CD3066" s="3">
        <v>1422</v>
      </c>
      <c r="CE3066" s="3" t="s">
        <v>86</v>
      </c>
      <c r="CF3066" s="4">
        <v>44568</v>
      </c>
      <c r="CI3066" s="3">
        <v>1</v>
      </c>
      <c r="CJ3066" s="3">
        <v>1</v>
      </c>
      <c r="CK3066" s="3">
        <v>22</v>
      </c>
      <c r="CL3066" s="3" t="s">
        <v>87</v>
      </c>
    </row>
    <row r="3067" spans="1:90" x14ac:dyDescent="0.2">
      <c r="A3067" s="3" t="s">
        <v>72</v>
      </c>
      <c r="B3067" s="3" t="s">
        <v>73</v>
      </c>
      <c r="C3067" s="3" t="s">
        <v>74</v>
      </c>
      <c r="E3067" s="3" t="str">
        <f>"FES1162843912"</f>
        <v>FES1162843912</v>
      </c>
      <c r="F3067" s="4">
        <v>44567</v>
      </c>
      <c r="G3067" s="3">
        <v>202207</v>
      </c>
      <c r="H3067" s="3" t="s">
        <v>75</v>
      </c>
      <c r="I3067" s="3" t="s">
        <v>76</v>
      </c>
      <c r="J3067" s="3" t="s">
        <v>77</v>
      </c>
      <c r="K3067" s="3" t="s">
        <v>78</v>
      </c>
      <c r="L3067" s="3" t="s">
        <v>79</v>
      </c>
      <c r="M3067" s="3" t="s">
        <v>80</v>
      </c>
      <c r="N3067" s="3" t="s">
        <v>2170</v>
      </c>
      <c r="O3067" s="3" t="s">
        <v>82</v>
      </c>
      <c r="P3067" s="3" t="str">
        <f>"2170811454                    "</f>
        <v xml:space="preserve">2170811454                    </v>
      </c>
      <c r="Q3067" s="3">
        <v>0</v>
      </c>
      <c r="R3067" s="3">
        <v>0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  <c r="AE3067" s="3">
        <v>0</v>
      </c>
      <c r="AF3067" s="3">
        <v>0</v>
      </c>
      <c r="AG3067" s="3">
        <v>0</v>
      </c>
      <c r="AH3067" s="3">
        <v>0</v>
      </c>
      <c r="AI3067" s="3">
        <v>0</v>
      </c>
      <c r="AJ3067" s="3">
        <v>0</v>
      </c>
      <c r="AK3067" s="3">
        <v>15.46</v>
      </c>
      <c r="AL3067" s="3">
        <v>0</v>
      </c>
      <c r="AM3067" s="3">
        <v>0</v>
      </c>
      <c r="AN3067" s="3">
        <v>0</v>
      </c>
      <c r="AO3067" s="3">
        <v>0</v>
      </c>
      <c r="AP3067" s="3">
        <v>0</v>
      </c>
      <c r="AQ3067" s="3">
        <v>0</v>
      </c>
      <c r="AR3067" s="3">
        <v>0</v>
      </c>
      <c r="AS3067" s="3">
        <v>0</v>
      </c>
      <c r="AT3067" s="3">
        <v>0</v>
      </c>
      <c r="AU3067" s="3">
        <v>0</v>
      </c>
      <c r="AV3067" s="3">
        <v>0</v>
      </c>
      <c r="AW3067" s="3">
        <v>0</v>
      </c>
      <c r="AX3067" s="3">
        <v>0</v>
      </c>
      <c r="AY3067" s="3">
        <v>0</v>
      </c>
      <c r="AZ3067" s="3">
        <v>0</v>
      </c>
      <c r="BA3067" s="3">
        <v>0</v>
      </c>
      <c r="BB3067" s="3">
        <v>0</v>
      </c>
      <c r="BC3067" s="3">
        <v>0</v>
      </c>
      <c r="BD3067" s="3">
        <v>0</v>
      </c>
      <c r="BE3067" s="3">
        <v>0</v>
      </c>
      <c r="BF3067" s="3">
        <v>0</v>
      </c>
      <c r="BG3067" s="3">
        <v>0</v>
      </c>
      <c r="BH3067" s="3">
        <v>1</v>
      </c>
      <c r="BI3067" s="3">
        <v>1</v>
      </c>
      <c r="BJ3067" s="3">
        <v>0.2</v>
      </c>
      <c r="BK3067" s="3">
        <v>1</v>
      </c>
      <c r="BL3067" s="3">
        <v>59</v>
      </c>
      <c r="BM3067" s="3">
        <v>8.85</v>
      </c>
      <c r="BN3067" s="3">
        <v>67.849999999999994</v>
      </c>
      <c r="BO3067" s="3">
        <v>67.849999999999994</v>
      </c>
      <c r="BQ3067" s="3" t="s">
        <v>89</v>
      </c>
      <c r="BR3067" s="3" t="s">
        <v>364</v>
      </c>
      <c r="BS3067" s="4">
        <v>44568</v>
      </c>
      <c r="BT3067" s="5">
        <v>0.41666666666666669</v>
      </c>
      <c r="BU3067" s="3" t="s">
        <v>2816</v>
      </c>
      <c r="BV3067" s="3" t="s">
        <v>105</v>
      </c>
      <c r="BY3067" s="3">
        <v>1200</v>
      </c>
      <c r="BZ3067" s="3" t="s">
        <v>165</v>
      </c>
      <c r="CA3067" s="3" t="s">
        <v>1622</v>
      </c>
      <c r="CC3067" s="3" t="s">
        <v>80</v>
      </c>
      <c r="CD3067" s="3">
        <v>200</v>
      </c>
      <c r="CE3067" s="3" t="s">
        <v>93</v>
      </c>
      <c r="CF3067" s="4">
        <v>44568</v>
      </c>
      <c r="CI3067" s="3">
        <v>1</v>
      </c>
      <c r="CJ3067" s="3">
        <v>1</v>
      </c>
      <c r="CK3067" s="3">
        <v>21</v>
      </c>
      <c r="CL3067" s="3" t="s">
        <v>87</v>
      </c>
    </row>
    <row r="3068" spans="1:90" x14ac:dyDescent="0.2">
      <c r="A3068" s="3" t="s">
        <v>72</v>
      </c>
      <c r="B3068" s="3" t="s">
        <v>73</v>
      </c>
      <c r="C3068" s="3" t="s">
        <v>74</v>
      </c>
      <c r="E3068" s="3" t="str">
        <f>"FES1162843858"</f>
        <v>FES1162843858</v>
      </c>
      <c r="F3068" s="4">
        <v>44567</v>
      </c>
      <c r="G3068" s="3">
        <v>202207</v>
      </c>
      <c r="H3068" s="3" t="s">
        <v>75</v>
      </c>
      <c r="I3068" s="3" t="s">
        <v>76</v>
      </c>
      <c r="J3068" s="3" t="s">
        <v>77</v>
      </c>
      <c r="K3068" s="3" t="s">
        <v>78</v>
      </c>
      <c r="L3068" s="3" t="s">
        <v>158</v>
      </c>
      <c r="M3068" s="3" t="s">
        <v>159</v>
      </c>
      <c r="N3068" s="3" t="s">
        <v>417</v>
      </c>
      <c r="O3068" s="3" t="s">
        <v>148</v>
      </c>
      <c r="P3068" s="3" t="str">
        <f>"2170811318                    "</f>
        <v xml:space="preserve">2170811318                    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  <c r="AE3068" s="3">
        <v>0</v>
      </c>
      <c r="AF3068" s="3">
        <v>0</v>
      </c>
      <c r="AG3068" s="3">
        <v>0</v>
      </c>
      <c r="AH3068" s="3">
        <v>0</v>
      </c>
      <c r="AI3068" s="3">
        <v>0</v>
      </c>
      <c r="AJ3068" s="3">
        <v>0</v>
      </c>
      <c r="AK3068" s="3">
        <v>25.76</v>
      </c>
      <c r="AL3068" s="3">
        <v>0</v>
      </c>
      <c r="AM3068" s="3">
        <v>0</v>
      </c>
      <c r="AN3068" s="3">
        <v>0</v>
      </c>
      <c r="AO3068" s="3">
        <v>0</v>
      </c>
      <c r="AP3068" s="3">
        <v>0</v>
      </c>
      <c r="AQ3068" s="3">
        <v>0</v>
      </c>
      <c r="AR3068" s="3">
        <v>0</v>
      </c>
      <c r="AS3068" s="3">
        <v>0</v>
      </c>
      <c r="AT3068" s="3">
        <v>0</v>
      </c>
      <c r="AU3068" s="3">
        <v>0</v>
      </c>
      <c r="AV3068" s="3">
        <v>0</v>
      </c>
      <c r="AW3068" s="3">
        <v>0</v>
      </c>
      <c r="AX3068" s="3">
        <v>0</v>
      </c>
      <c r="AY3068" s="3">
        <v>0</v>
      </c>
      <c r="AZ3068" s="3">
        <v>0</v>
      </c>
      <c r="BA3068" s="3">
        <v>0</v>
      </c>
      <c r="BB3068" s="3">
        <v>0</v>
      </c>
      <c r="BC3068" s="3">
        <v>0</v>
      </c>
      <c r="BD3068" s="3">
        <v>0</v>
      </c>
      <c r="BE3068" s="3">
        <v>0</v>
      </c>
      <c r="BF3068" s="3">
        <v>0</v>
      </c>
      <c r="BG3068" s="3">
        <v>0</v>
      </c>
      <c r="BH3068" s="3">
        <v>1</v>
      </c>
      <c r="BI3068" s="3">
        <v>6</v>
      </c>
      <c r="BJ3068" s="3">
        <v>18.3</v>
      </c>
      <c r="BK3068" s="3">
        <v>19</v>
      </c>
      <c r="BL3068" s="3">
        <v>103.58</v>
      </c>
      <c r="BM3068" s="3">
        <v>15.54</v>
      </c>
      <c r="BN3068" s="3">
        <v>119.12</v>
      </c>
      <c r="BO3068" s="3">
        <v>119.12</v>
      </c>
      <c r="BQ3068" s="3" t="s">
        <v>83</v>
      </c>
      <c r="BR3068" s="3" t="s">
        <v>364</v>
      </c>
      <c r="BS3068" s="4">
        <v>44568</v>
      </c>
      <c r="BT3068" s="5">
        <v>0.29444444444444445</v>
      </c>
      <c r="BU3068" s="3" t="s">
        <v>1257</v>
      </c>
      <c r="BV3068" s="3" t="s">
        <v>105</v>
      </c>
      <c r="BY3068" s="3">
        <v>91264</v>
      </c>
      <c r="BZ3068" s="3" t="s">
        <v>327</v>
      </c>
      <c r="CA3068" s="3" t="s">
        <v>763</v>
      </c>
      <c r="CC3068" s="3" t="s">
        <v>159</v>
      </c>
      <c r="CD3068" s="3">
        <v>1459</v>
      </c>
      <c r="CE3068" s="3" t="s">
        <v>86</v>
      </c>
      <c r="CF3068" s="4">
        <v>44568</v>
      </c>
      <c r="CI3068" s="3">
        <v>1</v>
      </c>
      <c r="CJ3068" s="3">
        <v>1</v>
      </c>
      <c r="CK3068" s="3">
        <v>42</v>
      </c>
      <c r="CL3068" s="3" t="s">
        <v>87</v>
      </c>
    </row>
    <row r="3069" spans="1:90" x14ac:dyDescent="0.2">
      <c r="A3069" s="3" t="s">
        <v>72</v>
      </c>
      <c r="B3069" s="3" t="s">
        <v>73</v>
      </c>
      <c r="C3069" s="3" t="s">
        <v>74</v>
      </c>
      <c r="E3069" s="3" t="str">
        <f>"FES1162843931"</f>
        <v>FES1162843931</v>
      </c>
      <c r="F3069" s="4">
        <v>44567</v>
      </c>
      <c r="G3069" s="3">
        <v>202207</v>
      </c>
      <c r="H3069" s="3" t="s">
        <v>75</v>
      </c>
      <c r="I3069" s="3" t="s">
        <v>76</v>
      </c>
      <c r="J3069" s="3" t="s">
        <v>77</v>
      </c>
      <c r="K3069" s="3" t="s">
        <v>78</v>
      </c>
      <c r="L3069" s="3" t="s">
        <v>1179</v>
      </c>
      <c r="M3069" s="3" t="s">
        <v>1180</v>
      </c>
      <c r="N3069" s="3" t="s">
        <v>1282</v>
      </c>
      <c r="O3069" s="3" t="s">
        <v>82</v>
      </c>
      <c r="P3069" s="3" t="str">
        <f>"2170813585                    "</f>
        <v xml:space="preserve">2170813585                    </v>
      </c>
      <c r="Q3069" s="3">
        <v>0</v>
      </c>
      <c r="R3069" s="3">
        <v>0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  <c r="AE3069" s="3">
        <v>0</v>
      </c>
      <c r="AF3069" s="3">
        <v>0</v>
      </c>
      <c r="AG3069" s="3">
        <v>0</v>
      </c>
      <c r="AH3069" s="3">
        <v>0</v>
      </c>
      <c r="AI3069" s="3">
        <v>0</v>
      </c>
      <c r="AJ3069" s="3">
        <v>0</v>
      </c>
      <c r="AK3069" s="3">
        <v>29.95</v>
      </c>
      <c r="AL3069" s="3">
        <v>0</v>
      </c>
      <c r="AM3069" s="3">
        <v>0</v>
      </c>
      <c r="AN3069" s="3">
        <v>0</v>
      </c>
      <c r="AO3069" s="3">
        <v>0</v>
      </c>
      <c r="AP3069" s="3">
        <v>0</v>
      </c>
      <c r="AQ3069" s="3">
        <v>15</v>
      </c>
      <c r="AR3069" s="3">
        <v>0</v>
      </c>
      <c r="AS3069" s="3">
        <v>0</v>
      </c>
      <c r="AT3069" s="3">
        <v>0</v>
      </c>
      <c r="AU3069" s="3">
        <v>0</v>
      </c>
      <c r="AV3069" s="3">
        <v>0</v>
      </c>
      <c r="AW3069" s="3">
        <v>0</v>
      </c>
      <c r="AX3069" s="3">
        <v>0</v>
      </c>
      <c r="AY3069" s="3">
        <v>0</v>
      </c>
      <c r="AZ3069" s="3">
        <v>0</v>
      </c>
      <c r="BA3069" s="3">
        <v>0</v>
      </c>
      <c r="BB3069" s="3">
        <v>0</v>
      </c>
      <c r="BC3069" s="3">
        <v>0</v>
      </c>
      <c r="BD3069" s="3">
        <v>0</v>
      </c>
      <c r="BE3069" s="3">
        <v>0</v>
      </c>
      <c r="BF3069" s="3">
        <v>0</v>
      </c>
      <c r="BG3069" s="3">
        <v>0</v>
      </c>
      <c r="BH3069" s="3">
        <v>1</v>
      </c>
      <c r="BI3069" s="3">
        <v>1</v>
      </c>
      <c r="BJ3069" s="3">
        <v>0.2</v>
      </c>
      <c r="BK3069" s="3">
        <v>1</v>
      </c>
      <c r="BL3069" s="3">
        <v>129.31</v>
      </c>
      <c r="BM3069" s="3">
        <v>19.399999999999999</v>
      </c>
      <c r="BN3069" s="3">
        <v>148.71</v>
      </c>
      <c r="BO3069" s="3">
        <v>148.71</v>
      </c>
      <c r="BQ3069" s="3" t="s">
        <v>1283</v>
      </c>
      <c r="BR3069" s="3" t="s">
        <v>364</v>
      </c>
      <c r="BS3069" s="4">
        <v>44568</v>
      </c>
      <c r="BT3069" s="5">
        <v>0.78888888888888886</v>
      </c>
      <c r="BU3069" s="3" t="s">
        <v>2817</v>
      </c>
      <c r="BV3069" s="3" t="s">
        <v>87</v>
      </c>
      <c r="BY3069" s="3">
        <v>1200</v>
      </c>
      <c r="BZ3069" s="3" t="s">
        <v>446</v>
      </c>
      <c r="CA3069" s="3" t="s">
        <v>1285</v>
      </c>
      <c r="CC3069" s="3" t="s">
        <v>1180</v>
      </c>
      <c r="CD3069" s="3">
        <v>208</v>
      </c>
      <c r="CE3069" s="3" t="s">
        <v>93</v>
      </c>
      <c r="CF3069" s="4">
        <v>44568</v>
      </c>
      <c r="CI3069" s="3">
        <v>1</v>
      </c>
      <c r="CJ3069" s="3">
        <v>1</v>
      </c>
      <c r="CK3069" s="3">
        <v>23</v>
      </c>
      <c r="CL3069" s="3" t="s">
        <v>87</v>
      </c>
    </row>
    <row r="3070" spans="1:90" x14ac:dyDescent="0.2">
      <c r="A3070" s="3" t="s">
        <v>72</v>
      </c>
      <c r="B3070" s="3" t="s">
        <v>73</v>
      </c>
      <c r="C3070" s="3" t="s">
        <v>74</v>
      </c>
      <c r="E3070" s="3" t="str">
        <f>"FES1162843675"</f>
        <v>FES1162843675</v>
      </c>
      <c r="F3070" s="4">
        <v>44567</v>
      </c>
      <c r="G3070" s="3">
        <v>202207</v>
      </c>
      <c r="H3070" s="3" t="s">
        <v>75</v>
      </c>
      <c r="I3070" s="3" t="s">
        <v>76</v>
      </c>
      <c r="J3070" s="3" t="s">
        <v>77</v>
      </c>
      <c r="K3070" s="3" t="s">
        <v>78</v>
      </c>
      <c r="L3070" s="3" t="s">
        <v>158</v>
      </c>
      <c r="M3070" s="3" t="s">
        <v>159</v>
      </c>
      <c r="N3070" s="3" t="s">
        <v>832</v>
      </c>
      <c r="O3070" s="3" t="s">
        <v>82</v>
      </c>
      <c r="P3070" s="3" t="str">
        <f>"2170814263                    "</f>
        <v xml:space="preserve">2170814263                    </v>
      </c>
      <c r="Q3070" s="3">
        <v>0</v>
      </c>
      <c r="R3070" s="3">
        <v>0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  <c r="AE3070" s="3">
        <v>0</v>
      </c>
      <c r="AF3070" s="3">
        <v>0</v>
      </c>
      <c r="AG3070" s="3">
        <v>0</v>
      </c>
      <c r="AH3070" s="3">
        <v>0</v>
      </c>
      <c r="AI3070" s="3">
        <v>0</v>
      </c>
      <c r="AJ3070" s="3">
        <v>0</v>
      </c>
      <c r="AK3070" s="3">
        <v>12.07</v>
      </c>
      <c r="AL3070" s="3">
        <v>0</v>
      </c>
      <c r="AM3070" s="3">
        <v>0</v>
      </c>
      <c r="AN3070" s="3">
        <v>0</v>
      </c>
      <c r="AO3070" s="3">
        <v>0</v>
      </c>
      <c r="AP3070" s="3">
        <v>0</v>
      </c>
      <c r="AQ3070" s="3">
        <v>0</v>
      </c>
      <c r="AR3070" s="3">
        <v>0</v>
      </c>
      <c r="AS3070" s="3">
        <v>0</v>
      </c>
      <c r="AT3070" s="3">
        <v>0</v>
      </c>
      <c r="AU3070" s="3">
        <v>0</v>
      </c>
      <c r="AV3070" s="3">
        <v>0</v>
      </c>
      <c r="AW3070" s="3">
        <v>0</v>
      </c>
      <c r="AX3070" s="3">
        <v>0</v>
      </c>
      <c r="AY3070" s="3">
        <v>0</v>
      </c>
      <c r="AZ3070" s="3">
        <v>0</v>
      </c>
      <c r="BA3070" s="3">
        <v>0</v>
      </c>
      <c r="BB3070" s="3">
        <v>0</v>
      </c>
      <c r="BC3070" s="3">
        <v>0</v>
      </c>
      <c r="BD3070" s="3">
        <v>0</v>
      </c>
      <c r="BE3070" s="3">
        <v>0</v>
      </c>
      <c r="BF3070" s="3">
        <v>0</v>
      </c>
      <c r="BG3070" s="3">
        <v>0</v>
      </c>
      <c r="BH3070" s="3">
        <v>1</v>
      </c>
      <c r="BI3070" s="3">
        <v>3</v>
      </c>
      <c r="BJ3070" s="3">
        <v>2</v>
      </c>
      <c r="BK3070" s="3">
        <v>3</v>
      </c>
      <c r="BL3070" s="3">
        <v>46.08</v>
      </c>
      <c r="BM3070" s="3">
        <v>6.91</v>
      </c>
      <c r="BN3070" s="3">
        <v>52.99</v>
      </c>
      <c r="BO3070" s="3">
        <v>52.99</v>
      </c>
      <c r="BQ3070" s="3" t="s">
        <v>83</v>
      </c>
      <c r="BR3070" s="3" t="s">
        <v>364</v>
      </c>
      <c r="BS3070" s="4">
        <v>44568</v>
      </c>
      <c r="BT3070" s="5">
        <v>0.28888888888888892</v>
      </c>
      <c r="BU3070" s="3" t="s">
        <v>833</v>
      </c>
      <c r="BV3070" s="3" t="s">
        <v>105</v>
      </c>
      <c r="BY3070" s="3">
        <v>9918</v>
      </c>
      <c r="BZ3070" s="3" t="s">
        <v>165</v>
      </c>
      <c r="CA3070" s="3" t="s">
        <v>763</v>
      </c>
      <c r="CC3070" s="3" t="s">
        <v>159</v>
      </c>
      <c r="CD3070" s="3">
        <v>1460</v>
      </c>
      <c r="CE3070" s="3" t="s">
        <v>86</v>
      </c>
      <c r="CF3070" s="4">
        <v>44568</v>
      </c>
      <c r="CI3070" s="3">
        <v>1</v>
      </c>
      <c r="CJ3070" s="3">
        <v>1</v>
      </c>
      <c r="CK3070" s="3">
        <v>22</v>
      </c>
      <c r="CL3070" s="3" t="s">
        <v>87</v>
      </c>
    </row>
    <row r="3071" spans="1:90" x14ac:dyDescent="0.2">
      <c r="A3071" s="3" t="s">
        <v>72</v>
      </c>
      <c r="B3071" s="3" t="s">
        <v>73</v>
      </c>
      <c r="C3071" s="3" t="s">
        <v>74</v>
      </c>
      <c r="E3071" s="3" t="str">
        <f>"FES1162843904"</f>
        <v>FES1162843904</v>
      </c>
      <c r="F3071" s="4">
        <v>44567</v>
      </c>
      <c r="G3071" s="3">
        <v>202207</v>
      </c>
      <c r="H3071" s="3" t="s">
        <v>75</v>
      </c>
      <c r="I3071" s="3" t="s">
        <v>76</v>
      </c>
      <c r="J3071" s="3" t="s">
        <v>77</v>
      </c>
      <c r="K3071" s="3" t="s">
        <v>78</v>
      </c>
      <c r="L3071" s="3" t="s">
        <v>94</v>
      </c>
      <c r="M3071" s="3" t="s">
        <v>95</v>
      </c>
      <c r="N3071" s="3" t="s">
        <v>96</v>
      </c>
      <c r="O3071" s="3" t="s">
        <v>82</v>
      </c>
      <c r="P3071" s="3" t="str">
        <f>"2170808507                    "</f>
        <v xml:space="preserve">2170808507                    </v>
      </c>
      <c r="Q3071" s="3">
        <v>0</v>
      </c>
      <c r="R3071" s="3">
        <v>0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  <c r="AE3071" s="3">
        <v>0</v>
      </c>
      <c r="AF3071" s="3">
        <v>0</v>
      </c>
      <c r="AG3071" s="3">
        <v>0</v>
      </c>
      <c r="AH3071" s="3">
        <v>0</v>
      </c>
      <c r="AI3071" s="3">
        <v>0</v>
      </c>
      <c r="AJ3071" s="3">
        <v>0</v>
      </c>
      <c r="AK3071" s="3">
        <v>15.46</v>
      </c>
      <c r="AL3071" s="3">
        <v>0</v>
      </c>
      <c r="AM3071" s="3">
        <v>0</v>
      </c>
      <c r="AN3071" s="3">
        <v>0</v>
      </c>
      <c r="AO3071" s="3">
        <v>0</v>
      </c>
      <c r="AP3071" s="3">
        <v>0</v>
      </c>
      <c r="AQ3071" s="3">
        <v>0</v>
      </c>
      <c r="AR3071" s="3">
        <v>0</v>
      </c>
      <c r="AS3071" s="3">
        <v>0</v>
      </c>
      <c r="AT3071" s="3">
        <v>0</v>
      </c>
      <c r="AU3071" s="3">
        <v>0</v>
      </c>
      <c r="AV3071" s="3">
        <v>0</v>
      </c>
      <c r="AW3071" s="3">
        <v>0</v>
      </c>
      <c r="AX3071" s="3">
        <v>0</v>
      </c>
      <c r="AY3071" s="3">
        <v>0</v>
      </c>
      <c r="AZ3071" s="3">
        <v>0</v>
      </c>
      <c r="BA3071" s="3">
        <v>0</v>
      </c>
      <c r="BB3071" s="3">
        <v>0</v>
      </c>
      <c r="BC3071" s="3">
        <v>0</v>
      </c>
      <c r="BD3071" s="3">
        <v>0</v>
      </c>
      <c r="BE3071" s="3">
        <v>0</v>
      </c>
      <c r="BF3071" s="3">
        <v>0</v>
      </c>
      <c r="BG3071" s="3">
        <v>0</v>
      </c>
      <c r="BH3071" s="3">
        <v>1</v>
      </c>
      <c r="BI3071" s="3">
        <v>1</v>
      </c>
      <c r="BJ3071" s="3">
        <v>0.2</v>
      </c>
      <c r="BK3071" s="3">
        <v>1</v>
      </c>
      <c r="BL3071" s="3">
        <v>59</v>
      </c>
      <c r="BM3071" s="3">
        <v>8.85</v>
      </c>
      <c r="BN3071" s="3">
        <v>67.849999999999994</v>
      </c>
      <c r="BO3071" s="3">
        <v>67.849999999999994</v>
      </c>
      <c r="BQ3071" s="3" t="s">
        <v>89</v>
      </c>
      <c r="BR3071" s="3" t="s">
        <v>364</v>
      </c>
      <c r="BS3071" s="4">
        <v>44571</v>
      </c>
      <c r="BT3071" s="5">
        <v>0.59027777777777779</v>
      </c>
      <c r="BU3071" s="3" t="s">
        <v>2818</v>
      </c>
      <c r="BV3071" s="3" t="s">
        <v>87</v>
      </c>
      <c r="BW3071" s="3" t="s">
        <v>453</v>
      </c>
      <c r="BX3071" s="3" t="s">
        <v>279</v>
      </c>
      <c r="BY3071" s="3">
        <v>1200</v>
      </c>
      <c r="BZ3071" s="3" t="s">
        <v>165</v>
      </c>
      <c r="CA3071" s="3" t="s">
        <v>328</v>
      </c>
      <c r="CC3071" s="3" t="s">
        <v>95</v>
      </c>
      <c r="CD3071" s="3">
        <v>3201</v>
      </c>
      <c r="CE3071" s="3" t="s">
        <v>93</v>
      </c>
      <c r="CF3071" s="4">
        <v>44572</v>
      </c>
      <c r="CI3071" s="3">
        <v>1</v>
      </c>
      <c r="CJ3071" s="3">
        <v>2</v>
      </c>
      <c r="CK3071" s="3">
        <v>21</v>
      </c>
      <c r="CL3071" s="3" t="s">
        <v>87</v>
      </c>
    </row>
    <row r="3072" spans="1:90" x14ac:dyDescent="0.2">
      <c r="A3072" s="3" t="s">
        <v>72</v>
      </c>
      <c r="B3072" s="3" t="s">
        <v>73</v>
      </c>
      <c r="C3072" s="3" t="s">
        <v>74</v>
      </c>
      <c r="E3072" s="3" t="str">
        <f>"FES1162843741"</f>
        <v>FES1162843741</v>
      </c>
      <c r="F3072" s="4">
        <v>44567</v>
      </c>
      <c r="G3072" s="3">
        <v>202207</v>
      </c>
      <c r="H3072" s="3" t="s">
        <v>75</v>
      </c>
      <c r="I3072" s="3" t="s">
        <v>76</v>
      </c>
      <c r="J3072" s="3" t="s">
        <v>77</v>
      </c>
      <c r="K3072" s="3" t="s">
        <v>78</v>
      </c>
      <c r="L3072" s="3" t="s">
        <v>167</v>
      </c>
      <c r="M3072" s="3" t="s">
        <v>168</v>
      </c>
      <c r="N3072" s="3" t="s">
        <v>862</v>
      </c>
      <c r="O3072" s="3" t="s">
        <v>82</v>
      </c>
      <c r="P3072" s="3" t="str">
        <f>"2170813829                    "</f>
        <v xml:space="preserve">2170813829                    </v>
      </c>
      <c r="Q3072" s="3">
        <v>0</v>
      </c>
      <c r="R3072" s="3">
        <v>0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  <c r="AE3072" s="3">
        <v>0</v>
      </c>
      <c r="AF3072" s="3">
        <v>0</v>
      </c>
      <c r="AG3072" s="3">
        <v>0</v>
      </c>
      <c r="AH3072" s="3">
        <v>0</v>
      </c>
      <c r="AI3072" s="3">
        <v>0</v>
      </c>
      <c r="AJ3072" s="3">
        <v>0</v>
      </c>
      <c r="AK3072" s="3">
        <v>15.46</v>
      </c>
      <c r="AL3072" s="3">
        <v>0</v>
      </c>
      <c r="AM3072" s="3">
        <v>0</v>
      </c>
      <c r="AN3072" s="3">
        <v>0</v>
      </c>
      <c r="AO3072" s="3">
        <v>0</v>
      </c>
      <c r="AP3072" s="3">
        <v>0</v>
      </c>
      <c r="AQ3072" s="3">
        <v>0</v>
      </c>
      <c r="AR3072" s="3">
        <v>0</v>
      </c>
      <c r="AS3072" s="3">
        <v>0</v>
      </c>
      <c r="AT3072" s="3">
        <v>0</v>
      </c>
      <c r="AU3072" s="3">
        <v>0</v>
      </c>
      <c r="AV3072" s="3">
        <v>0</v>
      </c>
      <c r="AW3072" s="3">
        <v>0</v>
      </c>
      <c r="AX3072" s="3">
        <v>0</v>
      </c>
      <c r="AY3072" s="3">
        <v>0</v>
      </c>
      <c r="AZ3072" s="3">
        <v>0</v>
      </c>
      <c r="BA3072" s="3">
        <v>0</v>
      </c>
      <c r="BB3072" s="3">
        <v>0</v>
      </c>
      <c r="BC3072" s="3">
        <v>0</v>
      </c>
      <c r="BD3072" s="3">
        <v>0</v>
      </c>
      <c r="BE3072" s="3">
        <v>0</v>
      </c>
      <c r="BF3072" s="3">
        <v>0</v>
      </c>
      <c r="BG3072" s="3">
        <v>0</v>
      </c>
      <c r="BH3072" s="3">
        <v>1</v>
      </c>
      <c r="BI3072" s="3">
        <v>1</v>
      </c>
      <c r="BJ3072" s="3">
        <v>0.9</v>
      </c>
      <c r="BK3072" s="3">
        <v>1</v>
      </c>
      <c r="BL3072" s="3">
        <v>59</v>
      </c>
      <c r="BM3072" s="3">
        <v>8.85</v>
      </c>
      <c r="BN3072" s="3">
        <v>67.849999999999994</v>
      </c>
      <c r="BO3072" s="3">
        <v>67.849999999999994</v>
      </c>
      <c r="BQ3072" s="3" t="s">
        <v>863</v>
      </c>
      <c r="BR3072" s="3" t="s">
        <v>364</v>
      </c>
      <c r="BS3072" s="4">
        <v>44568</v>
      </c>
      <c r="BT3072" s="5">
        <v>0.60069444444444442</v>
      </c>
      <c r="BU3072" s="3" t="s">
        <v>2819</v>
      </c>
      <c r="BV3072" s="3" t="s">
        <v>87</v>
      </c>
      <c r="BW3072" s="3" t="s">
        <v>457</v>
      </c>
      <c r="BX3072" s="3" t="s">
        <v>279</v>
      </c>
      <c r="BY3072" s="3">
        <v>4275</v>
      </c>
      <c r="BZ3072" s="3" t="s">
        <v>165</v>
      </c>
      <c r="CC3072" s="3" t="s">
        <v>168</v>
      </c>
      <c r="CD3072" s="3">
        <v>6229</v>
      </c>
      <c r="CE3072" s="3" t="s">
        <v>86</v>
      </c>
      <c r="CF3072" s="4">
        <v>44571</v>
      </c>
      <c r="CI3072" s="3">
        <v>1</v>
      </c>
      <c r="CJ3072" s="3">
        <v>1</v>
      </c>
      <c r="CK3072" s="3">
        <v>21</v>
      </c>
      <c r="CL3072" s="3" t="s">
        <v>87</v>
      </c>
    </row>
    <row r="3073" spans="1:90" x14ac:dyDescent="0.2">
      <c r="A3073" s="3" t="s">
        <v>72</v>
      </c>
      <c r="B3073" s="3" t="s">
        <v>73</v>
      </c>
      <c r="C3073" s="3" t="s">
        <v>74</v>
      </c>
      <c r="E3073" s="3" t="str">
        <f>"FES1162843826"</f>
        <v>FES1162843826</v>
      </c>
      <c r="F3073" s="4">
        <v>44567</v>
      </c>
      <c r="G3073" s="3">
        <v>202207</v>
      </c>
      <c r="H3073" s="3" t="s">
        <v>75</v>
      </c>
      <c r="I3073" s="3" t="s">
        <v>76</v>
      </c>
      <c r="J3073" s="3" t="s">
        <v>77</v>
      </c>
      <c r="K3073" s="3" t="s">
        <v>78</v>
      </c>
      <c r="L3073" s="3" t="s">
        <v>176</v>
      </c>
      <c r="M3073" s="3" t="s">
        <v>177</v>
      </c>
      <c r="N3073" s="3" t="s">
        <v>178</v>
      </c>
      <c r="O3073" s="3" t="s">
        <v>82</v>
      </c>
      <c r="P3073" s="3" t="str">
        <f>"2170815752                    "</f>
        <v xml:space="preserve">2170815752                    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  <c r="AE3073" s="3">
        <v>0</v>
      </c>
      <c r="AF3073" s="3">
        <v>0</v>
      </c>
      <c r="AG3073" s="3">
        <v>0</v>
      </c>
      <c r="AH3073" s="3">
        <v>0</v>
      </c>
      <c r="AI3073" s="3">
        <v>0</v>
      </c>
      <c r="AJ3073" s="3">
        <v>0</v>
      </c>
      <c r="AK3073" s="3">
        <v>46.36</v>
      </c>
      <c r="AL3073" s="3">
        <v>0</v>
      </c>
      <c r="AM3073" s="3">
        <v>0</v>
      </c>
      <c r="AN3073" s="3">
        <v>0</v>
      </c>
      <c r="AO3073" s="3">
        <v>0</v>
      </c>
      <c r="AP3073" s="3">
        <v>0</v>
      </c>
      <c r="AQ3073" s="3">
        <v>0</v>
      </c>
      <c r="AR3073" s="3">
        <v>0</v>
      </c>
      <c r="AS3073" s="3">
        <v>0</v>
      </c>
      <c r="AT3073" s="3">
        <v>0</v>
      </c>
      <c r="AU3073" s="3">
        <v>0</v>
      </c>
      <c r="AV3073" s="3">
        <v>0</v>
      </c>
      <c r="AW3073" s="3">
        <v>0</v>
      </c>
      <c r="AX3073" s="3">
        <v>0</v>
      </c>
      <c r="AY3073" s="3">
        <v>0</v>
      </c>
      <c r="AZ3073" s="3">
        <v>0</v>
      </c>
      <c r="BA3073" s="3">
        <v>0</v>
      </c>
      <c r="BB3073" s="3">
        <v>0</v>
      </c>
      <c r="BC3073" s="3">
        <v>0</v>
      </c>
      <c r="BD3073" s="3">
        <v>0</v>
      </c>
      <c r="BE3073" s="3">
        <v>0</v>
      </c>
      <c r="BF3073" s="3">
        <v>0</v>
      </c>
      <c r="BG3073" s="3">
        <v>0</v>
      </c>
      <c r="BH3073" s="3">
        <v>1</v>
      </c>
      <c r="BI3073" s="3">
        <v>6</v>
      </c>
      <c r="BJ3073" s="3">
        <v>1.2</v>
      </c>
      <c r="BK3073" s="3">
        <v>6</v>
      </c>
      <c r="BL3073" s="3">
        <v>176.94</v>
      </c>
      <c r="BM3073" s="3">
        <v>26.54</v>
      </c>
      <c r="BN3073" s="3">
        <v>203.48</v>
      </c>
      <c r="BO3073" s="3">
        <v>203.48</v>
      </c>
      <c r="BQ3073" s="3" t="s">
        <v>83</v>
      </c>
      <c r="BR3073" s="3" t="s">
        <v>364</v>
      </c>
      <c r="BS3073" s="4">
        <v>44568</v>
      </c>
      <c r="BT3073" s="5">
        <v>0.43263888888888885</v>
      </c>
      <c r="BU3073" s="3" t="s">
        <v>1504</v>
      </c>
      <c r="BV3073" s="3" t="s">
        <v>105</v>
      </c>
      <c r="BY3073" s="3">
        <v>5888</v>
      </c>
      <c r="BZ3073" s="3" t="s">
        <v>165</v>
      </c>
      <c r="CA3073" s="3" t="s">
        <v>615</v>
      </c>
      <c r="CC3073" s="3" t="s">
        <v>177</v>
      </c>
      <c r="CD3073" s="3">
        <v>4026</v>
      </c>
      <c r="CE3073" s="3" t="s">
        <v>86</v>
      </c>
      <c r="CF3073" s="4">
        <v>44568</v>
      </c>
      <c r="CI3073" s="3">
        <v>1</v>
      </c>
      <c r="CJ3073" s="3">
        <v>1</v>
      </c>
      <c r="CK3073" s="3">
        <v>21</v>
      </c>
      <c r="CL3073" s="3" t="s">
        <v>87</v>
      </c>
    </row>
    <row r="3074" spans="1:90" x14ac:dyDescent="0.2">
      <c r="A3074" s="3" t="s">
        <v>72</v>
      </c>
      <c r="B3074" s="3" t="s">
        <v>73</v>
      </c>
      <c r="C3074" s="3" t="s">
        <v>74</v>
      </c>
      <c r="E3074" s="3" t="str">
        <f>"FES1162843848"</f>
        <v>FES1162843848</v>
      </c>
      <c r="F3074" s="4">
        <v>44567</v>
      </c>
      <c r="G3074" s="3">
        <v>202207</v>
      </c>
      <c r="H3074" s="3" t="s">
        <v>75</v>
      </c>
      <c r="I3074" s="3" t="s">
        <v>76</v>
      </c>
      <c r="J3074" s="3" t="s">
        <v>77</v>
      </c>
      <c r="K3074" s="3" t="s">
        <v>78</v>
      </c>
      <c r="L3074" s="3" t="s">
        <v>90</v>
      </c>
      <c r="M3074" s="3" t="s">
        <v>91</v>
      </c>
      <c r="N3074" s="3" t="s">
        <v>776</v>
      </c>
      <c r="O3074" s="3" t="s">
        <v>82</v>
      </c>
      <c r="P3074" s="3" t="str">
        <f>"2170815780                    "</f>
        <v xml:space="preserve">2170815780                    </v>
      </c>
      <c r="Q3074" s="3">
        <v>0</v>
      </c>
      <c r="R3074" s="3">
        <v>0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  <c r="AE3074" s="3">
        <v>0</v>
      </c>
      <c r="AF3074" s="3">
        <v>0</v>
      </c>
      <c r="AG3074" s="3">
        <v>0</v>
      </c>
      <c r="AH3074" s="3">
        <v>0</v>
      </c>
      <c r="AI3074" s="3">
        <v>0</v>
      </c>
      <c r="AJ3074" s="3">
        <v>0</v>
      </c>
      <c r="AK3074" s="3">
        <v>15.46</v>
      </c>
      <c r="AL3074" s="3">
        <v>0</v>
      </c>
      <c r="AM3074" s="3">
        <v>0</v>
      </c>
      <c r="AN3074" s="3">
        <v>0</v>
      </c>
      <c r="AO3074" s="3">
        <v>0</v>
      </c>
      <c r="AP3074" s="3">
        <v>0</v>
      </c>
      <c r="AQ3074" s="3">
        <v>0</v>
      </c>
      <c r="AR3074" s="3">
        <v>0</v>
      </c>
      <c r="AS3074" s="3">
        <v>0</v>
      </c>
      <c r="AT3074" s="3">
        <v>0</v>
      </c>
      <c r="AU3074" s="3">
        <v>0</v>
      </c>
      <c r="AV3074" s="3">
        <v>0</v>
      </c>
      <c r="AW3074" s="3">
        <v>0</v>
      </c>
      <c r="AX3074" s="3">
        <v>0</v>
      </c>
      <c r="AY3074" s="3">
        <v>0</v>
      </c>
      <c r="AZ3074" s="3">
        <v>0</v>
      </c>
      <c r="BA3074" s="3">
        <v>0</v>
      </c>
      <c r="BB3074" s="3">
        <v>0</v>
      </c>
      <c r="BC3074" s="3">
        <v>0</v>
      </c>
      <c r="BD3074" s="3">
        <v>0</v>
      </c>
      <c r="BE3074" s="3">
        <v>0</v>
      </c>
      <c r="BF3074" s="3">
        <v>0</v>
      </c>
      <c r="BG3074" s="3">
        <v>0</v>
      </c>
      <c r="BH3074" s="3">
        <v>1</v>
      </c>
      <c r="BI3074" s="3">
        <v>1</v>
      </c>
      <c r="BJ3074" s="3">
        <v>0.2</v>
      </c>
      <c r="BK3074" s="3">
        <v>1</v>
      </c>
      <c r="BL3074" s="3">
        <v>59</v>
      </c>
      <c r="BM3074" s="3">
        <v>8.85</v>
      </c>
      <c r="BN3074" s="3">
        <v>67.849999999999994</v>
      </c>
      <c r="BO3074" s="3">
        <v>67.849999999999994</v>
      </c>
      <c r="BQ3074" s="3" t="s">
        <v>83</v>
      </c>
      <c r="BR3074" s="3" t="s">
        <v>364</v>
      </c>
      <c r="BS3074" s="4">
        <v>44571</v>
      </c>
      <c r="BT3074" s="5">
        <v>0.48333333333333334</v>
      </c>
      <c r="BU3074" s="3" t="s">
        <v>2820</v>
      </c>
      <c r="BV3074" s="3" t="s">
        <v>87</v>
      </c>
      <c r="BW3074" s="3" t="s">
        <v>493</v>
      </c>
      <c r="BX3074" s="3" t="s">
        <v>354</v>
      </c>
      <c r="BY3074" s="3">
        <v>1200</v>
      </c>
      <c r="BZ3074" s="3" t="s">
        <v>165</v>
      </c>
      <c r="CA3074" s="3" t="s">
        <v>2821</v>
      </c>
      <c r="CC3074" s="3" t="s">
        <v>91</v>
      </c>
      <c r="CD3074" s="3">
        <v>7975</v>
      </c>
      <c r="CE3074" s="3" t="s">
        <v>93</v>
      </c>
      <c r="CF3074" s="4">
        <v>44572</v>
      </c>
      <c r="CI3074" s="3">
        <v>1</v>
      </c>
      <c r="CJ3074" s="3">
        <v>2</v>
      </c>
      <c r="CK3074" s="3">
        <v>21</v>
      </c>
      <c r="CL3074" s="3" t="s">
        <v>87</v>
      </c>
    </row>
    <row r="3075" spans="1:90" x14ac:dyDescent="0.2">
      <c r="A3075" s="3" t="s">
        <v>72</v>
      </c>
      <c r="B3075" s="3" t="s">
        <v>73</v>
      </c>
      <c r="C3075" s="3" t="s">
        <v>74</v>
      </c>
      <c r="E3075" s="3" t="str">
        <f>"FES1162843738"</f>
        <v>FES1162843738</v>
      </c>
      <c r="F3075" s="4">
        <v>44567</v>
      </c>
      <c r="G3075" s="3">
        <v>202207</v>
      </c>
      <c r="H3075" s="3" t="s">
        <v>75</v>
      </c>
      <c r="I3075" s="3" t="s">
        <v>76</v>
      </c>
      <c r="J3075" s="3" t="s">
        <v>77</v>
      </c>
      <c r="K3075" s="3" t="s">
        <v>78</v>
      </c>
      <c r="L3075" s="3" t="s">
        <v>195</v>
      </c>
      <c r="M3075" s="3" t="s">
        <v>196</v>
      </c>
      <c r="N3075" s="3" t="s">
        <v>1501</v>
      </c>
      <c r="O3075" s="3" t="s">
        <v>82</v>
      </c>
      <c r="P3075" s="3" t="str">
        <f>"2170813757                    "</f>
        <v xml:space="preserve">2170813757                    </v>
      </c>
      <c r="Q3075" s="3">
        <v>0</v>
      </c>
      <c r="R3075" s="3">
        <v>0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  <c r="AE3075" s="3">
        <v>0</v>
      </c>
      <c r="AF3075" s="3">
        <v>0</v>
      </c>
      <c r="AG3075" s="3">
        <v>0</v>
      </c>
      <c r="AH3075" s="3">
        <v>0</v>
      </c>
      <c r="AI3075" s="3">
        <v>0</v>
      </c>
      <c r="AJ3075" s="3">
        <v>0</v>
      </c>
      <c r="AK3075" s="3">
        <v>23.18</v>
      </c>
      <c r="AL3075" s="3">
        <v>0</v>
      </c>
      <c r="AM3075" s="3">
        <v>0</v>
      </c>
      <c r="AN3075" s="3">
        <v>0</v>
      </c>
      <c r="AO3075" s="3">
        <v>0</v>
      </c>
      <c r="AP3075" s="3">
        <v>0</v>
      </c>
      <c r="AQ3075" s="3">
        <v>0</v>
      </c>
      <c r="AR3075" s="3">
        <v>0</v>
      </c>
      <c r="AS3075" s="3">
        <v>0</v>
      </c>
      <c r="AT3075" s="3">
        <v>0</v>
      </c>
      <c r="AU3075" s="3">
        <v>0</v>
      </c>
      <c r="AV3075" s="3">
        <v>0</v>
      </c>
      <c r="AW3075" s="3">
        <v>0</v>
      </c>
      <c r="AX3075" s="3">
        <v>0</v>
      </c>
      <c r="AY3075" s="3">
        <v>0</v>
      </c>
      <c r="AZ3075" s="3">
        <v>0</v>
      </c>
      <c r="BA3075" s="3">
        <v>0</v>
      </c>
      <c r="BB3075" s="3">
        <v>0</v>
      </c>
      <c r="BC3075" s="3">
        <v>0</v>
      </c>
      <c r="BD3075" s="3">
        <v>0</v>
      </c>
      <c r="BE3075" s="3">
        <v>0</v>
      </c>
      <c r="BF3075" s="3">
        <v>0</v>
      </c>
      <c r="BG3075" s="3">
        <v>0</v>
      </c>
      <c r="BH3075" s="3">
        <v>1</v>
      </c>
      <c r="BI3075" s="3">
        <v>3</v>
      </c>
      <c r="BJ3075" s="3">
        <v>0.9</v>
      </c>
      <c r="BK3075" s="3">
        <v>3</v>
      </c>
      <c r="BL3075" s="3">
        <v>88.48</v>
      </c>
      <c r="BM3075" s="3">
        <v>13.27</v>
      </c>
      <c r="BN3075" s="3">
        <v>101.75</v>
      </c>
      <c r="BO3075" s="3">
        <v>101.75</v>
      </c>
      <c r="BR3075" s="3" t="s">
        <v>364</v>
      </c>
      <c r="BS3075" s="4">
        <v>44568</v>
      </c>
      <c r="BT3075" s="5">
        <v>0.53611111111111109</v>
      </c>
      <c r="BU3075" s="3" t="s">
        <v>2822</v>
      </c>
      <c r="BV3075" s="3" t="s">
        <v>105</v>
      </c>
      <c r="BY3075" s="3">
        <v>4500</v>
      </c>
      <c r="BZ3075" s="3" t="s">
        <v>165</v>
      </c>
      <c r="CA3075" s="3" t="s">
        <v>1503</v>
      </c>
      <c r="CC3075" s="3" t="s">
        <v>196</v>
      </c>
      <c r="CD3075" s="3">
        <v>4156</v>
      </c>
      <c r="CE3075" s="3" t="s">
        <v>86</v>
      </c>
      <c r="CF3075" s="4">
        <v>44568</v>
      </c>
      <c r="CI3075" s="3">
        <v>1</v>
      </c>
      <c r="CJ3075" s="3">
        <v>1</v>
      </c>
      <c r="CK3075" s="3">
        <v>21</v>
      </c>
      <c r="CL3075" s="3" t="s">
        <v>87</v>
      </c>
    </row>
    <row r="3076" spans="1:90" x14ac:dyDescent="0.2">
      <c r="A3076" s="3" t="s">
        <v>72</v>
      </c>
      <c r="B3076" s="3" t="s">
        <v>73</v>
      </c>
      <c r="C3076" s="3" t="s">
        <v>74</v>
      </c>
      <c r="E3076" s="3" t="str">
        <f>"FES1162843657"</f>
        <v>FES1162843657</v>
      </c>
      <c r="F3076" s="4">
        <v>44567</v>
      </c>
      <c r="G3076" s="3">
        <v>202207</v>
      </c>
      <c r="H3076" s="3" t="s">
        <v>75</v>
      </c>
      <c r="I3076" s="3" t="s">
        <v>76</v>
      </c>
      <c r="J3076" s="3" t="s">
        <v>77</v>
      </c>
      <c r="K3076" s="3" t="s">
        <v>78</v>
      </c>
      <c r="L3076" s="3" t="s">
        <v>79</v>
      </c>
      <c r="M3076" s="3" t="s">
        <v>80</v>
      </c>
      <c r="N3076" s="3" t="s">
        <v>81</v>
      </c>
      <c r="O3076" s="3" t="s">
        <v>82</v>
      </c>
      <c r="P3076" s="3" t="str">
        <f>"2170813378                    "</f>
        <v xml:space="preserve">2170813378                    </v>
      </c>
      <c r="Q3076" s="3">
        <v>0</v>
      </c>
      <c r="R3076" s="3">
        <v>0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  <c r="AE3076" s="3">
        <v>0</v>
      </c>
      <c r="AF3076" s="3">
        <v>0</v>
      </c>
      <c r="AG3076" s="3">
        <v>0</v>
      </c>
      <c r="AH3076" s="3">
        <v>0</v>
      </c>
      <c r="AI3076" s="3">
        <v>0</v>
      </c>
      <c r="AJ3076" s="3">
        <v>0</v>
      </c>
      <c r="AK3076" s="3">
        <v>23.18</v>
      </c>
      <c r="AL3076" s="3">
        <v>0</v>
      </c>
      <c r="AM3076" s="3">
        <v>0</v>
      </c>
      <c r="AN3076" s="3">
        <v>0</v>
      </c>
      <c r="AO3076" s="3">
        <v>0</v>
      </c>
      <c r="AP3076" s="3">
        <v>0</v>
      </c>
      <c r="AQ3076" s="3">
        <v>0</v>
      </c>
      <c r="AR3076" s="3">
        <v>0</v>
      </c>
      <c r="AS3076" s="3">
        <v>0</v>
      </c>
      <c r="AT3076" s="3">
        <v>0</v>
      </c>
      <c r="AU3076" s="3">
        <v>0</v>
      </c>
      <c r="AV3076" s="3">
        <v>0</v>
      </c>
      <c r="AW3076" s="3">
        <v>0</v>
      </c>
      <c r="AX3076" s="3">
        <v>0</v>
      </c>
      <c r="AY3076" s="3">
        <v>0</v>
      </c>
      <c r="AZ3076" s="3">
        <v>0</v>
      </c>
      <c r="BA3076" s="3">
        <v>0</v>
      </c>
      <c r="BB3076" s="3">
        <v>0</v>
      </c>
      <c r="BC3076" s="3">
        <v>0</v>
      </c>
      <c r="BD3076" s="3">
        <v>0</v>
      </c>
      <c r="BE3076" s="3">
        <v>0</v>
      </c>
      <c r="BF3076" s="3">
        <v>0</v>
      </c>
      <c r="BG3076" s="3">
        <v>0</v>
      </c>
      <c r="BH3076" s="3">
        <v>1</v>
      </c>
      <c r="BI3076" s="3">
        <v>3</v>
      </c>
      <c r="BJ3076" s="3">
        <v>0.8</v>
      </c>
      <c r="BK3076" s="3">
        <v>3</v>
      </c>
      <c r="BL3076" s="3">
        <v>88.48</v>
      </c>
      <c r="BM3076" s="3">
        <v>13.27</v>
      </c>
      <c r="BN3076" s="3">
        <v>101.75</v>
      </c>
      <c r="BO3076" s="3">
        <v>101.75</v>
      </c>
      <c r="BQ3076" s="3" t="s">
        <v>83</v>
      </c>
      <c r="BR3076" s="3" t="s">
        <v>364</v>
      </c>
      <c r="BS3076" s="4">
        <v>44568</v>
      </c>
      <c r="BT3076" s="5">
        <v>0.42986111111111108</v>
      </c>
      <c r="BU3076" s="3" t="s">
        <v>2823</v>
      </c>
      <c r="BV3076" s="3" t="s">
        <v>105</v>
      </c>
      <c r="BY3076" s="3">
        <v>3807</v>
      </c>
      <c r="BZ3076" s="3" t="s">
        <v>165</v>
      </c>
      <c r="CA3076" s="3" t="s">
        <v>1622</v>
      </c>
      <c r="CC3076" s="3" t="s">
        <v>80</v>
      </c>
      <c r="CD3076" s="3">
        <v>200</v>
      </c>
      <c r="CE3076" s="3" t="s">
        <v>86</v>
      </c>
      <c r="CF3076" s="4">
        <v>44568</v>
      </c>
      <c r="CI3076" s="3">
        <v>1</v>
      </c>
      <c r="CJ3076" s="3">
        <v>1</v>
      </c>
      <c r="CK3076" s="3">
        <v>21</v>
      </c>
      <c r="CL3076" s="3" t="s">
        <v>87</v>
      </c>
    </row>
    <row r="3077" spans="1:90" x14ac:dyDescent="0.2">
      <c r="A3077" s="3" t="s">
        <v>72</v>
      </c>
      <c r="B3077" s="3" t="s">
        <v>73</v>
      </c>
      <c r="C3077" s="3" t="s">
        <v>74</v>
      </c>
      <c r="E3077" s="3" t="str">
        <f>"FES1162843763"</f>
        <v>FES1162843763</v>
      </c>
      <c r="F3077" s="4">
        <v>44567</v>
      </c>
      <c r="G3077" s="3">
        <v>202207</v>
      </c>
      <c r="H3077" s="3" t="s">
        <v>75</v>
      </c>
      <c r="I3077" s="3" t="s">
        <v>76</v>
      </c>
      <c r="J3077" s="3" t="s">
        <v>77</v>
      </c>
      <c r="K3077" s="3" t="s">
        <v>78</v>
      </c>
      <c r="L3077" s="3" t="s">
        <v>184</v>
      </c>
      <c r="M3077" s="3" t="s">
        <v>185</v>
      </c>
      <c r="N3077" s="3" t="s">
        <v>503</v>
      </c>
      <c r="O3077" s="3" t="s">
        <v>82</v>
      </c>
      <c r="P3077" s="3" t="str">
        <f>"2170814635                    "</f>
        <v xml:space="preserve">2170814635                    </v>
      </c>
      <c r="Q3077" s="3">
        <v>0</v>
      </c>
      <c r="R3077" s="3">
        <v>0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  <c r="AE3077" s="3">
        <v>0</v>
      </c>
      <c r="AF3077" s="3">
        <v>0</v>
      </c>
      <c r="AG3077" s="3">
        <v>0</v>
      </c>
      <c r="AH3077" s="3">
        <v>0</v>
      </c>
      <c r="AI3077" s="3">
        <v>0</v>
      </c>
      <c r="AJ3077" s="3">
        <v>0</v>
      </c>
      <c r="AK3077" s="3">
        <v>15.46</v>
      </c>
      <c r="AL3077" s="3">
        <v>0</v>
      </c>
      <c r="AM3077" s="3">
        <v>0</v>
      </c>
      <c r="AN3077" s="3">
        <v>0</v>
      </c>
      <c r="AO3077" s="3">
        <v>0</v>
      </c>
      <c r="AP3077" s="3">
        <v>0</v>
      </c>
      <c r="AQ3077" s="3">
        <v>0</v>
      </c>
      <c r="AR3077" s="3">
        <v>0</v>
      </c>
      <c r="AS3077" s="3">
        <v>0</v>
      </c>
      <c r="AT3077" s="3">
        <v>0</v>
      </c>
      <c r="AU3077" s="3">
        <v>0</v>
      </c>
      <c r="AV3077" s="3">
        <v>0</v>
      </c>
      <c r="AW3077" s="3">
        <v>0</v>
      </c>
      <c r="AX3077" s="3">
        <v>0</v>
      </c>
      <c r="AY3077" s="3">
        <v>0</v>
      </c>
      <c r="AZ3077" s="3">
        <v>0</v>
      </c>
      <c r="BA3077" s="3">
        <v>0</v>
      </c>
      <c r="BB3077" s="3">
        <v>0</v>
      </c>
      <c r="BC3077" s="3">
        <v>0</v>
      </c>
      <c r="BD3077" s="3">
        <v>0</v>
      </c>
      <c r="BE3077" s="3">
        <v>0</v>
      </c>
      <c r="BF3077" s="3">
        <v>0</v>
      </c>
      <c r="BG3077" s="3">
        <v>0</v>
      </c>
      <c r="BH3077" s="3">
        <v>1</v>
      </c>
      <c r="BI3077" s="3">
        <v>1</v>
      </c>
      <c r="BJ3077" s="3">
        <v>0.2</v>
      </c>
      <c r="BK3077" s="3">
        <v>1</v>
      </c>
      <c r="BL3077" s="3">
        <v>59</v>
      </c>
      <c r="BM3077" s="3">
        <v>8.85</v>
      </c>
      <c r="BN3077" s="3">
        <v>67.849999999999994</v>
      </c>
      <c r="BO3077" s="3">
        <v>67.849999999999994</v>
      </c>
      <c r="BQ3077" s="3" t="s">
        <v>89</v>
      </c>
      <c r="BR3077" s="3" t="s">
        <v>364</v>
      </c>
      <c r="BS3077" s="4">
        <v>44568</v>
      </c>
      <c r="BT3077" s="5">
        <v>0.45069444444444445</v>
      </c>
      <c r="BU3077" s="3" t="s">
        <v>2824</v>
      </c>
      <c r="BV3077" s="3" t="s">
        <v>87</v>
      </c>
      <c r="BW3077" s="3" t="s">
        <v>353</v>
      </c>
      <c r="BX3077" s="3" t="s">
        <v>605</v>
      </c>
      <c r="BY3077" s="3">
        <v>1200</v>
      </c>
      <c r="BZ3077" s="3" t="s">
        <v>165</v>
      </c>
      <c r="CA3077" s="3" t="s">
        <v>357</v>
      </c>
      <c r="CC3077" s="3" t="s">
        <v>185</v>
      </c>
      <c r="CD3077" s="3">
        <v>5201</v>
      </c>
      <c r="CE3077" s="3" t="s">
        <v>93</v>
      </c>
      <c r="CF3077" s="4">
        <v>44572</v>
      </c>
      <c r="CI3077" s="3">
        <v>1</v>
      </c>
      <c r="CJ3077" s="3">
        <v>1</v>
      </c>
      <c r="CK3077" s="3">
        <v>21</v>
      </c>
      <c r="CL3077" s="3" t="s">
        <v>87</v>
      </c>
    </row>
    <row r="3078" spans="1:90" x14ac:dyDescent="0.2">
      <c r="A3078" s="3" t="s">
        <v>72</v>
      </c>
      <c r="B3078" s="3" t="s">
        <v>73</v>
      </c>
      <c r="C3078" s="3" t="s">
        <v>74</v>
      </c>
      <c r="E3078" s="3" t="str">
        <f>"FES1162843734"</f>
        <v>FES1162843734</v>
      </c>
      <c r="F3078" s="4">
        <v>44567</v>
      </c>
      <c r="G3078" s="3">
        <v>202207</v>
      </c>
      <c r="H3078" s="3" t="s">
        <v>75</v>
      </c>
      <c r="I3078" s="3" t="s">
        <v>76</v>
      </c>
      <c r="J3078" s="3" t="s">
        <v>77</v>
      </c>
      <c r="K3078" s="3" t="s">
        <v>78</v>
      </c>
      <c r="L3078" s="3" t="s">
        <v>184</v>
      </c>
      <c r="M3078" s="3" t="s">
        <v>185</v>
      </c>
      <c r="N3078" s="3" t="s">
        <v>503</v>
      </c>
      <c r="O3078" s="3" t="s">
        <v>82</v>
      </c>
      <c r="P3078" s="3" t="str">
        <f>"2170813662                    "</f>
        <v xml:space="preserve">2170813662                    </v>
      </c>
      <c r="Q3078" s="3">
        <v>0</v>
      </c>
      <c r="R3078" s="3">
        <v>0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  <c r="AE3078" s="3">
        <v>0</v>
      </c>
      <c r="AF3078" s="3">
        <v>0</v>
      </c>
      <c r="AG3078" s="3">
        <v>0</v>
      </c>
      <c r="AH3078" s="3">
        <v>0</v>
      </c>
      <c r="AI3078" s="3">
        <v>0</v>
      </c>
      <c r="AJ3078" s="3">
        <v>0</v>
      </c>
      <c r="AK3078" s="3">
        <v>15.46</v>
      </c>
      <c r="AL3078" s="3">
        <v>0</v>
      </c>
      <c r="AM3078" s="3">
        <v>0</v>
      </c>
      <c r="AN3078" s="3">
        <v>0</v>
      </c>
      <c r="AO3078" s="3">
        <v>0</v>
      </c>
      <c r="AP3078" s="3">
        <v>0</v>
      </c>
      <c r="AQ3078" s="3">
        <v>0</v>
      </c>
      <c r="AR3078" s="3">
        <v>0</v>
      </c>
      <c r="AS3078" s="3">
        <v>0</v>
      </c>
      <c r="AT3078" s="3">
        <v>0</v>
      </c>
      <c r="AU3078" s="3">
        <v>0</v>
      </c>
      <c r="AV3078" s="3">
        <v>0</v>
      </c>
      <c r="AW3078" s="3">
        <v>0</v>
      </c>
      <c r="AX3078" s="3">
        <v>0</v>
      </c>
      <c r="AY3078" s="3">
        <v>0</v>
      </c>
      <c r="AZ3078" s="3">
        <v>0</v>
      </c>
      <c r="BA3078" s="3">
        <v>0</v>
      </c>
      <c r="BB3078" s="3">
        <v>0</v>
      </c>
      <c r="BC3078" s="3">
        <v>0</v>
      </c>
      <c r="BD3078" s="3">
        <v>0</v>
      </c>
      <c r="BE3078" s="3">
        <v>0</v>
      </c>
      <c r="BF3078" s="3">
        <v>0</v>
      </c>
      <c r="BG3078" s="3">
        <v>0</v>
      </c>
      <c r="BH3078" s="3">
        <v>1</v>
      </c>
      <c r="BI3078" s="3">
        <v>1</v>
      </c>
      <c r="BJ3078" s="3">
        <v>0.2</v>
      </c>
      <c r="BK3078" s="3">
        <v>1</v>
      </c>
      <c r="BL3078" s="3">
        <v>59</v>
      </c>
      <c r="BM3078" s="3">
        <v>8.85</v>
      </c>
      <c r="BN3078" s="3">
        <v>67.849999999999994</v>
      </c>
      <c r="BO3078" s="3">
        <v>67.849999999999994</v>
      </c>
      <c r="BQ3078" s="3" t="s">
        <v>89</v>
      </c>
      <c r="BR3078" s="3" t="s">
        <v>364</v>
      </c>
      <c r="BS3078" s="4">
        <v>44568</v>
      </c>
      <c r="BT3078" s="5">
        <v>0.45069444444444445</v>
      </c>
      <c r="BU3078" s="3" t="s">
        <v>2824</v>
      </c>
      <c r="BV3078" s="3" t="s">
        <v>87</v>
      </c>
      <c r="BW3078" s="3" t="s">
        <v>353</v>
      </c>
      <c r="BX3078" s="3" t="s">
        <v>605</v>
      </c>
      <c r="BY3078" s="3">
        <v>1200</v>
      </c>
      <c r="BZ3078" s="3" t="s">
        <v>165</v>
      </c>
      <c r="CA3078" s="3" t="s">
        <v>357</v>
      </c>
      <c r="CC3078" s="3" t="s">
        <v>185</v>
      </c>
      <c r="CD3078" s="3">
        <v>5201</v>
      </c>
      <c r="CE3078" s="3" t="s">
        <v>93</v>
      </c>
      <c r="CF3078" s="4">
        <v>44572</v>
      </c>
      <c r="CI3078" s="3">
        <v>1</v>
      </c>
      <c r="CJ3078" s="3">
        <v>1</v>
      </c>
      <c r="CK3078" s="3">
        <v>21</v>
      </c>
      <c r="CL3078" s="3" t="s">
        <v>87</v>
      </c>
    </row>
    <row r="3079" spans="1:90" x14ac:dyDescent="0.2">
      <c r="A3079" s="3" t="s">
        <v>72</v>
      </c>
      <c r="B3079" s="3" t="s">
        <v>73</v>
      </c>
      <c r="C3079" s="3" t="s">
        <v>74</v>
      </c>
      <c r="E3079" s="3" t="str">
        <f>"FES1162843814"</f>
        <v>FES1162843814</v>
      </c>
      <c r="F3079" s="4">
        <v>44567</v>
      </c>
      <c r="G3079" s="3">
        <v>202207</v>
      </c>
      <c r="H3079" s="3" t="s">
        <v>75</v>
      </c>
      <c r="I3079" s="3" t="s">
        <v>76</v>
      </c>
      <c r="J3079" s="3" t="s">
        <v>77</v>
      </c>
      <c r="K3079" s="3" t="s">
        <v>78</v>
      </c>
      <c r="L3079" s="3" t="s">
        <v>101</v>
      </c>
      <c r="M3079" s="3" t="s">
        <v>102</v>
      </c>
      <c r="N3079" s="3" t="s">
        <v>103</v>
      </c>
      <c r="O3079" s="3" t="s">
        <v>82</v>
      </c>
      <c r="P3079" s="3" t="str">
        <f>"2170815739                    "</f>
        <v xml:space="preserve">2170815739                    </v>
      </c>
      <c r="Q3079" s="3">
        <v>0</v>
      </c>
      <c r="R3079" s="3">
        <v>0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  <c r="AE3079" s="3">
        <v>0</v>
      </c>
      <c r="AF3079" s="3">
        <v>0</v>
      </c>
      <c r="AG3079" s="3">
        <v>0</v>
      </c>
      <c r="AH3079" s="3">
        <v>0</v>
      </c>
      <c r="AI3079" s="3">
        <v>0</v>
      </c>
      <c r="AJ3079" s="3">
        <v>0</v>
      </c>
      <c r="AK3079" s="3">
        <v>46.36</v>
      </c>
      <c r="AL3079" s="3">
        <v>0</v>
      </c>
      <c r="AM3079" s="3">
        <v>0</v>
      </c>
      <c r="AN3079" s="3">
        <v>0</v>
      </c>
      <c r="AO3079" s="3">
        <v>0</v>
      </c>
      <c r="AP3079" s="3">
        <v>0</v>
      </c>
      <c r="AQ3079" s="3">
        <v>0</v>
      </c>
      <c r="AR3079" s="3">
        <v>0</v>
      </c>
      <c r="AS3079" s="3">
        <v>0</v>
      </c>
      <c r="AT3079" s="3">
        <v>0</v>
      </c>
      <c r="AU3079" s="3">
        <v>0</v>
      </c>
      <c r="AV3079" s="3">
        <v>0</v>
      </c>
      <c r="AW3079" s="3">
        <v>0</v>
      </c>
      <c r="AX3079" s="3">
        <v>0</v>
      </c>
      <c r="AY3079" s="3">
        <v>0</v>
      </c>
      <c r="AZ3079" s="3">
        <v>0</v>
      </c>
      <c r="BA3079" s="3">
        <v>0</v>
      </c>
      <c r="BB3079" s="3">
        <v>0</v>
      </c>
      <c r="BC3079" s="3">
        <v>0</v>
      </c>
      <c r="BD3079" s="3">
        <v>0</v>
      </c>
      <c r="BE3079" s="3">
        <v>0</v>
      </c>
      <c r="BF3079" s="3">
        <v>0</v>
      </c>
      <c r="BG3079" s="3">
        <v>0</v>
      </c>
      <c r="BH3079" s="3">
        <v>1</v>
      </c>
      <c r="BI3079" s="3">
        <v>6</v>
      </c>
      <c r="BJ3079" s="3">
        <v>2</v>
      </c>
      <c r="BK3079" s="3">
        <v>6</v>
      </c>
      <c r="BL3079" s="3">
        <v>176.94</v>
      </c>
      <c r="BM3079" s="3">
        <v>26.54</v>
      </c>
      <c r="BN3079" s="3">
        <v>203.48</v>
      </c>
      <c r="BO3079" s="3">
        <v>203.48</v>
      </c>
      <c r="BQ3079" s="3" t="s">
        <v>83</v>
      </c>
      <c r="BR3079" s="3" t="s">
        <v>364</v>
      </c>
      <c r="BS3079" s="4">
        <v>44568</v>
      </c>
      <c r="BT3079" s="5">
        <v>0.39027777777777778</v>
      </c>
      <c r="BU3079" s="3" t="s">
        <v>2825</v>
      </c>
      <c r="BV3079" s="3" t="s">
        <v>105</v>
      </c>
      <c r="BY3079" s="3">
        <v>9900</v>
      </c>
      <c r="BZ3079" s="3" t="s">
        <v>165</v>
      </c>
      <c r="CA3079" s="3" t="s">
        <v>106</v>
      </c>
      <c r="CC3079" s="3" t="s">
        <v>102</v>
      </c>
      <c r="CD3079" s="3">
        <v>4001</v>
      </c>
      <c r="CE3079" s="3" t="s">
        <v>86</v>
      </c>
      <c r="CF3079" s="4">
        <v>44568</v>
      </c>
      <c r="CI3079" s="3">
        <v>1</v>
      </c>
      <c r="CJ3079" s="3">
        <v>1</v>
      </c>
      <c r="CK3079" s="3">
        <v>21</v>
      </c>
      <c r="CL3079" s="3" t="s">
        <v>87</v>
      </c>
    </row>
    <row r="3080" spans="1:90" x14ac:dyDescent="0.2">
      <c r="A3080" s="3" t="s">
        <v>72</v>
      </c>
      <c r="B3080" s="3" t="s">
        <v>73</v>
      </c>
      <c r="C3080" s="3" t="s">
        <v>74</v>
      </c>
      <c r="E3080" s="3" t="str">
        <f>"FES1162843921"</f>
        <v>FES1162843921</v>
      </c>
      <c r="F3080" s="4">
        <v>44567</v>
      </c>
      <c r="G3080" s="3">
        <v>202207</v>
      </c>
      <c r="H3080" s="3" t="s">
        <v>75</v>
      </c>
      <c r="I3080" s="3" t="s">
        <v>76</v>
      </c>
      <c r="J3080" s="3" t="s">
        <v>77</v>
      </c>
      <c r="K3080" s="3" t="s">
        <v>78</v>
      </c>
      <c r="L3080" s="3" t="s">
        <v>799</v>
      </c>
      <c r="M3080" s="3" t="s">
        <v>800</v>
      </c>
      <c r="N3080" s="3" t="s">
        <v>801</v>
      </c>
      <c r="O3080" s="3" t="s">
        <v>82</v>
      </c>
      <c r="P3080" s="3" t="str">
        <f>"2170813025                    "</f>
        <v xml:space="preserve">2170813025                    </v>
      </c>
      <c r="Q3080" s="3">
        <v>0</v>
      </c>
      <c r="R3080" s="3">
        <v>0</v>
      </c>
      <c r="S3080" s="3">
        <v>0</v>
      </c>
      <c r="T3080" s="3">
        <v>0</v>
      </c>
      <c r="U3080" s="3">
        <v>0</v>
      </c>
      <c r="V3080" s="3">
        <v>0</v>
      </c>
      <c r="W3080" s="3">
        <v>0</v>
      </c>
      <c r="X3080" s="3">
        <v>0</v>
      </c>
      <c r="Y3080" s="3">
        <v>0</v>
      </c>
      <c r="Z3080" s="3">
        <v>0</v>
      </c>
      <c r="AA3080" s="3">
        <v>0</v>
      </c>
      <c r="AB3080" s="3">
        <v>0</v>
      </c>
      <c r="AC3080" s="3">
        <v>0</v>
      </c>
      <c r="AD3080" s="3">
        <v>0</v>
      </c>
      <c r="AE3080" s="3">
        <v>0</v>
      </c>
      <c r="AF3080" s="3">
        <v>0</v>
      </c>
      <c r="AG3080" s="3">
        <v>0</v>
      </c>
      <c r="AH3080" s="3">
        <v>0</v>
      </c>
      <c r="AI3080" s="3">
        <v>0</v>
      </c>
      <c r="AJ3080" s="3">
        <v>0</v>
      </c>
      <c r="AK3080" s="3">
        <v>21.74</v>
      </c>
      <c r="AL3080" s="3">
        <v>0</v>
      </c>
      <c r="AM3080" s="3">
        <v>0</v>
      </c>
      <c r="AN3080" s="3">
        <v>0</v>
      </c>
      <c r="AO3080" s="3">
        <v>0</v>
      </c>
      <c r="AP3080" s="3">
        <v>0</v>
      </c>
      <c r="AQ3080" s="3">
        <v>0</v>
      </c>
      <c r="AR3080" s="3">
        <v>0</v>
      </c>
      <c r="AS3080" s="3">
        <v>0</v>
      </c>
      <c r="AT3080" s="3">
        <v>0</v>
      </c>
      <c r="AU3080" s="3">
        <v>0</v>
      </c>
      <c r="AV3080" s="3">
        <v>0</v>
      </c>
      <c r="AW3080" s="3">
        <v>0</v>
      </c>
      <c r="AX3080" s="3">
        <v>0</v>
      </c>
      <c r="AY3080" s="3">
        <v>0</v>
      </c>
      <c r="AZ3080" s="3">
        <v>0</v>
      </c>
      <c r="BA3080" s="3">
        <v>0</v>
      </c>
      <c r="BB3080" s="3">
        <v>0</v>
      </c>
      <c r="BC3080" s="3">
        <v>0</v>
      </c>
      <c r="BD3080" s="3">
        <v>0</v>
      </c>
      <c r="BE3080" s="3">
        <v>0</v>
      </c>
      <c r="BF3080" s="3">
        <v>0</v>
      </c>
      <c r="BG3080" s="3">
        <v>0</v>
      </c>
      <c r="BH3080" s="3">
        <v>1</v>
      </c>
      <c r="BI3080" s="3">
        <v>1</v>
      </c>
      <c r="BJ3080" s="3">
        <v>0.2</v>
      </c>
      <c r="BK3080" s="3">
        <v>1</v>
      </c>
      <c r="BL3080" s="3">
        <v>82.98</v>
      </c>
      <c r="BM3080" s="3">
        <v>12.45</v>
      </c>
      <c r="BN3080" s="3">
        <v>95.43</v>
      </c>
      <c r="BO3080" s="3">
        <v>95.43</v>
      </c>
      <c r="BQ3080" s="3" t="s">
        <v>89</v>
      </c>
      <c r="BR3080" s="3" t="s">
        <v>364</v>
      </c>
      <c r="BS3080" s="4">
        <v>44568</v>
      </c>
      <c r="BT3080" s="5">
        <v>0.39513888888888887</v>
      </c>
      <c r="BU3080" s="3" t="s">
        <v>2826</v>
      </c>
      <c r="BV3080" s="3" t="s">
        <v>105</v>
      </c>
      <c r="BY3080" s="3">
        <v>1200</v>
      </c>
      <c r="BZ3080" s="3" t="s">
        <v>165</v>
      </c>
      <c r="CA3080" s="3" t="s">
        <v>803</v>
      </c>
      <c r="CC3080" s="3" t="s">
        <v>800</v>
      </c>
      <c r="CD3080" s="3">
        <v>2210</v>
      </c>
      <c r="CE3080" s="3" t="s">
        <v>93</v>
      </c>
      <c r="CF3080" s="4">
        <v>44569</v>
      </c>
      <c r="CI3080" s="3">
        <v>1</v>
      </c>
      <c r="CJ3080" s="3">
        <v>1</v>
      </c>
      <c r="CK3080" s="3">
        <v>24</v>
      </c>
      <c r="CL3080" s="3" t="s">
        <v>87</v>
      </c>
    </row>
    <row r="3081" spans="1:90" x14ac:dyDescent="0.2">
      <c r="A3081" s="3" t="s">
        <v>72</v>
      </c>
      <c r="B3081" s="3" t="s">
        <v>73</v>
      </c>
      <c r="C3081" s="3" t="s">
        <v>74</v>
      </c>
      <c r="E3081" s="3" t="str">
        <f>"FES1162843854"</f>
        <v>FES1162843854</v>
      </c>
      <c r="F3081" s="4">
        <v>44567</v>
      </c>
      <c r="G3081" s="3">
        <v>202207</v>
      </c>
      <c r="H3081" s="3" t="s">
        <v>75</v>
      </c>
      <c r="I3081" s="3" t="s">
        <v>76</v>
      </c>
      <c r="J3081" s="3" t="s">
        <v>77</v>
      </c>
      <c r="K3081" s="3" t="s">
        <v>78</v>
      </c>
      <c r="L3081" s="3" t="s">
        <v>120</v>
      </c>
      <c r="M3081" s="3" t="s">
        <v>121</v>
      </c>
      <c r="N3081" s="3" t="s">
        <v>410</v>
      </c>
      <c r="O3081" s="3" t="s">
        <v>82</v>
      </c>
      <c r="P3081" s="3" t="str">
        <f>"2170814495                    "</f>
        <v xml:space="preserve">2170814495                    </v>
      </c>
      <c r="Q3081" s="3">
        <v>0</v>
      </c>
      <c r="R3081" s="3">
        <v>0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  <c r="AE3081" s="3">
        <v>0</v>
      </c>
      <c r="AF3081" s="3">
        <v>0</v>
      </c>
      <c r="AG3081" s="3">
        <v>0</v>
      </c>
      <c r="AH3081" s="3">
        <v>0</v>
      </c>
      <c r="AI3081" s="3">
        <v>0</v>
      </c>
      <c r="AJ3081" s="3">
        <v>0</v>
      </c>
      <c r="AK3081" s="3">
        <v>15.46</v>
      </c>
      <c r="AL3081" s="3">
        <v>0</v>
      </c>
      <c r="AM3081" s="3">
        <v>0</v>
      </c>
      <c r="AN3081" s="3">
        <v>0</v>
      </c>
      <c r="AO3081" s="3">
        <v>0</v>
      </c>
      <c r="AP3081" s="3">
        <v>0</v>
      </c>
      <c r="AQ3081" s="3">
        <v>0</v>
      </c>
      <c r="AR3081" s="3">
        <v>0</v>
      </c>
      <c r="AS3081" s="3">
        <v>0</v>
      </c>
      <c r="AT3081" s="3">
        <v>0</v>
      </c>
      <c r="AU3081" s="3">
        <v>0</v>
      </c>
      <c r="AV3081" s="3">
        <v>0</v>
      </c>
      <c r="AW3081" s="3">
        <v>0</v>
      </c>
      <c r="AX3081" s="3">
        <v>0</v>
      </c>
      <c r="AY3081" s="3">
        <v>0</v>
      </c>
      <c r="AZ3081" s="3">
        <v>0</v>
      </c>
      <c r="BA3081" s="3">
        <v>0</v>
      </c>
      <c r="BB3081" s="3">
        <v>0</v>
      </c>
      <c r="BC3081" s="3">
        <v>0</v>
      </c>
      <c r="BD3081" s="3">
        <v>0</v>
      </c>
      <c r="BE3081" s="3">
        <v>0</v>
      </c>
      <c r="BF3081" s="3">
        <v>0</v>
      </c>
      <c r="BG3081" s="3">
        <v>0</v>
      </c>
      <c r="BH3081" s="3">
        <v>1</v>
      </c>
      <c r="BI3081" s="3">
        <v>1</v>
      </c>
      <c r="BJ3081" s="3">
        <v>0.2</v>
      </c>
      <c r="BK3081" s="3">
        <v>1</v>
      </c>
      <c r="BL3081" s="3">
        <v>59</v>
      </c>
      <c r="BM3081" s="3">
        <v>8.85</v>
      </c>
      <c r="BN3081" s="3">
        <v>67.849999999999994</v>
      </c>
      <c r="BO3081" s="3">
        <v>67.849999999999994</v>
      </c>
      <c r="BQ3081" s="3" t="s">
        <v>411</v>
      </c>
      <c r="BR3081" s="3" t="s">
        <v>364</v>
      </c>
      <c r="BS3081" s="4">
        <v>44568</v>
      </c>
      <c r="BT3081" s="5">
        <v>0.59444444444444444</v>
      </c>
      <c r="BU3081" s="3" t="s">
        <v>2695</v>
      </c>
      <c r="BV3081" s="3" t="s">
        <v>87</v>
      </c>
      <c r="BW3081" s="3" t="s">
        <v>457</v>
      </c>
      <c r="BX3081" s="3" t="s">
        <v>279</v>
      </c>
      <c r="BY3081" s="3">
        <v>1200</v>
      </c>
      <c r="BZ3081" s="3" t="s">
        <v>165</v>
      </c>
      <c r="CA3081" s="3" t="s">
        <v>553</v>
      </c>
      <c r="CC3081" s="3" t="s">
        <v>121</v>
      </c>
      <c r="CD3081" s="3">
        <v>6230</v>
      </c>
      <c r="CE3081" s="3" t="s">
        <v>93</v>
      </c>
      <c r="CF3081" s="4">
        <v>44571</v>
      </c>
      <c r="CI3081" s="3">
        <v>1</v>
      </c>
      <c r="CJ3081" s="3">
        <v>1</v>
      </c>
      <c r="CK3081" s="3">
        <v>21</v>
      </c>
      <c r="CL3081" s="3" t="s">
        <v>87</v>
      </c>
    </row>
    <row r="3082" spans="1:90" x14ac:dyDescent="0.2">
      <c r="A3082" s="3" t="s">
        <v>72</v>
      </c>
      <c r="B3082" s="3" t="s">
        <v>73</v>
      </c>
      <c r="C3082" s="3" t="s">
        <v>74</v>
      </c>
      <c r="E3082" s="3" t="str">
        <f>"FES1162844002"</f>
        <v>FES1162844002</v>
      </c>
      <c r="F3082" s="4">
        <v>44567</v>
      </c>
      <c r="G3082" s="3">
        <v>202207</v>
      </c>
      <c r="H3082" s="3" t="s">
        <v>75</v>
      </c>
      <c r="I3082" s="3" t="s">
        <v>76</v>
      </c>
      <c r="J3082" s="3" t="s">
        <v>77</v>
      </c>
      <c r="K3082" s="3" t="s">
        <v>78</v>
      </c>
      <c r="L3082" s="3" t="s">
        <v>101</v>
      </c>
      <c r="M3082" s="3" t="s">
        <v>102</v>
      </c>
      <c r="N3082" s="3" t="s">
        <v>2339</v>
      </c>
      <c r="O3082" s="3" t="s">
        <v>82</v>
      </c>
      <c r="P3082" s="3" t="str">
        <f>"2170815811                    "</f>
        <v xml:space="preserve">2170815811                    </v>
      </c>
      <c r="Q3082" s="3">
        <v>0</v>
      </c>
      <c r="R3082" s="3">
        <v>0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  <c r="AE3082" s="3">
        <v>0</v>
      </c>
      <c r="AF3082" s="3">
        <v>0</v>
      </c>
      <c r="AG3082" s="3">
        <v>0</v>
      </c>
      <c r="AH3082" s="3">
        <v>0</v>
      </c>
      <c r="AI3082" s="3">
        <v>0</v>
      </c>
      <c r="AJ3082" s="3">
        <v>0</v>
      </c>
      <c r="AK3082" s="3">
        <v>15.46</v>
      </c>
      <c r="AL3082" s="3">
        <v>0</v>
      </c>
      <c r="AM3082" s="3">
        <v>0</v>
      </c>
      <c r="AN3082" s="3">
        <v>0</v>
      </c>
      <c r="AO3082" s="3">
        <v>0</v>
      </c>
      <c r="AP3082" s="3">
        <v>0</v>
      </c>
      <c r="AQ3082" s="3">
        <v>0</v>
      </c>
      <c r="AR3082" s="3">
        <v>0</v>
      </c>
      <c r="AS3082" s="3">
        <v>0</v>
      </c>
      <c r="AT3082" s="3">
        <v>0</v>
      </c>
      <c r="AU3082" s="3">
        <v>0</v>
      </c>
      <c r="AV3082" s="3">
        <v>0</v>
      </c>
      <c r="AW3082" s="3">
        <v>0</v>
      </c>
      <c r="AX3082" s="3">
        <v>0</v>
      </c>
      <c r="AY3082" s="3">
        <v>0</v>
      </c>
      <c r="AZ3082" s="3">
        <v>0</v>
      </c>
      <c r="BA3082" s="3">
        <v>0</v>
      </c>
      <c r="BB3082" s="3">
        <v>0</v>
      </c>
      <c r="BC3082" s="3">
        <v>0</v>
      </c>
      <c r="BD3082" s="3">
        <v>0</v>
      </c>
      <c r="BE3082" s="3">
        <v>0</v>
      </c>
      <c r="BF3082" s="3">
        <v>0</v>
      </c>
      <c r="BG3082" s="3">
        <v>0</v>
      </c>
      <c r="BH3082" s="3">
        <v>1</v>
      </c>
      <c r="BI3082" s="3">
        <v>1</v>
      </c>
      <c r="BJ3082" s="3">
        <v>0.2</v>
      </c>
      <c r="BK3082" s="3">
        <v>1</v>
      </c>
      <c r="BL3082" s="3">
        <v>59</v>
      </c>
      <c r="BM3082" s="3">
        <v>8.85</v>
      </c>
      <c r="BN3082" s="3">
        <v>67.849999999999994</v>
      </c>
      <c r="BO3082" s="3">
        <v>67.849999999999994</v>
      </c>
      <c r="BQ3082" s="3" t="s">
        <v>750</v>
      </c>
      <c r="BR3082" s="3" t="s">
        <v>364</v>
      </c>
      <c r="BS3082" s="4">
        <v>44568</v>
      </c>
      <c r="BT3082" s="5">
        <v>0.41666666666666669</v>
      </c>
      <c r="BU3082" s="3" t="s">
        <v>2827</v>
      </c>
      <c r="BV3082" s="3" t="s">
        <v>105</v>
      </c>
      <c r="BY3082" s="3">
        <v>1200</v>
      </c>
      <c r="BZ3082" s="3" t="s">
        <v>165</v>
      </c>
      <c r="CC3082" s="3" t="s">
        <v>102</v>
      </c>
      <c r="CD3082" s="3">
        <v>4001</v>
      </c>
      <c r="CE3082" s="3" t="s">
        <v>93</v>
      </c>
      <c r="CF3082" s="4">
        <v>44568</v>
      </c>
      <c r="CI3082" s="3">
        <v>1</v>
      </c>
      <c r="CJ3082" s="3">
        <v>1</v>
      </c>
      <c r="CK3082" s="3">
        <v>21</v>
      </c>
      <c r="CL3082" s="3" t="s">
        <v>87</v>
      </c>
    </row>
    <row r="3083" spans="1:90" x14ac:dyDescent="0.2">
      <c r="A3083" s="3" t="s">
        <v>72</v>
      </c>
      <c r="B3083" s="3" t="s">
        <v>73</v>
      </c>
      <c r="C3083" s="3" t="s">
        <v>74</v>
      </c>
      <c r="E3083" s="3" t="str">
        <f>"FES1162843585"</f>
        <v>FES1162843585</v>
      </c>
      <c r="F3083" s="4">
        <v>44566</v>
      </c>
      <c r="G3083" s="3">
        <v>202207</v>
      </c>
      <c r="H3083" s="3" t="s">
        <v>75</v>
      </c>
      <c r="I3083" s="3" t="s">
        <v>76</v>
      </c>
      <c r="J3083" s="3" t="s">
        <v>77</v>
      </c>
      <c r="K3083" s="3" t="s">
        <v>78</v>
      </c>
      <c r="L3083" s="3" t="s">
        <v>158</v>
      </c>
      <c r="M3083" s="3" t="s">
        <v>159</v>
      </c>
      <c r="N3083" s="3" t="s">
        <v>823</v>
      </c>
      <c r="O3083" s="3" t="s">
        <v>82</v>
      </c>
      <c r="P3083" s="3" t="str">
        <f>"2170813273                    "</f>
        <v xml:space="preserve">2170813273                    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  <c r="AE3083" s="3">
        <v>0</v>
      </c>
      <c r="AF3083" s="3">
        <v>0</v>
      </c>
      <c r="AG3083" s="3">
        <v>0</v>
      </c>
      <c r="AH3083" s="3">
        <v>0</v>
      </c>
      <c r="AI3083" s="3">
        <v>0</v>
      </c>
      <c r="AJ3083" s="3">
        <v>0</v>
      </c>
      <c r="AK3083" s="3">
        <v>12.07</v>
      </c>
      <c r="AL3083" s="3">
        <v>0</v>
      </c>
      <c r="AM3083" s="3">
        <v>0</v>
      </c>
      <c r="AN3083" s="3">
        <v>0</v>
      </c>
      <c r="AO3083" s="3">
        <v>0</v>
      </c>
      <c r="AP3083" s="3">
        <v>0</v>
      </c>
      <c r="AQ3083" s="3">
        <v>0</v>
      </c>
      <c r="AR3083" s="3">
        <v>0</v>
      </c>
      <c r="AS3083" s="3">
        <v>0</v>
      </c>
      <c r="AT3083" s="3">
        <v>0</v>
      </c>
      <c r="AU3083" s="3">
        <v>0</v>
      </c>
      <c r="AV3083" s="3">
        <v>0</v>
      </c>
      <c r="AW3083" s="3">
        <v>0</v>
      </c>
      <c r="AX3083" s="3">
        <v>0</v>
      </c>
      <c r="AY3083" s="3">
        <v>0</v>
      </c>
      <c r="AZ3083" s="3">
        <v>0</v>
      </c>
      <c r="BA3083" s="3">
        <v>0</v>
      </c>
      <c r="BB3083" s="3">
        <v>0</v>
      </c>
      <c r="BC3083" s="3">
        <v>0</v>
      </c>
      <c r="BD3083" s="3">
        <v>0</v>
      </c>
      <c r="BE3083" s="3">
        <v>0</v>
      </c>
      <c r="BF3083" s="3">
        <v>0</v>
      </c>
      <c r="BG3083" s="3">
        <v>0</v>
      </c>
      <c r="BH3083" s="3">
        <v>1</v>
      </c>
      <c r="BI3083" s="3">
        <v>1</v>
      </c>
      <c r="BJ3083" s="3">
        <v>0.9</v>
      </c>
      <c r="BK3083" s="3">
        <v>1</v>
      </c>
      <c r="BL3083" s="3">
        <v>46.08</v>
      </c>
      <c r="BM3083" s="3">
        <v>6.91</v>
      </c>
      <c r="BN3083" s="3">
        <v>52.99</v>
      </c>
      <c r="BO3083" s="3">
        <v>52.99</v>
      </c>
      <c r="BQ3083" s="3" t="s">
        <v>89</v>
      </c>
      <c r="BR3083" s="3" t="s">
        <v>308</v>
      </c>
      <c r="BS3083" s="4">
        <v>44571</v>
      </c>
      <c r="BT3083" s="5">
        <v>0.35625000000000001</v>
      </c>
      <c r="BU3083" s="3" t="s">
        <v>1937</v>
      </c>
      <c r="BV3083" s="3" t="s">
        <v>87</v>
      </c>
      <c r="BW3083" s="3" t="s">
        <v>278</v>
      </c>
      <c r="BX3083" s="3" t="s">
        <v>758</v>
      </c>
      <c r="BY3083" s="3">
        <v>4275</v>
      </c>
      <c r="BZ3083" s="3" t="s">
        <v>165</v>
      </c>
      <c r="CA3083" s="3" t="s">
        <v>653</v>
      </c>
      <c r="CC3083" s="3" t="s">
        <v>159</v>
      </c>
      <c r="CD3083" s="3">
        <v>1459</v>
      </c>
      <c r="CE3083" s="3" t="s">
        <v>86</v>
      </c>
      <c r="CF3083" s="4">
        <v>44571</v>
      </c>
      <c r="CI3083" s="3">
        <v>1</v>
      </c>
      <c r="CJ3083" s="3">
        <v>3</v>
      </c>
      <c r="CK3083" s="3">
        <v>22</v>
      </c>
      <c r="CL3083" s="3" t="s">
        <v>87</v>
      </c>
    </row>
    <row r="3084" spans="1:90" x14ac:dyDescent="0.2">
      <c r="A3084" s="3" t="s">
        <v>72</v>
      </c>
      <c r="B3084" s="3" t="s">
        <v>73</v>
      </c>
      <c r="C3084" s="3" t="s">
        <v>74</v>
      </c>
      <c r="E3084" s="3" t="str">
        <f>"FES1162843050"</f>
        <v>FES1162843050</v>
      </c>
      <c r="F3084" s="4">
        <v>44564</v>
      </c>
      <c r="G3084" s="3">
        <v>202207</v>
      </c>
      <c r="H3084" s="3" t="s">
        <v>75</v>
      </c>
      <c r="I3084" s="3" t="s">
        <v>76</v>
      </c>
      <c r="J3084" s="3" t="s">
        <v>77</v>
      </c>
      <c r="K3084" s="3" t="s">
        <v>78</v>
      </c>
      <c r="L3084" s="3" t="s">
        <v>101</v>
      </c>
      <c r="M3084" s="3" t="s">
        <v>102</v>
      </c>
      <c r="N3084" s="3" t="s">
        <v>1387</v>
      </c>
      <c r="O3084" s="3" t="s">
        <v>82</v>
      </c>
      <c r="P3084" s="3" t="str">
        <f>"2170815407                    "</f>
        <v xml:space="preserve">2170815407                    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  <c r="AE3084" s="3">
        <v>0</v>
      </c>
      <c r="AF3084" s="3">
        <v>0</v>
      </c>
      <c r="AG3084" s="3">
        <v>0</v>
      </c>
      <c r="AH3084" s="3">
        <v>0</v>
      </c>
      <c r="AI3084" s="3">
        <v>0</v>
      </c>
      <c r="AJ3084" s="3">
        <v>0</v>
      </c>
      <c r="AK3084" s="3">
        <v>16.98</v>
      </c>
      <c r="AL3084" s="3">
        <v>0</v>
      </c>
      <c r="AM3084" s="3">
        <v>0</v>
      </c>
      <c r="AN3084" s="3">
        <v>0</v>
      </c>
      <c r="AO3084" s="3">
        <v>0</v>
      </c>
      <c r="AP3084" s="3">
        <v>0</v>
      </c>
      <c r="AQ3084" s="3">
        <v>0</v>
      </c>
      <c r="AR3084" s="3">
        <v>0</v>
      </c>
      <c r="AS3084" s="3">
        <v>0</v>
      </c>
      <c r="AT3084" s="3">
        <v>0</v>
      </c>
      <c r="AU3084" s="3">
        <v>0</v>
      </c>
      <c r="AV3084" s="3">
        <v>0</v>
      </c>
      <c r="AW3084" s="3">
        <v>0</v>
      </c>
      <c r="AX3084" s="3">
        <v>0</v>
      </c>
      <c r="AY3084" s="3">
        <v>0</v>
      </c>
      <c r="AZ3084" s="3">
        <v>0</v>
      </c>
      <c r="BA3084" s="3">
        <v>0</v>
      </c>
      <c r="BB3084" s="3">
        <v>0</v>
      </c>
      <c r="BC3084" s="3">
        <v>0</v>
      </c>
      <c r="BD3084" s="3">
        <v>0</v>
      </c>
      <c r="BE3084" s="3">
        <v>0</v>
      </c>
      <c r="BF3084" s="3">
        <v>0</v>
      </c>
      <c r="BG3084" s="3">
        <v>0</v>
      </c>
      <c r="BH3084" s="3">
        <v>1</v>
      </c>
      <c r="BI3084" s="3">
        <v>1</v>
      </c>
      <c r="BJ3084" s="3">
        <v>0.2</v>
      </c>
      <c r="BK3084" s="3">
        <v>1</v>
      </c>
      <c r="BL3084" s="3">
        <v>60.52</v>
      </c>
      <c r="BM3084" s="3">
        <v>9.08</v>
      </c>
      <c r="BN3084" s="3">
        <v>69.599999999999994</v>
      </c>
      <c r="BO3084" s="3">
        <v>69.599999999999994</v>
      </c>
      <c r="BQ3084" s="3" t="s">
        <v>83</v>
      </c>
      <c r="BR3084" s="3" t="s">
        <v>308</v>
      </c>
      <c r="BS3084" s="4">
        <v>44565</v>
      </c>
      <c r="BT3084" s="5">
        <v>0.36527777777777781</v>
      </c>
      <c r="BU3084" s="3" t="s">
        <v>2828</v>
      </c>
      <c r="BV3084" s="3" t="s">
        <v>105</v>
      </c>
      <c r="BY3084" s="3">
        <v>1200</v>
      </c>
      <c r="BZ3084" s="3" t="s">
        <v>165</v>
      </c>
      <c r="CA3084" s="3" t="s">
        <v>615</v>
      </c>
      <c r="CC3084" s="3" t="s">
        <v>102</v>
      </c>
      <c r="CD3084" s="3">
        <v>4052</v>
      </c>
      <c r="CE3084" s="3" t="s">
        <v>93</v>
      </c>
      <c r="CF3084" s="4">
        <v>44565</v>
      </c>
      <c r="CI3084" s="3">
        <v>1</v>
      </c>
      <c r="CJ3084" s="3">
        <v>1</v>
      </c>
      <c r="CK3084" s="3">
        <v>21</v>
      </c>
      <c r="CL3084" s="3" t="s">
        <v>87</v>
      </c>
    </row>
    <row r="3085" spans="1:90" x14ac:dyDescent="0.2">
      <c r="A3085" s="3" t="s">
        <v>72</v>
      </c>
      <c r="B3085" s="3" t="s">
        <v>73</v>
      </c>
      <c r="C3085" s="3" t="s">
        <v>74</v>
      </c>
      <c r="E3085" s="3" t="str">
        <f>"FES1162843819"</f>
        <v>FES1162843819</v>
      </c>
      <c r="F3085" s="4">
        <v>44566</v>
      </c>
      <c r="G3085" s="3">
        <v>202207</v>
      </c>
      <c r="H3085" s="3" t="s">
        <v>75</v>
      </c>
      <c r="I3085" s="3" t="s">
        <v>76</v>
      </c>
      <c r="J3085" s="3" t="s">
        <v>77</v>
      </c>
      <c r="K3085" s="3" t="s">
        <v>78</v>
      </c>
      <c r="L3085" s="3" t="s">
        <v>464</v>
      </c>
      <c r="M3085" s="3" t="s">
        <v>465</v>
      </c>
      <c r="N3085" s="3" t="s">
        <v>2364</v>
      </c>
      <c r="O3085" s="3" t="s">
        <v>82</v>
      </c>
      <c r="P3085" s="3" t="str">
        <f>"2170815746                    "</f>
        <v xml:space="preserve">2170815746                    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  <c r="AE3085" s="3">
        <v>0</v>
      </c>
      <c r="AF3085" s="3">
        <v>0</v>
      </c>
      <c r="AG3085" s="3">
        <v>0</v>
      </c>
      <c r="AH3085" s="3">
        <v>0</v>
      </c>
      <c r="AI3085" s="3">
        <v>0</v>
      </c>
      <c r="AJ3085" s="3">
        <v>0</v>
      </c>
      <c r="AK3085" s="3">
        <v>12.07</v>
      </c>
      <c r="AL3085" s="3">
        <v>0</v>
      </c>
      <c r="AM3085" s="3">
        <v>0</v>
      </c>
      <c r="AN3085" s="3">
        <v>0</v>
      </c>
      <c r="AO3085" s="3">
        <v>0</v>
      </c>
      <c r="AP3085" s="3">
        <v>0</v>
      </c>
      <c r="AQ3085" s="3">
        <v>0</v>
      </c>
      <c r="AR3085" s="3">
        <v>0</v>
      </c>
      <c r="AS3085" s="3">
        <v>0</v>
      </c>
      <c r="AT3085" s="3">
        <v>0</v>
      </c>
      <c r="AU3085" s="3">
        <v>0</v>
      </c>
      <c r="AV3085" s="3">
        <v>0</v>
      </c>
      <c r="AW3085" s="3">
        <v>0</v>
      </c>
      <c r="AX3085" s="3">
        <v>0</v>
      </c>
      <c r="AY3085" s="3">
        <v>0</v>
      </c>
      <c r="AZ3085" s="3">
        <v>0</v>
      </c>
      <c r="BA3085" s="3">
        <v>0</v>
      </c>
      <c r="BB3085" s="3">
        <v>0</v>
      </c>
      <c r="BC3085" s="3">
        <v>0</v>
      </c>
      <c r="BD3085" s="3">
        <v>0</v>
      </c>
      <c r="BE3085" s="3">
        <v>0</v>
      </c>
      <c r="BF3085" s="3">
        <v>0</v>
      </c>
      <c r="BG3085" s="3">
        <v>0</v>
      </c>
      <c r="BH3085" s="3">
        <v>1</v>
      </c>
      <c r="BI3085" s="3">
        <v>1</v>
      </c>
      <c r="BJ3085" s="3">
        <v>0.2</v>
      </c>
      <c r="BK3085" s="3">
        <v>1</v>
      </c>
      <c r="BL3085" s="3">
        <v>46.08</v>
      </c>
      <c r="BM3085" s="3">
        <v>6.91</v>
      </c>
      <c r="BN3085" s="3">
        <v>52.99</v>
      </c>
      <c r="BO3085" s="3">
        <v>52.99</v>
      </c>
      <c r="BR3085" s="3" t="s">
        <v>364</v>
      </c>
      <c r="BS3085" s="4">
        <v>44567</v>
      </c>
      <c r="BT3085" s="5">
        <v>0.29097222222222224</v>
      </c>
      <c r="BU3085" s="3" t="s">
        <v>545</v>
      </c>
      <c r="BV3085" s="3" t="s">
        <v>105</v>
      </c>
      <c r="BY3085" s="3">
        <v>1200</v>
      </c>
      <c r="BZ3085" s="3" t="s">
        <v>165</v>
      </c>
      <c r="CA3085" s="3" t="s">
        <v>1684</v>
      </c>
      <c r="CC3085" s="3" t="s">
        <v>465</v>
      </c>
      <c r="CD3085" s="3">
        <v>1501</v>
      </c>
      <c r="CE3085" s="3" t="s">
        <v>93</v>
      </c>
      <c r="CF3085" s="4">
        <v>44567</v>
      </c>
      <c r="CI3085" s="3">
        <v>1</v>
      </c>
      <c r="CJ3085" s="3">
        <v>1</v>
      </c>
      <c r="CK3085" s="3">
        <v>22</v>
      </c>
      <c r="CL3085" s="3" t="s">
        <v>87</v>
      </c>
    </row>
    <row r="3086" spans="1:90" x14ac:dyDescent="0.2">
      <c r="A3086" s="3" t="s">
        <v>72</v>
      </c>
      <c r="B3086" s="3" t="s">
        <v>73</v>
      </c>
      <c r="C3086" s="3" t="s">
        <v>74</v>
      </c>
      <c r="E3086" s="3" t="str">
        <f>"FES1162843339"</f>
        <v>FES1162843339</v>
      </c>
      <c r="F3086" s="4">
        <v>44565</v>
      </c>
      <c r="G3086" s="3">
        <v>202207</v>
      </c>
      <c r="H3086" s="3" t="s">
        <v>75</v>
      </c>
      <c r="I3086" s="3" t="s">
        <v>76</v>
      </c>
      <c r="J3086" s="3" t="s">
        <v>77</v>
      </c>
      <c r="K3086" s="3" t="s">
        <v>78</v>
      </c>
      <c r="L3086" s="3" t="s">
        <v>101</v>
      </c>
      <c r="M3086" s="3" t="s">
        <v>102</v>
      </c>
      <c r="N3086" s="3" t="s">
        <v>272</v>
      </c>
      <c r="O3086" s="3" t="s">
        <v>82</v>
      </c>
      <c r="P3086" s="3" t="str">
        <f>"2170815049                    "</f>
        <v xml:space="preserve">2170815049                    </v>
      </c>
      <c r="Q3086" s="3">
        <v>0</v>
      </c>
      <c r="R3086" s="3">
        <v>0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  <c r="AE3086" s="3">
        <v>0</v>
      </c>
      <c r="AF3086" s="3">
        <v>0</v>
      </c>
      <c r="AG3086" s="3">
        <v>0</v>
      </c>
      <c r="AH3086" s="3">
        <v>0</v>
      </c>
      <c r="AI3086" s="3">
        <v>0</v>
      </c>
      <c r="AJ3086" s="3">
        <v>0</v>
      </c>
      <c r="AK3086" s="3">
        <v>16.98</v>
      </c>
      <c r="AL3086" s="3">
        <v>0</v>
      </c>
      <c r="AM3086" s="3">
        <v>0</v>
      </c>
      <c r="AN3086" s="3">
        <v>0</v>
      </c>
      <c r="AO3086" s="3">
        <v>0</v>
      </c>
      <c r="AP3086" s="3">
        <v>0</v>
      </c>
      <c r="AQ3086" s="3">
        <v>0</v>
      </c>
      <c r="AR3086" s="3">
        <v>0</v>
      </c>
      <c r="AS3086" s="3">
        <v>0</v>
      </c>
      <c r="AT3086" s="3">
        <v>0</v>
      </c>
      <c r="AU3086" s="3">
        <v>0</v>
      </c>
      <c r="AV3086" s="3">
        <v>0</v>
      </c>
      <c r="AW3086" s="3">
        <v>0</v>
      </c>
      <c r="AX3086" s="3">
        <v>0</v>
      </c>
      <c r="AY3086" s="3">
        <v>0</v>
      </c>
      <c r="AZ3086" s="3">
        <v>0</v>
      </c>
      <c r="BA3086" s="3">
        <v>0</v>
      </c>
      <c r="BB3086" s="3">
        <v>0</v>
      </c>
      <c r="BC3086" s="3">
        <v>0</v>
      </c>
      <c r="BD3086" s="3">
        <v>0</v>
      </c>
      <c r="BE3086" s="3">
        <v>0</v>
      </c>
      <c r="BF3086" s="3">
        <v>0</v>
      </c>
      <c r="BG3086" s="3">
        <v>0</v>
      </c>
      <c r="BH3086" s="3">
        <v>1</v>
      </c>
      <c r="BI3086" s="3">
        <v>2</v>
      </c>
      <c r="BJ3086" s="3">
        <v>1.1000000000000001</v>
      </c>
      <c r="BK3086" s="3">
        <v>2</v>
      </c>
      <c r="BL3086" s="3">
        <v>60.52</v>
      </c>
      <c r="BM3086" s="3">
        <v>9.08</v>
      </c>
      <c r="BN3086" s="3">
        <v>69.599999999999994</v>
      </c>
      <c r="BO3086" s="3">
        <v>69.599999999999994</v>
      </c>
      <c r="BQ3086" s="3" t="s">
        <v>273</v>
      </c>
      <c r="BR3086" s="3" t="s">
        <v>308</v>
      </c>
      <c r="BS3086" s="4">
        <v>44566</v>
      </c>
      <c r="BT3086" s="5">
        <v>0.4055555555555555</v>
      </c>
      <c r="BU3086" s="3" t="s">
        <v>274</v>
      </c>
      <c r="BV3086" s="3" t="s">
        <v>105</v>
      </c>
      <c r="BY3086" s="3">
        <v>5320</v>
      </c>
      <c r="BZ3086" s="3" t="s">
        <v>165</v>
      </c>
      <c r="CA3086" s="3" t="s">
        <v>275</v>
      </c>
      <c r="CC3086" s="3" t="s">
        <v>102</v>
      </c>
      <c r="CD3086" s="3">
        <v>4000</v>
      </c>
      <c r="CE3086" s="3" t="s">
        <v>86</v>
      </c>
      <c r="CF3086" s="4">
        <v>44566</v>
      </c>
      <c r="CI3086" s="3">
        <v>1</v>
      </c>
      <c r="CJ3086" s="3">
        <v>1</v>
      </c>
      <c r="CK3086" s="3">
        <v>21</v>
      </c>
      <c r="CL3086" s="3" t="s">
        <v>87</v>
      </c>
    </row>
    <row r="3087" spans="1:90" x14ac:dyDescent="0.2">
      <c r="A3087" s="3" t="s">
        <v>72</v>
      </c>
      <c r="B3087" s="3" t="s">
        <v>73</v>
      </c>
      <c r="C3087" s="3" t="s">
        <v>74</v>
      </c>
      <c r="E3087" s="3" t="str">
        <f>"FES1162843327"</f>
        <v>FES1162843327</v>
      </c>
      <c r="F3087" s="4">
        <v>44565</v>
      </c>
      <c r="G3087" s="3">
        <v>202207</v>
      </c>
      <c r="H3087" s="3" t="s">
        <v>75</v>
      </c>
      <c r="I3087" s="3" t="s">
        <v>76</v>
      </c>
      <c r="J3087" s="3" t="s">
        <v>77</v>
      </c>
      <c r="K3087" s="3" t="s">
        <v>78</v>
      </c>
      <c r="L3087" s="3" t="s">
        <v>90</v>
      </c>
      <c r="M3087" s="3" t="s">
        <v>91</v>
      </c>
      <c r="N3087" s="3" t="s">
        <v>114</v>
      </c>
      <c r="O3087" s="3" t="s">
        <v>82</v>
      </c>
      <c r="P3087" s="3" t="str">
        <f>"2170812858                    "</f>
        <v xml:space="preserve">2170812858                    </v>
      </c>
      <c r="Q3087" s="3">
        <v>0</v>
      </c>
      <c r="R3087" s="3">
        <v>0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  <c r="AE3087" s="3">
        <v>0</v>
      </c>
      <c r="AF3087" s="3">
        <v>0</v>
      </c>
      <c r="AG3087" s="3">
        <v>0</v>
      </c>
      <c r="AH3087" s="3">
        <v>0</v>
      </c>
      <c r="AI3087" s="3">
        <v>0</v>
      </c>
      <c r="AJ3087" s="3">
        <v>0</v>
      </c>
      <c r="AK3087" s="3">
        <v>16.98</v>
      </c>
      <c r="AL3087" s="3">
        <v>0</v>
      </c>
      <c r="AM3087" s="3">
        <v>0</v>
      </c>
      <c r="AN3087" s="3">
        <v>0</v>
      </c>
      <c r="AO3087" s="3">
        <v>0</v>
      </c>
      <c r="AP3087" s="3">
        <v>0</v>
      </c>
      <c r="AQ3087" s="3">
        <v>0</v>
      </c>
      <c r="AR3087" s="3">
        <v>0</v>
      </c>
      <c r="AS3087" s="3">
        <v>0</v>
      </c>
      <c r="AT3087" s="3">
        <v>0</v>
      </c>
      <c r="AU3087" s="3">
        <v>0</v>
      </c>
      <c r="AV3087" s="3">
        <v>0</v>
      </c>
      <c r="AW3087" s="3">
        <v>0</v>
      </c>
      <c r="AX3087" s="3">
        <v>0</v>
      </c>
      <c r="AY3087" s="3">
        <v>0</v>
      </c>
      <c r="AZ3087" s="3">
        <v>0</v>
      </c>
      <c r="BA3087" s="3">
        <v>0</v>
      </c>
      <c r="BB3087" s="3">
        <v>0</v>
      </c>
      <c r="BC3087" s="3">
        <v>0</v>
      </c>
      <c r="BD3087" s="3">
        <v>0</v>
      </c>
      <c r="BE3087" s="3">
        <v>0</v>
      </c>
      <c r="BF3087" s="3">
        <v>0</v>
      </c>
      <c r="BG3087" s="3">
        <v>0</v>
      </c>
      <c r="BH3087" s="3">
        <v>1</v>
      </c>
      <c r="BI3087" s="3">
        <v>1</v>
      </c>
      <c r="BJ3087" s="3">
        <v>2</v>
      </c>
      <c r="BK3087" s="3">
        <v>2</v>
      </c>
      <c r="BL3087" s="3">
        <v>60.52</v>
      </c>
      <c r="BM3087" s="3">
        <v>9.08</v>
      </c>
      <c r="BN3087" s="3">
        <v>69.599999999999994</v>
      </c>
      <c r="BO3087" s="3">
        <v>69.599999999999994</v>
      </c>
      <c r="BQ3087" s="3" t="s">
        <v>89</v>
      </c>
      <c r="BR3087" s="3" t="s">
        <v>308</v>
      </c>
      <c r="BS3087" s="4">
        <v>44566</v>
      </c>
      <c r="BT3087" s="5">
        <v>0.32291666666666669</v>
      </c>
      <c r="BU3087" s="3" t="s">
        <v>2590</v>
      </c>
      <c r="BV3087" s="3" t="s">
        <v>105</v>
      </c>
      <c r="BY3087" s="3">
        <v>9900</v>
      </c>
      <c r="BZ3087" s="3" t="s">
        <v>165</v>
      </c>
      <c r="CA3087" s="3" t="s">
        <v>692</v>
      </c>
      <c r="CC3087" s="3" t="s">
        <v>91</v>
      </c>
      <c r="CD3087" s="3">
        <v>7441</v>
      </c>
      <c r="CE3087" s="3" t="s">
        <v>86</v>
      </c>
      <c r="CF3087" s="4">
        <v>44567</v>
      </c>
      <c r="CI3087" s="3">
        <v>1</v>
      </c>
      <c r="CJ3087" s="3">
        <v>1</v>
      </c>
      <c r="CK3087" s="3">
        <v>21</v>
      </c>
      <c r="CL3087" s="3" t="s">
        <v>87</v>
      </c>
    </row>
    <row r="3088" spans="1:90" x14ac:dyDescent="0.2">
      <c r="A3088" s="3" t="s">
        <v>72</v>
      </c>
      <c r="B3088" s="3" t="s">
        <v>73</v>
      </c>
      <c r="C3088" s="3" t="s">
        <v>74</v>
      </c>
      <c r="E3088" s="3" t="str">
        <f>"FES1162843444"</f>
        <v>FES1162843444</v>
      </c>
      <c r="F3088" s="4">
        <v>44565</v>
      </c>
      <c r="G3088" s="3">
        <v>202207</v>
      </c>
      <c r="H3088" s="3" t="s">
        <v>75</v>
      </c>
      <c r="I3088" s="3" t="s">
        <v>76</v>
      </c>
      <c r="J3088" s="3" t="s">
        <v>77</v>
      </c>
      <c r="K3088" s="3" t="s">
        <v>78</v>
      </c>
      <c r="L3088" s="3" t="s">
        <v>97</v>
      </c>
      <c r="M3088" s="3" t="s">
        <v>98</v>
      </c>
      <c r="N3088" s="3" t="s">
        <v>2829</v>
      </c>
      <c r="O3088" s="3" t="s">
        <v>82</v>
      </c>
      <c r="P3088" s="3" t="str">
        <f>"2170813692                    "</f>
        <v xml:space="preserve">2170813692                    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  <c r="AE3088" s="3">
        <v>0</v>
      </c>
      <c r="AF3088" s="3">
        <v>0</v>
      </c>
      <c r="AG3088" s="3">
        <v>0</v>
      </c>
      <c r="AH3088" s="3">
        <v>0</v>
      </c>
      <c r="AI3088" s="3">
        <v>0</v>
      </c>
      <c r="AJ3088" s="3">
        <v>0</v>
      </c>
      <c r="AK3088" s="3">
        <v>13.26</v>
      </c>
      <c r="AL3088" s="3">
        <v>0</v>
      </c>
      <c r="AM3088" s="3">
        <v>0</v>
      </c>
      <c r="AN3088" s="3">
        <v>0</v>
      </c>
      <c r="AO3088" s="3">
        <v>0</v>
      </c>
      <c r="AP3088" s="3">
        <v>0</v>
      </c>
      <c r="AQ3088" s="3">
        <v>0</v>
      </c>
      <c r="AR3088" s="3">
        <v>0</v>
      </c>
      <c r="AS3088" s="3">
        <v>0</v>
      </c>
      <c r="AT3088" s="3">
        <v>0</v>
      </c>
      <c r="AU3088" s="3">
        <v>0</v>
      </c>
      <c r="AV3088" s="3">
        <v>0</v>
      </c>
      <c r="AW3088" s="3">
        <v>0</v>
      </c>
      <c r="AX3088" s="3">
        <v>0</v>
      </c>
      <c r="AY3088" s="3">
        <v>0</v>
      </c>
      <c r="AZ3088" s="3">
        <v>0</v>
      </c>
      <c r="BA3088" s="3">
        <v>0</v>
      </c>
      <c r="BB3088" s="3">
        <v>0</v>
      </c>
      <c r="BC3088" s="3">
        <v>0</v>
      </c>
      <c r="BD3088" s="3">
        <v>0</v>
      </c>
      <c r="BE3088" s="3">
        <v>0</v>
      </c>
      <c r="BF3088" s="3">
        <v>0</v>
      </c>
      <c r="BG3088" s="3">
        <v>0</v>
      </c>
      <c r="BH3088" s="3">
        <v>1</v>
      </c>
      <c r="BI3088" s="3">
        <v>3</v>
      </c>
      <c r="BJ3088" s="3">
        <v>2</v>
      </c>
      <c r="BK3088" s="3">
        <v>3</v>
      </c>
      <c r="BL3088" s="3">
        <v>47.27</v>
      </c>
      <c r="BM3088" s="3">
        <v>7.09</v>
      </c>
      <c r="BN3088" s="3">
        <v>54.36</v>
      </c>
      <c r="BO3088" s="3">
        <v>54.36</v>
      </c>
      <c r="BR3088" s="3" t="s">
        <v>308</v>
      </c>
      <c r="BS3088" s="4">
        <v>44566</v>
      </c>
      <c r="BT3088" s="5">
        <v>0.37083333333333335</v>
      </c>
      <c r="BU3088" s="3" t="s">
        <v>2750</v>
      </c>
      <c r="BV3088" s="3" t="s">
        <v>105</v>
      </c>
      <c r="BY3088" s="3">
        <v>9918</v>
      </c>
      <c r="BZ3088" s="3" t="s">
        <v>165</v>
      </c>
      <c r="CA3088" s="3" t="s">
        <v>2830</v>
      </c>
      <c r="CC3088" s="3" t="s">
        <v>98</v>
      </c>
      <c r="CD3088" s="3">
        <v>2191</v>
      </c>
      <c r="CE3088" s="3" t="s">
        <v>86</v>
      </c>
      <c r="CF3088" s="4">
        <v>44566</v>
      </c>
      <c r="CI3088" s="3">
        <v>1</v>
      </c>
      <c r="CJ3088" s="3">
        <v>1</v>
      </c>
      <c r="CK3088" s="3">
        <v>22</v>
      </c>
      <c r="CL3088" s="3" t="s">
        <v>87</v>
      </c>
    </row>
    <row r="3089" spans="1:90" x14ac:dyDescent="0.2">
      <c r="A3089" s="3" t="s">
        <v>72</v>
      </c>
      <c r="B3089" s="3" t="s">
        <v>73</v>
      </c>
      <c r="C3089" s="3" t="s">
        <v>74</v>
      </c>
      <c r="E3089" s="3" t="str">
        <f>"FES1162843840"</f>
        <v>FES1162843840</v>
      </c>
      <c r="F3089" s="4">
        <v>44566</v>
      </c>
      <c r="G3089" s="3">
        <v>202207</v>
      </c>
      <c r="H3089" s="3" t="s">
        <v>75</v>
      </c>
      <c r="I3089" s="3" t="s">
        <v>76</v>
      </c>
      <c r="J3089" s="3" t="s">
        <v>77</v>
      </c>
      <c r="K3089" s="3" t="s">
        <v>78</v>
      </c>
      <c r="L3089" s="3" t="s">
        <v>312</v>
      </c>
      <c r="M3089" s="3" t="s">
        <v>313</v>
      </c>
      <c r="N3089" s="3" t="s">
        <v>314</v>
      </c>
      <c r="O3089" s="3" t="s">
        <v>82</v>
      </c>
      <c r="P3089" s="3" t="str">
        <f>"2170815771                    "</f>
        <v xml:space="preserve">2170815771                    </v>
      </c>
      <c r="Q3089" s="3">
        <v>0</v>
      </c>
      <c r="R3089" s="3">
        <v>0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  <c r="AE3089" s="3">
        <v>0</v>
      </c>
      <c r="AF3089" s="3">
        <v>0</v>
      </c>
      <c r="AG3089" s="3">
        <v>0</v>
      </c>
      <c r="AH3089" s="3">
        <v>0</v>
      </c>
      <c r="AI3089" s="3">
        <v>0</v>
      </c>
      <c r="AJ3089" s="3">
        <v>0</v>
      </c>
      <c r="AK3089" s="3">
        <v>15.46</v>
      </c>
      <c r="AL3089" s="3">
        <v>0</v>
      </c>
      <c r="AM3089" s="3">
        <v>0</v>
      </c>
      <c r="AN3089" s="3">
        <v>0</v>
      </c>
      <c r="AO3089" s="3">
        <v>0</v>
      </c>
      <c r="AP3089" s="3">
        <v>0</v>
      </c>
      <c r="AQ3089" s="3">
        <v>0</v>
      </c>
      <c r="AR3089" s="3">
        <v>0</v>
      </c>
      <c r="AS3089" s="3">
        <v>0</v>
      </c>
      <c r="AT3089" s="3">
        <v>0</v>
      </c>
      <c r="AU3089" s="3">
        <v>0</v>
      </c>
      <c r="AV3089" s="3">
        <v>0</v>
      </c>
      <c r="AW3089" s="3">
        <v>0</v>
      </c>
      <c r="AX3089" s="3">
        <v>0</v>
      </c>
      <c r="AY3089" s="3">
        <v>0</v>
      </c>
      <c r="AZ3089" s="3">
        <v>0</v>
      </c>
      <c r="BA3089" s="3">
        <v>0</v>
      </c>
      <c r="BB3089" s="3">
        <v>0</v>
      </c>
      <c r="BC3089" s="3">
        <v>0</v>
      </c>
      <c r="BD3089" s="3">
        <v>0</v>
      </c>
      <c r="BE3089" s="3">
        <v>0</v>
      </c>
      <c r="BF3089" s="3">
        <v>0</v>
      </c>
      <c r="BG3089" s="3">
        <v>0</v>
      </c>
      <c r="BH3089" s="3">
        <v>1</v>
      </c>
      <c r="BI3089" s="3">
        <v>1</v>
      </c>
      <c r="BJ3089" s="3">
        <v>0.2</v>
      </c>
      <c r="BK3089" s="3">
        <v>1</v>
      </c>
      <c r="BL3089" s="3">
        <v>59</v>
      </c>
      <c r="BM3089" s="3">
        <v>8.85</v>
      </c>
      <c r="BN3089" s="3">
        <v>67.849999999999994</v>
      </c>
      <c r="BO3089" s="3">
        <v>67.849999999999994</v>
      </c>
      <c r="BR3089" s="3" t="s">
        <v>364</v>
      </c>
      <c r="BS3089" s="4">
        <v>44567</v>
      </c>
      <c r="BT3089" s="5">
        <v>0.41666666666666669</v>
      </c>
      <c r="BU3089" s="3" t="s">
        <v>1084</v>
      </c>
      <c r="BV3089" s="3" t="s">
        <v>105</v>
      </c>
      <c r="BY3089" s="3">
        <v>1200</v>
      </c>
      <c r="BZ3089" s="3" t="s">
        <v>165</v>
      </c>
      <c r="CA3089" s="3" t="s">
        <v>316</v>
      </c>
      <c r="CC3089" s="3" t="s">
        <v>313</v>
      </c>
      <c r="CD3089" s="3">
        <v>1240</v>
      </c>
      <c r="CE3089" s="3" t="s">
        <v>93</v>
      </c>
      <c r="CF3089" s="4">
        <v>44567</v>
      </c>
      <c r="CI3089" s="3">
        <v>1</v>
      </c>
      <c r="CJ3089" s="3">
        <v>1</v>
      </c>
      <c r="CK3089" s="3">
        <v>21</v>
      </c>
      <c r="CL3089" s="3" t="s">
        <v>87</v>
      </c>
    </row>
    <row r="3090" spans="1:90" x14ac:dyDescent="0.2">
      <c r="A3090" s="3" t="s">
        <v>72</v>
      </c>
      <c r="B3090" s="3" t="s">
        <v>73</v>
      </c>
      <c r="C3090" s="3" t="s">
        <v>74</v>
      </c>
      <c r="E3090" s="3" t="str">
        <f>"FES1162843465"</f>
        <v>FES1162843465</v>
      </c>
      <c r="F3090" s="4">
        <v>44565</v>
      </c>
      <c r="G3090" s="3">
        <v>202207</v>
      </c>
      <c r="H3090" s="3" t="s">
        <v>75</v>
      </c>
      <c r="I3090" s="3" t="s">
        <v>76</v>
      </c>
      <c r="J3090" s="3" t="s">
        <v>77</v>
      </c>
      <c r="K3090" s="3" t="s">
        <v>78</v>
      </c>
      <c r="L3090" s="3" t="s">
        <v>90</v>
      </c>
      <c r="M3090" s="3" t="s">
        <v>91</v>
      </c>
      <c r="N3090" s="3" t="s">
        <v>2181</v>
      </c>
      <c r="O3090" s="3" t="s">
        <v>82</v>
      </c>
      <c r="P3090" s="3" t="str">
        <f>"2170813980                    "</f>
        <v xml:space="preserve">2170813980                    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  <c r="AE3090" s="3">
        <v>0</v>
      </c>
      <c r="AF3090" s="3">
        <v>0</v>
      </c>
      <c r="AG3090" s="3">
        <v>0</v>
      </c>
      <c r="AH3090" s="3">
        <v>0</v>
      </c>
      <c r="AI3090" s="3">
        <v>0</v>
      </c>
      <c r="AJ3090" s="3">
        <v>0</v>
      </c>
      <c r="AK3090" s="3">
        <v>16.98</v>
      </c>
      <c r="AL3090" s="3">
        <v>0</v>
      </c>
      <c r="AM3090" s="3">
        <v>0</v>
      </c>
      <c r="AN3090" s="3">
        <v>0</v>
      </c>
      <c r="AO3090" s="3">
        <v>0</v>
      </c>
      <c r="AP3090" s="3">
        <v>0</v>
      </c>
      <c r="AQ3090" s="3">
        <v>0</v>
      </c>
      <c r="AR3090" s="3">
        <v>0</v>
      </c>
      <c r="AS3090" s="3">
        <v>0</v>
      </c>
      <c r="AT3090" s="3">
        <v>0</v>
      </c>
      <c r="AU3090" s="3">
        <v>0</v>
      </c>
      <c r="AV3090" s="3">
        <v>0</v>
      </c>
      <c r="AW3090" s="3">
        <v>0</v>
      </c>
      <c r="AX3090" s="3">
        <v>0</v>
      </c>
      <c r="AY3090" s="3">
        <v>0</v>
      </c>
      <c r="AZ3090" s="3">
        <v>0</v>
      </c>
      <c r="BA3090" s="3">
        <v>0</v>
      </c>
      <c r="BB3090" s="3">
        <v>0</v>
      </c>
      <c r="BC3090" s="3">
        <v>0</v>
      </c>
      <c r="BD3090" s="3">
        <v>0</v>
      </c>
      <c r="BE3090" s="3">
        <v>0</v>
      </c>
      <c r="BF3090" s="3">
        <v>0</v>
      </c>
      <c r="BG3090" s="3">
        <v>0</v>
      </c>
      <c r="BH3090" s="3">
        <v>1</v>
      </c>
      <c r="BI3090" s="3">
        <v>1</v>
      </c>
      <c r="BJ3090" s="3">
        <v>0.2</v>
      </c>
      <c r="BK3090" s="3">
        <v>1</v>
      </c>
      <c r="BL3090" s="3">
        <v>60.52</v>
      </c>
      <c r="BM3090" s="3">
        <v>9.08</v>
      </c>
      <c r="BN3090" s="3">
        <v>69.599999999999994</v>
      </c>
      <c r="BO3090" s="3">
        <v>69.599999999999994</v>
      </c>
      <c r="BQ3090" s="3" t="s">
        <v>2182</v>
      </c>
      <c r="BR3090" s="3" t="s">
        <v>308</v>
      </c>
      <c r="BS3090" s="4">
        <v>44566</v>
      </c>
      <c r="BT3090" s="5">
        <v>0.32361111111111113</v>
      </c>
      <c r="BU3090" s="3" t="s">
        <v>2787</v>
      </c>
      <c r="BV3090" s="3" t="s">
        <v>105</v>
      </c>
      <c r="BY3090" s="3">
        <v>1200</v>
      </c>
      <c r="BZ3090" s="3" t="s">
        <v>165</v>
      </c>
      <c r="CA3090" s="3" t="s">
        <v>1112</v>
      </c>
      <c r="CC3090" s="3" t="s">
        <v>91</v>
      </c>
      <c r="CD3090" s="3">
        <v>7405</v>
      </c>
      <c r="CE3090" s="3" t="s">
        <v>93</v>
      </c>
      <c r="CF3090" s="4">
        <v>44567</v>
      </c>
      <c r="CI3090" s="3">
        <v>1</v>
      </c>
      <c r="CJ3090" s="3">
        <v>1</v>
      </c>
      <c r="CK3090" s="3">
        <v>21</v>
      </c>
      <c r="CL3090" s="3" t="s">
        <v>87</v>
      </c>
    </row>
    <row r="3091" spans="1:90" x14ac:dyDescent="0.2">
      <c r="A3091" s="3" t="s">
        <v>72</v>
      </c>
      <c r="B3091" s="3" t="s">
        <v>73</v>
      </c>
      <c r="C3091" s="3" t="s">
        <v>74</v>
      </c>
      <c r="E3091" s="3" t="str">
        <f>"FES1162843512"</f>
        <v>FES1162843512</v>
      </c>
      <c r="F3091" s="4">
        <v>44566</v>
      </c>
      <c r="G3091" s="3">
        <v>202207</v>
      </c>
      <c r="H3091" s="3" t="s">
        <v>75</v>
      </c>
      <c r="I3091" s="3" t="s">
        <v>76</v>
      </c>
      <c r="J3091" s="3" t="s">
        <v>77</v>
      </c>
      <c r="K3091" s="3" t="s">
        <v>78</v>
      </c>
      <c r="L3091" s="3" t="s">
        <v>101</v>
      </c>
      <c r="M3091" s="3" t="s">
        <v>102</v>
      </c>
      <c r="N3091" s="3" t="s">
        <v>2487</v>
      </c>
      <c r="O3091" s="3" t="s">
        <v>82</v>
      </c>
      <c r="P3091" s="3" t="str">
        <f>"2170807238                    "</f>
        <v xml:space="preserve">2170807238                    </v>
      </c>
      <c r="Q3091" s="3">
        <v>0</v>
      </c>
      <c r="R3091" s="3">
        <v>0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  <c r="AE3091" s="3">
        <v>0</v>
      </c>
      <c r="AF3091" s="3">
        <v>0</v>
      </c>
      <c r="AG3091" s="3">
        <v>0</v>
      </c>
      <c r="AH3091" s="3">
        <v>0</v>
      </c>
      <c r="AI3091" s="3">
        <v>0</v>
      </c>
      <c r="AJ3091" s="3">
        <v>0</v>
      </c>
      <c r="AK3091" s="3">
        <v>15.46</v>
      </c>
      <c r="AL3091" s="3">
        <v>0</v>
      </c>
      <c r="AM3091" s="3">
        <v>0</v>
      </c>
      <c r="AN3091" s="3">
        <v>0</v>
      </c>
      <c r="AO3091" s="3">
        <v>0</v>
      </c>
      <c r="AP3091" s="3">
        <v>0</v>
      </c>
      <c r="AQ3091" s="3">
        <v>0</v>
      </c>
      <c r="AR3091" s="3">
        <v>0</v>
      </c>
      <c r="AS3091" s="3">
        <v>0</v>
      </c>
      <c r="AT3091" s="3">
        <v>0</v>
      </c>
      <c r="AU3091" s="3">
        <v>0</v>
      </c>
      <c r="AV3091" s="3">
        <v>0</v>
      </c>
      <c r="AW3091" s="3">
        <v>0</v>
      </c>
      <c r="AX3091" s="3">
        <v>0</v>
      </c>
      <c r="AY3091" s="3">
        <v>0</v>
      </c>
      <c r="AZ3091" s="3">
        <v>0</v>
      </c>
      <c r="BA3091" s="3">
        <v>0</v>
      </c>
      <c r="BB3091" s="3">
        <v>0</v>
      </c>
      <c r="BC3091" s="3">
        <v>0</v>
      </c>
      <c r="BD3091" s="3">
        <v>0</v>
      </c>
      <c r="BE3091" s="3">
        <v>0</v>
      </c>
      <c r="BF3091" s="3">
        <v>0</v>
      </c>
      <c r="BG3091" s="3">
        <v>0</v>
      </c>
      <c r="BH3091" s="3">
        <v>1</v>
      </c>
      <c r="BI3091" s="3">
        <v>1</v>
      </c>
      <c r="BJ3091" s="3">
        <v>1.1000000000000001</v>
      </c>
      <c r="BK3091" s="3">
        <v>1.5</v>
      </c>
      <c r="BL3091" s="3">
        <v>59</v>
      </c>
      <c r="BM3091" s="3">
        <v>8.85</v>
      </c>
      <c r="BN3091" s="3">
        <v>67.849999999999994</v>
      </c>
      <c r="BO3091" s="3">
        <v>67.849999999999994</v>
      </c>
      <c r="BQ3091" s="3" t="s">
        <v>83</v>
      </c>
      <c r="BR3091" s="3" t="s">
        <v>308</v>
      </c>
      <c r="BS3091" s="4">
        <v>44567</v>
      </c>
      <c r="BT3091" s="5">
        <v>0.63124999999999998</v>
      </c>
      <c r="BU3091" s="3" t="s">
        <v>2488</v>
      </c>
      <c r="BV3091" s="3" t="s">
        <v>87</v>
      </c>
      <c r="BW3091" s="3" t="s">
        <v>353</v>
      </c>
      <c r="BX3091" s="3" t="s">
        <v>1878</v>
      </c>
      <c r="BY3091" s="3">
        <v>5320</v>
      </c>
      <c r="BZ3091" s="3" t="s">
        <v>165</v>
      </c>
      <c r="CA3091" s="3" t="s">
        <v>280</v>
      </c>
      <c r="CC3091" s="3" t="s">
        <v>102</v>
      </c>
      <c r="CD3091" s="3">
        <v>4001</v>
      </c>
      <c r="CE3091" s="3" t="s">
        <v>86</v>
      </c>
      <c r="CF3091" s="4">
        <v>44567</v>
      </c>
      <c r="CI3091" s="3">
        <v>1</v>
      </c>
      <c r="CJ3091" s="3">
        <v>1</v>
      </c>
      <c r="CK3091" s="3">
        <v>21</v>
      </c>
      <c r="CL3091" s="3" t="s">
        <v>87</v>
      </c>
    </row>
    <row r="3092" spans="1:90" x14ac:dyDescent="0.2">
      <c r="A3092" s="3" t="s">
        <v>72</v>
      </c>
      <c r="B3092" s="3" t="s">
        <v>73</v>
      </c>
      <c r="C3092" s="3" t="s">
        <v>74</v>
      </c>
      <c r="E3092" s="3" t="str">
        <f>"FES1162843358"</f>
        <v>FES1162843358</v>
      </c>
      <c r="F3092" s="4">
        <v>44565</v>
      </c>
      <c r="G3092" s="3">
        <v>202207</v>
      </c>
      <c r="H3092" s="3" t="s">
        <v>75</v>
      </c>
      <c r="I3092" s="3" t="s">
        <v>76</v>
      </c>
      <c r="J3092" s="3" t="s">
        <v>77</v>
      </c>
      <c r="K3092" s="3" t="s">
        <v>78</v>
      </c>
      <c r="L3092" s="3" t="s">
        <v>107</v>
      </c>
      <c r="M3092" s="3" t="s">
        <v>108</v>
      </c>
      <c r="N3092" s="3" t="s">
        <v>582</v>
      </c>
      <c r="O3092" s="3" t="s">
        <v>82</v>
      </c>
      <c r="P3092" s="3" t="str">
        <f>"2170815507                    "</f>
        <v xml:space="preserve">2170815507                    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  <c r="AE3092" s="3">
        <v>0</v>
      </c>
      <c r="AF3092" s="3">
        <v>0</v>
      </c>
      <c r="AG3092" s="3">
        <v>0</v>
      </c>
      <c r="AH3092" s="3">
        <v>0</v>
      </c>
      <c r="AI3092" s="3">
        <v>0</v>
      </c>
      <c r="AJ3092" s="3">
        <v>0</v>
      </c>
      <c r="AK3092" s="3">
        <v>32.9</v>
      </c>
      <c r="AL3092" s="3">
        <v>0</v>
      </c>
      <c r="AM3092" s="3">
        <v>0</v>
      </c>
      <c r="AN3092" s="3">
        <v>0</v>
      </c>
      <c r="AO3092" s="3">
        <v>0</v>
      </c>
      <c r="AP3092" s="3">
        <v>0</v>
      </c>
      <c r="AQ3092" s="3">
        <v>0</v>
      </c>
      <c r="AR3092" s="3">
        <v>0</v>
      </c>
      <c r="AS3092" s="3">
        <v>0</v>
      </c>
      <c r="AT3092" s="3">
        <v>0</v>
      </c>
      <c r="AU3092" s="3">
        <v>0</v>
      </c>
      <c r="AV3092" s="3">
        <v>0</v>
      </c>
      <c r="AW3092" s="3">
        <v>0</v>
      </c>
      <c r="AX3092" s="3">
        <v>0</v>
      </c>
      <c r="AY3092" s="3">
        <v>0</v>
      </c>
      <c r="AZ3092" s="3">
        <v>0</v>
      </c>
      <c r="BA3092" s="3">
        <v>0</v>
      </c>
      <c r="BB3092" s="3">
        <v>0</v>
      </c>
      <c r="BC3092" s="3">
        <v>0</v>
      </c>
      <c r="BD3092" s="3">
        <v>0</v>
      </c>
      <c r="BE3092" s="3">
        <v>0</v>
      </c>
      <c r="BF3092" s="3">
        <v>0</v>
      </c>
      <c r="BG3092" s="3">
        <v>0</v>
      </c>
      <c r="BH3092" s="3">
        <v>1</v>
      </c>
      <c r="BI3092" s="3">
        <v>1</v>
      </c>
      <c r="BJ3092" s="3">
        <v>0.9</v>
      </c>
      <c r="BK3092" s="3">
        <v>1</v>
      </c>
      <c r="BL3092" s="3">
        <v>117.26</v>
      </c>
      <c r="BM3092" s="3">
        <v>17.59</v>
      </c>
      <c r="BN3092" s="3">
        <v>134.85</v>
      </c>
      <c r="BO3092" s="3">
        <v>134.85</v>
      </c>
      <c r="BQ3092" s="3" t="s">
        <v>126</v>
      </c>
      <c r="BR3092" s="3" t="s">
        <v>308</v>
      </c>
      <c r="BS3092" s="4">
        <v>44566</v>
      </c>
      <c r="BT3092" s="5">
        <v>0.42777777777777781</v>
      </c>
      <c r="BU3092" s="3" t="s">
        <v>583</v>
      </c>
      <c r="BV3092" s="3" t="s">
        <v>105</v>
      </c>
      <c r="BY3092" s="3">
        <v>4275</v>
      </c>
      <c r="BZ3092" s="3" t="s">
        <v>165</v>
      </c>
      <c r="CA3092" s="3" t="s">
        <v>394</v>
      </c>
      <c r="CC3092" s="3" t="s">
        <v>108</v>
      </c>
      <c r="CD3092" s="3">
        <v>6850</v>
      </c>
      <c r="CE3092" s="3" t="s">
        <v>86</v>
      </c>
      <c r="CF3092" s="4">
        <v>44567</v>
      </c>
      <c r="CI3092" s="3">
        <v>2</v>
      </c>
      <c r="CJ3092" s="3">
        <v>1</v>
      </c>
      <c r="CK3092" s="3">
        <v>23</v>
      </c>
      <c r="CL3092" s="3" t="s">
        <v>87</v>
      </c>
    </row>
    <row r="3093" spans="1:90" x14ac:dyDescent="0.2">
      <c r="A3093" s="3" t="s">
        <v>72</v>
      </c>
      <c r="B3093" s="3" t="s">
        <v>73</v>
      </c>
      <c r="C3093" s="3" t="s">
        <v>74</v>
      </c>
      <c r="E3093" s="3" t="str">
        <f>"FES116284328"</f>
        <v>FES116284328</v>
      </c>
      <c r="F3093" s="4">
        <v>44566</v>
      </c>
      <c r="G3093" s="3">
        <v>202207</v>
      </c>
      <c r="H3093" s="3" t="s">
        <v>75</v>
      </c>
      <c r="I3093" s="3" t="s">
        <v>76</v>
      </c>
      <c r="J3093" s="3" t="s">
        <v>77</v>
      </c>
      <c r="K3093" s="3" t="s">
        <v>78</v>
      </c>
      <c r="L3093" s="3" t="s">
        <v>171</v>
      </c>
      <c r="M3093" s="3" t="s">
        <v>172</v>
      </c>
      <c r="N3093" s="3" t="s">
        <v>199</v>
      </c>
      <c r="O3093" s="3" t="s">
        <v>82</v>
      </c>
      <c r="P3093" s="3" t="str">
        <f>"21708190811                   "</f>
        <v xml:space="preserve">21708190811                   </v>
      </c>
      <c r="Q3093" s="3">
        <v>0</v>
      </c>
      <c r="R3093" s="3">
        <v>0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  <c r="AE3093" s="3">
        <v>0</v>
      </c>
      <c r="AF3093" s="3">
        <v>0</v>
      </c>
      <c r="AG3093" s="3">
        <v>0</v>
      </c>
      <c r="AH3093" s="3">
        <v>0</v>
      </c>
      <c r="AI3093" s="3">
        <v>0</v>
      </c>
      <c r="AJ3093" s="3">
        <v>0</v>
      </c>
      <c r="AK3093" s="3">
        <v>15.46</v>
      </c>
      <c r="AL3093" s="3">
        <v>0</v>
      </c>
      <c r="AM3093" s="3">
        <v>0</v>
      </c>
      <c r="AN3093" s="3">
        <v>0</v>
      </c>
      <c r="AO3093" s="3">
        <v>0</v>
      </c>
      <c r="AP3093" s="3">
        <v>0</v>
      </c>
      <c r="AQ3093" s="3">
        <v>0</v>
      </c>
      <c r="AR3093" s="3">
        <v>0</v>
      </c>
      <c r="AS3093" s="3">
        <v>0</v>
      </c>
      <c r="AT3093" s="3">
        <v>0</v>
      </c>
      <c r="AU3093" s="3">
        <v>0</v>
      </c>
      <c r="AV3093" s="3">
        <v>0</v>
      </c>
      <c r="AW3093" s="3">
        <v>0</v>
      </c>
      <c r="AX3093" s="3">
        <v>0</v>
      </c>
      <c r="AY3093" s="3">
        <v>0</v>
      </c>
      <c r="AZ3093" s="3">
        <v>0</v>
      </c>
      <c r="BA3093" s="3">
        <v>0</v>
      </c>
      <c r="BB3093" s="3">
        <v>0</v>
      </c>
      <c r="BC3093" s="3">
        <v>0</v>
      </c>
      <c r="BD3093" s="3">
        <v>0</v>
      </c>
      <c r="BE3093" s="3">
        <v>0</v>
      </c>
      <c r="BF3093" s="3">
        <v>0</v>
      </c>
      <c r="BG3093" s="3">
        <v>0</v>
      </c>
      <c r="BH3093" s="3">
        <v>1</v>
      </c>
      <c r="BI3093" s="3">
        <v>1</v>
      </c>
      <c r="BJ3093" s="3">
        <v>0.2</v>
      </c>
      <c r="BK3093" s="3">
        <v>1</v>
      </c>
      <c r="BL3093" s="3">
        <v>59</v>
      </c>
      <c r="BM3093" s="3">
        <v>8.85</v>
      </c>
      <c r="BN3093" s="3">
        <v>67.849999999999994</v>
      </c>
      <c r="BO3093" s="3">
        <v>67.849999999999994</v>
      </c>
      <c r="BR3093" s="3" t="s">
        <v>364</v>
      </c>
      <c r="BS3093" s="4">
        <v>44567</v>
      </c>
      <c r="BT3093" s="5">
        <v>0.57361111111111118</v>
      </c>
      <c r="BU3093" s="3" t="s">
        <v>2831</v>
      </c>
      <c r="BV3093" s="3" t="s">
        <v>87</v>
      </c>
      <c r="BW3093" s="3" t="s">
        <v>457</v>
      </c>
      <c r="BX3093" s="3" t="s">
        <v>279</v>
      </c>
      <c r="BY3093" s="3">
        <v>1200</v>
      </c>
      <c r="BZ3093" s="3" t="s">
        <v>165</v>
      </c>
      <c r="CA3093" s="3" t="s">
        <v>408</v>
      </c>
      <c r="CC3093" s="3" t="s">
        <v>172</v>
      </c>
      <c r="CD3093" s="3">
        <v>6000</v>
      </c>
      <c r="CE3093" s="3" t="s">
        <v>93</v>
      </c>
      <c r="CF3093" s="4">
        <v>44585</v>
      </c>
      <c r="CI3093" s="3">
        <v>1</v>
      </c>
      <c r="CJ3093" s="3">
        <v>1</v>
      </c>
      <c r="CK3093" s="3">
        <v>21</v>
      </c>
      <c r="CL3093" s="3" t="s">
        <v>87</v>
      </c>
    </row>
    <row r="3094" spans="1:90" x14ac:dyDescent="0.2">
      <c r="A3094" s="3" t="s">
        <v>72</v>
      </c>
      <c r="B3094" s="3" t="s">
        <v>73</v>
      </c>
      <c r="C3094" s="3" t="s">
        <v>74</v>
      </c>
      <c r="E3094" s="3" t="str">
        <f>"FES1162843365"</f>
        <v>FES1162843365</v>
      </c>
      <c r="F3094" s="4">
        <v>44565</v>
      </c>
      <c r="G3094" s="3">
        <v>202207</v>
      </c>
      <c r="H3094" s="3" t="s">
        <v>75</v>
      </c>
      <c r="I3094" s="3" t="s">
        <v>76</v>
      </c>
      <c r="J3094" s="3" t="s">
        <v>77</v>
      </c>
      <c r="K3094" s="3" t="s">
        <v>78</v>
      </c>
      <c r="L3094" s="3" t="s">
        <v>90</v>
      </c>
      <c r="M3094" s="3" t="s">
        <v>91</v>
      </c>
      <c r="N3094" s="3" t="s">
        <v>621</v>
      </c>
      <c r="O3094" s="3" t="s">
        <v>82</v>
      </c>
      <c r="P3094" s="3" t="str">
        <f>"2170810872                    "</f>
        <v xml:space="preserve">2170810872                    </v>
      </c>
      <c r="Q3094" s="3">
        <v>0</v>
      </c>
      <c r="R3094" s="3">
        <v>0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  <c r="AE3094" s="3">
        <v>0</v>
      </c>
      <c r="AF3094" s="3">
        <v>0</v>
      </c>
      <c r="AG3094" s="3">
        <v>0</v>
      </c>
      <c r="AH3094" s="3">
        <v>0</v>
      </c>
      <c r="AI3094" s="3">
        <v>0</v>
      </c>
      <c r="AJ3094" s="3">
        <v>0</v>
      </c>
      <c r="AK3094" s="3">
        <v>16.98</v>
      </c>
      <c r="AL3094" s="3">
        <v>0</v>
      </c>
      <c r="AM3094" s="3">
        <v>0</v>
      </c>
      <c r="AN3094" s="3">
        <v>0</v>
      </c>
      <c r="AO3094" s="3">
        <v>0</v>
      </c>
      <c r="AP3094" s="3">
        <v>0</v>
      </c>
      <c r="AQ3094" s="3">
        <v>0</v>
      </c>
      <c r="AR3094" s="3">
        <v>0</v>
      </c>
      <c r="AS3094" s="3">
        <v>0</v>
      </c>
      <c r="AT3094" s="3">
        <v>0</v>
      </c>
      <c r="AU3094" s="3">
        <v>0</v>
      </c>
      <c r="AV3094" s="3">
        <v>0</v>
      </c>
      <c r="AW3094" s="3">
        <v>0</v>
      </c>
      <c r="AX3094" s="3">
        <v>0</v>
      </c>
      <c r="AY3094" s="3">
        <v>0</v>
      </c>
      <c r="AZ3094" s="3">
        <v>0</v>
      </c>
      <c r="BA3094" s="3">
        <v>0</v>
      </c>
      <c r="BB3094" s="3">
        <v>0</v>
      </c>
      <c r="BC3094" s="3">
        <v>0</v>
      </c>
      <c r="BD3094" s="3">
        <v>0</v>
      </c>
      <c r="BE3094" s="3">
        <v>0</v>
      </c>
      <c r="BF3094" s="3">
        <v>0</v>
      </c>
      <c r="BG3094" s="3">
        <v>0</v>
      </c>
      <c r="BH3094" s="3">
        <v>1</v>
      </c>
      <c r="BI3094" s="3">
        <v>1</v>
      </c>
      <c r="BJ3094" s="3">
        <v>1.1000000000000001</v>
      </c>
      <c r="BK3094" s="3">
        <v>1.5</v>
      </c>
      <c r="BL3094" s="3">
        <v>60.52</v>
      </c>
      <c r="BM3094" s="3">
        <v>9.08</v>
      </c>
      <c r="BN3094" s="3">
        <v>69.599999999999994</v>
      </c>
      <c r="BO3094" s="3">
        <v>69.599999999999994</v>
      </c>
      <c r="BQ3094" s="3" t="s">
        <v>126</v>
      </c>
      <c r="BR3094" s="3" t="s">
        <v>308</v>
      </c>
      <c r="BS3094" s="4">
        <v>44566</v>
      </c>
      <c r="BT3094" s="5">
        <v>0.32569444444444445</v>
      </c>
      <c r="BU3094" s="3" t="s">
        <v>622</v>
      </c>
      <c r="BV3094" s="3" t="s">
        <v>105</v>
      </c>
      <c r="BY3094" s="3">
        <v>5320</v>
      </c>
      <c r="BZ3094" s="3" t="s">
        <v>165</v>
      </c>
      <c r="CA3094" s="3" t="s">
        <v>623</v>
      </c>
      <c r="CC3094" s="3" t="s">
        <v>91</v>
      </c>
      <c r="CD3094" s="3">
        <v>7800</v>
      </c>
      <c r="CE3094" s="3" t="s">
        <v>86</v>
      </c>
      <c r="CF3094" s="4">
        <v>44567</v>
      </c>
      <c r="CI3094" s="3">
        <v>1</v>
      </c>
      <c r="CJ3094" s="3">
        <v>1</v>
      </c>
      <c r="CK3094" s="3">
        <v>21</v>
      </c>
      <c r="CL3094" s="3" t="s">
        <v>87</v>
      </c>
    </row>
    <row r="3095" spans="1:90" x14ac:dyDescent="0.2">
      <c r="A3095" s="3" t="s">
        <v>72</v>
      </c>
      <c r="B3095" s="3" t="s">
        <v>73</v>
      </c>
      <c r="C3095" s="3" t="s">
        <v>74</v>
      </c>
      <c r="E3095" s="3" t="str">
        <f>"FES1162843370"</f>
        <v>FES1162843370</v>
      </c>
      <c r="F3095" s="4">
        <v>44565</v>
      </c>
      <c r="G3095" s="3">
        <v>202207</v>
      </c>
      <c r="H3095" s="3" t="s">
        <v>75</v>
      </c>
      <c r="I3095" s="3" t="s">
        <v>76</v>
      </c>
      <c r="J3095" s="3" t="s">
        <v>77</v>
      </c>
      <c r="K3095" s="3" t="s">
        <v>78</v>
      </c>
      <c r="L3095" s="3" t="s">
        <v>90</v>
      </c>
      <c r="M3095" s="3" t="s">
        <v>91</v>
      </c>
      <c r="N3095" s="3" t="s">
        <v>584</v>
      </c>
      <c r="O3095" s="3" t="s">
        <v>82</v>
      </c>
      <c r="P3095" s="3" t="str">
        <f>"2170811901                    "</f>
        <v xml:space="preserve">2170811901                    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  <c r="AE3095" s="3">
        <v>0</v>
      </c>
      <c r="AF3095" s="3">
        <v>0</v>
      </c>
      <c r="AG3095" s="3">
        <v>0</v>
      </c>
      <c r="AH3095" s="3">
        <v>0</v>
      </c>
      <c r="AI3095" s="3">
        <v>0</v>
      </c>
      <c r="AJ3095" s="3">
        <v>0</v>
      </c>
      <c r="AK3095" s="3">
        <v>38.200000000000003</v>
      </c>
      <c r="AL3095" s="3">
        <v>0</v>
      </c>
      <c r="AM3095" s="3">
        <v>0</v>
      </c>
      <c r="AN3095" s="3">
        <v>0</v>
      </c>
      <c r="AO3095" s="3">
        <v>0</v>
      </c>
      <c r="AP3095" s="3">
        <v>0</v>
      </c>
      <c r="AQ3095" s="3">
        <v>0</v>
      </c>
      <c r="AR3095" s="3">
        <v>0</v>
      </c>
      <c r="AS3095" s="3">
        <v>0</v>
      </c>
      <c r="AT3095" s="3">
        <v>0</v>
      </c>
      <c r="AU3095" s="3">
        <v>0</v>
      </c>
      <c r="AV3095" s="3">
        <v>0</v>
      </c>
      <c r="AW3095" s="3">
        <v>0</v>
      </c>
      <c r="AX3095" s="3">
        <v>0</v>
      </c>
      <c r="AY3095" s="3">
        <v>0</v>
      </c>
      <c r="AZ3095" s="3">
        <v>0</v>
      </c>
      <c r="BA3095" s="3">
        <v>0</v>
      </c>
      <c r="BB3095" s="3">
        <v>0</v>
      </c>
      <c r="BC3095" s="3">
        <v>0</v>
      </c>
      <c r="BD3095" s="3">
        <v>0</v>
      </c>
      <c r="BE3095" s="3">
        <v>0</v>
      </c>
      <c r="BF3095" s="3">
        <v>0</v>
      </c>
      <c r="BG3095" s="3">
        <v>0</v>
      </c>
      <c r="BH3095" s="3">
        <v>1</v>
      </c>
      <c r="BI3095" s="3">
        <v>1</v>
      </c>
      <c r="BJ3095" s="3">
        <v>4.0999999999999996</v>
      </c>
      <c r="BK3095" s="3">
        <v>4.5</v>
      </c>
      <c r="BL3095" s="3">
        <v>136.13999999999999</v>
      </c>
      <c r="BM3095" s="3">
        <v>20.420000000000002</v>
      </c>
      <c r="BN3095" s="3">
        <v>156.56</v>
      </c>
      <c r="BO3095" s="3">
        <v>156.56</v>
      </c>
      <c r="BQ3095" s="3" t="s">
        <v>83</v>
      </c>
      <c r="BR3095" s="3" t="s">
        <v>308</v>
      </c>
      <c r="BS3095" s="4">
        <v>44566</v>
      </c>
      <c r="BT3095" s="5">
        <v>0.4458333333333333</v>
      </c>
      <c r="BU3095" s="3" t="s">
        <v>959</v>
      </c>
      <c r="BV3095" s="3" t="s">
        <v>87</v>
      </c>
      <c r="BW3095" s="3" t="s">
        <v>353</v>
      </c>
      <c r="BX3095" s="3" t="s">
        <v>354</v>
      </c>
      <c r="BY3095" s="3">
        <v>20358</v>
      </c>
      <c r="BZ3095" s="3" t="s">
        <v>165</v>
      </c>
      <c r="CA3095" s="3" t="s">
        <v>641</v>
      </c>
      <c r="CC3095" s="3" t="s">
        <v>91</v>
      </c>
      <c r="CD3095" s="3">
        <v>7530</v>
      </c>
      <c r="CE3095" s="3" t="s">
        <v>86</v>
      </c>
      <c r="CF3095" s="4">
        <v>44567</v>
      </c>
      <c r="CI3095" s="3">
        <v>1</v>
      </c>
      <c r="CJ3095" s="3">
        <v>1</v>
      </c>
      <c r="CK3095" s="3">
        <v>21</v>
      </c>
      <c r="CL3095" s="3" t="s">
        <v>87</v>
      </c>
    </row>
    <row r="3096" spans="1:90" x14ac:dyDescent="0.2">
      <c r="A3096" s="3" t="s">
        <v>72</v>
      </c>
      <c r="B3096" s="3" t="s">
        <v>73</v>
      </c>
      <c r="C3096" s="3" t="s">
        <v>74</v>
      </c>
      <c r="E3096" s="3" t="str">
        <f>"FES1162843485"</f>
        <v>FES1162843485</v>
      </c>
      <c r="F3096" s="4">
        <v>44565</v>
      </c>
      <c r="G3096" s="3">
        <v>202207</v>
      </c>
      <c r="H3096" s="3" t="s">
        <v>75</v>
      </c>
      <c r="I3096" s="3" t="s">
        <v>76</v>
      </c>
      <c r="J3096" s="3" t="s">
        <v>77</v>
      </c>
      <c r="K3096" s="3" t="s">
        <v>78</v>
      </c>
      <c r="L3096" s="3" t="s">
        <v>90</v>
      </c>
      <c r="M3096" s="3" t="s">
        <v>91</v>
      </c>
      <c r="N3096" s="3" t="s">
        <v>157</v>
      </c>
      <c r="O3096" s="3" t="s">
        <v>82</v>
      </c>
      <c r="P3096" s="3" t="str">
        <f>"2170814487                    "</f>
        <v xml:space="preserve">2170814487                    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0</v>
      </c>
      <c r="W3096" s="3">
        <v>0</v>
      </c>
      <c r="X3096" s="3">
        <v>0</v>
      </c>
      <c r="Y3096" s="3">
        <v>0</v>
      </c>
      <c r="Z3096" s="3">
        <v>0</v>
      </c>
      <c r="AA3096" s="3">
        <v>0</v>
      </c>
      <c r="AB3096" s="3">
        <v>0</v>
      </c>
      <c r="AC3096" s="3">
        <v>0</v>
      </c>
      <c r="AD3096" s="3">
        <v>0</v>
      </c>
      <c r="AE3096" s="3">
        <v>0</v>
      </c>
      <c r="AF3096" s="3">
        <v>0</v>
      </c>
      <c r="AG3096" s="3">
        <v>0</v>
      </c>
      <c r="AH3096" s="3">
        <v>0</v>
      </c>
      <c r="AI3096" s="3">
        <v>0</v>
      </c>
      <c r="AJ3096" s="3">
        <v>0</v>
      </c>
      <c r="AK3096" s="3">
        <v>42.44</v>
      </c>
      <c r="AL3096" s="3">
        <v>0</v>
      </c>
      <c r="AM3096" s="3">
        <v>0</v>
      </c>
      <c r="AN3096" s="3">
        <v>0</v>
      </c>
      <c r="AO3096" s="3">
        <v>0</v>
      </c>
      <c r="AP3096" s="3">
        <v>0</v>
      </c>
      <c r="AQ3096" s="3">
        <v>0</v>
      </c>
      <c r="AR3096" s="3">
        <v>0</v>
      </c>
      <c r="AS3096" s="3">
        <v>0</v>
      </c>
      <c r="AT3096" s="3">
        <v>0</v>
      </c>
      <c r="AU3096" s="3">
        <v>0</v>
      </c>
      <c r="AV3096" s="3">
        <v>0</v>
      </c>
      <c r="AW3096" s="3">
        <v>0</v>
      </c>
      <c r="AX3096" s="3">
        <v>0</v>
      </c>
      <c r="AY3096" s="3">
        <v>0</v>
      </c>
      <c r="AZ3096" s="3">
        <v>0</v>
      </c>
      <c r="BA3096" s="3">
        <v>0</v>
      </c>
      <c r="BB3096" s="3">
        <v>0</v>
      </c>
      <c r="BC3096" s="3">
        <v>0</v>
      </c>
      <c r="BD3096" s="3">
        <v>0</v>
      </c>
      <c r="BE3096" s="3">
        <v>0</v>
      </c>
      <c r="BF3096" s="3">
        <v>0</v>
      </c>
      <c r="BG3096" s="3">
        <v>0</v>
      </c>
      <c r="BH3096" s="3">
        <v>1</v>
      </c>
      <c r="BI3096" s="3">
        <v>5</v>
      </c>
      <c r="BJ3096" s="3">
        <v>2.9</v>
      </c>
      <c r="BK3096" s="3">
        <v>5</v>
      </c>
      <c r="BL3096" s="3">
        <v>151.26</v>
      </c>
      <c r="BM3096" s="3">
        <v>22.69</v>
      </c>
      <c r="BN3096" s="3">
        <v>173.95</v>
      </c>
      <c r="BO3096" s="3">
        <v>173.95</v>
      </c>
      <c r="BQ3096" s="3" t="s">
        <v>89</v>
      </c>
      <c r="BR3096" s="3" t="s">
        <v>308</v>
      </c>
      <c r="BS3096" s="4">
        <v>44566</v>
      </c>
      <c r="BT3096" s="5">
        <v>0.31597222222222221</v>
      </c>
      <c r="BU3096" s="3" t="s">
        <v>1999</v>
      </c>
      <c r="BV3096" s="3" t="s">
        <v>105</v>
      </c>
      <c r="BY3096" s="3">
        <v>14450</v>
      </c>
      <c r="BZ3096" s="3" t="s">
        <v>165</v>
      </c>
      <c r="CA3096" s="3" t="s">
        <v>692</v>
      </c>
      <c r="CC3096" s="3" t="s">
        <v>91</v>
      </c>
      <c r="CD3096" s="3">
        <v>7441</v>
      </c>
      <c r="CE3096" s="3" t="s">
        <v>86</v>
      </c>
      <c r="CF3096" s="4">
        <v>44567</v>
      </c>
      <c r="CI3096" s="3">
        <v>1</v>
      </c>
      <c r="CJ3096" s="3">
        <v>1</v>
      </c>
      <c r="CK3096" s="3">
        <v>21</v>
      </c>
      <c r="CL3096" s="3" t="s">
        <v>87</v>
      </c>
    </row>
    <row r="3097" spans="1:90" x14ac:dyDescent="0.2">
      <c r="A3097" s="3" t="s">
        <v>72</v>
      </c>
      <c r="B3097" s="3" t="s">
        <v>73</v>
      </c>
      <c r="C3097" s="3" t="s">
        <v>74</v>
      </c>
      <c r="E3097" s="3" t="str">
        <f>"FES1162843789"</f>
        <v>FES1162843789</v>
      </c>
      <c r="F3097" s="4">
        <v>44566</v>
      </c>
      <c r="G3097" s="3">
        <v>202207</v>
      </c>
      <c r="H3097" s="3" t="s">
        <v>75</v>
      </c>
      <c r="I3097" s="3" t="s">
        <v>76</v>
      </c>
      <c r="J3097" s="3" t="s">
        <v>77</v>
      </c>
      <c r="K3097" s="3" t="s">
        <v>78</v>
      </c>
      <c r="L3097" s="3" t="s">
        <v>90</v>
      </c>
      <c r="M3097" s="3" t="s">
        <v>91</v>
      </c>
      <c r="N3097" s="3" t="s">
        <v>157</v>
      </c>
      <c r="O3097" s="3" t="s">
        <v>82</v>
      </c>
      <c r="P3097" s="3" t="str">
        <f>"2170815724                    "</f>
        <v xml:space="preserve">2170815724                    </v>
      </c>
      <c r="Q3097" s="3">
        <v>0</v>
      </c>
      <c r="R3097" s="3">
        <v>0</v>
      </c>
      <c r="S3097" s="3">
        <v>0</v>
      </c>
      <c r="T3097" s="3">
        <v>0</v>
      </c>
      <c r="U3097" s="3">
        <v>0</v>
      </c>
      <c r="V3097" s="3">
        <v>0</v>
      </c>
      <c r="W3097" s="3">
        <v>0</v>
      </c>
      <c r="X3097" s="3">
        <v>0</v>
      </c>
      <c r="Y3097" s="3">
        <v>0</v>
      </c>
      <c r="Z3097" s="3">
        <v>0</v>
      </c>
      <c r="AA3097" s="3">
        <v>0</v>
      </c>
      <c r="AB3097" s="3">
        <v>0</v>
      </c>
      <c r="AC3097" s="3">
        <v>0</v>
      </c>
      <c r="AD3097" s="3">
        <v>0</v>
      </c>
      <c r="AE3097" s="3">
        <v>0</v>
      </c>
      <c r="AF3097" s="3">
        <v>0</v>
      </c>
      <c r="AG3097" s="3">
        <v>0</v>
      </c>
      <c r="AH3097" s="3">
        <v>0</v>
      </c>
      <c r="AI3097" s="3">
        <v>0</v>
      </c>
      <c r="AJ3097" s="3">
        <v>0</v>
      </c>
      <c r="AK3097" s="3">
        <v>15.46</v>
      </c>
      <c r="AL3097" s="3">
        <v>0</v>
      </c>
      <c r="AM3097" s="3">
        <v>0</v>
      </c>
      <c r="AN3097" s="3">
        <v>0</v>
      </c>
      <c r="AO3097" s="3">
        <v>0</v>
      </c>
      <c r="AP3097" s="3">
        <v>0</v>
      </c>
      <c r="AQ3097" s="3">
        <v>0</v>
      </c>
      <c r="AR3097" s="3">
        <v>0</v>
      </c>
      <c r="AS3097" s="3">
        <v>0</v>
      </c>
      <c r="AT3097" s="3">
        <v>0</v>
      </c>
      <c r="AU3097" s="3">
        <v>0</v>
      </c>
      <c r="AV3097" s="3">
        <v>0</v>
      </c>
      <c r="AW3097" s="3">
        <v>0</v>
      </c>
      <c r="AX3097" s="3">
        <v>0</v>
      </c>
      <c r="AY3097" s="3">
        <v>0</v>
      </c>
      <c r="AZ3097" s="3">
        <v>0</v>
      </c>
      <c r="BA3097" s="3">
        <v>0</v>
      </c>
      <c r="BB3097" s="3">
        <v>0</v>
      </c>
      <c r="BC3097" s="3">
        <v>0</v>
      </c>
      <c r="BD3097" s="3">
        <v>0</v>
      </c>
      <c r="BE3097" s="3">
        <v>0</v>
      </c>
      <c r="BF3097" s="3">
        <v>0</v>
      </c>
      <c r="BG3097" s="3">
        <v>0</v>
      </c>
      <c r="BH3097" s="3">
        <v>1</v>
      </c>
      <c r="BI3097" s="3">
        <v>1</v>
      </c>
      <c r="BJ3097" s="3">
        <v>0.2</v>
      </c>
      <c r="BK3097" s="3">
        <v>1</v>
      </c>
      <c r="BL3097" s="3">
        <v>59</v>
      </c>
      <c r="BM3097" s="3">
        <v>8.85</v>
      </c>
      <c r="BN3097" s="3">
        <v>67.849999999999994</v>
      </c>
      <c r="BO3097" s="3">
        <v>67.849999999999994</v>
      </c>
      <c r="BQ3097" s="3" t="s">
        <v>89</v>
      </c>
      <c r="BR3097" s="3" t="s">
        <v>364</v>
      </c>
      <c r="BS3097" s="4">
        <v>44567</v>
      </c>
      <c r="BT3097" s="5">
        <v>0.37361111111111112</v>
      </c>
      <c r="BU3097" s="3" t="s">
        <v>2564</v>
      </c>
      <c r="BV3097" s="3" t="s">
        <v>105</v>
      </c>
      <c r="BY3097" s="3">
        <v>1200</v>
      </c>
      <c r="BZ3097" s="3" t="s">
        <v>165</v>
      </c>
      <c r="CA3097" s="3" t="s">
        <v>289</v>
      </c>
      <c r="CC3097" s="3" t="s">
        <v>91</v>
      </c>
      <c r="CD3097" s="3">
        <v>7441</v>
      </c>
      <c r="CE3097" s="3" t="s">
        <v>93</v>
      </c>
      <c r="CF3097" s="4">
        <v>44568</v>
      </c>
      <c r="CI3097" s="3">
        <v>1</v>
      </c>
      <c r="CJ3097" s="3">
        <v>1</v>
      </c>
      <c r="CK3097" s="3">
        <v>21</v>
      </c>
      <c r="CL3097" s="3" t="s">
        <v>87</v>
      </c>
    </row>
    <row r="3098" spans="1:90" x14ac:dyDescent="0.2">
      <c r="A3098" s="3" t="s">
        <v>72</v>
      </c>
      <c r="B3098" s="3" t="s">
        <v>73</v>
      </c>
      <c r="C3098" s="3" t="s">
        <v>74</v>
      </c>
      <c r="E3098" s="3" t="str">
        <f>"FES1162843403"</f>
        <v>FES1162843403</v>
      </c>
      <c r="F3098" s="4">
        <v>44565</v>
      </c>
      <c r="G3098" s="3">
        <v>202207</v>
      </c>
      <c r="H3098" s="3" t="s">
        <v>75</v>
      </c>
      <c r="I3098" s="3" t="s">
        <v>76</v>
      </c>
      <c r="J3098" s="3" t="s">
        <v>77</v>
      </c>
      <c r="K3098" s="3" t="s">
        <v>78</v>
      </c>
      <c r="L3098" s="3" t="s">
        <v>101</v>
      </c>
      <c r="M3098" s="3" t="s">
        <v>102</v>
      </c>
      <c r="N3098" s="3" t="s">
        <v>272</v>
      </c>
      <c r="O3098" s="3" t="s">
        <v>82</v>
      </c>
      <c r="P3098" s="3" t="str">
        <f>"2170815594                    "</f>
        <v xml:space="preserve">2170815594                    </v>
      </c>
      <c r="Q3098" s="3">
        <v>0</v>
      </c>
      <c r="R3098" s="3">
        <v>0</v>
      </c>
      <c r="S3098" s="3">
        <v>0</v>
      </c>
      <c r="T3098" s="3">
        <v>0</v>
      </c>
      <c r="U3098" s="3">
        <v>0</v>
      </c>
      <c r="V3098" s="3">
        <v>0</v>
      </c>
      <c r="W3098" s="3">
        <v>0</v>
      </c>
      <c r="X3098" s="3">
        <v>0</v>
      </c>
      <c r="Y3098" s="3">
        <v>0</v>
      </c>
      <c r="Z3098" s="3">
        <v>0</v>
      </c>
      <c r="AA3098" s="3">
        <v>0</v>
      </c>
      <c r="AB3098" s="3">
        <v>0</v>
      </c>
      <c r="AC3098" s="3">
        <v>0</v>
      </c>
      <c r="AD3098" s="3">
        <v>0</v>
      </c>
      <c r="AE3098" s="3">
        <v>0</v>
      </c>
      <c r="AF3098" s="3">
        <v>0</v>
      </c>
      <c r="AG3098" s="3">
        <v>0</v>
      </c>
      <c r="AH3098" s="3">
        <v>0</v>
      </c>
      <c r="AI3098" s="3">
        <v>0</v>
      </c>
      <c r="AJ3098" s="3">
        <v>0</v>
      </c>
      <c r="AK3098" s="3">
        <v>42.44</v>
      </c>
      <c r="AL3098" s="3">
        <v>0</v>
      </c>
      <c r="AM3098" s="3">
        <v>0</v>
      </c>
      <c r="AN3098" s="3">
        <v>0</v>
      </c>
      <c r="AO3098" s="3">
        <v>0</v>
      </c>
      <c r="AP3098" s="3">
        <v>0</v>
      </c>
      <c r="AQ3098" s="3">
        <v>0</v>
      </c>
      <c r="AR3098" s="3">
        <v>0</v>
      </c>
      <c r="AS3098" s="3">
        <v>0</v>
      </c>
      <c r="AT3098" s="3">
        <v>0</v>
      </c>
      <c r="AU3098" s="3">
        <v>0</v>
      </c>
      <c r="AV3098" s="3">
        <v>0</v>
      </c>
      <c r="AW3098" s="3">
        <v>0</v>
      </c>
      <c r="AX3098" s="3">
        <v>0</v>
      </c>
      <c r="AY3098" s="3">
        <v>0</v>
      </c>
      <c r="AZ3098" s="3">
        <v>0</v>
      </c>
      <c r="BA3098" s="3">
        <v>0</v>
      </c>
      <c r="BB3098" s="3">
        <v>0</v>
      </c>
      <c r="BC3098" s="3">
        <v>0</v>
      </c>
      <c r="BD3098" s="3">
        <v>0</v>
      </c>
      <c r="BE3098" s="3">
        <v>0</v>
      </c>
      <c r="BF3098" s="3">
        <v>0</v>
      </c>
      <c r="BG3098" s="3">
        <v>0</v>
      </c>
      <c r="BH3098" s="3">
        <v>1</v>
      </c>
      <c r="BI3098" s="3">
        <v>5</v>
      </c>
      <c r="BJ3098" s="3">
        <v>2</v>
      </c>
      <c r="BK3098" s="3">
        <v>5</v>
      </c>
      <c r="BL3098" s="3">
        <v>151.26</v>
      </c>
      <c r="BM3098" s="3">
        <v>22.69</v>
      </c>
      <c r="BN3098" s="3">
        <v>173.95</v>
      </c>
      <c r="BO3098" s="3">
        <v>173.95</v>
      </c>
      <c r="BQ3098" s="3" t="s">
        <v>273</v>
      </c>
      <c r="BR3098" s="3" t="s">
        <v>308</v>
      </c>
      <c r="BS3098" s="4">
        <v>44566</v>
      </c>
      <c r="BT3098" s="5">
        <v>0.4055555555555555</v>
      </c>
      <c r="BU3098" s="3" t="s">
        <v>274</v>
      </c>
      <c r="BV3098" s="3" t="s">
        <v>105</v>
      </c>
      <c r="BY3098" s="3">
        <v>9900</v>
      </c>
      <c r="BZ3098" s="3" t="s">
        <v>165</v>
      </c>
      <c r="CA3098" s="3" t="s">
        <v>275</v>
      </c>
      <c r="CC3098" s="3" t="s">
        <v>102</v>
      </c>
      <c r="CD3098" s="3">
        <v>4000</v>
      </c>
      <c r="CE3098" s="3" t="s">
        <v>86</v>
      </c>
      <c r="CF3098" s="4">
        <v>44566</v>
      </c>
      <c r="CI3098" s="3">
        <v>1</v>
      </c>
      <c r="CJ3098" s="3">
        <v>1</v>
      </c>
      <c r="CK3098" s="3">
        <v>21</v>
      </c>
      <c r="CL3098" s="3" t="s">
        <v>87</v>
      </c>
    </row>
    <row r="3099" spans="1:90" x14ac:dyDescent="0.2">
      <c r="A3099" s="3" t="s">
        <v>72</v>
      </c>
      <c r="B3099" s="3" t="s">
        <v>73</v>
      </c>
      <c r="C3099" s="3" t="s">
        <v>74</v>
      </c>
      <c r="E3099" s="3" t="str">
        <f>"FES1162843608"</f>
        <v>FES1162843608</v>
      </c>
      <c r="F3099" s="4">
        <v>44566</v>
      </c>
      <c r="G3099" s="3">
        <v>202207</v>
      </c>
      <c r="H3099" s="3" t="s">
        <v>75</v>
      </c>
      <c r="I3099" s="3" t="s">
        <v>76</v>
      </c>
      <c r="J3099" s="3" t="s">
        <v>77</v>
      </c>
      <c r="K3099" s="3" t="s">
        <v>78</v>
      </c>
      <c r="L3099" s="3" t="s">
        <v>158</v>
      </c>
      <c r="M3099" s="3" t="s">
        <v>159</v>
      </c>
      <c r="N3099" s="3" t="s">
        <v>417</v>
      </c>
      <c r="O3099" s="3" t="s">
        <v>82</v>
      </c>
      <c r="P3099" s="3" t="str">
        <f>"2170811819                    "</f>
        <v xml:space="preserve">2170811819                    </v>
      </c>
      <c r="Q3099" s="3">
        <v>0</v>
      </c>
      <c r="R3099" s="3">
        <v>0</v>
      </c>
      <c r="S3099" s="3">
        <v>0</v>
      </c>
      <c r="T3099" s="3">
        <v>0</v>
      </c>
      <c r="U3099" s="3">
        <v>0</v>
      </c>
      <c r="V3099" s="3">
        <v>0</v>
      </c>
      <c r="W3099" s="3">
        <v>0</v>
      </c>
      <c r="X3099" s="3">
        <v>0</v>
      </c>
      <c r="Y3099" s="3">
        <v>0</v>
      </c>
      <c r="Z3099" s="3">
        <v>0</v>
      </c>
      <c r="AA3099" s="3">
        <v>0</v>
      </c>
      <c r="AB3099" s="3">
        <v>0</v>
      </c>
      <c r="AC3099" s="3">
        <v>0</v>
      </c>
      <c r="AD3099" s="3">
        <v>0</v>
      </c>
      <c r="AE3099" s="3">
        <v>0</v>
      </c>
      <c r="AF3099" s="3">
        <v>0</v>
      </c>
      <c r="AG3099" s="3">
        <v>0</v>
      </c>
      <c r="AH3099" s="3">
        <v>0</v>
      </c>
      <c r="AI3099" s="3">
        <v>0</v>
      </c>
      <c r="AJ3099" s="3">
        <v>0</v>
      </c>
      <c r="AK3099" s="3">
        <v>12.07</v>
      </c>
      <c r="AL3099" s="3">
        <v>0</v>
      </c>
      <c r="AM3099" s="3">
        <v>0</v>
      </c>
      <c r="AN3099" s="3">
        <v>0</v>
      </c>
      <c r="AO3099" s="3">
        <v>0</v>
      </c>
      <c r="AP3099" s="3">
        <v>0</v>
      </c>
      <c r="AQ3099" s="3">
        <v>0</v>
      </c>
      <c r="AR3099" s="3">
        <v>0</v>
      </c>
      <c r="AS3099" s="3">
        <v>0</v>
      </c>
      <c r="AT3099" s="3">
        <v>0</v>
      </c>
      <c r="AU3099" s="3">
        <v>0</v>
      </c>
      <c r="AV3099" s="3">
        <v>0</v>
      </c>
      <c r="AW3099" s="3">
        <v>0</v>
      </c>
      <c r="AX3099" s="3">
        <v>0</v>
      </c>
      <c r="AY3099" s="3">
        <v>0</v>
      </c>
      <c r="AZ3099" s="3">
        <v>0</v>
      </c>
      <c r="BA3099" s="3">
        <v>0</v>
      </c>
      <c r="BB3099" s="3">
        <v>0</v>
      </c>
      <c r="BC3099" s="3">
        <v>0</v>
      </c>
      <c r="BD3099" s="3">
        <v>0</v>
      </c>
      <c r="BE3099" s="3">
        <v>0</v>
      </c>
      <c r="BF3099" s="3">
        <v>0</v>
      </c>
      <c r="BG3099" s="3">
        <v>0</v>
      </c>
      <c r="BH3099" s="3">
        <v>1</v>
      </c>
      <c r="BI3099" s="3">
        <v>4</v>
      </c>
      <c r="BJ3099" s="3">
        <v>2.1</v>
      </c>
      <c r="BK3099" s="3">
        <v>4</v>
      </c>
      <c r="BL3099" s="3">
        <v>46.08</v>
      </c>
      <c r="BM3099" s="3">
        <v>6.91</v>
      </c>
      <c r="BN3099" s="3">
        <v>52.99</v>
      </c>
      <c r="BO3099" s="3">
        <v>52.99</v>
      </c>
      <c r="BQ3099" s="3" t="s">
        <v>83</v>
      </c>
      <c r="BR3099" s="3" t="s">
        <v>308</v>
      </c>
      <c r="BS3099" s="4">
        <v>44567</v>
      </c>
      <c r="BT3099" s="5">
        <v>0.31666666666666665</v>
      </c>
      <c r="BU3099" s="3" t="s">
        <v>1257</v>
      </c>
      <c r="BV3099" s="3" t="s">
        <v>105</v>
      </c>
      <c r="BY3099" s="3">
        <v>10530</v>
      </c>
      <c r="BZ3099" s="3" t="s">
        <v>165</v>
      </c>
      <c r="CA3099" s="3" t="s">
        <v>763</v>
      </c>
      <c r="CC3099" s="3" t="s">
        <v>159</v>
      </c>
      <c r="CD3099" s="3">
        <v>1459</v>
      </c>
      <c r="CE3099" s="3" t="s">
        <v>86</v>
      </c>
      <c r="CF3099" s="4">
        <v>44567</v>
      </c>
      <c r="CI3099" s="3">
        <v>1</v>
      </c>
      <c r="CJ3099" s="3">
        <v>1</v>
      </c>
      <c r="CK3099" s="3">
        <v>22</v>
      </c>
      <c r="CL3099" s="3" t="s">
        <v>87</v>
      </c>
    </row>
    <row r="3100" spans="1:90" x14ac:dyDescent="0.2">
      <c r="A3100" s="3" t="s">
        <v>72</v>
      </c>
      <c r="B3100" s="3" t="s">
        <v>73</v>
      </c>
      <c r="C3100" s="3" t="s">
        <v>74</v>
      </c>
      <c r="E3100" s="3" t="str">
        <f>"FES1162843506"</f>
        <v>FES1162843506</v>
      </c>
      <c r="F3100" s="4">
        <v>44565</v>
      </c>
      <c r="G3100" s="3">
        <v>202207</v>
      </c>
      <c r="H3100" s="3" t="s">
        <v>75</v>
      </c>
      <c r="I3100" s="3" t="s">
        <v>76</v>
      </c>
      <c r="J3100" s="3" t="s">
        <v>77</v>
      </c>
      <c r="K3100" s="3" t="s">
        <v>78</v>
      </c>
      <c r="L3100" s="3" t="s">
        <v>464</v>
      </c>
      <c r="M3100" s="3" t="s">
        <v>465</v>
      </c>
      <c r="N3100" s="3" t="s">
        <v>2364</v>
      </c>
      <c r="O3100" s="3" t="s">
        <v>82</v>
      </c>
      <c r="P3100" s="3" t="str">
        <f>"2170815613                    "</f>
        <v xml:space="preserve">2170815613                    </v>
      </c>
      <c r="Q3100" s="3">
        <v>0</v>
      </c>
      <c r="R3100" s="3">
        <v>0</v>
      </c>
      <c r="S3100" s="3">
        <v>0</v>
      </c>
      <c r="T3100" s="3">
        <v>0</v>
      </c>
      <c r="U3100" s="3">
        <v>0</v>
      </c>
      <c r="V3100" s="3">
        <v>0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0</v>
      </c>
      <c r="AC3100" s="3">
        <v>0</v>
      </c>
      <c r="AD3100" s="3">
        <v>0</v>
      </c>
      <c r="AE3100" s="3">
        <v>0</v>
      </c>
      <c r="AF3100" s="3">
        <v>0</v>
      </c>
      <c r="AG3100" s="3">
        <v>0</v>
      </c>
      <c r="AH3100" s="3">
        <v>0</v>
      </c>
      <c r="AI3100" s="3">
        <v>0</v>
      </c>
      <c r="AJ3100" s="3">
        <v>0</v>
      </c>
      <c r="AK3100" s="3">
        <v>13.26</v>
      </c>
      <c r="AL3100" s="3">
        <v>0</v>
      </c>
      <c r="AM3100" s="3">
        <v>0</v>
      </c>
      <c r="AN3100" s="3">
        <v>0</v>
      </c>
      <c r="AO3100" s="3">
        <v>0</v>
      </c>
      <c r="AP3100" s="3">
        <v>0</v>
      </c>
      <c r="AQ3100" s="3">
        <v>0</v>
      </c>
      <c r="AR3100" s="3">
        <v>0</v>
      </c>
      <c r="AS3100" s="3">
        <v>0</v>
      </c>
      <c r="AT3100" s="3">
        <v>0</v>
      </c>
      <c r="AU3100" s="3">
        <v>0</v>
      </c>
      <c r="AV3100" s="3">
        <v>0</v>
      </c>
      <c r="AW3100" s="3">
        <v>0</v>
      </c>
      <c r="AX3100" s="3">
        <v>0</v>
      </c>
      <c r="AY3100" s="3">
        <v>0</v>
      </c>
      <c r="AZ3100" s="3">
        <v>0</v>
      </c>
      <c r="BA3100" s="3">
        <v>0</v>
      </c>
      <c r="BB3100" s="3">
        <v>0</v>
      </c>
      <c r="BC3100" s="3">
        <v>0</v>
      </c>
      <c r="BD3100" s="3">
        <v>0</v>
      </c>
      <c r="BE3100" s="3">
        <v>0</v>
      </c>
      <c r="BF3100" s="3">
        <v>0</v>
      </c>
      <c r="BG3100" s="3">
        <v>0</v>
      </c>
      <c r="BH3100" s="3">
        <v>1</v>
      </c>
      <c r="BI3100" s="3">
        <v>2</v>
      </c>
      <c r="BJ3100" s="3">
        <v>2</v>
      </c>
      <c r="BK3100" s="3">
        <v>2</v>
      </c>
      <c r="BL3100" s="3">
        <v>47.27</v>
      </c>
      <c r="BM3100" s="3">
        <v>7.09</v>
      </c>
      <c r="BN3100" s="3">
        <v>54.36</v>
      </c>
      <c r="BO3100" s="3">
        <v>54.36</v>
      </c>
      <c r="BR3100" s="3" t="s">
        <v>308</v>
      </c>
      <c r="BS3100" s="4">
        <v>44566</v>
      </c>
      <c r="BT3100" s="5">
        <v>0.34166666666666662</v>
      </c>
      <c r="BU3100" s="3" t="s">
        <v>2634</v>
      </c>
      <c r="BV3100" s="3" t="s">
        <v>105</v>
      </c>
      <c r="BY3100" s="3">
        <v>9918</v>
      </c>
      <c r="BZ3100" s="3" t="s">
        <v>165</v>
      </c>
      <c r="CA3100" s="3" t="s">
        <v>1684</v>
      </c>
      <c r="CC3100" s="3" t="s">
        <v>465</v>
      </c>
      <c r="CD3100" s="3">
        <v>1501</v>
      </c>
      <c r="CE3100" s="3" t="s">
        <v>86</v>
      </c>
      <c r="CF3100" s="4">
        <v>44566</v>
      </c>
      <c r="CI3100" s="3">
        <v>1</v>
      </c>
      <c r="CJ3100" s="3">
        <v>1</v>
      </c>
      <c r="CK3100" s="3">
        <v>22</v>
      </c>
      <c r="CL3100" s="3" t="s">
        <v>87</v>
      </c>
    </row>
    <row r="3101" spans="1:90" x14ac:dyDescent="0.2">
      <c r="A3101" s="3" t="s">
        <v>72</v>
      </c>
      <c r="B3101" s="3" t="s">
        <v>73</v>
      </c>
      <c r="C3101" s="3" t="s">
        <v>74</v>
      </c>
      <c r="E3101" s="3" t="str">
        <f>"FES1162843805"</f>
        <v>FES1162843805</v>
      </c>
      <c r="F3101" s="4">
        <v>44566</v>
      </c>
      <c r="G3101" s="3">
        <v>202207</v>
      </c>
      <c r="H3101" s="3" t="s">
        <v>75</v>
      </c>
      <c r="I3101" s="3" t="s">
        <v>76</v>
      </c>
      <c r="J3101" s="3" t="s">
        <v>77</v>
      </c>
      <c r="K3101" s="3" t="s">
        <v>78</v>
      </c>
      <c r="L3101" s="3" t="s">
        <v>171</v>
      </c>
      <c r="M3101" s="3" t="s">
        <v>172</v>
      </c>
      <c r="N3101" s="3" t="s">
        <v>454</v>
      </c>
      <c r="O3101" s="3" t="s">
        <v>82</v>
      </c>
      <c r="P3101" s="3" t="str">
        <f>"2170815737                    "</f>
        <v xml:space="preserve">2170815737                    </v>
      </c>
      <c r="Q3101" s="3">
        <v>0</v>
      </c>
      <c r="R3101" s="3">
        <v>0</v>
      </c>
      <c r="S3101" s="3">
        <v>0</v>
      </c>
      <c r="T3101" s="3">
        <v>0</v>
      </c>
      <c r="U3101" s="3">
        <v>0</v>
      </c>
      <c r="V3101" s="3">
        <v>0</v>
      </c>
      <c r="W3101" s="3">
        <v>0</v>
      </c>
      <c r="X3101" s="3">
        <v>0</v>
      </c>
      <c r="Y3101" s="3">
        <v>0</v>
      </c>
      <c r="Z3101" s="3">
        <v>0</v>
      </c>
      <c r="AA3101" s="3">
        <v>0</v>
      </c>
      <c r="AB3101" s="3">
        <v>0</v>
      </c>
      <c r="AC3101" s="3">
        <v>0</v>
      </c>
      <c r="AD3101" s="3">
        <v>0</v>
      </c>
      <c r="AE3101" s="3">
        <v>0</v>
      </c>
      <c r="AF3101" s="3">
        <v>0</v>
      </c>
      <c r="AG3101" s="3">
        <v>0</v>
      </c>
      <c r="AH3101" s="3">
        <v>0</v>
      </c>
      <c r="AI3101" s="3">
        <v>0</v>
      </c>
      <c r="AJ3101" s="3">
        <v>0</v>
      </c>
      <c r="AK3101" s="3">
        <v>15.46</v>
      </c>
      <c r="AL3101" s="3">
        <v>0</v>
      </c>
      <c r="AM3101" s="3">
        <v>0</v>
      </c>
      <c r="AN3101" s="3">
        <v>0</v>
      </c>
      <c r="AO3101" s="3">
        <v>0</v>
      </c>
      <c r="AP3101" s="3">
        <v>0</v>
      </c>
      <c r="AQ3101" s="3">
        <v>0</v>
      </c>
      <c r="AR3101" s="3">
        <v>0</v>
      </c>
      <c r="AS3101" s="3">
        <v>0</v>
      </c>
      <c r="AT3101" s="3">
        <v>0</v>
      </c>
      <c r="AU3101" s="3">
        <v>0</v>
      </c>
      <c r="AV3101" s="3">
        <v>0</v>
      </c>
      <c r="AW3101" s="3">
        <v>0</v>
      </c>
      <c r="AX3101" s="3">
        <v>0</v>
      </c>
      <c r="AY3101" s="3">
        <v>0</v>
      </c>
      <c r="AZ3101" s="3">
        <v>0</v>
      </c>
      <c r="BA3101" s="3">
        <v>0</v>
      </c>
      <c r="BB3101" s="3">
        <v>0</v>
      </c>
      <c r="BC3101" s="3">
        <v>0</v>
      </c>
      <c r="BD3101" s="3">
        <v>0</v>
      </c>
      <c r="BE3101" s="3">
        <v>0</v>
      </c>
      <c r="BF3101" s="3">
        <v>0</v>
      </c>
      <c r="BG3101" s="3">
        <v>0</v>
      </c>
      <c r="BH3101" s="3">
        <v>1</v>
      </c>
      <c r="BI3101" s="3">
        <v>1</v>
      </c>
      <c r="BJ3101" s="3">
        <v>0.2</v>
      </c>
      <c r="BK3101" s="3">
        <v>1</v>
      </c>
      <c r="BL3101" s="3">
        <v>59</v>
      </c>
      <c r="BM3101" s="3">
        <v>8.85</v>
      </c>
      <c r="BN3101" s="3">
        <v>67.849999999999994</v>
      </c>
      <c r="BO3101" s="3">
        <v>67.849999999999994</v>
      </c>
      <c r="BQ3101" s="3" t="s">
        <v>89</v>
      </c>
      <c r="BR3101" s="3" t="s">
        <v>364</v>
      </c>
      <c r="BS3101" s="4">
        <v>44567</v>
      </c>
      <c r="BT3101" s="5">
        <v>0.4375</v>
      </c>
      <c r="BU3101" s="3" t="s">
        <v>2642</v>
      </c>
      <c r="BV3101" s="3" t="s">
        <v>105</v>
      </c>
      <c r="BY3101" s="3">
        <v>1200</v>
      </c>
      <c r="BZ3101" s="3" t="s">
        <v>165</v>
      </c>
      <c r="CC3101" s="3" t="s">
        <v>172</v>
      </c>
      <c r="CD3101" s="3">
        <v>6001</v>
      </c>
      <c r="CE3101" s="3" t="s">
        <v>93</v>
      </c>
      <c r="CF3101" s="4">
        <v>44567</v>
      </c>
      <c r="CI3101" s="3">
        <v>1</v>
      </c>
      <c r="CJ3101" s="3">
        <v>1</v>
      </c>
      <c r="CK3101" s="3">
        <v>21</v>
      </c>
      <c r="CL3101" s="3" t="s">
        <v>87</v>
      </c>
    </row>
    <row r="3102" spans="1:90" x14ac:dyDescent="0.2">
      <c r="A3102" s="3" t="s">
        <v>72</v>
      </c>
      <c r="B3102" s="3" t="s">
        <v>73</v>
      </c>
      <c r="C3102" s="3" t="s">
        <v>74</v>
      </c>
      <c r="E3102" s="3" t="str">
        <f>"FES1162843393"</f>
        <v>FES1162843393</v>
      </c>
      <c r="F3102" s="4">
        <v>44565</v>
      </c>
      <c r="G3102" s="3">
        <v>202207</v>
      </c>
      <c r="H3102" s="3" t="s">
        <v>75</v>
      </c>
      <c r="I3102" s="3" t="s">
        <v>76</v>
      </c>
      <c r="J3102" s="3" t="s">
        <v>77</v>
      </c>
      <c r="K3102" s="3" t="s">
        <v>78</v>
      </c>
      <c r="L3102" s="3" t="s">
        <v>529</v>
      </c>
      <c r="M3102" s="3" t="s">
        <v>530</v>
      </c>
      <c r="N3102" s="3" t="s">
        <v>531</v>
      </c>
      <c r="O3102" s="3" t="s">
        <v>82</v>
      </c>
      <c r="P3102" s="3" t="str">
        <f>"2170813615                    "</f>
        <v xml:space="preserve">2170813615                    </v>
      </c>
      <c r="Q3102" s="3">
        <v>0</v>
      </c>
      <c r="R3102" s="3">
        <v>0</v>
      </c>
      <c r="S3102" s="3">
        <v>0</v>
      </c>
      <c r="T3102" s="3">
        <v>0</v>
      </c>
      <c r="U3102" s="3">
        <v>0</v>
      </c>
      <c r="V3102" s="3">
        <v>0</v>
      </c>
      <c r="W3102" s="3">
        <v>0</v>
      </c>
      <c r="X3102" s="3">
        <v>0</v>
      </c>
      <c r="Y3102" s="3">
        <v>0</v>
      </c>
      <c r="Z3102" s="3">
        <v>0</v>
      </c>
      <c r="AA3102" s="3">
        <v>0</v>
      </c>
      <c r="AB3102" s="3">
        <v>0</v>
      </c>
      <c r="AC3102" s="3">
        <v>0</v>
      </c>
      <c r="AD3102" s="3">
        <v>0</v>
      </c>
      <c r="AE3102" s="3">
        <v>0</v>
      </c>
      <c r="AF3102" s="3">
        <v>0</v>
      </c>
      <c r="AG3102" s="3">
        <v>0</v>
      </c>
      <c r="AH3102" s="3">
        <v>0</v>
      </c>
      <c r="AI3102" s="3">
        <v>0</v>
      </c>
      <c r="AJ3102" s="3">
        <v>0</v>
      </c>
      <c r="AK3102" s="3">
        <v>47.76</v>
      </c>
      <c r="AL3102" s="3">
        <v>0</v>
      </c>
      <c r="AM3102" s="3">
        <v>0</v>
      </c>
      <c r="AN3102" s="3">
        <v>0</v>
      </c>
      <c r="AO3102" s="3">
        <v>0</v>
      </c>
      <c r="AP3102" s="3">
        <v>0</v>
      </c>
      <c r="AQ3102" s="3">
        <v>0</v>
      </c>
      <c r="AR3102" s="3">
        <v>0</v>
      </c>
      <c r="AS3102" s="3">
        <v>0</v>
      </c>
      <c r="AT3102" s="3">
        <v>0</v>
      </c>
      <c r="AU3102" s="3">
        <v>0</v>
      </c>
      <c r="AV3102" s="3">
        <v>0</v>
      </c>
      <c r="AW3102" s="3">
        <v>0</v>
      </c>
      <c r="AX3102" s="3">
        <v>0</v>
      </c>
      <c r="AY3102" s="3">
        <v>0</v>
      </c>
      <c r="AZ3102" s="3">
        <v>0</v>
      </c>
      <c r="BA3102" s="3">
        <v>0</v>
      </c>
      <c r="BB3102" s="3">
        <v>0</v>
      </c>
      <c r="BC3102" s="3">
        <v>0</v>
      </c>
      <c r="BD3102" s="3">
        <v>0</v>
      </c>
      <c r="BE3102" s="3">
        <v>0</v>
      </c>
      <c r="BF3102" s="3">
        <v>0</v>
      </c>
      <c r="BG3102" s="3">
        <v>0</v>
      </c>
      <c r="BH3102" s="3">
        <v>1</v>
      </c>
      <c r="BI3102" s="3">
        <v>1</v>
      </c>
      <c r="BJ3102" s="3">
        <v>2.7</v>
      </c>
      <c r="BK3102" s="3">
        <v>3</v>
      </c>
      <c r="BL3102" s="3">
        <v>170.22</v>
      </c>
      <c r="BM3102" s="3">
        <v>25.53</v>
      </c>
      <c r="BN3102" s="3">
        <v>195.75</v>
      </c>
      <c r="BO3102" s="3">
        <v>195.75</v>
      </c>
      <c r="BQ3102" s="3" t="s">
        <v>83</v>
      </c>
      <c r="BR3102" s="3" t="s">
        <v>308</v>
      </c>
      <c r="BS3102" s="4">
        <v>44566</v>
      </c>
      <c r="BT3102" s="5">
        <v>0.48194444444444445</v>
      </c>
      <c r="BU3102" s="3" t="s">
        <v>826</v>
      </c>
      <c r="BV3102" s="3" t="s">
        <v>105</v>
      </c>
      <c r="BY3102" s="3">
        <v>13312</v>
      </c>
      <c r="BZ3102" s="3" t="s">
        <v>165</v>
      </c>
      <c r="CA3102" s="3" t="s">
        <v>328</v>
      </c>
      <c r="CC3102" s="3" t="s">
        <v>530</v>
      </c>
      <c r="CD3102" s="3">
        <v>6500</v>
      </c>
      <c r="CE3102" s="3" t="s">
        <v>86</v>
      </c>
      <c r="CF3102" s="4">
        <v>44566</v>
      </c>
      <c r="CI3102" s="3">
        <v>1</v>
      </c>
      <c r="CJ3102" s="3">
        <v>1</v>
      </c>
      <c r="CK3102" s="3">
        <v>23</v>
      </c>
      <c r="CL3102" s="3" t="s">
        <v>87</v>
      </c>
    </row>
    <row r="3103" spans="1:90" x14ac:dyDescent="0.2">
      <c r="A3103" s="3" t="s">
        <v>72</v>
      </c>
      <c r="B3103" s="3" t="s">
        <v>73</v>
      </c>
      <c r="C3103" s="3" t="s">
        <v>74</v>
      </c>
      <c r="E3103" s="3" t="str">
        <f>"FES1162843320"</f>
        <v>FES1162843320</v>
      </c>
      <c r="F3103" s="4">
        <v>44565</v>
      </c>
      <c r="G3103" s="3">
        <v>202207</v>
      </c>
      <c r="H3103" s="3" t="s">
        <v>75</v>
      </c>
      <c r="I3103" s="3" t="s">
        <v>76</v>
      </c>
      <c r="J3103" s="3" t="s">
        <v>77</v>
      </c>
      <c r="K3103" s="3" t="s">
        <v>78</v>
      </c>
      <c r="L3103" s="3" t="s">
        <v>94</v>
      </c>
      <c r="M3103" s="3" t="s">
        <v>95</v>
      </c>
      <c r="N3103" s="3" t="s">
        <v>96</v>
      </c>
      <c r="O3103" s="3" t="s">
        <v>82</v>
      </c>
      <c r="P3103" s="3" t="str">
        <f>"2170808507                    "</f>
        <v xml:space="preserve">2170808507                    </v>
      </c>
      <c r="Q3103" s="3">
        <v>0</v>
      </c>
      <c r="R3103" s="3">
        <v>0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  <c r="AE3103" s="3">
        <v>0</v>
      </c>
      <c r="AF3103" s="3">
        <v>0</v>
      </c>
      <c r="AG3103" s="3">
        <v>0</v>
      </c>
      <c r="AH3103" s="3">
        <v>0</v>
      </c>
      <c r="AI3103" s="3">
        <v>0</v>
      </c>
      <c r="AJ3103" s="3">
        <v>0</v>
      </c>
      <c r="AK3103" s="3">
        <v>16.98</v>
      </c>
      <c r="AL3103" s="3">
        <v>0</v>
      </c>
      <c r="AM3103" s="3">
        <v>0</v>
      </c>
      <c r="AN3103" s="3">
        <v>0</v>
      </c>
      <c r="AO3103" s="3">
        <v>0</v>
      </c>
      <c r="AP3103" s="3">
        <v>0</v>
      </c>
      <c r="AQ3103" s="3">
        <v>0</v>
      </c>
      <c r="AR3103" s="3">
        <v>0</v>
      </c>
      <c r="AS3103" s="3">
        <v>0</v>
      </c>
      <c r="AT3103" s="3">
        <v>0</v>
      </c>
      <c r="AU3103" s="3">
        <v>0</v>
      </c>
      <c r="AV3103" s="3">
        <v>0</v>
      </c>
      <c r="AW3103" s="3">
        <v>0</v>
      </c>
      <c r="AX3103" s="3">
        <v>0</v>
      </c>
      <c r="AY3103" s="3">
        <v>0</v>
      </c>
      <c r="AZ3103" s="3">
        <v>0</v>
      </c>
      <c r="BA3103" s="3">
        <v>0</v>
      </c>
      <c r="BB3103" s="3">
        <v>0</v>
      </c>
      <c r="BC3103" s="3">
        <v>0</v>
      </c>
      <c r="BD3103" s="3">
        <v>0</v>
      </c>
      <c r="BE3103" s="3">
        <v>0</v>
      </c>
      <c r="BF3103" s="3">
        <v>0</v>
      </c>
      <c r="BG3103" s="3">
        <v>0</v>
      </c>
      <c r="BH3103" s="3">
        <v>1</v>
      </c>
      <c r="BI3103" s="3">
        <v>1</v>
      </c>
      <c r="BJ3103" s="3">
        <v>0.2</v>
      </c>
      <c r="BK3103" s="3">
        <v>1</v>
      </c>
      <c r="BL3103" s="3">
        <v>60.52</v>
      </c>
      <c r="BM3103" s="3">
        <v>9.08</v>
      </c>
      <c r="BN3103" s="3">
        <v>69.599999999999994</v>
      </c>
      <c r="BO3103" s="3">
        <v>69.599999999999994</v>
      </c>
      <c r="BQ3103" s="3" t="s">
        <v>89</v>
      </c>
      <c r="BR3103" s="3" t="s">
        <v>308</v>
      </c>
      <c r="BS3103" s="4">
        <v>44566</v>
      </c>
      <c r="BT3103" s="5">
        <v>0.55972222222222223</v>
      </c>
      <c r="BU3103" s="3" t="s">
        <v>2577</v>
      </c>
      <c r="BV3103" s="3" t="s">
        <v>87</v>
      </c>
      <c r="BW3103" s="3" t="s">
        <v>453</v>
      </c>
      <c r="BX3103" s="3" t="s">
        <v>2578</v>
      </c>
      <c r="BY3103" s="3">
        <v>1200</v>
      </c>
      <c r="BZ3103" s="3" t="s">
        <v>165</v>
      </c>
      <c r="CA3103" s="3" t="s">
        <v>328</v>
      </c>
      <c r="CC3103" s="3" t="s">
        <v>95</v>
      </c>
      <c r="CD3103" s="3">
        <v>3201</v>
      </c>
      <c r="CE3103" s="3" t="s">
        <v>93</v>
      </c>
      <c r="CF3103" s="4">
        <v>44568</v>
      </c>
      <c r="CI3103" s="3">
        <v>1</v>
      </c>
      <c r="CJ3103" s="3">
        <v>1</v>
      </c>
      <c r="CK3103" s="3">
        <v>21</v>
      </c>
      <c r="CL3103" s="3" t="s">
        <v>87</v>
      </c>
    </row>
    <row r="3104" spans="1:90" x14ac:dyDescent="0.2">
      <c r="A3104" s="3" t="s">
        <v>72</v>
      </c>
      <c r="B3104" s="3" t="s">
        <v>73</v>
      </c>
      <c r="C3104" s="3" t="s">
        <v>74</v>
      </c>
      <c r="E3104" s="3" t="str">
        <f>"FES1162843382"</f>
        <v>FES1162843382</v>
      </c>
      <c r="F3104" s="4">
        <v>44565</v>
      </c>
      <c r="G3104" s="3">
        <v>202207</v>
      </c>
      <c r="H3104" s="3" t="s">
        <v>75</v>
      </c>
      <c r="I3104" s="3" t="s">
        <v>76</v>
      </c>
      <c r="J3104" s="3" t="s">
        <v>77</v>
      </c>
      <c r="K3104" s="3" t="s">
        <v>78</v>
      </c>
      <c r="L3104" s="3" t="s">
        <v>158</v>
      </c>
      <c r="M3104" s="3" t="s">
        <v>159</v>
      </c>
      <c r="N3104" s="3" t="s">
        <v>768</v>
      </c>
      <c r="O3104" s="3" t="s">
        <v>82</v>
      </c>
      <c r="P3104" s="3" t="str">
        <f>"2170815580                    "</f>
        <v xml:space="preserve">2170815580                    </v>
      </c>
      <c r="Q3104" s="3">
        <v>0</v>
      </c>
      <c r="R3104" s="3">
        <v>0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  <c r="AE3104" s="3">
        <v>0</v>
      </c>
      <c r="AF3104" s="3">
        <v>0</v>
      </c>
      <c r="AG3104" s="3">
        <v>0</v>
      </c>
      <c r="AH3104" s="3">
        <v>0</v>
      </c>
      <c r="AI3104" s="3">
        <v>0</v>
      </c>
      <c r="AJ3104" s="3">
        <v>0</v>
      </c>
      <c r="AK3104" s="3">
        <v>13.26</v>
      </c>
      <c r="AL3104" s="3">
        <v>0</v>
      </c>
      <c r="AM3104" s="3">
        <v>0</v>
      </c>
      <c r="AN3104" s="3">
        <v>0</v>
      </c>
      <c r="AO3104" s="3">
        <v>0</v>
      </c>
      <c r="AP3104" s="3">
        <v>0</v>
      </c>
      <c r="AQ3104" s="3">
        <v>0</v>
      </c>
      <c r="AR3104" s="3">
        <v>0</v>
      </c>
      <c r="AS3104" s="3">
        <v>0</v>
      </c>
      <c r="AT3104" s="3">
        <v>0</v>
      </c>
      <c r="AU3104" s="3">
        <v>0</v>
      </c>
      <c r="AV3104" s="3">
        <v>0</v>
      </c>
      <c r="AW3104" s="3">
        <v>0</v>
      </c>
      <c r="AX3104" s="3">
        <v>0</v>
      </c>
      <c r="AY3104" s="3">
        <v>0</v>
      </c>
      <c r="AZ3104" s="3">
        <v>0</v>
      </c>
      <c r="BA3104" s="3">
        <v>0</v>
      </c>
      <c r="BB3104" s="3">
        <v>0</v>
      </c>
      <c r="BC3104" s="3">
        <v>0</v>
      </c>
      <c r="BD3104" s="3">
        <v>0</v>
      </c>
      <c r="BE3104" s="3">
        <v>0</v>
      </c>
      <c r="BF3104" s="3">
        <v>0</v>
      </c>
      <c r="BG3104" s="3">
        <v>0</v>
      </c>
      <c r="BH3104" s="3">
        <v>1</v>
      </c>
      <c r="BI3104" s="3">
        <v>1</v>
      </c>
      <c r="BJ3104" s="3">
        <v>0.2</v>
      </c>
      <c r="BK3104" s="3">
        <v>1</v>
      </c>
      <c r="BL3104" s="3">
        <v>47.27</v>
      </c>
      <c r="BM3104" s="3">
        <v>7.09</v>
      </c>
      <c r="BN3104" s="3">
        <v>54.36</v>
      </c>
      <c r="BO3104" s="3">
        <v>54.36</v>
      </c>
      <c r="BQ3104" s="3" t="s">
        <v>83</v>
      </c>
      <c r="BR3104" s="3" t="s">
        <v>308</v>
      </c>
      <c r="BS3104" s="4">
        <v>44566</v>
      </c>
      <c r="BT3104" s="5">
        <v>0.32708333333333334</v>
      </c>
      <c r="BU3104" s="3" t="s">
        <v>769</v>
      </c>
      <c r="BV3104" s="3" t="s">
        <v>105</v>
      </c>
      <c r="BY3104" s="3">
        <v>1200</v>
      </c>
      <c r="BZ3104" s="3" t="s">
        <v>165</v>
      </c>
      <c r="CA3104" s="3" t="s">
        <v>653</v>
      </c>
      <c r="CC3104" s="3" t="s">
        <v>159</v>
      </c>
      <c r="CD3104" s="3">
        <v>1459</v>
      </c>
      <c r="CE3104" s="3" t="s">
        <v>93</v>
      </c>
      <c r="CF3104" s="4">
        <v>44566</v>
      </c>
      <c r="CI3104" s="3">
        <v>1</v>
      </c>
      <c r="CJ3104" s="3">
        <v>1</v>
      </c>
      <c r="CK3104" s="3">
        <v>22</v>
      </c>
      <c r="CL3104" s="3" t="s">
        <v>87</v>
      </c>
    </row>
    <row r="3105" spans="1:90" x14ac:dyDescent="0.2">
      <c r="A3105" s="3" t="s">
        <v>72</v>
      </c>
      <c r="B3105" s="3" t="s">
        <v>73</v>
      </c>
      <c r="C3105" s="3" t="s">
        <v>74</v>
      </c>
      <c r="E3105" s="3" t="str">
        <f>"FES1162843688"</f>
        <v>FES1162843688</v>
      </c>
      <c r="F3105" s="4">
        <v>44566</v>
      </c>
      <c r="G3105" s="3">
        <v>202207</v>
      </c>
      <c r="H3105" s="3" t="s">
        <v>75</v>
      </c>
      <c r="I3105" s="3" t="s">
        <v>76</v>
      </c>
      <c r="J3105" s="3" t="s">
        <v>77</v>
      </c>
      <c r="K3105" s="3" t="s">
        <v>78</v>
      </c>
      <c r="L3105" s="3" t="s">
        <v>101</v>
      </c>
      <c r="M3105" s="3" t="s">
        <v>102</v>
      </c>
      <c r="N3105" s="3" t="s">
        <v>135</v>
      </c>
      <c r="O3105" s="3" t="s">
        <v>82</v>
      </c>
      <c r="P3105" s="3" t="str">
        <f>"2170814398                    "</f>
        <v xml:space="preserve">2170814398                    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  <c r="AE3105" s="3">
        <v>0</v>
      </c>
      <c r="AF3105" s="3">
        <v>0</v>
      </c>
      <c r="AG3105" s="3">
        <v>0</v>
      </c>
      <c r="AH3105" s="3">
        <v>0</v>
      </c>
      <c r="AI3105" s="3">
        <v>0</v>
      </c>
      <c r="AJ3105" s="3">
        <v>0</v>
      </c>
      <c r="AK3105" s="3">
        <v>38.630000000000003</v>
      </c>
      <c r="AL3105" s="3">
        <v>0</v>
      </c>
      <c r="AM3105" s="3">
        <v>0</v>
      </c>
      <c r="AN3105" s="3">
        <v>0</v>
      </c>
      <c r="AO3105" s="3">
        <v>0</v>
      </c>
      <c r="AP3105" s="3">
        <v>0</v>
      </c>
      <c r="AQ3105" s="3">
        <v>0</v>
      </c>
      <c r="AR3105" s="3">
        <v>0</v>
      </c>
      <c r="AS3105" s="3">
        <v>0</v>
      </c>
      <c r="AT3105" s="3">
        <v>0</v>
      </c>
      <c r="AU3105" s="3">
        <v>0</v>
      </c>
      <c r="AV3105" s="3">
        <v>0</v>
      </c>
      <c r="AW3105" s="3">
        <v>0</v>
      </c>
      <c r="AX3105" s="3">
        <v>0</v>
      </c>
      <c r="AY3105" s="3">
        <v>0</v>
      </c>
      <c r="AZ3105" s="3">
        <v>0</v>
      </c>
      <c r="BA3105" s="3">
        <v>0</v>
      </c>
      <c r="BB3105" s="3">
        <v>0</v>
      </c>
      <c r="BC3105" s="3">
        <v>0</v>
      </c>
      <c r="BD3105" s="3">
        <v>0</v>
      </c>
      <c r="BE3105" s="3">
        <v>0</v>
      </c>
      <c r="BF3105" s="3">
        <v>0</v>
      </c>
      <c r="BG3105" s="3">
        <v>0</v>
      </c>
      <c r="BH3105" s="3">
        <v>1</v>
      </c>
      <c r="BI3105" s="3">
        <v>5</v>
      </c>
      <c r="BJ3105" s="3">
        <v>2</v>
      </c>
      <c r="BK3105" s="3">
        <v>5</v>
      </c>
      <c r="BL3105" s="3">
        <v>147.44999999999999</v>
      </c>
      <c r="BM3105" s="3">
        <v>22.12</v>
      </c>
      <c r="BN3105" s="3">
        <v>169.57</v>
      </c>
      <c r="BO3105" s="3">
        <v>169.57</v>
      </c>
      <c r="BQ3105" s="3" t="s">
        <v>89</v>
      </c>
      <c r="BR3105" s="3" t="s">
        <v>364</v>
      </c>
      <c r="BS3105" s="4">
        <v>44567</v>
      </c>
      <c r="BT3105" s="5">
        <v>0.38263888888888892</v>
      </c>
      <c r="BU3105" s="3" t="s">
        <v>2832</v>
      </c>
      <c r="BV3105" s="3" t="s">
        <v>105</v>
      </c>
      <c r="BY3105" s="3">
        <v>9918</v>
      </c>
      <c r="BZ3105" s="3" t="s">
        <v>165</v>
      </c>
      <c r="CA3105" s="3" t="s">
        <v>615</v>
      </c>
      <c r="CC3105" s="3" t="s">
        <v>102</v>
      </c>
      <c r="CD3105" s="3">
        <v>4052</v>
      </c>
      <c r="CE3105" s="3" t="s">
        <v>86</v>
      </c>
      <c r="CF3105" s="4">
        <v>44567</v>
      </c>
      <c r="CI3105" s="3">
        <v>1</v>
      </c>
      <c r="CJ3105" s="3">
        <v>1</v>
      </c>
      <c r="CK3105" s="3">
        <v>21</v>
      </c>
      <c r="CL3105" s="3" t="s">
        <v>87</v>
      </c>
    </row>
    <row r="3106" spans="1:90" x14ac:dyDescent="0.2">
      <c r="A3106" s="3" t="s">
        <v>72</v>
      </c>
      <c r="B3106" s="3" t="s">
        <v>73</v>
      </c>
      <c r="C3106" s="3" t="s">
        <v>74</v>
      </c>
      <c r="E3106" s="3" t="str">
        <f>"FES1162843499"</f>
        <v>FES1162843499</v>
      </c>
      <c r="F3106" s="4">
        <v>44565</v>
      </c>
      <c r="G3106" s="3">
        <v>202207</v>
      </c>
      <c r="H3106" s="3" t="s">
        <v>75</v>
      </c>
      <c r="I3106" s="3" t="s">
        <v>76</v>
      </c>
      <c r="J3106" s="3" t="s">
        <v>77</v>
      </c>
      <c r="K3106" s="3" t="s">
        <v>78</v>
      </c>
      <c r="L3106" s="3" t="s">
        <v>90</v>
      </c>
      <c r="M3106" s="3" t="s">
        <v>91</v>
      </c>
      <c r="N3106" s="3" t="s">
        <v>112</v>
      </c>
      <c r="O3106" s="3" t="s">
        <v>82</v>
      </c>
      <c r="P3106" s="3" t="str">
        <f>"2170815603                    "</f>
        <v xml:space="preserve">2170815603                    </v>
      </c>
      <c r="Q3106" s="3">
        <v>0</v>
      </c>
      <c r="R3106" s="3">
        <v>0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  <c r="AE3106" s="3">
        <v>0</v>
      </c>
      <c r="AF3106" s="3">
        <v>0</v>
      </c>
      <c r="AG3106" s="3">
        <v>0</v>
      </c>
      <c r="AH3106" s="3">
        <v>0</v>
      </c>
      <c r="AI3106" s="3">
        <v>0</v>
      </c>
      <c r="AJ3106" s="3">
        <v>0</v>
      </c>
      <c r="AK3106" s="3">
        <v>16.98</v>
      </c>
      <c r="AL3106" s="3">
        <v>0</v>
      </c>
      <c r="AM3106" s="3">
        <v>0</v>
      </c>
      <c r="AN3106" s="3">
        <v>0</v>
      </c>
      <c r="AO3106" s="3">
        <v>0</v>
      </c>
      <c r="AP3106" s="3">
        <v>0</v>
      </c>
      <c r="AQ3106" s="3">
        <v>0</v>
      </c>
      <c r="AR3106" s="3">
        <v>0</v>
      </c>
      <c r="AS3106" s="3">
        <v>0</v>
      </c>
      <c r="AT3106" s="3">
        <v>0</v>
      </c>
      <c r="AU3106" s="3">
        <v>0</v>
      </c>
      <c r="AV3106" s="3">
        <v>0</v>
      </c>
      <c r="AW3106" s="3">
        <v>0</v>
      </c>
      <c r="AX3106" s="3">
        <v>0</v>
      </c>
      <c r="AY3106" s="3">
        <v>0</v>
      </c>
      <c r="AZ3106" s="3">
        <v>0</v>
      </c>
      <c r="BA3106" s="3">
        <v>0</v>
      </c>
      <c r="BB3106" s="3">
        <v>0</v>
      </c>
      <c r="BC3106" s="3">
        <v>0</v>
      </c>
      <c r="BD3106" s="3">
        <v>0</v>
      </c>
      <c r="BE3106" s="3">
        <v>0</v>
      </c>
      <c r="BF3106" s="3">
        <v>0</v>
      </c>
      <c r="BG3106" s="3">
        <v>0</v>
      </c>
      <c r="BH3106" s="3">
        <v>1</v>
      </c>
      <c r="BI3106" s="3">
        <v>1</v>
      </c>
      <c r="BJ3106" s="3">
        <v>0.2</v>
      </c>
      <c r="BK3106" s="3">
        <v>1</v>
      </c>
      <c r="BL3106" s="3">
        <v>60.52</v>
      </c>
      <c r="BM3106" s="3">
        <v>9.08</v>
      </c>
      <c r="BN3106" s="3">
        <v>69.599999999999994</v>
      </c>
      <c r="BO3106" s="3">
        <v>69.599999999999994</v>
      </c>
      <c r="BQ3106" s="3" t="s">
        <v>113</v>
      </c>
      <c r="BR3106" s="3" t="s">
        <v>308</v>
      </c>
      <c r="BS3106" s="4">
        <v>44566</v>
      </c>
      <c r="BT3106" s="5">
        <v>0.3215277777777778</v>
      </c>
      <c r="BU3106" s="3" t="s">
        <v>1766</v>
      </c>
      <c r="BV3106" s="3" t="s">
        <v>105</v>
      </c>
      <c r="BY3106" s="3">
        <v>1200</v>
      </c>
      <c r="BZ3106" s="3" t="s">
        <v>165</v>
      </c>
      <c r="CA3106" s="3" t="s">
        <v>1112</v>
      </c>
      <c r="CC3106" s="3" t="s">
        <v>91</v>
      </c>
      <c r="CD3106" s="3">
        <v>7405</v>
      </c>
      <c r="CE3106" s="3" t="s">
        <v>93</v>
      </c>
      <c r="CF3106" s="4">
        <v>44567</v>
      </c>
      <c r="CI3106" s="3">
        <v>1</v>
      </c>
      <c r="CJ3106" s="3">
        <v>1</v>
      </c>
      <c r="CK3106" s="3">
        <v>21</v>
      </c>
      <c r="CL3106" s="3" t="s">
        <v>87</v>
      </c>
    </row>
    <row r="3107" spans="1:90" x14ac:dyDescent="0.2">
      <c r="A3107" s="3" t="s">
        <v>72</v>
      </c>
      <c r="B3107" s="3" t="s">
        <v>73</v>
      </c>
      <c r="C3107" s="3" t="s">
        <v>74</v>
      </c>
      <c r="E3107" s="3" t="str">
        <f>"FES1162843383"</f>
        <v>FES1162843383</v>
      </c>
      <c r="F3107" s="4">
        <v>44565</v>
      </c>
      <c r="G3107" s="3">
        <v>202207</v>
      </c>
      <c r="H3107" s="3" t="s">
        <v>75</v>
      </c>
      <c r="I3107" s="3" t="s">
        <v>76</v>
      </c>
      <c r="J3107" s="3" t="s">
        <v>77</v>
      </c>
      <c r="K3107" s="3" t="s">
        <v>78</v>
      </c>
      <c r="L3107" s="3" t="s">
        <v>90</v>
      </c>
      <c r="M3107" s="3" t="s">
        <v>91</v>
      </c>
      <c r="N3107" s="3" t="s">
        <v>157</v>
      </c>
      <c r="O3107" s="3" t="s">
        <v>82</v>
      </c>
      <c r="P3107" s="3" t="str">
        <f>"2170815582                    "</f>
        <v xml:space="preserve">2170815582                    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  <c r="AE3107" s="3">
        <v>0</v>
      </c>
      <c r="AF3107" s="3">
        <v>0</v>
      </c>
      <c r="AG3107" s="3">
        <v>0</v>
      </c>
      <c r="AH3107" s="3">
        <v>0</v>
      </c>
      <c r="AI3107" s="3">
        <v>0</v>
      </c>
      <c r="AJ3107" s="3">
        <v>0</v>
      </c>
      <c r="AK3107" s="3">
        <v>16.98</v>
      </c>
      <c r="AL3107" s="3">
        <v>0</v>
      </c>
      <c r="AM3107" s="3">
        <v>0</v>
      </c>
      <c r="AN3107" s="3">
        <v>0</v>
      </c>
      <c r="AO3107" s="3">
        <v>0</v>
      </c>
      <c r="AP3107" s="3">
        <v>0</v>
      </c>
      <c r="AQ3107" s="3">
        <v>0</v>
      </c>
      <c r="AR3107" s="3">
        <v>0</v>
      </c>
      <c r="AS3107" s="3">
        <v>0</v>
      </c>
      <c r="AT3107" s="3">
        <v>0</v>
      </c>
      <c r="AU3107" s="3">
        <v>0</v>
      </c>
      <c r="AV3107" s="3">
        <v>0</v>
      </c>
      <c r="AW3107" s="3">
        <v>0</v>
      </c>
      <c r="AX3107" s="3">
        <v>0</v>
      </c>
      <c r="AY3107" s="3">
        <v>0</v>
      </c>
      <c r="AZ3107" s="3">
        <v>0</v>
      </c>
      <c r="BA3107" s="3">
        <v>0</v>
      </c>
      <c r="BB3107" s="3">
        <v>0</v>
      </c>
      <c r="BC3107" s="3">
        <v>0</v>
      </c>
      <c r="BD3107" s="3">
        <v>0</v>
      </c>
      <c r="BE3107" s="3">
        <v>0</v>
      </c>
      <c r="BF3107" s="3">
        <v>0</v>
      </c>
      <c r="BG3107" s="3">
        <v>0</v>
      </c>
      <c r="BH3107" s="3">
        <v>1</v>
      </c>
      <c r="BI3107" s="3">
        <v>1</v>
      </c>
      <c r="BJ3107" s="3">
        <v>0.2</v>
      </c>
      <c r="BK3107" s="3">
        <v>1</v>
      </c>
      <c r="BL3107" s="3">
        <v>60.52</v>
      </c>
      <c r="BM3107" s="3">
        <v>9.08</v>
      </c>
      <c r="BN3107" s="3">
        <v>69.599999999999994</v>
      </c>
      <c r="BO3107" s="3">
        <v>69.599999999999994</v>
      </c>
      <c r="BQ3107" s="3" t="s">
        <v>89</v>
      </c>
      <c r="BR3107" s="3" t="s">
        <v>308</v>
      </c>
      <c r="BS3107" s="4">
        <v>44566</v>
      </c>
      <c r="BT3107" s="5">
        <v>0.31597222222222221</v>
      </c>
      <c r="BU3107" s="3" t="s">
        <v>1999</v>
      </c>
      <c r="BV3107" s="3" t="s">
        <v>105</v>
      </c>
      <c r="BY3107" s="3">
        <v>1200</v>
      </c>
      <c r="BZ3107" s="3" t="s">
        <v>165</v>
      </c>
      <c r="CA3107" s="3" t="s">
        <v>692</v>
      </c>
      <c r="CC3107" s="3" t="s">
        <v>91</v>
      </c>
      <c r="CD3107" s="3">
        <v>7441</v>
      </c>
      <c r="CE3107" s="3" t="s">
        <v>93</v>
      </c>
      <c r="CF3107" s="4">
        <v>44567</v>
      </c>
      <c r="CI3107" s="3">
        <v>1</v>
      </c>
      <c r="CJ3107" s="3">
        <v>1</v>
      </c>
      <c r="CK3107" s="3">
        <v>21</v>
      </c>
      <c r="CL3107" s="3" t="s">
        <v>87</v>
      </c>
    </row>
    <row r="3108" spans="1:90" x14ac:dyDescent="0.2">
      <c r="A3108" s="3" t="s">
        <v>72</v>
      </c>
      <c r="B3108" s="3" t="s">
        <v>73</v>
      </c>
      <c r="C3108" s="3" t="s">
        <v>74</v>
      </c>
      <c r="E3108" s="3" t="str">
        <f>"FES1162843782"</f>
        <v>FES1162843782</v>
      </c>
      <c r="F3108" s="4">
        <v>44566</v>
      </c>
      <c r="G3108" s="3">
        <v>202207</v>
      </c>
      <c r="H3108" s="3" t="s">
        <v>75</v>
      </c>
      <c r="I3108" s="3" t="s">
        <v>76</v>
      </c>
      <c r="J3108" s="3" t="s">
        <v>77</v>
      </c>
      <c r="K3108" s="3" t="s">
        <v>78</v>
      </c>
      <c r="L3108" s="3" t="s">
        <v>94</v>
      </c>
      <c r="M3108" s="3" t="s">
        <v>95</v>
      </c>
      <c r="N3108" s="3" t="s">
        <v>1052</v>
      </c>
      <c r="O3108" s="3" t="s">
        <v>148</v>
      </c>
      <c r="P3108" s="3" t="str">
        <f>"2170815712                    "</f>
        <v xml:space="preserve">2170815712                    </v>
      </c>
      <c r="Q3108" s="3">
        <v>0</v>
      </c>
      <c r="R3108" s="3">
        <v>0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  <c r="AE3108" s="3">
        <v>0</v>
      </c>
      <c r="AF3108" s="3">
        <v>0</v>
      </c>
      <c r="AG3108" s="3">
        <v>0</v>
      </c>
      <c r="AH3108" s="3">
        <v>0</v>
      </c>
      <c r="AI3108" s="3">
        <v>0</v>
      </c>
      <c r="AJ3108" s="3">
        <v>0</v>
      </c>
      <c r="AK3108" s="3">
        <v>34.82</v>
      </c>
      <c r="AL3108" s="3">
        <v>0</v>
      </c>
      <c r="AM3108" s="3">
        <v>0</v>
      </c>
      <c r="AN3108" s="3">
        <v>0</v>
      </c>
      <c r="AO3108" s="3">
        <v>0</v>
      </c>
      <c r="AP3108" s="3">
        <v>0</v>
      </c>
      <c r="AQ3108" s="3">
        <v>0</v>
      </c>
      <c r="AR3108" s="3">
        <v>0</v>
      </c>
      <c r="AS3108" s="3">
        <v>0</v>
      </c>
      <c r="AT3108" s="3">
        <v>0</v>
      </c>
      <c r="AU3108" s="3">
        <v>0</v>
      </c>
      <c r="AV3108" s="3">
        <v>0</v>
      </c>
      <c r="AW3108" s="3">
        <v>0</v>
      </c>
      <c r="AX3108" s="3">
        <v>0</v>
      </c>
      <c r="AY3108" s="3">
        <v>0</v>
      </c>
      <c r="AZ3108" s="3">
        <v>0</v>
      </c>
      <c r="BA3108" s="3">
        <v>0</v>
      </c>
      <c r="BB3108" s="3">
        <v>0</v>
      </c>
      <c r="BC3108" s="3">
        <v>0</v>
      </c>
      <c r="BD3108" s="3">
        <v>0</v>
      </c>
      <c r="BE3108" s="3">
        <v>0</v>
      </c>
      <c r="BF3108" s="3">
        <v>0</v>
      </c>
      <c r="BG3108" s="3">
        <v>0</v>
      </c>
      <c r="BH3108" s="3">
        <v>1</v>
      </c>
      <c r="BI3108" s="3">
        <v>7</v>
      </c>
      <c r="BJ3108" s="3">
        <v>18.3</v>
      </c>
      <c r="BK3108" s="3">
        <v>19</v>
      </c>
      <c r="BL3108" s="3">
        <v>138.15</v>
      </c>
      <c r="BM3108" s="3">
        <v>20.72</v>
      </c>
      <c r="BN3108" s="3">
        <v>158.87</v>
      </c>
      <c r="BO3108" s="3">
        <v>158.87</v>
      </c>
      <c r="BQ3108" s="3" t="s">
        <v>83</v>
      </c>
      <c r="BR3108" s="3" t="s">
        <v>364</v>
      </c>
      <c r="BS3108" s="4">
        <v>44567</v>
      </c>
      <c r="BT3108" s="5">
        <v>0.4548611111111111</v>
      </c>
      <c r="BU3108" s="3" t="s">
        <v>2833</v>
      </c>
      <c r="BV3108" s="3" t="s">
        <v>105</v>
      </c>
      <c r="BY3108" s="3">
        <v>91264</v>
      </c>
      <c r="BZ3108" s="3" t="s">
        <v>327</v>
      </c>
      <c r="CA3108" s="3" t="s">
        <v>328</v>
      </c>
      <c r="CC3108" s="3" t="s">
        <v>95</v>
      </c>
      <c r="CD3108" s="3">
        <v>3201</v>
      </c>
      <c r="CE3108" s="3" t="s">
        <v>86</v>
      </c>
      <c r="CF3108" s="4">
        <v>44568</v>
      </c>
      <c r="CI3108" s="3">
        <v>1</v>
      </c>
      <c r="CJ3108" s="3">
        <v>1</v>
      </c>
      <c r="CK3108" s="3">
        <v>41</v>
      </c>
      <c r="CL3108" s="3" t="s">
        <v>87</v>
      </c>
    </row>
    <row r="3109" spans="1:90" x14ac:dyDescent="0.2">
      <c r="A3109" s="3" t="s">
        <v>72</v>
      </c>
      <c r="B3109" s="3" t="s">
        <v>73</v>
      </c>
      <c r="C3109" s="3" t="s">
        <v>74</v>
      </c>
      <c r="E3109" s="3" t="str">
        <f>"FES1162843436"</f>
        <v>FES1162843436</v>
      </c>
      <c r="F3109" s="4">
        <v>44565</v>
      </c>
      <c r="G3109" s="3">
        <v>202207</v>
      </c>
      <c r="H3109" s="3" t="s">
        <v>75</v>
      </c>
      <c r="I3109" s="3" t="s">
        <v>76</v>
      </c>
      <c r="J3109" s="3" t="s">
        <v>77</v>
      </c>
      <c r="K3109" s="3" t="s">
        <v>78</v>
      </c>
      <c r="L3109" s="3" t="s">
        <v>529</v>
      </c>
      <c r="M3109" s="3" t="s">
        <v>530</v>
      </c>
      <c r="N3109" s="3" t="s">
        <v>531</v>
      </c>
      <c r="O3109" s="3" t="s">
        <v>82</v>
      </c>
      <c r="P3109" s="3" t="str">
        <f>"2170813615                    "</f>
        <v xml:space="preserve">2170813615                    </v>
      </c>
      <c r="Q3109" s="3">
        <v>0</v>
      </c>
      <c r="R3109" s="3">
        <v>0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  <c r="AE3109" s="3">
        <v>0</v>
      </c>
      <c r="AF3109" s="3">
        <v>0</v>
      </c>
      <c r="AG3109" s="3">
        <v>0</v>
      </c>
      <c r="AH3109" s="3">
        <v>0</v>
      </c>
      <c r="AI3109" s="3">
        <v>0</v>
      </c>
      <c r="AJ3109" s="3">
        <v>0</v>
      </c>
      <c r="AK3109" s="3">
        <v>32.9</v>
      </c>
      <c r="AL3109" s="3">
        <v>0</v>
      </c>
      <c r="AM3109" s="3">
        <v>0</v>
      </c>
      <c r="AN3109" s="3">
        <v>0</v>
      </c>
      <c r="AO3109" s="3">
        <v>0</v>
      </c>
      <c r="AP3109" s="3">
        <v>0</v>
      </c>
      <c r="AQ3109" s="3">
        <v>0</v>
      </c>
      <c r="AR3109" s="3">
        <v>0</v>
      </c>
      <c r="AS3109" s="3">
        <v>0</v>
      </c>
      <c r="AT3109" s="3">
        <v>0</v>
      </c>
      <c r="AU3109" s="3">
        <v>0</v>
      </c>
      <c r="AV3109" s="3">
        <v>0</v>
      </c>
      <c r="AW3109" s="3">
        <v>0</v>
      </c>
      <c r="AX3109" s="3">
        <v>0</v>
      </c>
      <c r="AY3109" s="3">
        <v>0</v>
      </c>
      <c r="AZ3109" s="3">
        <v>0</v>
      </c>
      <c r="BA3109" s="3">
        <v>0</v>
      </c>
      <c r="BB3109" s="3">
        <v>0</v>
      </c>
      <c r="BC3109" s="3">
        <v>0</v>
      </c>
      <c r="BD3109" s="3">
        <v>0</v>
      </c>
      <c r="BE3109" s="3">
        <v>0</v>
      </c>
      <c r="BF3109" s="3">
        <v>0</v>
      </c>
      <c r="BG3109" s="3">
        <v>0</v>
      </c>
      <c r="BH3109" s="3">
        <v>1</v>
      </c>
      <c r="BI3109" s="3">
        <v>2</v>
      </c>
      <c r="BJ3109" s="3">
        <v>2</v>
      </c>
      <c r="BK3109" s="3">
        <v>2</v>
      </c>
      <c r="BL3109" s="3">
        <v>117.26</v>
      </c>
      <c r="BM3109" s="3">
        <v>17.59</v>
      </c>
      <c r="BN3109" s="3">
        <v>134.85</v>
      </c>
      <c r="BO3109" s="3">
        <v>134.85</v>
      </c>
      <c r="BQ3109" s="3" t="s">
        <v>83</v>
      </c>
      <c r="BR3109" s="3" t="s">
        <v>308</v>
      </c>
      <c r="BS3109" s="4">
        <v>44566</v>
      </c>
      <c r="BT3109" s="5">
        <v>0.48194444444444445</v>
      </c>
      <c r="BU3109" s="3" t="s">
        <v>826</v>
      </c>
      <c r="BV3109" s="3" t="s">
        <v>105</v>
      </c>
      <c r="BY3109" s="3">
        <v>10192</v>
      </c>
      <c r="BZ3109" s="3" t="s">
        <v>165</v>
      </c>
      <c r="CA3109" s="3" t="s">
        <v>328</v>
      </c>
      <c r="CC3109" s="3" t="s">
        <v>530</v>
      </c>
      <c r="CD3109" s="3">
        <v>6500</v>
      </c>
      <c r="CE3109" s="3" t="s">
        <v>86</v>
      </c>
      <c r="CF3109" s="4">
        <v>44566</v>
      </c>
      <c r="CI3109" s="3">
        <v>1</v>
      </c>
      <c r="CJ3109" s="3">
        <v>1</v>
      </c>
      <c r="CK3109" s="3">
        <v>23</v>
      </c>
      <c r="CL3109" s="3" t="s">
        <v>87</v>
      </c>
    </row>
    <row r="3110" spans="1:90" x14ac:dyDescent="0.2">
      <c r="A3110" s="3" t="s">
        <v>72</v>
      </c>
      <c r="B3110" s="3" t="s">
        <v>73</v>
      </c>
      <c r="C3110" s="3" t="s">
        <v>74</v>
      </c>
      <c r="E3110" s="3" t="str">
        <f>"FES1162843322"</f>
        <v>FES1162843322</v>
      </c>
      <c r="F3110" s="4">
        <v>44565</v>
      </c>
      <c r="G3110" s="3">
        <v>202207</v>
      </c>
      <c r="H3110" s="3" t="s">
        <v>75</v>
      </c>
      <c r="I3110" s="3" t="s">
        <v>76</v>
      </c>
      <c r="J3110" s="3" t="s">
        <v>77</v>
      </c>
      <c r="K3110" s="3" t="s">
        <v>78</v>
      </c>
      <c r="L3110" s="3" t="s">
        <v>75</v>
      </c>
      <c r="M3110" s="3" t="s">
        <v>76</v>
      </c>
      <c r="N3110" s="3" t="s">
        <v>2834</v>
      </c>
      <c r="O3110" s="3" t="s">
        <v>82</v>
      </c>
      <c r="P3110" s="3" t="str">
        <f>"2170811298                    "</f>
        <v xml:space="preserve">2170811298                    </v>
      </c>
      <c r="Q3110" s="3">
        <v>0</v>
      </c>
      <c r="R3110" s="3">
        <v>0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  <c r="AE3110" s="3">
        <v>0</v>
      </c>
      <c r="AF3110" s="3">
        <v>0</v>
      </c>
      <c r="AG3110" s="3">
        <v>0</v>
      </c>
      <c r="AH3110" s="3">
        <v>0</v>
      </c>
      <c r="AI3110" s="3">
        <v>0</v>
      </c>
      <c r="AJ3110" s="3">
        <v>0</v>
      </c>
      <c r="AK3110" s="3">
        <v>13.26</v>
      </c>
      <c r="AL3110" s="3">
        <v>0</v>
      </c>
      <c r="AM3110" s="3">
        <v>0</v>
      </c>
      <c r="AN3110" s="3">
        <v>0</v>
      </c>
      <c r="AO3110" s="3">
        <v>0</v>
      </c>
      <c r="AP3110" s="3">
        <v>0</v>
      </c>
      <c r="AQ3110" s="3">
        <v>0</v>
      </c>
      <c r="AR3110" s="3">
        <v>0</v>
      </c>
      <c r="AS3110" s="3">
        <v>0</v>
      </c>
      <c r="AT3110" s="3">
        <v>0</v>
      </c>
      <c r="AU3110" s="3">
        <v>0</v>
      </c>
      <c r="AV3110" s="3">
        <v>0</v>
      </c>
      <c r="AW3110" s="3">
        <v>0</v>
      </c>
      <c r="AX3110" s="3">
        <v>0</v>
      </c>
      <c r="AY3110" s="3">
        <v>0</v>
      </c>
      <c r="AZ3110" s="3">
        <v>0</v>
      </c>
      <c r="BA3110" s="3">
        <v>0</v>
      </c>
      <c r="BB3110" s="3">
        <v>0</v>
      </c>
      <c r="BC3110" s="3">
        <v>0</v>
      </c>
      <c r="BD3110" s="3">
        <v>0</v>
      </c>
      <c r="BE3110" s="3">
        <v>0</v>
      </c>
      <c r="BF3110" s="3">
        <v>0</v>
      </c>
      <c r="BG3110" s="3">
        <v>0</v>
      </c>
      <c r="BH3110" s="3">
        <v>1</v>
      </c>
      <c r="BI3110" s="3">
        <v>1</v>
      </c>
      <c r="BJ3110" s="3">
        <v>0.2</v>
      </c>
      <c r="BK3110" s="3">
        <v>1</v>
      </c>
      <c r="BL3110" s="3">
        <v>47.27</v>
      </c>
      <c r="BM3110" s="3">
        <v>7.09</v>
      </c>
      <c r="BN3110" s="3">
        <v>54.36</v>
      </c>
      <c r="BO3110" s="3">
        <v>54.36</v>
      </c>
      <c r="BQ3110" s="3" t="s">
        <v>2835</v>
      </c>
      <c r="BR3110" s="3" t="s">
        <v>308</v>
      </c>
      <c r="BS3110" s="4">
        <v>44566</v>
      </c>
      <c r="BT3110" s="5">
        <v>0.39097222222222222</v>
      </c>
      <c r="BU3110" s="3" t="s">
        <v>2836</v>
      </c>
      <c r="BV3110" s="3" t="s">
        <v>105</v>
      </c>
      <c r="BY3110" s="3">
        <v>1200</v>
      </c>
      <c r="BZ3110" s="3" t="s">
        <v>165</v>
      </c>
      <c r="CA3110" s="3" t="s">
        <v>477</v>
      </c>
      <c r="CC3110" s="3" t="s">
        <v>76</v>
      </c>
      <c r="CD3110" s="3">
        <v>1645</v>
      </c>
      <c r="CE3110" s="3" t="s">
        <v>93</v>
      </c>
      <c r="CF3110" s="4">
        <v>44566</v>
      </c>
      <c r="CI3110" s="3">
        <v>1</v>
      </c>
      <c r="CJ3110" s="3">
        <v>1</v>
      </c>
      <c r="CK3110" s="3">
        <v>22</v>
      </c>
      <c r="CL3110" s="3" t="s">
        <v>87</v>
      </c>
    </row>
    <row r="3111" spans="1:90" x14ac:dyDescent="0.2">
      <c r="A3111" s="3" t="s">
        <v>72</v>
      </c>
      <c r="B3111" s="3" t="s">
        <v>73</v>
      </c>
      <c r="C3111" s="3" t="s">
        <v>74</v>
      </c>
      <c r="E3111" s="3" t="str">
        <f>"FES1162843352"</f>
        <v>FES1162843352</v>
      </c>
      <c r="F3111" s="4">
        <v>44565</v>
      </c>
      <c r="G3111" s="3">
        <v>202207</v>
      </c>
      <c r="H3111" s="3" t="s">
        <v>75</v>
      </c>
      <c r="I3111" s="3" t="s">
        <v>76</v>
      </c>
      <c r="J3111" s="3" t="s">
        <v>77</v>
      </c>
      <c r="K3111" s="3" t="s">
        <v>78</v>
      </c>
      <c r="L3111" s="3" t="s">
        <v>107</v>
      </c>
      <c r="M3111" s="3" t="s">
        <v>108</v>
      </c>
      <c r="N3111" s="3" t="s">
        <v>582</v>
      </c>
      <c r="O3111" s="3" t="s">
        <v>82</v>
      </c>
      <c r="P3111" s="3" t="str">
        <f>"2170815464                    "</f>
        <v xml:space="preserve">2170815464                    </v>
      </c>
      <c r="Q3111" s="3">
        <v>0</v>
      </c>
      <c r="R3111" s="3">
        <v>0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  <c r="AE3111" s="3">
        <v>0</v>
      </c>
      <c r="AF3111" s="3">
        <v>0</v>
      </c>
      <c r="AG3111" s="3">
        <v>0</v>
      </c>
      <c r="AH3111" s="3">
        <v>0</v>
      </c>
      <c r="AI3111" s="3">
        <v>0</v>
      </c>
      <c r="AJ3111" s="3">
        <v>0</v>
      </c>
      <c r="AK3111" s="3">
        <v>32.9</v>
      </c>
      <c r="AL3111" s="3">
        <v>0</v>
      </c>
      <c r="AM3111" s="3">
        <v>0</v>
      </c>
      <c r="AN3111" s="3">
        <v>0</v>
      </c>
      <c r="AO3111" s="3">
        <v>0</v>
      </c>
      <c r="AP3111" s="3">
        <v>0</v>
      </c>
      <c r="AQ3111" s="3">
        <v>0</v>
      </c>
      <c r="AR3111" s="3">
        <v>0</v>
      </c>
      <c r="AS3111" s="3">
        <v>0</v>
      </c>
      <c r="AT3111" s="3">
        <v>0</v>
      </c>
      <c r="AU3111" s="3">
        <v>0</v>
      </c>
      <c r="AV3111" s="3">
        <v>0</v>
      </c>
      <c r="AW3111" s="3">
        <v>0</v>
      </c>
      <c r="AX3111" s="3">
        <v>0</v>
      </c>
      <c r="AY3111" s="3">
        <v>0</v>
      </c>
      <c r="AZ3111" s="3">
        <v>0</v>
      </c>
      <c r="BA3111" s="3">
        <v>0</v>
      </c>
      <c r="BB3111" s="3">
        <v>0</v>
      </c>
      <c r="BC3111" s="3">
        <v>0</v>
      </c>
      <c r="BD3111" s="3">
        <v>0</v>
      </c>
      <c r="BE3111" s="3">
        <v>0</v>
      </c>
      <c r="BF3111" s="3">
        <v>0</v>
      </c>
      <c r="BG3111" s="3">
        <v>0</v>
      </c>
      <c r="BH3111" s="3">
        <v>1</v>
      </c>
      <c r="BI3111" s="3">
        <v>1</v>
      </c>
      <c r="BJ3111" s="3">
        <v>0.2</v>
      </c>
      <c r="BK3111" s="3">
        <v>1</v>
      </c>
      <c r="BL3111" s="3">
        <v>117.26</v>
      </c>
      <c r="BM3111" s="3">
        <v>17.59</v>
      </c>
      <c r="BN3111" s="3">
        <v>134.85</v>
      </c>
      <c r="BO3111" s="3">
        <v>134.85</v>
      </c>
      <c r="BQ3111" s="3" t="s">
        <v>126</v>
      </c>
      <c r="BR3111" s="3" t="s">
        <v>308</v>
      </c>
      <c r="BS3111" s="4">
        <v>44566</v>
      </c>
      <c r="BT3111" s="5">
        <v>0.42777777777777781</v>
      </c>
      <c r="BU3111" s="3" t="s">
        <v>583</v>
      </c>
      <c r="BV3111" s="3" t="s">
        <v>105</v>
      </c>
      <c r="BY3111" s="3">
        <v>1200</v>
      </c>
      <c r="BZ3111" s="3" t="s">
        <v>165</v>
      </c>
      <c r="CA3111" s="3" t="s">
        <v>394</v>
      </c>
      <c r="CC3111" s="3" t="s">
        <v>108</v>
      </c>
      <c r="CD3111" s="3">
        <v>6850</v>
      </c>
      <c r="CE3111" s="3" t="s">
        <v>93</v>
      </c>
      <c r="CF3111" s="4">
        <v>44567</v>
      </c>
      <c r="CI3111" s="3">
        <v>2</v>
      </c>
      <c r="CJ3111" s="3">
        <v>1</v>
      </c>
      <c r="CK3111" s="3">
        <v>23</v>
      </c>
      <c r="CL3111" s="3" t="s">
        <v>87</v>
      </c>
    </row>
    <row r="3112" spans="1:90" x14ac:dyDescent="0.2">
      <c r="A3112" s="3" t="s">
        <v>72</v>
      </c>
      <c r="B3112" s="3" t="s">
        <v>73</v>
      </c>
      <c r="C3112" s="3" t="s">
        <v>74</v>
      </c>
      <c r="E3112" s="3" t="str">
        <f>"FES1162844163"</f>
        <v>FES1162844163</v>
      </c>
      <c r="F3112" s="4">
        <v>44568</v>
      </c>
      <c r="G3112" s="3">
        <v>202207</v>
      </c>
      <c r="H3112" s="3" t="s">
        <v>75</v>
      </c>
      <c r="I3112" s="3" t="s">
        <v>76</v>
      </c>
      <c r="J3112" s="3" t="s">
        <v>77</v>
      </c>
      <c r="K3112" s="3" t="s">
        <v>78</v>
      </c>
      <c r="L3112" s="3" t="s">
        <v>110</v>
      </c>
      <c r="M3112" s="3" t="s">
        <v>110</v>
      </c>
      <c r="N3112" s="3" t="s">
        <v>764</v>
      </c>
      <c r="O3112" s="3" t="s">
        <v>82</v>
      </c>
      <c r="P3112" s="3" t="str">
        <f>"2170808700                    "</f>
        <v xml:space="preserve">2170808700                    </v>
      </c>
      <c r="Q3112" s="3">
        <v>0</v>
      </c>
      <c r="R3112" s="3">
        <v>0</v>
      </c>
      <c r="S3112" s="3">
        <v>0</v>
      </c>
      <c r="T3112" s="3">
        <v>0</v>
      </c>
      <c r="U3112" s="3">
        <v>0</v>
      </c>
      <c r="V3112" s="3">
        <v>0</v>
      </c>
      <c r="W3112" s="3">
        <v>0</v>
      </c>
      <c r="X3112" s="3">
        <v>0</v>
      </c>
      <c r="Y3112" s="3">
        <v>0</v>
      </c>
      <c r="Z3112" s="3">
        <v>0</v>
      </c>
      <c r="AA3112" s="3">
        <v>0</v>
      </c>
      <c r="AB3112" s="3">
        <v>0</v>
      </c>
      <c r="AC3112" s="3">
        <v>0</v>
      </c>
      <c r="AD3112" s="3">
        <v>0</v>
      </c>
      <c r="AE3112" s="3">
        <v>0</v>
      </c>
      <c r="AF3112" s="3">
        <v>0</v>
      </c>
      <c r="AG3112" s="3">
        <v>0</v>
      </c>
      <c r="AH3112" s="3">
        <v>0</v>
      </c>
      <c r="AI3112" s="3">
        <v>0</v>
      </c>
      <c r="AJ3112" s="3">
        <v>0</v>
      </c>
      <c r="AK3112" s="3">
        <v>29.95</v>
      </c>
      <c r="AL3112" s="3">
        <v>0</v>
      </c>
      <c r="AM3112" s="3">
        <v>0</v>
      </c>
      <c r="AN3112" s="3">
        <v>0</v>
      </c>
      <c r="AO3112" s="3">
        <v>0</v>
      </c>
      <c r="AP3112" s="3">
        <v>0</v>
      </c>
      <c r="AQ3112" s="3">
        <v>0</v>
      </c>
      <c r="AR3112" s="3">
        <v>0</v>
      </c>
      <c r="AS3112" s="3">
        <v>0</v>
      </c>
      <c r="AT3112" s="3">
        <v>0</v>
      </c>
      <c r="AU3112" s="3">
        <v>0</v>
      </c>
      <c r="AV3112" s="3">
        <v>0</v>
      </c>
      <c r="AW3112" s="3">
        <v>0</v>
      </c>
      <c r="AX3112" s="3">
        <v>0</v>
      </c>
      <c r="AY3112" s="3">
        <v>0</v>
      </c>
      <c r="AZ3112" s="3">
        <v>0</v>
      </c>
      <c r="BA3112" s="3">
        <v>0</v>
      </c>
      <c r="BB3112" s="3">
        <v>0</v>
      </c>
      <c r="BC3112" s="3">
        <v>0</v>
      </c>
      <c r="BD3112" s="3">
        <v>0</v>
      </c>
      <c r="BE3112" s="3">
        <v>0</v>
      </c>
      <c r="BF3112" s="3">
        <v>0</v>
      </c>
      <c r="BG3112" s="3">
        <v>0</v>
      </c>
      <c r="BH3112" s="3">
        <v>1</v>
      </c>
      <c r="BI3112" s="3">
        <v>1</v>
      </c>
      <c r="BJ3112" s="3">
        <v>0.2</v>
      </c>
      <c r="BK3112" s="3">
        <v>1</v>
      </c>
      <c r="BL3112" s="3">
        <v>114.31</v>
      </c>
      <c r="BM3112" s="3">
        <v>17.149999999999999</v>
      </c>
      <c r="BN3112" s="3">
        <v>131.46</v>
      </c>
      <c r="BO3112" s="3">
        <v>131.46</v>
      </c>
      <c r="BQ3112" s="3" t="s">
        <v>83</v>
      </c>
      <c r="BR3112" s="3" t="s">
        <v>364</v>
      </c>
      <c r="BS3112" s="4">
        <v>44571</v>
      </c>
      <c r="BT3112" s="5">
        <v>0.48055555555555557</v>
      </c>
      <c r="BU3112" s="3" t="s">
        <v>2837</v>
      </c>
      <c r="BV3112" s="3" t="s">
        <v>105</v>
      </c>
      <c r="BY3112" s="3">
        <v>1200</v>
      </c>
      <c r="BZ3112" s="3" t="s">
        <v>165</v>
      </c>
      <c r="CA3112" s="3" t="s">
        <v>563</v>
      </c>
      <c r="CC3112" s="3" t="s">
        <v>110</v>
      </c>
      <c r="CD3112" s="3">
        <v>7646</v>
      </c>
      <c r="CE3112" s="3" t="s">
        <v>93</v>
      </c>
      <c r="CF3112" s="4">
        <v>44572</v>
      </c>
      <c r="CI3112" s="3">
        <v>1</v>
      </c>
      <c r="CJ3112" s="3">
        <v>1</v>
      </c>
      <c r="CK3112" s="3">
        <v>23</v>
      </c>
      <c r="CL3112" s="3" t="s">
        <v>87</v>
      </c>
    </row>
    <row r="3113" spans="1:90" x14ac:dyDescent="0.2">
      <c r="A3113" s="3" t="s">
        <v>72</v>
      </c>
      <c r="B3113" s="3" t="s">
        <v>73</v>
      </c>
      <c r="C3113" s="3" t="s">
        <v>74</v>
      </c>
      <c r="E3113" s="3" t="str">
        <f>"FES1162844000"</f>
        <v>FES1162844000</v>
      </c>
      <c r="F3113" s="4">
        <v>44568</v>
      </c>
      <c r="G3113" s="3">
        <v>202207</v>
      </c>
      <c r="H3113" s="3" t="s">
        <v>75</v>
      </c>
      <c r="I3113" s="3" t="s">
        <v>76</v>
      </c>
      <c r="J3113" s="3" t="s">
        <v>77</v>
      </c>
      <c r="K3113" s="3" t="s">
        <v>78</v>
      </c>
      <c r="L3113" s="3" t="s">
        <v>101</v>
      </c>
      <c r="M3113" s="3" t="s">
        <v>102</v>
      </c>
      <c r="N3113" s="3" t="s">
        <v>340</v>
      </c>
      <c r="O3113" s="3" t="s">
        <v>82</v>
      </c>
      <c r="P3113" s="3" t="str">
        <f>"2170815774                    "</f>
        <v xml:space="preserve">2170815774                    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  <c r="AE3113" s="3">
        <v>0</v>
      </c>
      <c r="AF3113" s="3">
        <v>0</v>
      </c>
      <c r="AG3113" s="3">
        <v>0</v>
      </c>
      <c r="AH3113" s="3">
        <v>0</v>
      </c>
      <c r="AI3113" s="3">
        <v>0</v>
      </c>
      <c r="AJ3113" s="3">
        <v>0</v>
      </c>
      <c r="AK3113" s="3">
        <v>15.46</v>
      </c>
      <c r="AL3113" s="3">
        <v>0</v>
      </c>
      <c r="AM3113" s="3">
        <v>0</v>
      </c>
      <c r="AN3113" s="3">
        <v>0</v>
      </c>
      <c r="AO3113" s="3">
        <v>0</v>
      </c>
      <c r="AP3113" s="3">
        <v>0</v>
      </c>
      <c r="AQ3113" s="3">
        <v>0</v>
      </c>
      <c r="AR3113" s="3">
        <v>0</v>
      </c>
      <c r="AS3113" s="3">
        <v>0</v>
      </c>
      <c r="AT3113" s="3">
        <v>0</v>
      </c>
      <c r="AU3113" s="3">
        <v>0</v>
      </c>
      <c r="AV3113" s="3">
        <v>0</v>
      </c>
      <c r="AW3113" s="3">
        <v>0</v>
      </c>
      <c r="AX3113" s="3">
        <v>0</v>
      </c>
      <c r="AY3113" s="3">
        <v>0</v>
      </c>
      <c r="AZ3113" s="3">
        <v>0</v>
      </c>
      <c r="BA3113" s="3">
        <v>0</v>
      </c>
      <c r="BB3113" s="3">
        <v>0</v>
      </c>
      <c r="BC3113" s="3">
        <v>0</v>
      </c>
      <c r="BD3113" s="3">
        <v>0</v>
      </c>
      <c r="BE3113" s="3">
        <v>0</v>
      </c>
      <c r="BF3113" s="3">
        <v>0</v>
      </c>
      <c r="BG3113" s="3">
        <v>0</v>
      </c>
      <c r="BH3113" s="3">
        <v>1</v>
      </c>
      <c r="BI3113" s="3">
        <v>1</v>
      </c>
      <c r="BJ3113" s="3">
        <v>0.2</v>
      </c>
      <c r="BK3113" s="3">
        <v>1</v>
      </c>
      <c r="BL3113" s="3">
        <v>59</v>
      </c>
      <c r="BM3113" s="3">
        <v>8.85</v>
      </c>
      <c r="BN3113" s="3">
        <v>67.849999999999994</v>
      </c>
      <c r="BO3113" s="3">
        <v>67.849999999999994</v>
      </c>
      <c r="BQ3113" s="3" t="s">
        <v>341</v>
      </c>
      <c r="BR3113" s="3" t="s">
        <v>364</v>
      </c>
      <c r="BS3113" s="4">
        <v>44571</v>
      </c>
      <c r="BT3113" s="5">
        <v>0.35625000000000001</v>
      </c>
      <c r="BU3113" s="3" t="s">
        <v>342</v>
      </c>
      <c r="BV3113" s="3" t="s">
        <v>105</v>
      </c>
      <c r="BY3113" s="3">
        <v>1200</v>
      </c>
      <c r="BZ3113" s="3" t="s">
        <v>165</v>
      </c>
      <c r="CA3113" s="3" t="s">
        <v>343</v>
      </c>
      <c r="CC3113" s="3" t="s">
        <v>102</v>
      </c>
      <c r="CD3113" s="3">
        <v>4001</v>
      </c>
      <c r="CE3113" s="3" t="s">
        <v>93</v>
      </c>
      <c r="CF3113" s="4">
        <v>44571</v>
      </c>
      <c r="CI3113" s="3">
        <v>1</v>
      </c>
      <c r="CJ3113" s="3">
        <v>1</v>
      </c>
      <c r="CK3113" s="3">
        <v>21</v>
      </c>
      <c r="CL3113" s="3" t="s">
        <v>87</v>
      </c>
    </row>
    <row r="3114" spans="1:90" x14ac:dyDescent="0.2">
      <c r="A3114" s="3" t="s">
        <v>72</v>
      </c>
      <c r="B3114" s="3" t="s">
        <v>73</v>
      </c>
      <c r="C3114" s="3" t="s">
        <v>74</v>
      </c>
      <c r="E3114" s="3" t="str">
        <f>"FES1162843995"</f>
        <v>FES1162843995</v>
      </c>
      <c r="F3114" s="4">
        <v>44568</v>
      </c>
      <c r="G3114" s="3">
        <v>202207</v>
      </c>
      <c r="H3114" s="3" t="s">
        <v>75</v>
      </c>
      <c r="I3114" s="3" t="s">
        <v>76</v>
      </c>
      <c r="J3114" s="3" t="s">
        <v>77</v>
      </c>
      <c r="K3114" s="3" t="s">
        <v>78</v>
      </c>
      <c r="L3114" s="3" t="s">
        <v>90</v>
      </c>
      <c r="M3114" s="3" t="s">
        <v>91</v>
      </c>
      <c r="N3114" s="3" t="s">
        <v>2254</v>
      </c>
      <c r="O3114" s="3" t="s">
        <v>82</v>
      </c>
      <c r="P3114" s="3" t="str">
        <f>"2170815663                    "</f>
        <v xml:space="preserve">2170815663                    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  <c r="AE3114" s="3">
        <v>0</v>
      </c>
      <c r="AF3114" s="3">
        <v>0</v>
      </c>
      <c r="AG3114" s="3">
        <v>0</v>
      </c>
      <c r="AH3114" s="3">
        <v>0</v>
      </c>
      <c r="AI3114" s="3">
        <v>0</v>
      </c>
      <c r="AJ3114" s="3">
        <v>0</v>
      </c>
      <c r="AK3114" s="3">
        <v>15.46</v>
      </c>
      <c r="AL3114" s="3">
        <v>0</v>
      </c>
      <c r="AM3114" s="3">
        <v>0</v>
      </c>
      <c r="AN3114" s="3">
        <v>0</v>
      </c>
      <c r="AO3114" s="3">
        <v>0</v>
      </c>
      <c r="AP3114" s="3">
        <v>0</v>
      </c>
      <c r="AQ3114" s="3">
        <v>0</v>
      </c>
      <c r="AR3114" s="3">
        <v>0</v>
      </c>
      <c r="AS3114" s="3">
        <v>0</v>
      </c>
      <c r="AT3114" s="3">
        <v>0</v>
      </c>
      <c r="AU3114" s="3">
        <v>0</v>
      </c>
      <c r="AV3114" s="3">
        <v>0</v>
      </c>
      <c r="AW3114" s="3">
        <v>0</v>
      </c>
      <c r="AX3114" s="3">
        <v>0</v>
      </c>
      <c r="AY3114" s="3">
        <v>0</v>
      </c>
      <c r="AZ3114" s="3">
        <v>0</v>
      </c>
      <c r="BA3114" s="3">
        <v>0</v>
      </c>
      <c r="BB3114" s="3">
        <v>0</v>
      </c>
      <c r="BC3114" s="3">
        <v>0</v>
      </c>
      <c r="BD3114" s="3">
        <v>0</v>
      </c>
      <c r="BE3114" s="3">
        <v>0</v>
      </c>
      <c r="BF3114" s="3">
        <v>0</v>
      </c>
      <c r="BG3114" s="3">
        <v>0</v>
      </c>
      <c r="BH3114" s="3">
        <v>1</v>
      </c>
      <c r="BI3114" s="3">
        <v>1</v>
      </c>
      <c r="BJ3114" s="3">
        <v>0.2</v>
      </c>
      <c r="BK3114" s="3">
        <v>1</v>
      </c>
      <c r="BL3114" s="3">
        <v>59</v>
      </c>
      <c r="BM3114" s="3">
        <v>8.85</v>
      </c>
      <c r="BN3114" s="3">
        <v>67.849999999999994</v>
      </c>
      <c r="BO3114" s="3">
        <v>67.849999999999994</v>
      </c>
      <c r="BQ3114" s="3" t="s">
        <v>83</v>
      </c>
      <c r="BR3114" s="3" t="s">
        <v>364</v>
      </c>
      <c r="BS3114" s="4">
        <v>44571</v>
      </c>
      <c r="BT3114" s="5">
        <v>0.38611111111111113</v>
      </c>
      <c r="BU3114" s="3" t="s">
        <v>2838</v>
      </c>
      <c r="BV3114" s="3" t="s">
        <v>105</v>
      </c>
      <c r="BY3114" s="3">
        <v>1200</v>
      </c>
      <c r="BZ3114" s="3" t="s">
        <v>165</v>
      </c>
      <c r="CA3114" s="3" t="s">
        <v>748</v>
      </c>
      <c r="CC3114" s="3" t="s">
        <v>91</v>
      </c>
      <c r="CD3114" s="3">
        <v>7493</v>
      </c>
      <c r="CE3114" s="3" t="s">
        <v>93</v>
      </c>
      <c r="CF3114" s="4">
        <v>44572</v>
      </c>
      <c r="CI3114" s="3">
        <v>1</v>
      </c>
      <c r="CJ3114" s="3">
        <v>1</v>
      </c>
      <c r="CK3114" s="3">
        <v>21</v>
      </c>
      <c r="CL3114" s="3" t="s">
        <v>87</v>
      </c>
    </row>
    <row r="3115" spans="1:90" x14ac:dyDescent="0.2">
      <c r="A3115" s="3" t="s">
        <v>72</v>
      </c>
      <c r="B3115" s="3" t="s">
        <v>73</v>
      </c>
      <c r="C3115" s="3" t="s">
        <v>74</v>
      </c>
      <c r="E3115" s="3" t="str">
        <f>"FES1162844095"</f>
        <v>FES1162844095</v>
      </c>
      <c r="F3115" s="4">
        <v>44568</v>
      </c>
      <c r="G3115" s="3">
        <v>202207</v>
      </c>
      <c r="H3115" s="3" t="s">
        <v>75</v>
      </c>
      <c r="I3115" s="3" t="s">
        <v>76</v>
      </c>
      <c r="J3115" s="3" t="s">
        <v>77</v>
      </c>
      <c r="K3115" s="3" t="s">
        <v>78</v>
      </c>
      <c r="L3115" s="3" t="s">
        <v>90</v>
      </c>
      <c r="M3115" s="3" t="s">
        <v>91</v>
      </c>
      <c r="N3115" s="3" t="s">
        <v>735</v>
      </c>
      <c r="O3115" s="3" t="s">
        <v>82</v>
      </c>
      <c r="P3115" s="3" t="str">
        <f>"2170806193                    "</f>
        <v xml:space="preserve">2170806193                    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0</v>
      </c>
      <c r="AC3115" s="3">
        <v>0</v>
      </c>
      <c r="AD3115" s="3">
        <v>0</v>
      </c>
      <c r="AE3115" s="3">
        <v>0</v>
      </c>
      <c r="AF3115" s="3">
        <v>0</v>
      </c>
      <c r="AG3115" s="3">
        <v>0</v>
      </c>
      <c r="AH3115" s="3">
        <v>0</v>
      </c>
      <c r="AI3115" s="3">
        <v>0</v>
      </c>
      <c r="AJ3115" s="3">
        <v>0</v>
      </c>
      <c r="AK3115" s="3">
        <v>15.46</v>
      </c>
      <c r="AL3115" s="3">
        <v>0</v>
      </c>
      <c r="AM3115" s="3">
        <v>0</v>
      </c>
      <c r="AN3115" s="3">
        <v>0</v>
      </c>
      <c r="AO3115" s="3">
        <v>0</v>
      </c>
      <c r="AP3115" s="3">
        <v>0</v>
      </c>
      <c r="AQ3115" s="3">
        <v>0</v>
      </c>
      <c r="AR3115" s="3">
        <v>0</v>
      </c>
      <c r="AS3115" s="3">
        <v>0</v>
      </c>
      <c r="AT3115" s="3">
        <v>0</v>
      </c>
      <c r="AU3115" s="3">
        <v>0</v>
      </c>
      <c r="AV3115" s="3">
        <v>0</v>
      </c>
      <c r="AW3115" s="3">
        <v>0</v>
      </c>
      <c r="AX3115" s="3">
        <v>0</v>
      </c>
      <c r="AY3115" s="3">
        <v>0</v>
      </c>
      <c r="AZ3115" s="3">
        <v>0</v>
      </c>
      <c r="BA3115" s="3">
        <v>0</v>
      </c>
      <c r="BB3115" s="3">
        <v>0</v>
      </c>
      <c r="BC3115" s="3">
        <v>0</v>
      </c>
      <c r="BD3115" s="3">
        <v>0</v>
      </c>
      <c r="BE3115" s="3">
        <v>0</v>
      </c>
      <c r="BF3115" s="3">
        <v>0</v>
      </c>
      <c r="BG3115" s="3">
        <v>0</v>
      </c>
      <c r="BH3115" s="3">
        <v>1</v>
      </c>
      <c r="BI3115" s="3">
        <v>1</v>
      </c>
      <c r="BJ3115" s="3">
        <v>0.2</v>
      </c>
      <c r="BK3115" s="3">
        <v>1</v>
      </c>
      <c r="BL3115" s="3">
        <v>59</v>
      </c>
      <c r="BM3115" s="3">
        <v>8.85</v>
      </c>
      <c r="BN3115" s="3">
        <v>67.849999999999994</v>
      </c>
      <c r="BO3115" s="3">
        <v>67.849999999999994</v>
      </c>
      <c r="BQ3115" s="3" t="s">
        <v>273</v>
      </c>
      <c r="BR3115" s="3" t="s">
        <v>364</v>
      </c>
      <c r="BS3115" s="4">
        <v>44571</v>
      </c>
      <c r="BT3115" s="5">
        <v>0.33402777777777781</v>
      </c>
      <c r="BU3115" s="3" t="s">
        <v>736</v>
      </c>
      <c r="BV3115" s="3" t="s">
        <v>105</v>
      </c>
      <c r="BY3115" s="3">
        <v>1200</v>
      </c>
      <c r="BZ3115" s="3" t="s">
        <v>165</v>
      </c>
      <c r="CA3115" s="3" t="s">
        <v>566</v>
      </c>
      <c r="CC3115" s="3" t="s">
        <v>91</v>
      </c>
      <c r="CD3115" s="3">
        <v>7460</v>
      </c>
      <c r="CE3115" s="3" t="s">
        <v>93</v>
      </c>
      <c r="CF3115" s="4">
        <v>44572</v>
      </c>
      <c r="CI3115" s="3">
        <v>1</v>
      </c>
      <c r="CJ3115" s="3">
        <v>1</v>
      </c>
      <c r="CK3115" s="3">
        <v>21</v>
      </c>
      <c r="CL3115" s="3" t="s">
        <v>87</v>
      </c>
    </row>
    <row r="3116" spans="1:90" x14ac:dyDescent="0.2">
      <c r="A3116" s="3" t="s">
        <v>72</v>
      </c>
      <c r="B3116" s="3" t="s">
        <v>73</v>
      </c>
      <c r="C3116" s="3" t="s">
        <v>74</v>
      </c>
      <c r="E3116" s="3" t="str">
        <f>"FES1162844027"</f>
        <v>FES1162844027</v>
      </c>
      <c r="F3116" s="4">
        <v>44568</v>
      </c>
      <c r="G3116" s="3">
        <v>202207</v>
      </c>
      <c r="H3116" s="3" t="s">
        <v>75</v>
      </c>
      <c r="I3116" s="3" t="s">
        <v>76</v>
      </c>
      <c r="J3116" s="3" t="s">
        <v>77</v>
      </c>
      <c r="K3116" s="3" t="s">
        <v>78</v>
      </c>
      <c r="L3116" s="3" t="s">
        <v>90</v>
      </c>
      <c r="M3116" s="3" t="s">
        <v>91</v>
      </c>
      <c r="N3116" s="3" t="s">
        <v>132</v>
      </c>
      <c r="O3116" s="3" t="s">
        <v>82</v>
      </c>
      <c r="P3116" s="3" t="str">
        <f>"2170815836                    "</f>
        <v xml:space="preserve">2170815836                    </v>
      </c>
      <c r="Q3116" s="3">
        <v>0</v>
      </c>
      <c r="R3116" s="3">
        <v>0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  <c r="AE3116" s="3">
        <v>0</v>
      </c>
      <c r="AF3116" s="3">
        <v>0</v>
      </c>
      <c r="AG3116" s="3">
        <v>0</v>
      </c>
      <c r="AH3116" s="3">
        <v>0</v>
      </c>
      <c r="AI3116" s="3">
        <v>0</v>
      </c>
      <c r="AJ3116" s="3">
        <v>0</v>
      </c>
      <c r="AK3116" s="3">
        <v>15.46</v>
      </c>
      <c r="AL3116" s="3">
        <v>0</v>
      </c>
      <c r="AM3116" s="3">
        <v>0</v>
      </c>
      <c r="AN3116" s="3">
        <v>0</v>
      </c>
      <c r="AO3116" s="3">
        <v>0</v>
      </c>
      <c r="AP3116" s="3">
        <v>0</v>
      </c>
      <c r="AQ3116" s="3">
        <v>0</v>
      </c>
      <c r="AR3116" s="3">
        <v>0</v>
      </c>
      <c r="AS3116" s="3">
        <v>0</v>
      </c>
      <c r="AT3116" s="3">
        <v>0</v>
      </c>
      <c r="AU3116" s="3">
        <v>0</v>
      </c>
      <c r="AV3116" s="3">
        <v>0</v>
      </c>
      <c r="AW3116" s="3">
        <v>0</v>
      </c>
      <c r="AX3116" s="3">
        <v>0</v>
      </c>
      <c r="AY3116" s="3">
        <v>0</v>
      </c>
      <c r="AZ3116" s="3">
        <v>0</v>
      </c>
      <c r="BA3116" s="3">
        <v>0</v>
      </c>
      <c r="BB3116" s="3">
        <v>0</v>
      </c>
      <c r="BC3116" s="3">
        <v>0</v>
      </c>
      <c r="BD3116" s="3">
        <v>0</v>
      </c>
      <c r="BE3116" s="3">
        <v>0</v>
      </c>
      <c r="BF3116" s="3">
        <v>0</v>
      </c>
      <c r="BG3116" s="3">
        <v>0</v>
      </c>
      <c r="BH3116" s="3">
        <v>1</v>
      </c>
      <c r="BI3116" s="3">
        <v>1</v>
      </c>
      <c r="BJ3116" s="3">
        <v>0.2</v>
      </c>
      <c r="BK3116" s="3">
        <v>1</v>
      </c>
      <c r="BL3116" s="3">
        <v>59</v>
      </c>
      <c r="BM3116" s="3">
        <v>8.85</v>
      </c>
      <c r="BN3116" s="3">
        <v>67.849999999999994</v>
      </c>
      <c r="BO3116" s="3">
        <v>67.849999999999994</v>
      </c>
      <c r="BQ3116" s="3" t="s">
        <v>83</v>
      </c>
      <c r="BR3116" s="3" t="s">
        <v>364</v>
      </c>
      <c r="BS3116" s="4">
        <v>44571</v>
      </c>
      <c r="BT3116" s="5">
        <v>0.40208333333333335</v>
      </c>
      <c r="BU3116" s="3" t="s">
        <v>2108</v>
      </c>
      <c r="BV3116" s="3" t="s">
        <v>105</v>
      </c>
      <c r="BY3116" s="3">
        <v>1200</v>
      </c>
      <c r="BZ3116" s="3" t="s">
        <v>165</v>
      </c>
      <c r="CA3116" s="3" t="s">
        <v>641</v>
      </c>
      <c r="CC3116" s="3" t="s">
        <v>91</v>
      </c>
      <c r="CD3116" s="3">
        <v>7530</v>
      </c>
      <c r="CE3116" s="3" t="s">
        <v>93</v>
      </c>
      <c r="CF3116" s="4">
        <v>44572</v>
      </c>
      <c r="CI3116" s="3">
        <v>1</v>
      </c>
      <c r="CJ3116" s="3">
        <v>1</v>
      </c>
      <c r="CK3116" s="3">
        <v>21</v>
      </c>
      <c r="CL3116" s="3" t="s">
        <v>87</v>
      </c>
    </row>
    <row r="3117" spans="1:90" x14ac:dyDescent="0.2">
      <c r="A3117" s="3" t="s">
        <v>72</v>
      </c>
      <c r="B3117" s="3" t="s">
        <v>73</v>
      </c>
      <c r="C3117" s="3" t="s">
        <v>74</v>
      </c>
      <c r="E3117" s="3" t="str">
        <f>"FES1162843915"</f>
        <v>FES1162843915</v>
      </c>
      <c r="F3117" s="4">
        <v>44568</v>
      </c>
      <c r="G3117" s="3">
        <v>202207</v>
      </c>
      <c r="H3117" s="3" t="s">
        <v>75</v>
      </c>
      <c r="I3117" s="3" t="s">
        <v>76</v>
      </c>
      <c r="J3117" s="3" t="s">
        <v>77</v>
      </c>
      <c r="K3117" s="3" t="s">
        <v>78</v>
      </c>
      <c r="L3117" s="3" t="s">
        <v>171</v>
      </c>
      <c r="M3117" s="3" t="s">
        <v>172</v>
      </c>
      <c r="N3117" s="3" t="s">
        <v>200</v>
      </c>
      <c r="O3117" s="3" t="s">
        <v>82</v>
      </c>
      <c r="P3117" s="3" t="str">
        <f>"2170812138                    "</f>
        <v xml:space="preserve">2170812138                    </v>
      </c>
      <c r="Q3117" s="3">
        <v>0</v>
      </c>
      <c r="R3117" s="3">
        <v>0</v>
      </c>
      <c r="S3117" s="3">
        <v>0</v>
      </c>
      <c r="T3117" s="3">
        <v>0</v>
      </c>
      <c r="U3117" s="3">
        <v>0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0</v>
      </c>
      <c r="AC3117" s="3">
        <v>0</v>
      </c>
      <c r="AD3117" s="3">
        <v>0</v>
      </c>
      <c r="AE3117" s="3">
        <v>0</v>
      </c>
      <c r="AF3117" s="3">
        <v>0</v>
      </c>
      <c r="AG3117" s="3">
        <v>0</v>
      </c>
      <c r="AH3117" s="3">
        <v>0</v>
      </c>
      <c r="AI3117" s="3">
        <v>0</v>
      </c>
      <c r="AJ3117" s="3">
        <v>0</v>
      </c>
      <c r="AK3117" s="3">
        <v>15.46</v>
      </c>
      <c r="AL3117" s="3">
        <v>0</v>
      </c>
      <c r="AM3117" s="3">
        <v>0</v>
      </c>
      <c r="AN3117" s="3">
        <v>0</v>
      </c>
      <c r="AO3117" s="3">
        <v>0</v>
      </c>
      <c r="AP3117" s="3">
        <v>0</v>
      </c>
      <c r="AQ3117" s="3">
        <v>0</v>
      </c>
      <c r="AR3117" s="3">
        <v>0</v>
      </c>
      <c r="AS3117" s="3">
        <v>0</v>
      </c>
      <c r="AT3117" s="3">
        <v>0</v>
      </c>
      <c r="AU3117" s="3">
        <v>0</v>
      </c>
      <c r="AV3117" s="3">
        <v>0</v>
      </c>
      <c r="AW3117" s="3">
        <v>0</v>
      </c>
      <c r="AX3117" s="3">
        <v>0</v>
      </c>
      <c r="AY3117" s="3">
        <v>0</v>
      </c>
      <c r="AZ3117" s="3">
        <v>0</v>
      </c>
      <c r="BA3117" s="3">
        <v>0</v>
      </c>
      <c r="BB3117" s="3">
        <v>0</v>
      </c>
      <c r="BC3117" s="3">
        <v>0</v>
      </c>
      <c r="BD3117" s="3">
        <v>0</v>
      </c>
      <c r="BE3117" s="3">
        <v>0</v>
      </c>
      <c r="BF3117" s="3">
        <v>0</v>
      </c>
      <c r="BG3117" s="3">
        <v>0</v>
      </c>
      <c r="BH3117" s="3">
        <v>1</v>
      </c>
      <c r="BI3117" s="3">
        <v>1</v>
      </c>
      <c r="BJ3117" s="3">
        <v>0.2</v>
      </c>
      <c r="BK3117" s="3">
        <v>1</v>
      </c>
      <c r="BL3117" s="3">
        <v>59</v>
      </c>
      <c r="BM3117" s="3">
        <v>8.85</v>
      </c>
      <c r="BN3117" s="3">
        <v>67.849999999999994</v>
      </c>
      <c r="BO3117" s="3">
        <v>67.849999999999994</v>
      </c>
      <c r="BQ3117" s="3" t="s">
        <v>89</v>
      </c>
      <c r="BR3117" s="3" t="s">
        <v>364</v>
      </c>
      <c r="BS3117" s="4">
        <v>44571</v>
      </c>
      <c r="BT3117" s="5">
        <v>0.3347222222222222</v>
      </c>
      <c r="BU3117" s="3" t="s">
        <v>908</v>
      </c>
      <c r="BV3117" s="3" t="s">
        <v>105</v>
      </c>
      <c r="BY3117" s="3">
        <v>1200</v>
      </c>
      <c r="BZ3117" s="3" t="s">
        <v>165</v>
      </c>
      <c r="CA3117" s="3" t="s">
        <v>814</v>
      </c>
      <c r="CC3117" s="3" t="s">
        <v>172</v>
      </c>
      <c r="CD3117" s="3">
        <v>6001</v>
      </c>
      <c r="CE3117" s="3" t="s">
        <v>93</v>
      </c>
      <c r="CF3117" s="4">
        <v>44571</v>
      </c>
      <c r="CI3117" s="3">
        <v>1</v>
      </c>
      <c r="CJ3117" s="3">
        <v>1</v>
      </c>
      <c r="CK3117" s="3">
        <v>21</v>
      </c>
      <c r="CL3117" s="3" t="s">
        <v>87</v>
      </c>
    </row>
    <row r="3118" spans="1:90" x14ac:dyDescent="0.2">
      <c r="A3118" s="3" t="s">
        <v>72</v>
      </c>
      <c r="B3118" s="3" t="s">
        <v>73</v>
      </c>
      <c r="C3118" s="3" t="s">
        <v>74</v>
      </c>
      <c r="E3118" s="3" t="str">
        <f>"FES1162844207"</f>
        <v>FES1162844207</v>
      </c>
      <c r="F3118" s="4">
        <v>44568</v>
      </c>
      <c r="G3118" s="3">
        <v>202207</v>
      </c>
      <c r="H3118" s="3" t="s">
        <v>75</v>
      </c>
      <c r="I3118" s="3" t="s">
        <v>76</v>
      </c>
      <c r="J3118" s="3" t="s">
        <v>77</v>
      </c>
      <c r="K3118" s="3" t="s">
        <v>78</v>
      </c>
      <c r="L3118" s="3" t="s">
        <v>75</v>
      </c>
      <c r="M3118" s="3" t="s">
        <v>76</v>
      </c>
      <c r="N3118" s="3" t="s">
        <v>688</v>
      </c>
      <c r="O3118" s="3" t="s">
        <v>82</v>
      </c>
      <c r="P3118" s="3" t="str">
        <f>"2170815962                    "</f>
        <v xml:space="preserve">2170815962                    </v>
      </c>
      <c r="Q3118" s="3">
        <v>0</v>
      </c>
      <c r="R3118" s="3">
        <v>0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  <c r="AE3118" s="3">
        <v>0</v>
      </c>
      <c r="AF3118" s="3">
        <v>0</v>
      </c>
      <c r="AG3118" s="3">
        <v>0</v>
      </c>
      <c r="AH3118" s="3">
        <v>0</v>
      </c>
      <c r="AI3118" s="3">
        <v>0</v>
      </c>
      <c r="AJ3118" s="3">
        <v>0</v>
      </c>
      <c r="AK3118" s="3">
        <v>12.07</v>
      </c>
      <c r="AL3118" s="3">
        <v>0</v>
      </c>
      <c r="AM3118" s="3">
        <v>0</v>
      </c>
      <c r="AN3118" s="3">
        <v>0</v>
      </c>
      <c r="AO3118" s="3">
        <v>0</v>
      </c>
      <c r="AP3118" s="3">
        <v>0</v>
      </c>
      <c r="AQ3118" s="3">
        <v>0</v>
      </c>
      <c r="AR3118" s="3">
        <v>0</v>
      </c>
      <c r="AS3118" s="3">
        <v>0</v>
      </c>
      <c r="AT3118" s="3">
        <v>0</v>
      </c>
      <c r="AU3118" s="3">
        <v>0</v>
      </c>
      <c r="AV3118" s="3">
        <v>0</v>
      </c>
      <c r="AW3118" s="3">
        <v>0</v>
      </c>
      <c r="AX3118" s="3">
        <v>0</v>
      </c>
      <c r="AY3118" s="3">
        <v>0</v>
      </c>
      <c r="AZ3118" s="3">
        <v>0</v>
      </c>
      <c r="BA3118" s="3">
        <v>0</v>
      </c>
      <c r="BB3118" s="3">
        <v>0</v>
      </c>
      <c r="BC3118" s="3">
        <v>0</v>
      </c>
      <c r="BD3118" s="3">
        <v>0</v>
      </c>
      <c r="BE3118" s="3">
        <v>0</v>
      </c>
      <c r="BF3118" s="3">
        <v>0</v>
      </c>
      <c r="BG3118" s="3">
        <v>0</v>
      </c>
      <c r="BH3118" s="3">
        <v>1</v>
      </c>
      <c r="BI3118" s="3">
        <v>1</v>
      </c>
      <c r="BJ3118" s="3">
        <v>0.2</v>
      </c>
      <c r="BK3118" s="3">
        <v>1</v>
      </c>
      <c r="BL3118" s="3">
        <v>46.08</v>
      </c>
      <c r="BM3118" s="3">
        <v>6.91</v>
      </c>
      <c r="BN3118" s="3">
        <v>52.99</v>
      </c>
      <c r="BO3118" s="3">
        <v>52.99</v>
      </c>
      <c r="BQ3118" s="3" t="s">
        <v>83</v>
      </c>
      <c r="BR3118" s="3" t="s">
        <v>364</v>
      </c>
      <c r="BS3118" s="4">
        <v>44571</v>
      </c>
      <c r="BT3118" s="5">
        <v>0.29930555555555555</v>
      </c>
      <c r="BU3118" s="3" t="s">
        <v>1016</v>
      </c>
      <c r="BV3118" s="3" t="s">
        <v>105</v>
      </c>
      <c r="BY3118" s="3">
        <v>1200</v>
      </c>
      <c r="BZ3118" s="3" t="s">
        <v>165</v>
      </c>
      <c r="CA3118" s="3" t="s">
        <v>227</v>
      </c>
      <c r="CC3118" s="3" t="s">
        <v>76</v>
      </c>
      <c r="CD3118" s="3">
        <v>1620</v>
      </c>
      <c r="CE3118" s="3" t="s">
        <v>93</v>
      </c>
      <c r="CF3118" s="4">
        <v>44571</v>
      </c>
      <c r="CI3118" s="3">
        <v>1</v>
      </c>
      <c r="CJ3118" s="3">
        <v>1</v>
      </c>
      <c r="CK3118" s="3">
        <v>22</v>
      </c>
      <c r="CL3118" s="3" t="s">
        <v>87</v>
      </c>
    </row>
    <row r="3119" spans="1:90" x14ac:dyDescent="0.2">
      <c r="A3119" s="3" t="s">
        <v>72</v>
      </c>
      <c r="B3119" s="3" t="s">
        <v>73</v>
      </c>
      <c r="C3119" s="3" t="s">
        <v>74</v>
      </c>
      <c r="E3119" s="3" t="str">
        <f>"FES1162844107"</f>
        <v>FES1162844107</v>
      </c>
      <c r="F3119" s="4">
        <v>44568</v>
      </c>
      <c r="G3119" s="3">
        <v>202207</v>
      </c>
      <c r="H3119" s="3" t="s">
        <v>75</v>
      </c>
      <c r="I3119" s="3" t="s">
        <v>76</v>
      </c>
      <c r="J3119" s="3" t="s">
        <v>77</v>
      </c>
      <c r="K3119" s="3" t="s">
        <v>78</v>
      </c>
      <c r="L3119" s="3" t="s">
        <v>176</v>
      </c>
      <c r="M3119" s="3" t="s">
        <v>177</v>
      </c>
      <c r="N3119" s="3" t="s">
        <v>178</v>
      </c>
      <c r="O3119" s="3" t="s">
        <v>82</v>
      </c>
      <c r="P3119" s="3" t="str">
        <f>"2170815900                    "</f>
        <v xml:space="preserve">2170815900                    </v>
      </c>
      <c r="Q3119" s="3">
        <v>0</v>
      </c>
      <c r="R3119" s="3">
        <v>0</v>
      </c>
      <c r="S3119" s="3">
        <v>0</v>
      </c>
      <c r="T3119" s="3">
        <v>0</v>
      </c>
      <c r="U3119" s="3">
        <v>0</v>
      </c>
      <c r="V3119" s="3">
        <v>0</v>
      </c>
      <c r="W3119" s="3">
        <v>0</v>
      </c>
      <c r="X3119" s="3">
        <v>0</v>
      </c>
      <c r="Y3119" s="3">
        <v>0</v>
      </c>
      <c r="Z3119" s="3">
        <v>0</v>
      </c>
      <c r="AA3119" s="3">
        <v>0</v>
      </c>
      <c r="AB3119" s="3">
        <v>0</v>
      </c>
      <c r="AC3119" s="3">
        <v>0</v>
      </c>
      <c r="AD3119" s="3">
        <v>0</v>
      </c>
      <c r="AE3119" s="3">
        <v>0</v>
      </c>
      <c r="AF3119" s="3">
        <v>0</v>
      </c>
      <c r="AG3119" s="3">
        <v>0</v>
      </c>
      <c r="AH3119" s="3">
        <v>0</v>
      </c>
      <c r="AI3119" s="3">
        <v>0</v>
      </c>
      <c r="AJ3119" s="3">
        <v>0</v>
      </c>
      <c r="AK3119" s="3">
        <v>15.46</v>
      </c>
      <c r="AL3119" s="3">
        <v>0</v>
      </c>
      <c r="AM3119" s="3">
        <v>0</v>
      </c>
      <c r="AN3119" s="3">
        <v>0</v>
      </c>
      <c r="AO3119" s="3">
        <v>0</v>
      </c>
      <c r="AP3119" s="3">
        <v>0</v>
      </c>
      <c r="AQ3119" s="3">
        <v>0</v>
      </c>
      <c r="AR3119" s="3">
        <v>0</v>
      </c>
      <c r="AS3119" s="3">
        <v>0</v>
      </c>
      <c r="AT3119" s="3">
        <v>0</v>
      </c>
      <c r="AU3119" s="3">
        <v>0</v>
      </c>
      <c r="AV3119" s="3">
        <v>0</v>
      </c>
      <c r="AW3119" s="3">
        <v>0</v>
      </c>
      <c r="AX3119" s="3">
        <v>0</v>
      </c>
      <c r="AY3119" s="3">
        <v>0</v>
      </c>
      <c r="AZ3119" s="3">
        <v>0</v>
      </c>
      <c r="BA3119" s="3">
        <v>0</v>
      </c>
      <c r="BB3119" s="3">
        <v>0</v>
      </c>
      <c r="BC3119" s="3">
        <v>0</v>
      </c>
      <c r="BD3119" s="3">
        <v>0</v>
      </c>
      <c r="BE3119" s="3">
        <v>0</v>
      </c>
      <c r="BF3119" s="3">
        <v>0</v>
      </c>
      <c r="BG3119" s="3">
        <v>0</v>
      </c>
      <c r="BH3119" s="3">
        <v>1</v>
      </c>
      <c r="BI3119" s="3">
        <v>1</v>
      </c>
      <c r="BJ3119" s="3">
        <v>1.1000000000000001</v>
      </c>
      <c r="BK3119" s="3">
        <v>1.5</v>
      </c>
      <c r="BL3119" s="3">
        <v>59</v>
      </c>
      <c r="BM3119" s="3">
        <v>8.85</v>
      </c>
      <c r="BN3119" s="3">
        <v>67.849999999999994</v>
      </c>
      <c r="BO3119" s="3">
        <v>67.849999999999994</v>
      </c>
      <c r="BQ3119" s="3" t="s">
        <v>83</v>
      </c>
      <c r="BR3119" s="3" t="s">
        <v>364</v>
      </c>
      <c r="BS3119" s="4">
        <v>44571</v>
      </c>
      <c r="BT3119" s="5">
        <v>0.41041666666666665</v>
      </c>
      <c r="BU3119" s="3" t="s">
        <v>933</v>
      </c>
      <c r="BV3119" s="3" t="s">
        <v>105</v>
      </c>
      <c r="BY3119" s="3">
        <v>5320</v>
      </c>
      <c r="BZ3119" s="3" t="s">
        <v>165</v>
      </c>
      <c r="CA3119" s="3" t="s">
        <v>528</v>
      </c>
      <c r="CC3119" s="3" t="s">
        <v>177</v>
      </c>
      <c r="CD3119" s="3">
        <v>4026</v>
      </c>
      <c r="CE3119" s="3" t="s">
        <v>86</v>
      </c>
      <c r="CF3119" s="4">
        <v>44571</v>
      </c>
      <c r="CI3119" s="3">
        <v>1</v>
      </c>
      <c r="CJ3119" s="3">
        <v>1</v>
      </c>
      <c r="CK3119" s="3">
        <v>21</v>
      </c>
      <c r="CL3119" s="3" t="s">
        <v>87</v>
      </c>
    </row>
    <row r="3120" spans="1:90" x14ac:dyDescent="0.2">
      <c r="A3120" s="3" t="s">
        <v>72</v>
      </c>
      <c r="B3120" s="3" t="s">
        <v>73</v>
      </c>
      <c r="C3120" s="3" t="s">
        <v>74</v>
      </c>
      <c r="E3120" s="3" t="str">
        <f>"FES1162844072"</f>
        <v>FES1162844072</v>
      </c>
      <c r="F3120" s="4">
        <v>44568</v>
      </c>
      <c r="G3120" s="3">
        <v>202207</v>
      </c>
      <c r="H3120" s="3" t="s">
        <v>75</v>
      </c>
      <c r="I3120" s="3" t="s">
        <v>76</v>
      </c>
      <c r="J3120" s="3" t="s">
        <v>77</v>
      </c>
      <c r="K3120" s="3" t="s">
        <v>78</v>
      </c>
      <c r="L3120" s="3" t="s">
        <v>184</v>
      </c>
      <c r="M3120" s="3" t="s">
        <v>185</v>
      </c>
      <c r="N3120" s="3" t="s">
        <v>503</v>
      </c>
      <c r="O3120" s="3" t="s">
        <v>82</v>
      </c>
      <c r="P3120" s="3" t="str">
        <f>"2170811804                    "</f>
        <v xml:space="preserve">2170811804                    </v>
      </c>
      <c r="Q3120" s="3">
        <v>0</v>
      </c>
      <c r="R3120" s="3">
        <v>0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  <c r="AE3120" s="3">
        <v>0</v>
      </c>
      <c r="AF3120" s="3">
        <v>0</v>
      </c>
      <c r="AG3120" s="3">
        <v>0</v>
      </c>
      <c r="AH3120" s="3">
        <v>0</v>
      </c>
      <c r="AI3120" s="3">
        <v>0</v>
      </c>
      <c r="AJ3120" s="3">
        <v>0</v>
      </c>
      <c r="AK3120" s="3">
        <v>42.49</v>
      </c>
      <c r="AL3120" s="3">
        <v>0</v>
      </c>
      <c r="AM3120" s="3">
        <v>0</v>
      </c>
      <c r="AN3120" s="3">
        <v>0</v>
      </c>
      <c r="AO3120" s="3">
        <v>0</v>
      </c>
      <c r="AP3120" s="3">
        <v>0</v>
      </c>
      <c r="AQ3120" s="3">
        <v>0</v>
      </c>
      <c r="AR3120" s="3">
        <v>0</v>
      </c>
      <c r="AS3120" s="3">
        <v>0</v>
      </c>
      <c r="AT3120" s="3">
        <v>0</v>
      </c>
      <c r="AU3120" s="3">
        <v>0</v>
      </c>
      <c r="AV3120" s="3">
        <v>0</v>
      </c>
      <c r="AW3120" s="3">
        <v>0</v>
      </c>
      <c r="AX3120" s="3">
        <v>0</v>
      </c>
      <c r="AY3120" s="3">
        <v>0</v>
      </c>
      <c r="AZ3120" s="3">
        <v>0</v>
      </c>
      <c r="BA3120" s="3">
        <v>0</v>
      </c>
      <c r="BB3120" s="3">
        <v>0</v>
      </c>
      <c r="BC3120" s="3">
        <v>0</v>
      </c>
      <c r="BD3120" s="3">
        <v>0</v>
      </c>
      <c r="BE3120" s="3">
        <v>0</v>
      </c>
      <c r="BF3120" s="3">
        <v>0</v>
      </c>
      <c r="BG3120" s="3">
        <v>0</v>
      </c>
      <c r="BH3120" s="3">
        <v>2</v>
      </c>
      <c r="BI3120" s="3">
        <v>5</v>
      </c>
      <c r="BJ3120" s="3">
        <v>5.0999999999999996</v>
      </c>
      <c r="BK3120" s="3">
        <v>5.5</v>
      </c>
      <c r="BL3120" s="3">
        <v>162.19</v>
      </c>
      <c r="BM3120" s="3">
        <v>24.33</v>
      </c>
      <c r="BN3120" s="3">
        <v>186.52</v>
      </c>
      <c r="BO3120" s="3">
        <v>186.52</v>
      </c>
      <c r="BQ3120" s="3" t="s">
        <v>89</v>
      </c>
      <c r="BR3120" s="3" t="s">
        <v>364</v>
      </c>
      <c r="BS3120" s="4">
        <v>44571</v>
      </c>
      <c r="BT3120" s="5">
        <v>0.5493055555555556</v>
      </c>
      <c r="BU3120" s="3" t="s">
        <v>2839</v>
      </c>
      <c r="BV3120" s="3" t="s">
        <v>87</v>
      </c>
      <c r="BW3120" s="3" t="s">
        <v>1747</v>
      </c>
      <c r="BX3120" s="3" t="s">
        <v>605</v>
      </c>
      <c r="BY3120" s="3">
        <v>25678</v>
      </c>
      <c r="BZ3120" s="3" t="s">
        <v>165</v>
      </c>
      <c r="CA3120" s="3" t="s">
        <v>2534</v>
      </c>
      <c r="CC3120" s="3" t="s">
        <v>185</v>
      </c>
      <c r="CD3120" s="3">
        <v>5201</v>
      </c>
      <c r="CE3120" s="3" t="s">
        <v>221</v>
      </c>
      <c r="CF3120" s="4">
        <v>44571</v>
      </c>
      <c r="CI3120" s="3">
        <v>1</v>
      </c>
      <c r="CJ3120" s="3">
        <v>1</v>
      </c>
      <c r="CK3120" s="3">
        <v>21</v>
      </c>
      <c r="CL3120" s="3" t="s">
        <v>87</v>
      </c>
    </row>
    <row r="3121" spans="1:90" x14ac:dyDescent="0.2">
      <c r="A3121" s="3" t="s">
        <v>72</v>
      </c>
      <c r="B3121" s="3" t="s">
        <v>73</v>
      </c>
      <c r="C3121" s="3" t="s">
        <v>74</v>
      </c>
      <c r="E3121" s="3" t="str">
        <f>"FES1162844099"</f>
        <v>FES1162844099</v>
      </c>
      <c r="F3121" s="4">
        <v>44568</v>
      </c>
      <c r="G3121" s="3">
        <v>202207</v>
      </c>
      <c r="H3121" s="3" t="s">
        <v>75</v>
      </c>
      <c r="I3121" s="3" t="s">
        <v>76</v>
      </c>
      <c r="J3121" s="3" t="s">
        <v>77</v>
      </c>
      <c r="K3121" s="3" t="s">
        <v>78</v>
      </c>
      <c r="L3121" s="3" t="s">
        <v>101</v>
      </c>
      <c r="M3121" s="3" t="s">
        <v>102</v>
      </c>
      <c r="N3121" s="3" t="s">
        <v>103</v>
      </c>
      <c r="O3121" s="3" t="s">
        <v>82</v>
      </c>
      <c r="P3121" s="3" t="str">
        <f>"2170810348                    "</f>
        <v xml:space="preserve">2170810348                    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  <c r="AE3121" s="3">
        <v>0</v>
      </c>
      <c r="AF3121" s="3">
        <v>0</v>
      </c>
      <c r="AG3121" s="3">
        <v>0</v>
      </c>
      <c r="AH3121" s="3">
        <v>0</v>
      </c>
      <c r="AI3121" s="3">
        <v>0</v>
      </c>
      <c r="AJ3121" s="3">
        <v>0</v>
      </c>
      <c r="AK3121" s="3">
        <v>61.81</v>
      </c>
      <c r="AL3121" s="3">
        <v>0</v>
      </c>
      <c r="AM3121" s="3">
        <v>0</v>
      </c>
      <c r="AN3121" s="3">
        <v>0</v>
      </c>
      <c r="AO3121" s="3">
        <v>0</v>
      </c>
      <c r="AP3121" s="3">
        <v>0</v>
      </c>
      <c r="AQ3121" s="3">
        <v>0</v>
      </c>
      <c r="AR3121" s="3">
        <v>0</v>
      </c>
      <c r="AS3121" s="3">
        <v>0</v>
      </c>
      <c r="AT3121" s="3">
        <v>0</v>
      </c>
      <c r="AU3121" s="3">
        <v>0</v>
      </c>
      <c r="AV3121" s="3">
        <v>0</v>
      </c>
      <c r="AW3121" s="3">
        <v>0</v>
      </c>
      <c r="AX3121" s="3">
        <v>0</v>
      </c>
      <c r="AY3121" s="3">
        <v>0</v>
      </c>
      <c r="AZ3121" s="3">
        <v>0</v>
      </c>
      <c r="BA3121" s="3">
        <v>0</v>
      </c>
      <c r="BB3121" s="3">
        <v>0</v>
      </c>
      <c r="BC3121" s="3">
        <v>0</v>
      </c>
      <c r="BD3121" s="3">
        <v>0</v>
      </c>
      <c r="BE3121" s="3">
        <v>0</v>
      </c>
      <c r="BF3121" s="3">
        <v>0</v>
      </c>
      <c r="BG3121" s="3">
        <v>0</v>
      </c>
      <c r="BH3121" s="3">
        <v>2</v>
      </c>
      <c r="BI3121" s="3">
        <v>8</v>
      </c>
      <c r="BJ3121" s="3">
        <v>3.8</v>
      </c>
      <c r="BK3121" s="3">
        <v>8</v>
      </c>
      <c r="BL3121" s="3">
        <v>235.91</v>
      </c>
      <c r="BM3121" s="3">
        <v>35.39</v>
      </c>
      <c r="BN3121" s="3">
        <v>271.3</v>
      </c>
      <c r="BO3121" s="3">
        <v>271.3</v>
      </c>
      <c r="BQ3121" s="3" t="s">
        <v>83</v>
      </c>
      <c r="BR3121" s="3" t="s">
        <v>364</v>
      </c>
      <c r="BS3121" s="4">
        <v>44571</v>
      </c>
      <c r="BT3121" s="5">
        <v>0.31875000000000003</v>
      </c>
      <c r="BU3121" s="3" t="s">
        <v>104</v>
      </c>
      <c r="BV3121" s="3" t="s">
        <v>105</v>
      </c>
      <c r="BY3121" s="3">
        <v>9464</v>
      </c>
      <c r="BZ3121" s="3" t="s">
        <v>165</v>
      </c>
      <c r="CA3121" s="3" t="s">
        <v>106</v>
      </c>
      <c r="CC3121" s="3" t="s">
        <v>102</v>
      </c>
      <c r="CD3121" s="3">
        <v>4001</v>
      </c>
      <c r="CE3121" s="3" t="s">
        <v>221</v>
      </c>
      <c r="CF3121" s="4">
        <v>44571</v>
      </c>
      <c r="CI3121" s="3">
        <v>1</v>
      </c>
      <c r="CJ3121" s="3">
        <v>1</v>
      </c>
      <c r="CK3121" s="3">
        <v>21</v>
      </c>
      <c r="CL3121" s="3" t="s">
        <v>87</v>
      </c>
    </row>
    <row r="3122" spans="1:90" x14ac:dyDescent="0.2">
      <c r="A3122" s="3" t="s">
        <v>72</v>
      </c>
      <c r="B3122" s="3" t="s">
        <v>73</v>
      </c>
      <c r="C3122" s="3" t="s">
        <v>74</v>
      </c>
      <c r="E3122" s="3" t="str">
        <f>"FES1162844053"</f>
        <v>FES1162844053</v>
      </c>
      <c r="F3122" s="4">
        <v>44568</v>
      </c>
      <c r="G3122" s="3">
        <v>202207</v>
      </c>
      <c r="H3122" s="3" t="s">
        <v>75</v>
      </c>
      <c r="I3122" s="3" t="s">
        <v>76</v>
      </c>
      <c r="J3122" s="3" t="s">
        <v>77</v>
      </c>
      <c r="K3122" s="3" t="s">
        <v>78</v>
      </c>
      <c r="L3122" s="3" t="s">
        <v>110</v>
      </c>
      <c r="M3122" s="3" t="s">
        <v>110</v>
      </c>
      <c r="N3122" s="3" t="s">
        <v>146</v>
      </c>
      <c r="O3122" s="3" t="s">
        <v>82</v>
      </c>
      <c r="P3122" s="3" t="str">
        <f>"2170815861                    "</f>
        <v xml:space="preserve">2170815861                    </v>
      </c>
      <c r="Q3122" s="3">
        <v>0</v>
      </c>
      <c r="R3122" s="3">
        <v>0</v>
      </c>
      <c r="S3122" s="3">
        <v>0</v>
      </c>
      <c r="T3122" s="3">
        <v>0</v>
      </c>
      <c r="U3122" s="3">
        <v>0</v>
      </c>
      <c r="V3122" s="3">
        <v>0</v>
      </c>
      <c r="W3122" s="3">
        <v>0</v>
      </c>
      <c r="X3122" s="3">
        <v>0</v>
      </c>
      <c r="Y3122" s="3">
        <v>0</v>
      </c>
      <c r="Z3122" s="3">
        <v>0</v>
      </c>
      <c r="AA3122" s="3">
        <v>0</v>
      </c>
      <c r="AB3122" s="3">
        <v>0</v>
      </c>
      <c r="AC3122" s="3">
        <v>0</v>
      </c>
      <c r="AD3122" s="3">
        <v>0</v>
      </c>
      <c r="AE3122" s="3">
        <v>0</v>
      </c>
      <c r="AF3122" s="3">
        <v>0</v>
      </c>
      <c r="AG3122" s="3">
        <v>0</v>
      </c>
      <c r="AH3122" s="3">
        <v>0</v>
      </c>
      <c r="AI3122" s="3">
        <v>0</v>
      </c>
      <c r="AJ3122" s="3">
        <v>0</v>
      </c>
      <c r="AK3122" s="3">
        <v>131.38999999999999</v>
      </c>
      <c r="AL3122" s="3">
        <v>0</v>
      </c>
      <c r="AM3122" s="3">
        <v>0</v>
      </c>
      <c r="AN3122" s="3">
        <v>0</v>
      </c>
      <c r="AO3122" s="3">
        <v>0</v>
      </c>
      <c r="AP3122" s="3">
        <v>0</v>
      </c>
      <c r="AQ3122" s="3">
        <v>0</v>
      </c>
      <c r="AR3122" s="3">
        <v>0</v>
      </c>
      <c r="AS3122" s="3">
        <v>0</v>
      </c>
      <c r="AT3122" s="3">
        <v>0</v>
      </c>
      <c r="AU3122" s="3">
        <v>0</v>
      </c>
      <c r="AV3122" s="3">
        <v>0</v>
      </c>
      <c r="AW3122" s="3">
        <v>0</v>
      </c>
      <c r="AX3122" s="3">
        <v>0</v>
      </c>
      <c r="AY3122" s="3">
        <v>0</v>
      </c>
      <c r="AZ3122" s="3">
        <v>0</v>
      </c>
      <c r="BA3122" s="3">
        <v>0</v>
      </c>
      <c r="BB3122" s="3">
        <v>0</v>
      </c>
      <c r="BC3122" s="3">
        <v>0</v>
      </c>
      <c r="BD3122" s="3">
        <v>0</v>
      </c>
      <c r="BE3122" s="3">
        <v>0</v>
      </c>
      <c r="BF3122" s="3">
        <v>0</v>
      </c>
      <c r="BG3122" s="3">
        <v>0</v>
      </c>
      <c r="BH3122" s="3">
        <v>1</v>
      </c>
      <c r="BI3122" s="3">
        <v>7</v>
      </c>
      <c r="BJ3122" s="3">
        <v>9.1</v>
      </c>
      <c r="BK3122" s="3">
        <v>9.5</v>
      </c>
      <c r="BL3122" s="3">
        <v>501.5</v>
      </c>
      <c r="BM3122" s="3">
        <v>75.23</v>
      </c>
      <c r="BN3122" s="3">
        <v>576.73</v>
      </c>
      <c r="BO3122" s="3">
        <v>576.73</v>
      </c>
      <c r="BQ3122" s="3" t="s">
        <v>89</v>
      </c>
      <c r="BR3122" s="3" t="s">
        <v>364</v>
      </c>
      <c r="BS3122" s="4">
        <v>44571</v>
      </c>
      <c r="BT3122" s="5">
        <v>0.48749999999999999</v>
      </c>
      <c r="BU3122" s="3" t="s">
        <v>1177</v>
      </c>
      <c r="BV3122" s="3" t="s">
        <v>105</v>
      </c>
      <c r="BY3122" s="3">
        <v>45632</v>
      </c>
      <c r="BZ3122" s="3" t="s">
        <v>165</v>
      </c>
      <c r="CA3122" s="3" t="s">
        <v>563</v>
      </c>
      <c r="CC3122" s="3" t="s">
        <v>110</v>
      </c>
      <c r="CD3122" s="3">
        <v>7646</v>
      </c>
      <c r="CE3122" s="3" t="s">
        <v>86</v>
      </c>
      <c r="CF3122" s="4">
        <v>44572</v>
      </c>
      <c r="CI3122" s="3">
        <v>1</v>
      </c>
      <c r="CJ3122" s="3">
        <v>1</v>
      </c>
      <c r="CK3122" s="3">
        <v>23</v>
      </c>
      <c r="CL3122" s="3" t="s">
        <v>87</v>
      </c>
    </row>
    <row r="3123" spans="1:90" x14ac:dyDescent="0.2">
      <c r="A3123" s="3" t="s">
        <v>72</v>
      </c>
      <c r="B3123" s="3" t="s">
        <v>73</v>
      </c>
      <c r="C3123" s="3" t="s">
        <v>74</v>
      </c>
      <c r="E3123" s="3" t="str">
        <f>"FES1162843940"</f>
        <v>FES1162843940</v>
      </c>
      <c r="F3123" s="4">
        <v>44568</v>
      </c>
      <c r="G3123" s="3">
        <v>202207</v>
      </c>
      <c r="H3123" s="3" t="s">
        <v>75</v>
      </c>
      <c r="I3123" s="3" t="s">
        <v>76</v>
      </c>
      <c r="J3123" s="3" t="s">
        <v>77</v>
      </c>
      <c r="K3123" s="3" t="s">
        <v>78</v>
      </c>
      <c r="L3123" s="3" t="s">
        <v>90</v>
      </c>
      <c r="M3123" s="3" t="s">
        <v>91</v>
      </c>
      <c r="N3123" s="3" t="s">
        <v>2683</v>
      </c>
      <c r="O3123" s="3" t="s">
        <v>82</v>
      </c>
      <c r="P3123" s="3" t="str">
        <f>"2170813715                    "</f>
        <v xml:space="preserve">2170813715                    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  <c r="W3123" s="3">
        <v>0</v>
      </c>
      <c r="X3123" s="3">
        <v>0</v>
      </c>
      <c r="Y3123" s="3">
        <v>0</v>
      </c>
      <c r="Z3123" s="3">
        <v>0</v>
      </c>
      <c r="AA3123" s="3">
        <v>0</v>
      </c>
      <c r="AB3123" s="3">
        <v>0</v>
      </c>
      <c r="AC3123" s="3">
        <v>0</v>
      </c>
      <c r="AD3123" s="3">
        <v>0</v>
      </c>
      <c r="AE3123" s="3">
        <v>0</v>
      </c>
      <c r="AF3123" s="3">
        <v>0</v>
      </c>
      <c r="AG3123" s="3">
        <v>0</v>
      </c>
      <c r="AH3123" s="3">
        <v>0</v>
      </c>
      <c r="AI3123" s="3">
        <v>0</v>
      </c>
      <c r="AJ3123" s="3">
        <v>0</v>
      </c>
      <c r="AK3123" s="3">
        <v>15.46</v>
      </c>
      <c r="AL3123" s="3">
        <v>0</v>
      </c>
      <c r="AM3123" s="3">
        <v>0</v>
      </c>
      <c r="AN3123" s="3">
        <v>0</v>
      </c>
      <c r="AO3123" s="3">
        <v>0</v>
      </c>
      <c r="AP3123" s="3">
        <v>0</v>
      </c>
      <c r="AQ3123" s="3">
        <v>0</v>
      </c>
      <c r="AR3123" s="3">
        <v>0</v>
      </c>
      <c r="AS3123" s="3">
        <v>0</v>
      </c>
      <c r="AT3123" s="3">
        <v>0</v>
      </c>
      <c r="AU3123" s="3">
        <v>0</v>
      </c>
      <c r="AV3123" s="3">
        <v>0</v>
      </c>
      <c r="AW3123" s="3">
        <v>0</v>
      </c>
      <c r="AX3123" s="3">
        <v>0</v>
      </c>
      <c r="AY3123" s="3">
        <v>0</v>
      </c>
      <c r="AZ3123" s="3">
        <v>0</v>
      </c>
      <c r="BA3123" s="3">
        <v>0</v>
      </c>
      <c r="BB3123" s="3">
        <v>0</v>
      </c>
      <c r="BC3123" s="3">
        <v>0</v>
      </c>
      <c r="BD3123" s="3">
        <v>0</v>
      </c>
      <c r="BE3123" s="3">
        <v>0</v>
      </c>
      <c r="BF3123" s="3">
        <v>0</v>
      </c>
      <c r="BG3123" s="3">
        <v>0</v>
      </c>
      <c r="BH3123" s="3">
        <v>1</v>
      </c>
      <c r="BI3123" s="3">
        <v>1</v>
      </c>
      <c r="BJ3123" s="3">
        <v>0.2</v>
      </c>
      <c r="BK3123" s="3">
        <v>1</v>
      </c>
      <c r="BL3123" s="3">
        <v>59</v>
      </c>
      <c r="BM3123" s="3">
        <v>8.85</v>
      </c>
      <c r="BN3123" s="3">
        <v>67.849999999999994</v>
      </c>
      <c r="BO3123" s="3">
        <v>67.849999999999994</v>
      </c>
      <c r="BQ3123" s="3" t="s">
        <v>83</v>
      </c>
      <c r="BR3123" s="3" t="s">
        <v>364</v>
      </c>
      <c r="BS3123" s="4">
        <v>44571</v>
      </c>
      <c r="BT3123" s="5">
        <v>0.36527777777777781</v>
      </c>
      <c r="BU3123" s="3" t="s">
        <v>2684</v>
      </c>
      <c r="BV3123" s="3" t="s">
        <v>105</v>
      </c>
      <c r="BY3123" s="3">
        <v>1200</v>
      </c>
      <c r="BZ3123" s="3" t="s">
        <v>165</v>
      </c>
      <c r="CA3123" s="3" t="s">
        <v>289</v>
      </c>
      <c r="CC3123" s="3" t="s">
        <v>91</v>
      </c>
      <c r="CD3123" s="3">
        <v>7441</v>
      </c>
      <c r="CE3123" s="3" t="s">
        <v>93</v>
      </c>
      <c r="CF3123" s="4">
        <v>44572</v>
      </c>
      <c r="CI3123" s="3">
        <v>1</v>
      </c>
      <c r="CJ3123" s="3">
        <v>1</v>
      </c>
      <c r="CK3123" s="3">
        <v>21</v>
      </c>
      <c r="CL3123" s="3" t="s">
        <v>87</v>
      </c>
    </row>
    <row r="3124" spans="1:90" x14ac:dyDescent="0.2">
      <c r="A3124" s="3" t="s">
        <v>72</v>
      </c>
      <c r="B3124" s="3" t="s">
        <v>73</v>
      </c>
      <c r="C3124" s="3" t="s">
        <v>74</v>
      </c>
      <c r="E3124" s="3" t="str">
        <f>"FES1162844078"</f>
        <v>FES1162844078</v>
      </c>
      <c r="F3124" s="4">
        <v>44568</v>
      </c>
      <c r="G3124" s="3">
        <v>202207</v>
      </c>
      <c r="H3124" s="3" t="s">
        <v>75</v>
      </c>
      <c r="I3124" s="3" t="s">
        <v>76</v>
      </c>
      <c r="J3124" s="3" t="s">
        <v>77</v>
      </c>
      <c r="K3124" s="3" t="s">
        <v>78</v>
      </c>
      <c r="L3124" s="3" t="s">
        <v>75</v>
      </c>
      <c r="M3124" s="3" t="s">
        <v>76</v>
      </c>
      <c r="N3124" s="3" t="s">
        <v>560</v>
      </c>
      <c r="O3124" s="3" t="s">
        <v>82</v>
      </c>
      <c r="P3124" s="3" t="str">
        <f>"2170812791                    "</f>
        <v xml:space="preserve">2170812791                    </v>
      </c>
      <c r="Q3124" s="3">
        <v>0</v>
      </c>
      <c r="R3124" s="3">
        <v>0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  <c r="AE3124" s="3">
        <v>0</v>
      </c>
      <c r="AF3124" s="3">
        <v>0</v>
      </c>
      <c r="AG3124" s="3">
        <v>0</v>
      </c>
      <c r="AH3124" s="3">
        <v>0</v>
      </c>
      <c r="AI3124" s="3">
        <v>0</v>
      </c>
      <c r="AJ3124" s="3">
        <v>0</v>
      </c>
      <c r="AK3124" s="3">
        <v>12.07</v>
      </c>
      <c r="AL3124" s="3">
        <v>0</v>
      </c>
      <c r="AM3124" s="3">
        <v>0</v>
      </c>
      <c r="AN3124" s="3">
        <v>0</v>
      </c>
      <c r="AO3124" s="3">
        <v>0</v>
      </c>
      <c r="AP3124" s="3">
        <v>0</v>
      </c>
      <c r="AQ3124" s="3">
        <v>0</v>
      </c>
      <c r="AR3124" s="3">
        <v>0</v>
      </c>
      <c r="AS3124" s="3">
        <v>0</v>
      </c>
      <c r="AT3124" s="3">
        <v>0</v>
      </c>
      <c r="AU3124" s="3">
        <v>0</v>
      </c>
      <c r="AV3124" s="3">
        <v>0</v>
      </c>
      <c r="AW3124" s="3">
        <v>0</v>
      </c>
      <c r="AX3124" s="3">
        <v>0</v>
      </c>
      <c r="AY3124" s="3">
        <v>0</v>
      </c>
      <c r="AZ3124" s="3">
        <v>0</v>
      </c>
      <c r="BA3124" s="3">
        <v>0</v>
      </c>
      <c r="BB3124" s="3">
        <v>0</v>
      </c>
      <c r="BC3124" s="3">
        <v>0</v>
      </c>
      <c r="BD3124" s="3">
        <v>0</v>
      </c>
      <c r="BE3124" s="3">
        <v>0</v>
      </c>
      <c r="BF3124" s="3">
        <v>0</v>
      </c>
      <c r="BG3124" s="3">
        <v>0</v>
      </c>
      <c r="BH3124" s="3">
        <v>1</v>
      </c>
      <c r="BI3124" s="3">
        <v>1</v>
      </c>
      <c r="BJ3124" s="3">
        <v>4.0999999999999996</v>
      </c>
      <c r="BK3124" s="3">
        <v>4.5</v>
      </c>
      <c r="BL3124" s="3">
        <v>46.08</v>
      </c>
      <c r="BM3124" s="3">
        <v>6.91</v>
      </c>
      <c r="BN3124" s="3">
        <v>52.99</v>
      </c>
      <c r="BO3124" s="3">
        <v>52.99</v>
      </c>
      <c r="BQ3124" s="3" t="s">
        <v>83</v>
      </c>
      <c r="BR3124" s="3" t="s">
        <v>364</v>
      </c>
      <c r="BS3124" s="4">
        <v>44571</v>
      </c>
      <c r="BT3124" s="5">
        <v>0.35833333333333334</v>
      </c>
      <c r="BU3124" s="3" t="s">
        <v>2840</v>
      </c>
      <c r="BV3124" s="3" t="s">
        <v>105</v>
      </c>
      <c r="BY3124" s="3">
        <v>20358</v>
      </c>
      <c r="BZ3124" s="3" t="s">
        <v>165</v>
      </c>
      <c r="CA3124" s="3" t="s">
        <v>311</v>
      </c>
      <c r="CC3124" s="3" t="s">
        <v>76</v>
      </c>
      <c r="CD3124" s="3">
        <v>1601</v>
      </c>
      <c r="CE3124" s="3" t="s">
        <v>86</v>
      </c>
      <c r="CF3124" s="4">
        <v>44571</v>
      </c>
      <c r="CI3124" s="3">
        <v>1</v>
      </c>
      <c r="CJ3124" s="3">
        <v>1</v>
      </c>
      <c r="CK3124" s="3">
        <v>22</v>
      </c>
      <c r="CL3124" s="3" t="s">
        <v>87</v>
      </c>
    </row>
    <row r="3125" spans="1:90" x14ac:dyDescent="0.2">
      <c r="A3125" s="3" t="s">
        <v>72</v>
      </c>
      <c r="B3125" s="3" t="s">
        <v>73</v>
      </c>
      <c r="C3125" s="3" t="s">
        <v>74</v>
      </c>
      <c r="E3125" s="3" t="str">
        <f>"FES1162844133"</f>
        <v>FES1162844133</v>
      </c>
      <c r="F3125" s="4">
        <v>44568</v>
      </c>
      <c r="G3125" s="3">
        <v>202207</v>
      </c>
      <c r="H3125" s="3" t="s">
        <v>75</v>
      </c>
      <c r="I3125" s="3" t="s">
        <v>76</v>
      </c>
      <c r="J3125" s="3" t="s">
        <v>77</v>
      </c>
      <c r="K3125" s="3" t="s">
        <v>78</v>
      </c>
      <c r="L3125" s="3" t="s">
        <v>115</v>
      </c>
      <c r="M3125" s="3" t="s">
        <v>116</v>
      </c>
      <c r="N3125" s="3" t="s">
        <v>419</v>
      </c>
      <c r="O3125" s="3" t="s">
        <v>82</v>
      </c>
      <c r="P3125" s="3" t="str">
        <f>"2170814023                    "</f>
        <v xml:space="preserve">2170814023                    </v>
      </c>
      <c r="Q3125" s="3">
        <v>0</v>
      </c>
      <c r="R3125" s="3">
        <v>0</v>
      </c>
      <c r="S3125" s="3">
        <v>0</v>
      </c>
      <c r="T3125" s="3">
        <v>0</v>
      </c>
      <c r="U3125" s="3">
        <v>0</v>
      </c>
      <c r="V3125" s="3">
        <v>0</v>
      </c>
      <c r="W3125" s="3">
        <v>0</v>
      </c>
      <c r="X3125" s="3">
        <v>0</v>
      </c>
      <c r="Y3125" s="3">
        <v>0</v>
      </c>
      <c r="Z3125" s="3">
        <v>0</v>
      </c>
      <c r="AA3125" s="3">
        <v>0</v>
      </c>
      <c r="AB3125" s="3">
        <v>0</v>
      </c>
      <c r="AC3125" s="3">
        <v>0</v>
      </c>
      <c r="AD3125" s="3">
        <v>0</v>
      </c>
      <c r="AE3125" s="3">
        <v>0</v>
      </c>
      <c r="AF3125" s="3">
        <v>0</v>
      </c>
      <c r="AG3125" s="3">
        <v>0</v>
      </c>
      <c r="AH3125" s="3">
        <v>0</v>
      </c>
      <c r="AI3125" s="3">
        <v>0</v>
      </c>
      <c r="AJ3125" s="3">
        <v>0</v>
      </c>
      <c r="AK3125" s="3">
        <v>12.07</v>
      </c>
      <c r="AL3125" s="3">
        <v>0</v>
      </c>
      <c r="AM3125" s="3">
        <v>0</v>
      </c>
      <c r="AN3125" s="3">
        <v>0</v>
      </c>
      <c r="AO3125" s="3">
        <v>0</v>
      </c>
      <c r="AP3125" s="3">
        <v>0</v>
      </c>
      <c r="AQ3125" s="3">
        <v>0</v>
      </c>
      <c r="AR3125" s="3">
        <v>0</v>
      </c>
      <c r="AS3125" s="3">
        <v>0</v>
      </c>
      <c r="AT3125" s="3">
        <v>0</v>
      </c>
      <c r="AU3125" s="3">
        <v>0</v>
      </c>
      <c r="AV3125" s="3">
        <v>0</v>
      </c>
      <c r="AW3125" s="3">
        <v>0</v>
      </c>
      <c r="AX3125" s="3">
        <v>0</v>
      </c>
      <c r="AY3125" s="3">
        <v>0</v>
      </c>
      <c r="AZ3125" s="3">
        <v>0</v>
      </c>
      <c r="BA3125" s="3">
        <v>0</v>
      </c>
      <c r="BB3125" s="3">
        <v>0</v>
      </c>
      <c r="BC3125" s="3">
        <v>0</v>
      </c>
      <c r="BD3125" s="3">
        <v>0</v>
      </c>
      <c r="BE3125" s="3">
        <v>0</v>
      </c>
      <c r="BF3125" s="3">
        <v>0</v>
      </c>
      <c r="BG3125" s="3">
        <v>0</v>
      </c>
      <c r="BH3125" s="3">
        <v>1</v>
      </c>
      <c r="BI3125" s="3">
        <v>1</v>
      </c>
      <c r="BJ3125" s="3">
        <v>0.2</v>
      </c>
      <c r="BK3125" s="3">
        <v>1</v>
      </c>
      <c r="BL3125" s="3">
        <v>46.08</v>
      </c>
      <c r="BM3125" s="3">
        <v>6.91</v>
      </c>
      <c r="BN3125" s="3">
        <v>52.99</v>
      </c>
      <c r="BO3125" s="3">
        <v>52.99</v>
      </c>
      <c r="BQ3125" s="3" t="s">
        <v>89</v>
      </c>
      <c r="BR3125" s="3" t="s">
        <v>364</v>
      </c>
      <c r="BS3125" s="4">
        <v>44571</v>
      </c>
      <c r="BT3125" s="5">
        <v>0.37291666666666662</v>
      </c>
      <c r="BU3125" s="3" t="s">
        <v>2280</v>
      </c>
      <c r="BV3125" s="3" t="s">
        <v>105</v>
      </c>
      <c r="BY3125" s="3">
        <v>1200</v>
      </c>
      <c r="BZ3125" s="3" t="s">
        <v>165</v>
      </c>
      <c r="CA3125" s="3" t="s">
        <v>119</v>
      </c>
      <c r="CC3125" s="3" t="s">
        <v>116</v>
      </c>
      <c r="CD3125" s="3">
        <v>1559</v>
      </c>
      <c r="CE3125" s="3" t="s">
        <v>93</v>
      </c>
      <c r="CF3125" s="4">
        <v>44572</v>
      </c>
      <c r="CI3125" s="3">
        <v>1</v>
      </c>
      <c r="CJ3125" s="3">
        <v>1</v>
      </c>
      <c r="CK3125" s="3">
        <v>22</v>
      </c>
      <c r="CL3125" s="3" t="s">
        <v>87</v>
      </c>
    </row>
    <row r="3126" spans="1:90" x14ac:dyDescent="0.2">
      <c r="A3126" s="3" t="s">
        <v>72</v>
      </c>
      <c r="B3126" s="3" t="s">
        <v>73</v>
      </c>
      <c r="C3126" s="3" t="s">
        <v>74</v>
      </c>
      <c r="E3126" s="3" t="str">
        <f>"FES1162844034"</f>
        <v>FES1162844034</v>
      </c>
      <c r="F3126" s="4">
        <v>44568</v>
      </c>
      <c r="G3126" s="3">
        <v>202207</v>
      </c>
      <c r="H3126" s="3" t="s">
        <v>75</v>
      </c>
      <c r="I3126" s="3" t="s">
        <v>76</v>
      </c>
      <c r="J3126" s="3" t="s">
        <v>77</v>
      </c>
      <c r="K3126" s="3" t="s">
        <v>78</v>
      </c>
      <c r="L3126" s="3" t="s">
        <v>187</v>
      </c>
      <c r="M3126" s="3" t="s">
        <v>188</v>
      </c>
      <c r="N3126" s="3" t="s">
        <v>189</v>
      </c>
      <c r="O3126" s="3" t="s">
        <v>82</v>
      </c>
      <c r="P3126" s="3" t="str">
        <f>"2170815843                    "</f>
        <v xml:space="preserve">2170815843                    </v>
      </c>
      <c r="Q3126" s="3">
        <v>0</v>
      </c>
      <c r="R3126" s="3">
        <v>0</v>
      </c>
      <c r="S3126" s="3">
        <v>0</v>
      </c>
      <c r="T3126" s="3">
        <v>0</v>
      </c>
      <c r="U3126" s="3">
        <v>0</v>
      </c>
      <c r="V3126" s="3">
        <v>0</v>
      </c>
      <c r="W3126" s="3">
        <v>0</v>
      </c>
      <c r="X3126" s="3">
        <v>0</v>
      </c>
      <c r="Y3126" s="3">
        <v>0</v>
      </c>
      <c r="Z3126" s="3">
        <v>0</v>
      </c>
      <c r="AA3126" s="3">
        <v>0</v>
      </c>
      <c r="AB3126" s="3">
        <v>0</v>
      </c>
      <c r="AC3126" s="3">
        <v>0</v>
      </c>
      <c r="AD3126" s="3">
        <v>0</v>
      </c>
      <c r="AE3126" s="3">
        <v>0</v>
      </c>
      <c r="AF3126" s="3">
        <v>0</v>
      </c>
      <c r="AG3126" s="3">
        <v>0</v>
      </c>
      <c r="AH3126" s="3">
        <v>0</v>
      </c>
      <c r="AI3126" s="3">
        <v>0</v>
      </c>
      <c r="AJ3126" s="3">
        <v>0</v>
      </c>
      <c r="AK3126" s="3">
        <v>29.95</v>
      </c>
      <c r="AL3126" s="3">
        <v>0</v>
      </c>
      <c r="AM3126" s="3">
        <v>0</v>
      </c>
      <c r="AN3126" s="3">
        <v>0</v>
      </c>
      <c r="AO3126" s="3">
        <v>0</v>
      </c>
      <c r="AP3126" s="3">
        <v>0</v>
      </c>
      <c r="AQ3126" s="3">
        <v>0</v>
      </c>
      <c r="AR3126" s="3">
        <v>0</v>
      </c>
      <c r="AS3126" s="3">
        <v>0</v>
      </c>
      <c r="AT3126" s="3">
        <v>0</v>
      </c>
      <c r="AU3126" s="3">
        <v>0</v>
      </c>
      <c r="AV3126" s="3">
        <v>0</v>
      </c>
      <c r="AW3126" s="3">
        <v>0</v>
      </c>
      <c r="AX3126" s="3">
        <v>0</v>
      </c>
      <c r="AY3126" s="3">
        <v>0</v>
      </c>
      <c r="AZ3126" s="3">
        <v>0</v>
      </c>
      <c r="BA3126" s="3">
        <v>0</v>
      </c>
      <c r="BB3126" s="3">
        <v>0</v>
      </c>
      <c r="BC3126" s="3">
        <v>0</v>
      </c>
      <c r="BD3126" s="3">
        <v>0</v>
      </c>
      <c r="BE3126" s="3">
        <v>0</v>
      </c>
      <c r="BF3126" s="3">
        <v>0</v>
      </c>
      <c r="BG3126" s="3">
        <v>0</v>
      </c>
      <c r="BH3126" s="3">
        <v>1</v>
      </c>
      <c r="BI3126" s="3">
        <v>1</v>
      </c>
      <c r="BJ3126" s="3">
        <v>0.2</v>
      </c>
      <c r="BK3126" s="3">
        <v>1</v>
      </c>
      <c r="BL3126" s="3">
        <v>114.31</v>
      </c>
      <c r="BM3126" s="3">
        <v>17.149999999999999</v>
      </c>
      <c r="BN3126" s="3">
        <v>131.46</v>
      </c>
      <c r="BO3126" s="3">
        <v>131.46</v>
      </c>
      <c r="BQ3126" s="3" t="s">
        <v>83</v>
      </c>
      <c r="BR3126" s="3" t="s">
        <v>364</v>
      </c>
      <c r="BS3126" s="4">
        <v>44571</v>
      </c>
      <c r="BT3126" s="5">
        <v>0.53194444444444444</v>
      </c>
      <c r="BU3126" s="3" t="s">
        <v>955</v>
      </c>
      <c r="BV3126" s="3" t="s">
        <v>105</v>
      </c>
      <c r="BY3126" s="3">
        <v>1200</v>
      </c>
      <c r="BZ3126" s="3" t="s">
        <v>165</v>
      </c>
      <c r="CA3126" s="3" t="s">
        <v>268</v>
      </c>
      <c r="CC3126" s="3" t="s">
        <v>188</v>
      </c>
      <c r="CD3126" s="3">
        <v>7300</v>
      </c>
      <c r="CE3126" s="3" t="s">
        <v>93</v>
      </c>
      <c r="CF3126" s="4">
        <v>44572</v>
      </c>
      <c r="CI3126" s="3">
        <v>1</v>
      </c>
      <c r="CJ3126" s="3">
        <v>1</v>
      </c>
      <c r="CK3126" s="3">
        <v>23</v>
      </c>
      <c r="CL3126" s="3" t="s">
        <v>87</v>
      </c>
    </row>
    <row r="3127" spans="1:90" x14ac:dyDescent="0.2">
      <c r="A3127" s="3" t="s">
        <v>72</v>
      </c>
      <c r="B3127" s="3" t="s">
        <v>73</v>
      </c>
      <c r="C3127" s="3" t="s">
        <v>74</v>
      </c>
      <c r="E3127" s="3" t="str">
        <f>"FES1162844110"</f>
        <v>FES1162844110</v>
      </c>
      <c r="F3127" s="4">
        <v>44568</v>
      </c>
      <c r="G3127" s="3">
        <v>202207</v>
      </c>
      <c r="H3127" s="3" t="s">
        <v>75</v>
      </c>
      <c r="I3127" s="3" t="s">
        <v>76</v>
      </c>
      <c r="J3127" s="3" t="s">
        <v>77</v>
      </c>
      <c r="K3127" s="3" t="s">
        <v>78</v>
      </c>
      <c r="L3127" s="3" t="s">
        <v>101</v>
      </c>
      <c r="M3127" s="3" t="s">
        <v>102</v>
      </c>
      <c r="N3127" s="3" t="s">
        <v>2487</v>
      </c>
      <c r="O3127" s="3" t="s">
        <v>82</v>
      </c>
      <c r="P3127" s="3" t="str">
        <f>"2170815904                    "</f>
        <v xml:space="preserve">2170815904                    </v>
      </c>
      <c r="Q3127" s="3">
        <v>0</v>
      </c>
      <c r="R3127" s="3">
        <v>0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  <c r="AE3127" s="3">
        <v>0</v>
      </c>
      <c r="AF3127" s="3">
        <v>0</v>
      </c>
      <c r="AG3127" s="3">
        <v>0</v>
      </c>
      <c r="AH3127" s="3">
        <v>0</v>
      </c>
      <c r="AI3127" s="3">
        <v>0</v>
      </c>
      <c r="AJ3127" s="3">
        <v>0</v>
      </c>
      <c r="AK3127" s="3">
        <v>15.46</v>
      </c>
      <c r="AL3127" s="3">
        <v>0</v>
      </c>
      <c r="AM3127" s="3">
        <v>0</v>
      </c>
      <c r="AN3127" s="3">
        <v>0</v>
      </c>
      <c r="AO3127" s="3">
        <v>0</v>
      </c>
      <c r="AP3127" s="3">
        <v>0</v>
      </c>
      <c r="AQ3127" s="3">
        <v>0</v>
      </c>
      <c r="AR3127" s="3">
        <v>0</v>
      </c>
      <c r="AS3127" s="3">
        <v>0</v>
      </c>
      <c r="AT3127" s="3">
        <v>0</v>
      </c>
      <c r="AU3127" s="3">
        <v>0</v>
      </c>
      <c r="AV3127" s="3">
        <v>0</v>
      </c>
      <c r="AW3127" s="3">
        <v>0</v>
      </c>
      <c r="AX3127" s="3">
        <v>0</v>
      </c>
      <c r="AY3127" s="3">
        <v>0</v>
      </c>
      <c r="AZ3127" s="3">
        <v>0</v>
      </c>
      <c r="BA3127" s="3">
        <v>0</v>
      </c>
      <c r="BB3127" s="3">
        <v>0</v>
      </c>
      <c r="BC3127" s="3">
        <v>0</v>
      </c>
      <c r="BD3127" s="3">
        <v>0</v>
      </c>
      <c r="BE3127" s="3">
        <v>0</v>
      </c>
      <c r="BF3127" s="3">
        <v>0</v>
      </c>
      <c r="BG3127" s="3">
        <v>0</v>
      </c>
      <c r="BH3127" s="3">
        <v>1</v>
      </c>
      <c r="BI3127" s="3">
        <v>1</v>
      </c>
      <c r="BJ3127" s="3">
        <v>0.2</v>
      </c>
      <c r="BK3127" s="3">
        <v>1</v>
      </c>
      <c r="BL3127" s="3">
        <v>59</v>
      </c>
      <c r="BM3127" s="3">
        <v>8.85</v>
      </c>
      <c r="BN3127" s="3">
        <v>67.849999999999994</v>
      </c>
      <c r="BO3127" s="3">
        <v>67.849999999999994</v>
      </c>
      <c r="BQ3127" s="3" t="s">
        <v>83</v>
      </c>
      <c r="BR3127" s="3" t="s">
        <v>364</v>
      </c>
      <c r="BS3127" s="4">
        <v>44571</v>
      </c>
      <c r="BT3127" s="5">
        <v>0.52638888888888891</v>
      </c>
      <c r="BU3127" s="3" t="s">
        <v>2841</v>
      </c>
      <c r="BV3127" s="3" t="s">
        <v>87</v>
      </c>
      <c r="BW3127" s="3" t="s">
        <v>278</v>
      </c>
      <c r="BX3127" s="3" t="s">
        <v>279</v>
      </c>
      <c r="BY3127" s="3">
        <v>1200</v>
      </c>
      <c r="BZ3127" s="3" t="s">
        <v>165</v>
      </c>
      <c r="CA3127" s="3" t="s">
        <v>280</v>
      </c>
      <c r="CC3127" s="3" t="s">
        <v>102</v>
      </c>
      <c r="CD3127" s="3">
        <v>4001</v>
      </c>
      <c r="CE3127" s="3" t="s">
        <v>93</v>
      </c>
      <c r="CF3127" s="4">
        <v>44571</v>
      </c>
      <c r="CI3127" s="3">
        <v>1</v>
      </c>
      <c r="CJ3127" s="3">
        <v>1</v>
      </c>
      <c r="CK3127" s="3">
        <v>21</v>
      </c>
      <c r="CL3127" s="3" t="s">
        <v>87</v>
      </c>
    </row>
    <row r="3128" spans="1:90" x14ac:dyDescent="0.2">
      <c r="A3128" s="3" t="s">
        <v>72</v>
      </c>
      <c r="B3128" s="3" t="s">
        <v>73</v>
      </c>
      <c r="C3128" s="3" t="s">
        <v>74</v>
      </c>
      <c r="E3128" s="3" t="str">
        <f>"FES1162844206"</f>
        <v>FES1162844206</v>
      </c>
      <c r="F3128" s="4">
        <v>44568</v>
      </c>
      <c r="G3128" s="3">
        <v>202207</v>
      </c>
      <c r="H3128" s="3" t="s">
        <v>75</v>
      </c>
      <c r="I3128" s="3" t="s">
        <v>76</v>
      </c>
      <c r="J3128" s="3" t="s">
        <v>77</v>
      </c>
      <c r="K3128" s="3" t="s">
        <v>78</v>
      </c>
      <c r="L3128" s="3" t="s">
        <v>218</v>
      </c>
      <c r="M3128" s="3" t="s">
        <v>219</v>
      </c>
      <c r="N3128" s="3" t="s">
        <v>2765</v>
      </c>
      <c r="O3128" s="3" t="s">
        <v>82</v>
      </c>
      <c r="P3128" s="3" t="str">
        <f>"2170815960                    "</f>
        <v xml:space="preserve">2170815960                    </v>
      </c>
      <c r="Q3128" s="3">
        <v>0</v>
      </c>
      <c r="R3128" s="3">
        <v>0</v>
      </c>
      <c r="S3128" s="3">
        <v>0</v>
      </c>
      <c r="T3128" s="3">
        <v>0</v>
      </c>
      <c r="U3128" s="3">
        <v>0</v>
      </c>
      <c r="V3128" s="3">
        <v>0</v>
      </c>
      <c r="W3128" s="3">
        <v>0</v>
      </c>
      <c r="X3128" s="3">
        <v>0</v>
      </c>
      <c r="Y3128" s="3">
        <v>0</v>
      </c>
      <c r="Z3128" s="3">
        <v>0</v>
      </c>
      <c r="AA3128" s="3">
        <v>0</v>
      </c>
      <c r="AB3128" s="3">
        <v>0</v>
      </c>
      <c r="AC3128" s="3">
        <v>0</v>
      </c>
      <c r="AD3128" s="3">
        <v>0</v>
      </c>
      <c r="AE3128" s="3">
        <v>0</v>
      </c>
      <c r="AF3128" s="3">
        <v>0</v>
      </c>
      <c r="AG3128" s="3">
        <v>0</v>
      </c>
      <c r="AH3128" s="3">
        <v>0</v>
      </c>
      <c r="AI3128" s="3">
        <v>0</v>
      </c>
      <c r="AJ3128" s="3">
        <v>0</v>
      </c>
      <c r="AK3128" s="3">
        <v>15.46</v>
      </c>
      <c r="AL3128" s="3">
        <v>0</v>
      </c>
      <c r="AM3128" s="3">
        <v>0</v>
      </c>
      <c r="AN3128" s="3">
        <v>0</v>
      </c>
      <c r="AO3128" s="3">
        <v>0</v>
      </c>
      <c r="AP3128" s="3">
        <v>0</v>
      </c>
      <c r="AQ3128" s="3">
        <v>0</v>
      </c>
      <c r="AR3128" s="3">
        <v>0</v>
      </c>
      <c r="AS3128" s="3">
        <v>0</v>
      </c>
      <c r="AT3128" s="3">
        <v>0</v>
      </c>
      <c r="AU3128" s="3">
        <v>0</v>
      </c>
      <c r="AV3128" s="3">
        <v>0</v>
      </c>
      <c r="AW3128" s="3">
        <v>0</v>
      </c>
      <c r="AX3128" s="3">
        <v>0</v>
      </c>
      <c r="AY3128" s="3">
        <v>0</v>
      </c>
      <c r="AZ3128" s="3">
        <v>0</v>
      </c>
      <c r="BA3128" s="3">
        <v>0</v>
      </c>
      <c r="BB3128" s="3">
        <v>0</v>
      </c>
      <c r="BC3128" s="3">
        <v>0</v>
      </c>
      <c r="BD3128" s="3">
        <v>0</v>
      </c>
      <c r="BE3128" s="3">
        <v>0</v>
      </c>
      <c r="BF3128" s="3">
        <v>0</v>
      </c>
      <c r="BG3128" s="3">
        <v>0</v>
      </c>
      <c r="BH3128" s="3">
        <v>1</v>
      </c>
      <c r="BI3128" s="3">
        <v>1</v>
      </c>
      <c r="BJ3128" s="3">
        <v>0.2</v>
      </c>
      <c r="BK3128" s="3">
        <v>1</v>
      </c>
      <c r="BL3128" s="3">
        <v>59</v>
      </c>
      <c r="BM3128" s="3">
        <v>8.85</v>
      </c>
      <c r="BN3128" s="3">
        <v>67.849999999999994</v>
      </c>
      <c r="BO3128" s="3">
        <v>67.849999999999994</v>
      </c>
      <c r="BQ3128" s="3" t="s">
        <v>83</v>
      </c>
      <c r="BR3128" s="3" t="s">
        <v>364</v>
      </c>
      <c r="BS3128" s="4">
        <v>44571</v>
      </c>
      <c r="BT3128" s="5">
        <v>0.3520833333333333</v>
      </c>
      <c r="BU3128" s="3" t="s">
        <v>2455</v>
      </c>
      <c r="BV3128" s="3" t="s">
        <v>105</v>
      </c>
      <c r="BY3128" s="3">
        <v>1200</v>
      </c>
      <c r="BZ3128" s="3" t="s">
        <v>165</v>
      </c>
      <c r="CA3128" s="3" t="s">
        <v>2842</v>
      </c>
      <c r="CC3128" s="3" t="s">
        <v>219</v>
      </c>
      <c r="CD3128" s="3">
        <v>157</v>
      </c>
      <c r="CE3128" s="3" t="s">
        <v>93</v>
      </c>
      <c r="CF3128" s="4">
        <v>44571</v>
      </c>
      <c r="CI3128" s="3">
        <v>1</v>
      </c>
      <c r="CJ3128" s="3">
        <v>1</v>
      </c>
      <c r="CK3128" s="3">
        <v>21</v>
      </c>
      <c r="CL3128" s="3" t="s">
        <v>87</v>
      </c>
    </row>
    <row r="3129" spans="1:90" x14ac:dyDescent="0.2">
      <c r="A3129" s="3" t="s">
        <v>72</v>
      </c>
      <c r="B3129" s="3" t="s">
        <v>73</v>
      </c>
      <c r="C3129" s="3" t="s">
        <v>74</v>
      </c>
      <c r="E3129" s="3" t="str">
        <f>"FES1162843969"</f>
        <v>FES1162843969</v>
      </c>
      <c r="F3129" s="4">
        <v>44568</v>
      </c>
      <c r="G3129" s="3">
        <v>202207</v>
      </c>
      <c r="H3129" s="3" t="s">
        <v>75</v>
      </c>
      <c r="I3129" s="3" t="s">
        <v>76</v>
      </c>
      <c r="J3129" s="3" t="s">
        <v>77</v>
      </c>
      <c r="K3129" s="3" t="s">
        <v>78</v>
      </c>
      <c r="L3129" s="3" t="s">
        <v>171</v>
      </c>
      <c r="M3129" s="3" t="s">
        <v>172</v>
      </c>
      <c r="N3129" s="3" t="s">
        <v>725</v>
      </c>
      <c r="O3129" s="3" t="s">
        <v>82</v>
      </c>
      <c r="P3129" s="3" t="str">
        <f>"2170814364                    "</f>
        <v xml:space="preserve">2170814364                    </v>
      </c>
      <c r="Q3129" s="3">
        <v>0</v>
      </c>
      <c r="R3129" s="3">
        <v>0</v>
      </c>
      <c r="S3129" s="3">
        <v>0</v>
      </c>
      <c r="T3129" s="3">
        <v>0</v>
      </c>
      <c r="U3129" s="3">
        <v>0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0</v>
      </c>
      <c r="AC3129" s="3">
        <v>0</v>
      </c>
      <c r="AD3129" s="3">
        <v>0</v>
      </c>
      <c r="AE3129" s="3">
        <v>0</v>
      </c>
      <c r="AF3129" s="3">
        <v>0</v>
      </c>
      <c r="AG3129" s="3">
        <v>0</v>
      </c>
      <c r="AH3129" s="3">
        <v>0</v>
      </c>
      <c r="AI3129" s="3">
        <v>0</v>
      </c>
      <c r="AJ3129" s="3">
        <v>0</v>
      </c>
      <c r="AK3129" s="3">
        <v>15.46</v>
      </c>
      <c r="AL3129" s="3">
        <v>0</v>
      </c>
      <c r="AM3129" s="3">
        <v>0</v>
      </c>
      <c r="AN3129" s="3">
        <v>0</v>
      </c>
      <c r="AO3129" s="3">
        <v>0</v>
      </c>
      <c r="AP3129" s="3">
        <v>0</v>
      </c>
      <c r="AQ3129" s="3">
        <v>0</v>
      </c>
      <c r="AR3129" s="3">
        <v>0</v>
      </c>
      <c r="AS3129" s="3">
        <v>0</v>
      </c>
      <c r="AT3129" s="3">
        <v>0</v>
      </c>
      <c r="AU3129" s="3">
        <v>0</v>
      </c>
      <c r="AV3129" s="3">
        <v>0</v>
      </c>
      <c r="AW3129" s="3">
        <v>0</v>
      </c>
      <c r="AX3129" s="3">
        <v>0</v>
      </c>
      <c r="AY3129" s="3">
        <v>0</v>
      </c>
      <c r="AZ3129" s="3">
        <v>0</v>
      </c>
      <c r="BA3129" s="3">
        <v>0</v>
      </c>
      <c r="BB3129" s="3">
        <v>0</v>
      </c>
      <c r="BC3129" s="3">
        <v>0</v>
      </c>
      <c r="BD3129" s="3">
        <v>0</v>
      </c>
      <c r="BE3129" s="3">
        <v>0</v>
      </c>
      <c r="BF3129" s="3">
        <v>0</v>
      </c>
      <c r="BG3129" s="3">
        <v>0</v>
      </c>
      <c r="BH3129" s="3">
        <v>1</v>
      </c>
      <c r="BI3129" s="3">
        <v>1</v>
      </c>
      <c r="BJ3129" s="3">
        <v>0.2</v>
      </c>
      <c r="BK3129" s="3">
        <v>1</v>
      </c>
      <c r="BL3129" s="3">
        <v>59</v>
      </c>
      <c r="BM3129" s="3">
        <v>8.85</v>
      </c>
      <c r="BN3129" s="3">
        <v>67.849999999999994</v>
      </c>
      <c r="BO3129" s="3">
        <v>67.849999999999994</v>
      </c>
      <c r="BQ3129" s="3" t="s">
        <v>83</v>
      </c>
      <c r="BR3129" s="3" t="s">
        <v>364</v>
      </c>
      <c r="BS3129" s="4">
        <v>44571</v>
      </c>
      <c r="BT3129" s="5">
        <v>0.37013888888888885</v>
      </c>
      <c r="BU3129" s="3" t="s">
        <v>2061</v>
      </c>
      <c r="BV3129" s="3" t="s">
        <v>105</v>
      </c>
      <c r="BY3129" s="3">
        <v>1200</v>
      </c>
      <c r="BZ3129" s="3" t="s">
        <v>165</v>
      </c>
      <c r="CA3129" s="3" t="s">
        <v>408</v>
      </c>
      <c r="CC3129" s="3" t="s">
        <v>172</v>
      </c>
      <c r="CD3129" s="3">
        <v>6001</v>
      </c>
      <c r="CE3129" s="3" t="s">
        <v>93</v>
      </c>
      <c r="CF3129" s="4">
        <v>44571</v>
      </c>
      <c r="CI3129" s="3">
        <v>1</v>
      </c>
      <c r="CJ3129" s="3">
        <v>1</v>
      </c>
      <c r="CK3129" s="3">
        <v>21</v>
      </c>
      <c r="CL3129" s="3" t="s">
        <v>87</v>
      </c>
    </row>
    <row r="3130" spans="1:90" x14ac:dyDescent="0.2">
      <c r="A3130" s="3" t="s">
        <v>72</v>
      </c>
      <c r="B3130" s="3" t="s">
        <v>73</v>
      </c>
      <c r="C3130" s="3" t="s">
        <v>74</v>
      </c>
      <c r="E3130" s="3" t="str">
        <f>"FES1162844211"</f>
        <v>FES1162844211</v>
      </c>
      <c r="F3130" s="4">
        <v>44568</v>
      </c>
      <c r="G3130" s="3">
        <v>202207</v>
      </c>
      <c r="H3130" s="3" t="s">
        <v>75</v>
      </c>
      <c r="I3130" s="3" t="s">
        <v>76</v>
      </c>
      <c r="J3130" s="3" t="s">
        <v>77</v>
      </c>
      <c r="K3130" s="3" t="s">
        <v>78</v>
      </c>
      <c r="L3130" s="3" t="s">
        <v>75</v>
      </c>
      <c r="M3130" s="3" t="s">
        <v>76</v>
      </c>
      <c r="N3130" s="3" t="s">
        <v>147</v>
      </c>
      <c r="O3130" s="3" t="s">
        <v>82</v>
      </c>
      <c r="P3130" s="3" t="str">
        <f>"2170815967                    "</f>
        <v xml:space="preserve">2170815967                    </v>
      </c>
      <c r="Q3130" s="3">
        <v>0</v>
      </c>
      <c r="R3130" s="3">
        <v>0</v>
      </c>
      <c r="S3130" s="3">
        <v>0</v>
      </c>
      <c r="T3130" s="3">
        <v>0</v>
      </c>
      <c r="U3130" s="3">
        <v>0</v>
      </c>
      <c r="V3130" s="3">
        <v>0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0</v>
      </c>
      <c r="AC3130" s="3">
        <v>0</v>
      </c>
      <c r="AD3130" s="3">
        <v>0</v>
      </c>
      <c r="AE3130" s="3">
        <v>0</v>
      </c>
      <c r="AF3130" s="3">
        <v>0</v>
      </c>
      <c r="AG3130" s="3">
        <v>0</v>
      </c>
      <c r="AH3130" s="3">
        <v>0</v>
      </c>
      <c r="AI3130" s="3">
        <v>0</v>
      </c>
      <c r="AJ3130" s="3">
        <v>0</v>
      </c>
      <c r="AK3130" s="3">
        <v>12.07</v>
      </c>
      <c r="AL3130" s="3">
        <v>0</v>
      </c>
      <c r="AM3130" s="3">
        <v>0</v>
      </c>
      <c r="AN3130" s="3">
        <v>0</v>
      </c>
      <c r="AO3130" s="3">
        <v>0</v>
      </c>
      <c r="AP3130" s="3">
        <v>0</v>
      </c>
      <c r="AQ3130" s="3">
        <v>0</v>
      </c>
      <c r="AR3130" s="3">
        <v>0</v>
      </c>
      <c r="AS3130" s="3">
        <v>0</v>
      </c>
      <c r="AT3130" s="3">
        <v>0</v>
      </c>
      <c r="AU3130" s="3">
        <v>0</v>
      </c>
      <c r="AV3130" s="3">
        <v>0</v>
      </c>
      <c r="AW3130" s="3">
        <v>0</v>
      </c>
      <c r="AX3130" s="3">
        <v>0</v>
      </c>
      <c r="AY3130" s="3">
        <v>0</v>
      </c>
      <c r="AZ3130" s="3">
        <v>0</v>
      </c>
      <c r="BA3130" s="3">
        <v>0</v>
      </c>
      <c r="BB3130" s="3">
        <v>0</v>
      </c>
      <c r="BC3130" s="3">
        <v>0</v>
      </c>
      <c r="BD3130" s="3">
        <v>0</v>
      </c>
      <c r="BE3130" s="3">
        <v>0</v>
      </c>
      <c r="BF3130" s="3">
        <v>0</v>
      </c>
      <c r="BG3130" s="3">
        <v>0</v>
      </c>
      <c r="BH3130" s="3">
        <v>1</v>
      </c>
      <c r="BI3130" s="3">
        <v>1</v>
      </c>
      <c r="BJ3130" s="3">
        <v>0.2</v>
      </c>
      <c r="BK3130" s="3">
        <v>1</v>
      </c>
      <c r="BL3130" s="3">
        <v>46.08</v>
      </c>
      <c r="BM3130" s="3">
        <v>6.91</v>
      </c>
      <c r="BN3130" s="3">
        <v>52.99</v>
      </c>
      <c r="BO3130" s="3">
        <v>52.99</v>
      </c>
      <c r="BQ3130" s="3" t="s">
        <v>89</v>
      </c>
      <c r="BR3130" s="3" t="s">
        <v>364</v>
      </c>
      <c r="BS3130" s="4">
        <v>44571</v>
      </c>
      <c r="BT3130" s="5">
        <v>0.38541666666666669</v>
      </c>
      <c r="BU3130" s="3" t="s">
        <v>2691</v>
      </c>
      <c r="BV3130" s="3" t="s">
        <v>105</v>
      </c>
      <c r="BY3130" s="3">
        <v>1200</v>
      </c>
      <c r="BZ3130" s="3" t="s">
        <v>165</v>
      </c>
      <c r="CA3130" s="3" t="s">
        <v>1293</v>
      </c>
      <c r="CC3130" s="3" t="s">
        <v>76</v>
      </c>
      <c r="CD3130" s="3">
        <v>1645</v>
      </c>
      <c r="CE3130" s="3" t="s">
        <v>93</v>
      </c>
      <c r="CF3130" s="4">
        <v>44572</v>
      </c>
      <c r="CI3130" s="3">
        <v>1</v>
      </c>
      <c r="CJ3130" s="3">
        <v>1</v>
      </c>
      <c r="CK3130" s="3">
        <v>22</v>
      </c>
      <c r="CL3130" s="3" t="s">
        <v>87</v>
      </c>
    </row>
    <row r="3131" spans="1:90" x14ac:dyDescent="0.2">
      <c r="A3131" s="3" t="s">
        <v>72</v>
      </c>
      <c r="B3131" s="3" t="s">
        <v>73</v>
      </c>
      <c r="C3131" s="3" t="s">
        <v>74</v>
      </c>
      <c r="E3131" s="3" t="str">
        <f>"FES1162844102"</f>
        <v>FES1162844102</v>
      </c>
      <c r="F3131" s="4">
        <v>44568</v>
      </c>
      <c r="G3131" s="3">
        <v>202207</v>
      </c>
      <c r="H3131" s="3" t="s">
        <v>75</v>
      </c>
      <c r="I3131" s="3" t="s">
        <v>76</v>
      </c>
      <c r="J3131" s="3" t="s">
        <v>77</v>
      </c>
      <c r="K3131" s="3" t="s">
        <v>78</v>
      </c>
      <c r="L3131" s="3" t="s">
        <v>180</v>
      </c>
      <c r="M3131" s="3" t="s">
        <v>181</v>
      </c>
      <c r="N3131" s="3" t="s">
        <v>2432</v>
      </c>
      <c r="O3131" s="3" t="s">
        <v>82</v>
      </c>
      <c r="P3131" s="3" t="str">
        <f>"2170811937                    "</f>
        <v xml:space="preserve">2170811937                    </v>
      </c>
      <c r="Q3131" s="3">
        <v>0</v>
      </c>
      <c r="R3131" s="3">
        <v>0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  <c r="AE3131" s="3">
        <v>0</v>
      </c>
      <c r="AF3131" s="3">
        <v>0</v>
      </c>
      <c r="AG3131" s="3">
        <v>0</v>
      </c>
      <c r="AH3131" s="3">
        <v>0</v>
      </c>
      <c r="AI3131" s="3">
        <v>0</v>
      </c>
      <c r="AJ3131" s="3">
        <v>0</v>
      </c>
      <c r="AK3131" s="3">
        <v>21.74</v>
      </c>
      <c r="AL3131" s="3">
        <v>0</v>
      </c>
      <c r="AM3131" s="3">
        <v>0</v>
      </c>
      <c r="AN3131" s="3">
        <v>0</v>
      </c>
      <c r="AO3131" s="3">
        <v>0</v>
      </c>
      <c r="AP3131" s="3">
        <v>0</v>
      </c>
      <c r="AQ3131" s="3">
        <v>0</v>
      </c>
      <c r="AR3131" s="3">
        <v>0</v>
      </c>
      <c r="AS3131" s="3">
        <v>0</v>
      </c>
      <c r="AT3131" s="3">
        <v>0</v>
      </c>
      <c r="AU3131" s="3">
        <v>0</v>
      </c>
      <c r="AV3131" s="3">
        <v>0</v>
      </c>
      <c r="AW3131" s="3">
        <v>0</v>
      </c>
      <c r="AX3131" s="3">
        <v>0</v>
      </c>
      <c r="AY3131" s="3">
        <v>0</v>
      </c>
      <c r="AZ3131" s="3">
        <v>0</v>
      </c>
      <c r="BA3131" s="3">
        <v>0</v>
      </c>
      <c r="BB3131" s="3">
        <v>0</v>
      </c>
      <c r="BC3131" s="3">
        <v>0</v>
      </c>
      <c r="BD3131" s="3">
        <v>0</v>
      </c>
      <c r="BE3131" s="3">
        <v>0</v>
      </c>
      <c r="BF3131" s="3">
        <v>0</v>
      </c>
      <c r="BG3131" s="3">
        <v>0</v>
      </c>
      <c r="BH3131" s="3">
        <v>1</v>
      </c>
      <c r="BI3131" s="3">
        <v>1</v>
      </c>
      <c r="BJ3131" s="3">
        <v>0.2</v>
      </c>
      <c r="BK3131" s="3">
        <v>1</v>
      </c>
      <c r="BL3131" s="3">
        <v>82.98</v>
      </c>
      <c r="BM3131" s="3">
        <v>12.45</v>
      </c>
      <c r="BN3131" s="3">
        <v>95.43</v>
      </c>
      <c r="BO3131" s="3">
        <v>95.43</v>
      </c>
      <c r="BQ3131" s="3" t="s">
        <v>83</v>
      </c>
      <c r="BR3131" s="3" t="s">
        <v>364</v>
      </c>
      <c r="BS3131" s="4">
        <v>44571</v>
      </c>
      <c r="BT3131" s="5">
        <v>0.4152777777777778</v>
      </c>
      <c r="BU3131" s="3" t="s">
        <v>2843</v>
      </c>
      <c r="BV3131" s="3" t="s">
        <v>105</v>
      </c>
      <c r="BY3131" s="3">
        <v>1200</v>
      </c>
      <c r="BZ3131" s="3" t="s">
        <v>165</v>
      </c>
      <c r="CA3131" s="3" t="s">
        <v>1303</v>
      </c>
      <c r="CC3131" s="3" t="s">
        <v>181</v>
      </c>
      <c r="CD3131" s="3">
        <v>1873</v>
      </c>
      <c r="CE3131" s="3" t="s">
        <v>93</v>
      </c>
      <c r="CF3131" s="4">
        <v>44572</v>
      </c>
      <c r="CI3131" s="3">
        <v>1</v>
      </c>
      <c r="CJ3131" s="3">
        <v>1</v>
      </c>
      <c r="CK3131" s="3">
        <v>24</v>
      </c>
      <c r="CL3131" s="3" t="s">
        <v>87</v>
      </c>
    </row>
    <row r="3132" spans="1:90" x14ac:dyDescent="0.2">
      <c r="A3132" s="3" t="s">
        <v>72</v>
      </c>
      <c r="B3132" s="3" t="s">
        <v>73</v>
      </c>
      <c r="C3132" s="3" t="s">
        <v>74</v>
      </c>
      <c r="E3132" s="3" t="str">
        <f>"FES1162843914"</f>
        <v>FES1162843914</v>
      </c>
      <c r="F3132" s="4">
        <v>44568</v>
      </c>
      <c r="G3132" s="3">
        <v>202207</v>
      </c>
      <c r="H3132" s="3" t="s">
        <v>75</v>
      </c>
      <c r="I3132" s="3" t="s">
        <v>76</v>
      </c>
      <c r="J3132" s="3" t="s">
        <v>77</v>
      </c>
      <c r="K3132" s="3" t="s">
        <v>78</v>
      </c>
      <c r="L3132" s="3" t="s">
        <v>90</v>
      </c>
      <c r="M3132" s="3" t="s">
        <v>91</v>
      </c>
      <c r="N3132" s="3" t="s">
        <v>1095</v>
      </c>
      <c r="O3132" s="3" t="s">
        <v>82</v>
      </c>
      <c r="P3132" s="3" t="str">
        <f>"2170812013                    "</f>
        <v xml:space="preserve">2170812013                    </v>
      </c>
      <c r="Q3132" s="3">
        <v>0</v>
      </c>
      <c r="R3132" s="3">
        <v>0</v>
      </c>
      <c r="S3132" s="3">
        <v>0</v>
      </c>
      <c r="T3132" s="3">
        <v>0</v>
      </c>
      <c r="U3132" s="3">
        <v>0</v>
      </c>
      <c r="V3132" s="3">
        <v>0</v>
      </c>
      <c r="W3132" s="3">
        <v>0</v>
      </c>
      <c r="X3132" s="3">
        <v>0</v>
      </c>
      <c r="Y3132" s="3">
        <v>0</v>
      </c>
      <c r="Z3132" s="3">
        <v>0</v>
      </c>
      <c r="AA3132" s="3">
        <v>0</v>
      </c>
      <c r="AB3132" s="3">
        <v>0</v>
      </c>
      <c r="AC3132" s="3">
        <v>0</v>
      </c>
      <c r="AD3132" s="3">
        <v>0</v>
      </c>
      <c r="AE3132" s="3">
        <v>0</v>
      </c>
      <c r="AF3132" s="3">
        <v>0</v>
      </c>
      <c r="AG3132" s="3">
        <v>0</v>
      </c>
      <c r="AH3132" s="3">
        <v>0</v>
      </c>
      <c r="AI3132" s="3">
        <v>0</v>
      </c>
      <c r="AJ3132" s="3">
        <v>0</v>
      </c>
      <c r="AK3132" s="3">
        <v>15.46</v>
      </c>
      <c r="AL3132" s="3">
        <v>0</v>
      </c>
      <c r="AM3132" s="3">
        <v>0</v>
      </c>
      <c r="AN3132" s="3">
        <v>0</v>
      </c>
      <c r="AO3132" s="3">
        <v>0</v>
      </c>
      <c r="AP3132" s="3">
        <v>0</v>
      </c>
      <c r="AQ3132" s="3">
        <v>0</v>
      </c>
      <c r="AR3132" s="3">
        <v>0</v>
      </c>
      <c r="AS3132" s="3">
        <v>0</v>
      </c>
      <c r="AT3132" s="3">
        <v>0</v>
      </c>
      <c r="AU3132" s="3">
        <v>0</v>
      </c>
      <c r="AV3132" s="3">
        <v>0</v>
      </c>
      <c r="AW3132" s="3">
        <v>0</v>
      </c>
      <c r="AX3132" s="3">
        <v>0</v>
      </c>
      <c r="AY3132" s="3">
        <v>0</v>
      </c>
      <c r="AZ3132" s="3">
        <v>0</v>
      </c>
      <c r="BA3132" s="3">
        <v>0</v>
      </c>
      <c r="BB3132" s="3">
        <v>0</v>
      </c>
      <c r="BC3132" s="3">
        <v>0</v>
      </c>
      <c r="BD3132" s="3">
        <v>0</v>
      </c>
      <c r="BE3132" s="3">
        <v>0</v>
      </c>
      <c r="BF3132" s="3">
        <v>0</v>
      </c>
      <c r="BG3132" s="3">
        <v>0</v>
      </c>
      <c r="BH3132" s="3">
        <v>1</v>
      </c>
      <c r="BI3132" s="3">
        <v>1</v>
      </c>
      <c r="BJ3132" s="3">
        <v>0.2</v>
      </c>
      <c r="BK3132" s="3">
        <v>1</v>
      </c>
      <c r="BL3132" s="3">
        <v>59</v>
      </c>
      <c r="BM3132" s="3">
        <v>8.85</v>
      </c>
      <c r="BN3132" s="3">
        <v>67.849999999999994</v>
      </c>
      <c r="BO3132" s="3">
        <v>67.849999999999994</v>
      </c>
      <c r="BQ3132" s="3" t="s">
        <v>83</v>
      </c>
      <c r="BR3132" s="3" t="s">
        <v>364</v>
      </c>
      <c r="BS3132" s="4">
        <v>44571</v>
      </c>
      <c r="BT3132" s="5">
        <v>0.39652777777777781</v>
      </c>
      <c r="BU3132" s="3" t="s">
        <v>538</v>
      </c>
      <c r="BV3132" s="3" t="s">
        <v>105</v>
      </c>
      <c r="BY3132" s="3">
        <v>1200</v>
      </c>
      <c r="BZ3132" s="3" t="s">
        <v>165</v>
      </c>
      <c r="CA3132" s="3" t="s">
        <v>289</v>
      </c>
      <c r="CC3132" s="3" t="s">
        <v>91</v>
      </c>
      <c r="CD3132" s="3">
        <v>7441</v>
      </c>
      <c r="CE3132" s="3" t="s">
        <v>93</v>
      </c>
      <c r="CF3132" s="4">
        <v>44572</v>
      </c>
      <c r="CI3132" s="3">
        <v>1</v>
      </c>
      <c r="CJ3132" s="3">
        <v>1</v>
      </c>
      <c r="CK3132" s="3">
        <v>21</v>
      </c>
      <c r="CL3132" s="3" t="s">
        <v>87</v>
      </c>
    </row>
    <row r="3133" spans="1:90" x14ac:dyDescent="0.2">
      <c r="A3133" s="3" t="s">
        <v>72</v>
      </c>
      <c r="B3133" s="3" t="s">
        <v>73</v>
      </c>
      <c r="C3133" s="3" t="s">
        <v>74</v>
      </c>
      <c r="E3133" s="3" t="str">
        <f>"FES1162844202"</f>
        <v>FES1162844202</v>
      </c>
      <c r="F3133" s="4">
        <v>44568</v>
      </c>
      <c r="G3133" s="3">
        <v>202207</v>
      </c>
      <c r="H3133" s="3" t="s">
        <v>75</v>
      </c>
      <c r="I3133" s="3" t="s">
        <v>76</v>
      </c>
      <c r="J3133" s="3" t="s">
        <v>77</v>
      </c>
      <c r="K3133" s="3" t="s">
        <v>78</v>
      </c>
      <c r="L3133" s="3" t="s">
        <v>162</v>
      </c>
      <c r="M3133" s="3" t="s">
        <v>163</v>
      </c>
      <c r="N3133" s="3" t="s">
        <v>2844</v>
      </c>
      <c r="O3133" s="3" t="s">
        <v>82</v>
      </c>
      <c r="P3133" s="3" t="str">
        <f>"2170815954                    "</f>
        <v xml:space="preserve">2170815954                    </v>
      </c>
      <c r="Q3133" s="3">
        <v>0</v>
      </c>
      <c r="R3133" s="3">
        <v>0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  <c r="AE3133" s="3">
        <v>0</v>
      </c>
      <c r="AF3133" s="3">
        <v>0</v>
      </c>
      <c r="AG3133" s="3">
        <v>0</v>
      </c>
      <c r="AH3133" s="3">
        <v>0</v>
      </c>
      <c r="AI3133" s="3">
        <v>0</v>
      </c>
      <c r="AJ3133" s="3">
        <v>0</v>
      </c>
      <c r="AK3133" s="3">
        <v>12.07</v>
      </c>
      <c r="AL3133" s="3">
        <v>0</v>
      </c>
      <c r="AM3133" s="3">
        <v>0</v>
      </c>
      <c r="AN3133" s="3">
        <v>0</v>
      </c>
      <c r="AO3133" s="3">
        <v>0</v>
      </c>
      <c r="AP3133" s="3">
        <v>0</v>
      </c>
      <c r="AQ3133" s="3">
        <v>0</v>
      </c>
      <c r="AR3133" s="3">
        <v>0</v>
      </c>
      <c r="AS3133" s="3">
        <v>0</v>
      </c>
      <c r="AT3133" s="3">
        <v>0</v>
      </c>
      <c r="AU3133" s="3">
        <v>0</v>
      </c>
      <c r="AV3133" s="3">
        <v>0</v>
      </c>
      <c r="AW3133" s="3">
        <v>0</v>
      </c>
      <c r="AX3133" s="3">
        <v>0</v>
      </c>
      <c r="AY3133" s="3">
        <v>0</v>
      </c>
      <c r="AZ3133" s="3">
        <v>0</v>
      </c>
      <c r="BA3133" s="3">
        <v>0</v>
      </c>
      <c r="BB3133" s="3">
        <v>0</v>
      </c>
      <c r="BC3133" s="3">
        <v>0</v>
      </c>
      <c r="BD3133" s="3">
        <v>0</v>
      </c>
      <c r="BE3133" s="3">
        <v>0</v>
      </c>
      <c r="BF3133" s="3">
        <v>0</v>
      </c>
      <c r="BG3133" s="3">
        <v>0</v>
      </c>
      <c r="BH3133" s="3">
        <v>1</v>
      </c>
      <c r="BI3133" s="3">
        <v>1</v>
      </c>
      <c r="BJ3133" s="3">
        <v>0.2</v>
      </c>
      <c r="BK3133" s="3">
        <v>1</v>
      </c>
      <c r="BL3133" s="3">
        <v>46.08</v>
      </c>
      <c r="BM3133" s="3">
        <v>6.91</v>
      </c>
      <c r="BN3133" s="3">
        <v>52.99</v>
      </c>
      <c r="BO3133" s="3">
        <v>52.99</v>
      </c>
      <c r="BR3133" s="3" t="s">
        <v>364</v>
      </c>
      <c r="BS3133" s="4">
        <v>44571</v>
      </c>
      <c r="BT3133" s="5">
        <v>0.46597222222222223</v>
      </c>
      <c r="BU3133" s="3" t="s">
        <v>2845</v>
      </c>
      <c r="BV3133" s="3" t="s">
        <v>87</v>
      </c>
      <c r="BW3133" s="3" t="s">
        <v>353</v>
      </c>
      <c r="BX3133" s="3" t="s">
        <v>377</v>
      </c>
      <c r="BY3133" s="3">
        <v>1200</v>
      </c>
      <c r="BZ3133" s="3" t="s">
        <v>165</v>
      </c>
      <c r="CA3133" s="3" t="s">
        <v>591</v>
      </c>
      <c r="CC3133" s="3" t="s">
        <v>163</v>
      </c>
      <c r="CD3133" s="3">
        <v>1422</v>
      </c>
      <c r="CE3133" s="3" t="s">
        <v>93</v>
      </c>
      <c r="CF3133" s="4">
        <v>44571</v>
      </c>
      <c r="CI3133" s="3">
        <v>1</v>
      </c>
      <c r="CJ3133" s="3">
        <v>1</v>
      </c>
      <c r="CK3133" s="3">
        <v>22</v>
      </c>
      <c r="CL3133" s="3" t="s">
        <v>87</v>
      </c>
    </row>
    <row r="3134" spans="1:90" x14ac:dyDescent="0.2">
      <c r="A3134" s="3" t="s">
        <v>72</v>
      </c>
      <c r="B3134" s="3" t="s">
        <v>73</v>
      </c>
      <c r="C3134" s="3" t="s">
        <v>74</v>
      </c>
      <c r="E3134" s="3" t="str">
        <f>"FES1162844124"</f>
        <v>FES1162844124</v>
      </c>
      <c r="F3134" s="4">
        <v>44568</v>
      </c>
      <c r="G3134" s="3">
        <v>202207</v>
      </c>
      <c r="H3134" s="3" t="s">
        <v>75</v>
      </c>
      <c r="I3134" s="3" t="s">
        <v>76</v>
      </c>
      <c r="J3134" s="3" t="s">
        <v>77</v>
      </c>
      <c r="K3134" s="3" t="s">
        <v>78</v>
      </c>
      <c r="L3134" s="3" t="s">
        <v>90</v>
      </c>
      <c r="M3134" s="3" t="s">
        <v>91</v>
      </c>
      <c r="N3134" s="3" t="s">
        <v>541</v>
      </c>
      <c r="O3134" s="3" t="s">
        <v>82</v>
      </c>
      <c r="P3134" s="3" t="str">
        <f>"2170809882                    "</f>
        <v xml:space="preserve">2170809882                    </v>
      </c>
      <c r="Q3134" s="3">
        <v>0</v>
      </c>
      <c r="R3134" s="3">
        <v>0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  <c r="AE3134" s="3">
        <v>0</v>
      </c>
      <c r="AF3134" s="3">
        <v>0</v>
      </c>
      <c r="AG3134" s="3">
        <v>0</v>
      </c>
      <c r="AH3134" s="3">
        <v>0</v>
      </c>
      <c r="AI3134" s="3">
        <v>0</v>
      </c>
      <c r="AJ3134" s="3">
        <v>0</v>
      </c>
      <c r="AK3134" s="3">
        <v>15.46</v>
      </c>
      <c r="AL3134" s="3">
        <v>0</v>
      </c>
      <c r="AM3134" s="3">
        <v>0</v>
      </c>
      <c r="AN3134" s="3">
        <v>0</v>
      </c>
      <c r="AO3134" s="3">
        <v>0</v>
      </c>
      <c r="AP3134" s="3">
        <v>0</v>
      </c>
      <c r="AQ3134" s="3">
        <v>0</v>
      </c>
      <c r="AR3134" s="3">
        <v>0</v>
      </c>
      <c r="AS3134" s="3">
        <v>0</v>
      </c>
      <c r="AT3134" s="3">
        <v>0</v>
      </c>
      <c r="AU3134" s="3">
        <v>0</v>
      </c>
      <c r="AV3134" s="3">
        <v>0</v>
      </c>
      <c r="AW3134" s="3">
        <v>0</v>
      </c>
      <c r="AX3134" s="3">
        <v>0</v>
      </c>
      <c r="AY3134" s="3">
        <v>0</v>
      </c>
      <c r="AZ3134" s="3">
        <v>0</v>
      </c>
      <c r="BA3134" s="3">
        <v>0</v>
      </c>
      <c r="BB3134" s="3">
        <v>0</v>
      </c>
      <c r="BC3134" s="3">
        <v>0</v>
      </c>
      <c r="BD3134" s="3">
        <v>0</v>
      </c>
      <c r="BE3134" s="3">
        <v>0</v>
      </c>
      <c r="BF3134" s="3">
        <v>0</v>
      </c>
      <c r="BG3134" s="3">
        <v>0</v>
      </c>
      <c r="BH3134" s="3">
        <v>1</v>
      </c>
      <c r="BI3134" s="3">
        <v>1</v>
      </c>
      <c r="BJ3134" s="3">
        <v>0.2</v>
      </c>
      <c r="BK3134" s="3">
        <v>1</v>
      </c>
      <c r="BL3134" s="3">
        <v>59</v>
      </c>
      <c r="BM3134" s="3">
        <v>8.85</v>
      </c>
      <c r="BN3134" s="3">
        <v>67.849999999999994</v>
      </c>
      <c r="BO3134" s="3">
        <v>67.849999999999994</v>
      </c>
      <c r="BQ3134" s="3" t="s">
        <v>89</v>
      </c>
      <c r="BR3134" s="3" t="s">
        <v>364</v>
      </c>
      <c r="BS3134" s="4">
        <v>44571</v>
      </c>
      <c r="BT3134" s="5">
        <v>0.4291666666666667</v>
      </c>
      <c r="BU3134" s="3" t="s">
        <v>2846</v>
      </c>
      <c r="BV3134" s="3" t="s">
        <v>105</v>
      </c>
      <c r="BY3134" s="3">
        <v>1200</v>
      </c>
      <c r="BZ3134" s="3" t="s">
        <v>165</v>
      </c>
      <c r="CA3134" s="3" t="s">
        <v>1061</v>
      </c>
      <c r="CC3134" s="3" t="s">
        <v>91</v>
      </c>
      <c r="CD3134" s="3">
        <v>7561</v>
      </c>
      <c r="CE3134" s="3" t="s">
        <v>93</v>
      </c>
      <c r="CF3134" s="4">
        <v>44572</v>
      </c>
      <c r="CI3134" s="3">
        <v>1</v>
      </c>
      <c r="CJ3134" s="3">
        <v>1</v>
      </c>
      <c r="CK3134" s="3">
        <v>21</v>
      </c>
      <c r="CL3134" s="3" t="s">
        <v>87</v>
      </c>
    </row>
    <row r="3135" spans="1:90" x14ac:dyDescent="0.2">
      <c r="A3135" s="3" t="s">
        <v>72</v>
      </c>
      <c r="B3135" s="3" t="s">
        <v>73</v>
      </c>
      <c r="C3135" s="3" t="s">
        <v>74</v>
      </c>
      <c r="E3135" s="3" t="str">
        <f>"FES1162844098"</f>
        <v>FES1162844098</v>
      </c>
      <c r="F3135" s="4">
        <v>44568</v>
      </c>
      <c r="G3135" s="3">
        <v>202207</v>
      </c>
      <c r="H3135" s="3" t="s">
        <v>75</v>
      </c>
      <c r="I3135" s="3" t="s">
        <v>76</v>
      </c>
      <c r="J3135" s="3" t="s">
        <v>77</v>
      </c>
      <c r="K3135" s="3" t="s">
        <v>78</v>
      </c>
      <c r="L3135" s="3" t="s">
        <v>101</v>
      </c>
      <c r="M3135" s="3" t="s">
        <v>102</v>
      </c>
      <c r="N3135" s="3" t="s">
        <v>103</v>
      </c>
      <c r="O3135" s="3" t="s">
        <v>82</v>
      </c>
      <c r="P3135" s="3" t="str">
        <f>"2170809923                    "</f>
        <v xml:space="preserve">2170809923                    </v>
      </c>
      <c r="Q3135" s="3">
        <v>0</v>
      </c>
      <c r="R3135" s="3">
        <v>0</v>
      </c>
      <c r="S3135" s="3">
        <v>0</v>
      </c>
      <c r="T3135" s="3">
        <v>0</v>
      </c>
      <c r="U3135" s="3">
        <v>0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0</v>
      </c>
      <c r="AC3135" s="3">
        <v>0</v>
      </c>
      <c r="AD3135" s="3">
        <v>0</v>
      </c>
      <c r="AE3135" s="3">
        <v>0</v>
      </c>
      <c r="AF3135" s="3">
        <v>0</v>
      </c>
      <c r="AG3135" s="3">
        <v>0</v>
      </c>
      <c r="AH3135" s="3">
        <v>0</v>
      </c>
      <c r="AI3135" s="3">
        <v>0</v>
      </c>
      <c r="AJ3135" s="3">
        <v>0</v>
      </c>
      <c r="AK3135" s="3">
        <v>30.91</v>
      </c>
      <c r="AL3135" s="3">
        <v>0</v>
      </c>
      <c r="AM3135" s="3">
        <v>0</v>
      </c>
      <c r="AN3135" s="3">
        <v>0</v>
      </c>
      <c r="AO3135" s="3">
        <v>0</v>
      </c>
      <c r="AP3135" s="3">
        <v>0</v>
      </c>
      <c r="AQ3135" s="3">
        <v>0</v>
      </c>
      <c r="AR3135" s="3">
        <v>0</v>
      </c>
      <c r="AS3135" s="3">
        <v>0</v>
      </c>
      <c r="AT3135" s="3">
        <v>0</v>
      </c>
      <c r="AU3135" s="3">
        <v>0</v>
      </c>
      <c r="AV3135" s="3">
        <v>0</v>
      </c>
      <c r="AW3135" s="3">
        <v>0</v>
      </c>
      <c r="AX3135" s="3">
        <v>0</v>
      </c>
      <c r="AY3135" s="3">
        <v>0</v>
      </c>
      <c r="AZ3135" s="3">
        <v>0</v>
      </c>
      <c r="BA3135" s="3">
        <v>0</v>
      </c>
      <c r="BB3135" s="3">
        <v>0</v>
      </c>
      <c r="BC3135" s="3">
        <v>0</v>
      </c>
      <c r="BD3135" s="3">
        <v>0</v>
      </c>
      <c r="BE3135" s="3">
        <v>0</v>
      </c>
      <c r="BF3135" s="3">
        <v>0</v>
      </c>
      <c r="BG3135" s="3">
        <v>0</v>
      </c>
      <c r="BH3135" s="3">
        <v>1</v>
      </c>
      <c r="BI3135" s="3">
        <v>4</v>
      </c>
      <c r="BJ3135" s="3">
        <v>1.6</v>
      </c>
      <c r="BK3135" s="3">
        <v>4</v>
      </c>
      <c r="BL3135" s="3">
        <v>117.97</v>
      </c>
      <c r="BM3135" s="3">
        <v>17.7</v>
      </c>
      <c r="BN3135" s="3">
        <v>135.66999999999999</v>
      </c>
      <c r="BO3135" s="3">
        <v>135.66999999999999</v>
      </c>
      <c r="BQ3135" s="3" t="s">
        <v>83</v>
      </c>
      <c r="BR3135" s="3" t="s">
        <v>364</v>
      </c>
      <c r="BS3135" s="4">
        <v>44571</v>
      </c>
      <c r="BT3135" s="5">
        <v>0.31944444444444448</v>
      </c>
      <c r="BU3135" s="3" t="s">
        <v>104</v>
      </c>
      <c r="BV3135" s="3" t="s">
        <v>105</v>
      </c>
      <c r="BY3135" s="3">
        <v>8208</v>
      </c>
      <c r="BZ3135" s="3" t="s">
        <v>165</v>
      </c>
      <c r="CA3135" s="3" t="s">
        <v>106</v>
      </c>
      <c r="CC3135" s="3" t="s">
        <v>102</v>
      </c>
      <c r="CD3135" s="3">
        <v>4001</v>
      </c>
      <c r="CE3135" s="3" t="s">
        <v>86</v>
      </c>
      <c r="CF3135" s="4">
        <v>44571</v>
      </c>
      <c r="CI3135" s="3">
        <v>1</v>
      </c>
      <c r="CJ3135" s="3">
        <v>1</v>
      </c>
      <c r="CK3135" s="3">
        <v>21</v>
      </c>
      <c r="CL3135" s="3" t="s">
        <v>87</v>
      </c>
    </row>
    <row r="3136" spans="1:90" x14ac:dyDescent="0.2">
      <c r="A3136" s="3" t="s">
        <v>72</v>
      </c>
      <c r="B3136" s="3" t="s">
        <v>73</v>
      </c>
      <c r="C3136" s="3" t="s">
        <v>74</v>
      </c>
      <c r="E3136" s="3" t="str">
        <f>"FES1162843960"</f>
        <v>FES1162843960</v>
      </c>
      <c r="F3136" s="4">
        <v>44568</v>
      </c>
      <c r="G3136" s="3">
        <v>202207</v>
      </c>
      <c r="H3136" s="3" t="s">
        <v>75</v>
      </c>
      <c r="I3136" s="3" t="s">
        <v>76</v>
      </c>
      <c r="J3136" s="3" t="s">
        <v>77</v>
      </c>
      <c r="K3136" s="3" t="s">
        <v>78</v>
      </c>
      <c r="L3136" s="3" t="s">
        <v>920</v>
      </c>
      <c r="M3136" s="3" t="s">
        <v>921</v>
      </c>
      <c r="N3136" s="3" t="s">
        <v>922</v>
      </c>
      <c r="O3136" s="3" t="s">
        <v>82</v>
      </c>
      <c r="P3136" s="3" t="str">
        <f>"2170814156                    "</f>
        <v xml:space="preserve">2170814156                    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  <c r="AE3136" s="3">
        <v>0</v>
      </c>
      <c r="AF3136" s="3">
        <v>0</v>
      </c>
      <c r="AG3136" s="3">
        <v>0</v>
      </c>
      <c r="AH3136" s="3">
        <v>0</v>
      </c>
      <c r="AI3136" s="3">
        <v>0</v>
      </c>
      <c r="AJ3136" s="3">
        <v>0</v>
      </c>
      <c r="AK3136" s="3">
        <v>29.95</v>
      </c>
      <c r="AL3136" s="3">
        <v>0</v>
      </c>
      <c r="AM3136" s="3">
        <v>0</v>
      </c>
      <c r="AN3136" s="3">
        <v>0</v>
      </c>
      <c r="AO3136" s="3">
        <v>0</v>
      </c>
      <c r="AP3136" s="3">
        <v>0</v>
      </c>
      <c r="AQ3136" s="3">
        <v>0</v>
      </c>
      <c r="AR3136" s="3">
        <v>0</v>
      </c>
      <c r="AS3136" s="3">
        <v>0</v>
      </c>
      <c r="AT3136" s="3">
        <v>0</v>
      </c>
      <c r="AU3136" s="3">
        <v>0</v>
      </c>
      <c r="AV3136" s="3">
        <v>0</v>
      </c>
      <c r="AW3136" s="3">
        <v>0</v>
      </c>
      <c r="AX3136" s="3">
        <v>0</v>
      </c>
      <c r="AY3136" s="3">
        <v>0</v>
      </c>
      <c r="AZ3136" s="3">
        <v>0</v>
      </c>
      <c r="BA3136" s="3">
        <v>0</v>
      </c>
      <c r="BB3136" s="3">
        <v>0</v>
      </c>
      <c r="BC3136" s="3">
        <v>0</v>
      </c>
      <c r="BD3136" s="3">
        <v>0</v>
      </c>
      <c r="BE3136" s="3">
        <v>0</v>
      </c>
      <c r="BF3136" s="3">
        <v>0</v>
      </c>
      <c r="BG3136" s="3">
        <v>0</v>
      </c>
      <c r="BH3136" s="3">
        <v>1</v>
      </c>
      <c r="BI3136" s="3">
        <v>1</v>
      </c>
      <c r="BJ3136" s="3">
        <v>0.2</v>
      </c>
      <c r="BK3136" s="3">
        <v>1</v>
      </c>
      <c r="BL3136" s="3">
        <v>114.31</v>
      </c>
      <c r="BM3136" s="3">
        <v>17.149999999999999</v>
      </c>
      <c r="BN3136" s="3">
        <v>131.46</v>
      </c>
      <c r="BO3136" s="3">
        <v>131.46</v>
      </c>
      <c r="BQ3136" s="3" t="s">
        <v>89</v>
      </c>
      <c r="BR3136" s="3" t="s">
        <v>364</v>
      </c>
      <c r="BS3136" s="4">
        <v>44571</v>
      </c>
      <c r="BT3136" s="5">
        <v>0.40138888888888885</v>
      </c>
      <c r="BU3136" s="3" t="s">
        <v>923</v>
      </c>
      <c r="BV3136" s="3" t="s">
        <v>105</v>
      </c>
      <c r="BY3136" s="3">
        <v>1200</v>
      </c>
      <c r="BZ3136" s="3" t="s">
        <v>165</v>
      </c>
      <c r="CA3136" s="3" t="s">
        <v>924</v>
      </c>
      <c r="CC3136" s="3" t="s">
        <v>921</v>
      </c>
      <c r="CD3136" s="3">
        <v>9700</v>
      </c>
      <c r="CE3136" s="3" t="s">
        <v>93</v>
      </c>
      <c r="CF3136" s="4">
        <v>44571</v>
      </c>
      <c r="CI3136" s="3">
        <v>1</v>
      </c>
      <c r="CJ3136" s="3">
        <v>1</v>
      </c>
      <c r="CK3136" s="3">
        <v>23</v>
      </c>
      <c r="CL3136" s="3" t="s">
        <v>87</v>
      </c>
    </row>
    <row r="3137" spans="1:90" x14ac:dyDescent="0.2">
      <c r="A3137" s="3" t="s">
        <v>72</v>
      </c>
      <c r="B3137" s="3" t="s">
        <v>73</v>
      </c>
      <c r="C3137" s="3" t="s">
        <v>74</v>
      </c>
      <c r="E3137" s="3" t="str">
        <f>"FES1162844131"</f>
        <v>FES1162844131</v>
      </c>
      <c r="F3137" s="4">
        <v>44568</v>
      </c>
      <c r="G3137" s="3">
        <v>202207</v>
      </c>
      <c r="H3137" s="3" t="s">
        <v>75</v>
      </c>
      <c r="I3137" s="3" t="s">
        <v>76</v>
      </c>
      <c r="J3137" s="3" t="s">
        <v>77</v>
      </c>
      <c r="K3137" s="3" t="s">
        <v>78</v>
      </c>
      <c r="L3137" s="3" t="s">
        <v>206</v>
      </c>
      <c r="M3137" s="3" t="s">
        <v>207</v>
      </c>
      <c r="N3137" s="3" t="s">
        <v>1126</v>
      </c>
      <c r="O3137" s="3" t="s">
        <v>82</v>
      </c>
      <c r="P3137" s="3" t="str">
        <f>"2170813942                    "</f>
        <v xml:space="preserve">2170813942                    </v>
      </c>
      <c r="Q3137" s="3">
        <v>0</v>
      </c>
      <c r="R3137" s="3">
        <v>0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  <c r="AE3137" s="3">
        <v>0</v>
      </c>
      <c r="AF3137" s="3">
        <v>0</v>
      </c>
      <c r="AG3137" s="3">
        <v>0</v>
      </c>
      <c r="AH3137" s="3">
        <v>0</v>
      </c>
      <c r="AI3137" s="3">
        <v>0</v>
      </c>
      <c r="AJ3137" s="3">
        <v>0</v>
      </c>
      <c r="AK3137" s="3">
        <v>21.74</v>
      </c>
      <c r="AL3137" s="3">
        <v>0</v>
      </c>
      <c r="AM3137" s="3">
        <v>0</v>
      </c>
      <c r="AN3137" s="3">
        <v>0</v>
      </c>
      <c r="AO3137" s="3">
        <v>0</v>
      </c>
      <c r="AP3137" s="3">
        <v>0</v>
      </c>
      <c r="AQ3137" s="3">
        <v>15</v>
      </c>
      <c r="AR3137" s="3">
        <v>0</v>
      </c>
      <c r="AS3137" s="3">
        <v>0</v>
      </c>
      <c r="AT3137" s="3">
        <v>0</v>
      </c>
      <c r="AU3137" s="3">
        <v>0</v>
      </c>
      <c r="AV3137" s="3">
        <v>0</v>
      </c>
      <c r="AW3137" s="3">
        <v>0</v>
      </c>
      <c r="AX3137" s="3">
        <v>0</v>
      </c>
      <c r="AY3137" s="3">
        <v>0</v>
      </c>
      <c r="AZ3137" s="3">
        <v>0</v>
      </c>
      <c r="BA3137" s="3">
        <v>0</v>
      </c>
      <c r="BB3137" s="3">
        <v>0</v>
      </c>
      <c r="BC3137" s="3">
        <v>0</v>
      </c>
      <c r="BD3137" s="3">
        <v>0</v>
      </c>
      <c r="BE3137" s="3">
        <v>0</v>
      </c>
      <c r="BF3137" s="3">
        <v>0</v>
      </c>
      <c r="BG3137" s="3">
        <v>0</v>
      </c>
      <c r="BH3137" s="3">
        <v>1</v>
      </c>
      <c r="BI3137" s="3">
        <v>1</v>
      </c>
      <c r="BJ3137" s="3">
        <v>0.2</v>
      </c>
      <c r="BK3137" s="3">
        <v>1</v>
      </c>
      <c r="BL3137" s="3">
        <v>97.98</v>
      </c>
      <c r="BM3137" s="3">
        <v>14.7</v>
      </c>
      <c r="BN3137" s="3">
        <v>112.68</v>
      </c>
      <c r="BO3137" s="3">
        <v>112.68</v>
      </c>
      <c r="BQ3137" s="3" t="s">
        <v>1127</v>
      </c>
      <c r="BR3137" s="3" t="s">
        <v>364</v>
      </c>
      <c r="BS3137" s="4">
        <v>44571</v>
      </c>
      <c r="BT3137" s="5">
        <v>0.47500000000000003</v>
      </c>
      <c r="BU3137" s="3" t="s">
        <v>2728</v>
      </c>
      <c r="BV3137" s="3" t="s">
        <v>105</v>
      </c>
      <c r="BY3137" s="3">
        <v>1200</v>
      </c>
      <c r="BZ3137" s="3" t="s">
        <v>446</v>
      </c>
      <c r="CA3137" s="3" t="s">
        <v>2847</v>
      </c>
      <c r="CC3137" s="3" t="s">
        <v>207</v>
      </c>
      <c r="CD3137" s="3">
        <v>1754</v>
      </c>
      <c r="CE3137" s="3" t="s">
        <v>93</v>
      </c>
      <c r="CF3137" s="4">
        <v>44571</v>
      </c>
      <c r="CI3137" s="3">
        <v>1</v>
      </c>
      <c r="CJ3137" s="3">
        <v>1</v>
      </c>
      <c r="CK3137" s="3">
        <v>24</v>
      </c>
      <c r="CL3137" s="3" t="s">
        <v>87</v>
      </c>
    </row>
    <row r="3138" spans="1:90" x14ac:dyDescent="0.2">
      <c r="A3138" s="3" t="s">
        <v>72</v>
      </c>
      <c r="B3138" s="3" t="s">
        <v>73</v>
      </c>
      <c r="C3138" s="3" t="s">
        <v>74</v>
      </c>
      <c r="E3138" s="3" t="str">
        <f>"FES1162844028"</f>
        <v>FES1162844028</v>
      </c>
      <c r="F3138" s="4">
        <v>44568</v>
      </c>
      <c r="G3138" s="3">
        <v>202207</v>
      </c>
      <c r="H3138" s="3" t="s">
        <v>75</v>
      </c>
      <c r="I3138" s="3" t="s">
        <v>76</v>
      </c>
      <c r="J3138" s="3" t="s">
        <v>77</v>
      </c>
      <c r="K3138" s="3" t="s">
        <v>78</v>
      </c>
      <c r="L3138" s="3" t="s">
        <v>184</v>
      </c>
      <c r="M3138" s="3" t="s">
        <v>185</v>
      </c>
      <c r="N3138" s="3" t="s">
        <v>186</v>
      </c>
      <c r="O3138" s="3" t="s">
        <v>82</v>
      </c>
      <c r="P3138" s="3" t="str">
        <f>"2170815838                    "</f>
        <v xml:space="preserve">2170815838                    </v>
      </c>
      <c r="Q3138" s="3">
        <v>0</v>
      </c>
      <c r="R3138" s="3">
        <v>0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  <c r="AE3138" s="3">
        <v>0</v>
      </c>
      <c r="AF3138" s="3">
        <v>0</v>
      </c>
      <c r="AG3138" s="3">
        <v>0</v>
      </c>
      <c r="AH3138" s="3">
        <v>0</v>
      </c>
      <c r="AI3138" s="3">
        <v>0</v>
      </c>
      <c r="AJ3138" s="3">
        <v>0</v>
      </c>
      <c r="AK3138" s="3">
        <v>15.46</v>
      </c>
      <c r="AL3138" s="3">
        <v>0</v>
      </c>
      <c r="AM3138" s="3">
        <v>0</v>
      </c>
      <c r="AN3138" s="3">
        <v>0</v>
      </c>
      <c r="AO3138" s="3">
        <v>0</v>
      </c>
      <c r="AP3138" s="3">
        <v>0</v>
      </c>
      <c r="AQ3138" s="3">
        <v>0</v>
      </c>
      <c r="AR3138" s="3">
        <v>0</v>
      </c>
      <c r="AS3138" s="3">
        <v>0</v>
      </c>
      <c r="AT3138" s="3">
        <v>0</v>
      </c>
      <c r="AU3138" s="3">
        <v>0</v>
      </c>
      <c r="AV3138" s="3">
        <v>0</v>
      </c>
      <c r="AW3138" s="3">
        <v>0</v>
      </c>
      <c r="AX3138" s="3">
        <v>0</v>
      </c>
      <c r="AY3138" s="3">
        <v>0</v>
      </c>
      <c r="AZ3138" s="3">
        <v>0</v>
      </c>
      <c r="BA3138" s="3">
        <v>0</v>
      </c>
      <c r="BB3138" s="3">
        <v>0</v>
      </c>
      <c r="BC3138" s="3">
        <v>0</v>
      </c>
      <c r="BD3138" s="3">
        <v>0</v>
      </c>
      <c r="BE3138" s="3">
        <v>0</v>
      </c>
      <c r="BF3138" s="3">
        <v>0</v>
      </c>
      <c r="BG3138" s="3">
        <v>0</v>
      </c>
      <c r="BH3138" s="3">
        <v>1</v>
      </c>
      <c r="BI3138" s="3">
        <v>1</v>
      </c>
      <c r="BJ3138" s="3">
        <v>1.5</v>
      </c>
      <c r="BK3138" s="3">
        <v>1.5</v>
      </c>
      <c r="BL3138" s="3">
        <v>59</v>
      </c>
      <c r="BM3138" s="3">
        <v>8.85</v>
      </c>
      <c r="BN3138" s="3">
        <v>67.849999999999994</v>
      </c>
      <c r="BO3138" s="3">
        <v>67.849999999999994</v>
      </c>
      <c r="BQ3138" s="3" t="s">
        <v>83</v>
      </c>
      <c r="BR3138" s="3" t="s">
        <v>364</v>
      </c>
      <c r="BS3138" s="4">
        <v>44571</v>
      </c>
      <c r="BT3138" s="5">
        <v>0.55486111111111114</v>
      </c>
      <c r="BU3138" s="3" t="s">
        <v>2848</v>
      </c>
      <c r="BV3138" s="3" t="s">
        <v>87</v>
      </c>
      <c r="BW3138" s="3" t="s">
        <v>353</v>
      </c>
      <c r="BX3138" s="3" t="s">
        <v>605</v>
      </c>
      <c r="BY3138" s="3">
        <v>7540</v>
      </c>
      <c r="BZ3138" s="3" t="s">
        <v>165</v>
      </c>
      <c r="CA3138" s="3" t="s">
        <v>357</v>
      </c>
      <c r="CC3138" s="3" t="s">
        <v>185</v>
      </c>
      <c r="CD3138" s="3">
        <v>5201</v>
      </c>
      <c r="CE3138" s="3" t="s">
        <v>86</v>
      </c>
      <c r="CF3138" s="4">
        <v>44571</v>
      </c>
      <c r="CI3138" s="3">
        <v>1</v>
      </c>
      <c r="CJ3138" s="3">
        <v>1</v>
      </c>
      <c r="CK3138" s="3">
        <v>21</v>
      </c>
      <c r="CL3138" s="3" t="s">
        <v>87</v>
      </c>
    </row>
    <row r="3139" spans="1:90" x14ac:dyDescent="0.2">
      <c r="A3139" s="3" t="s">
        <v>72</v>
      </c>
      <c r="B3139" s="3" t="s">
        <v>73</v>
      </c>
      <c r="C3139" s="3" t="s">
        <v>74</v>
      </c>
      <c r="E3139" s="3" t="str">
        <f>"FES1162843894"</f>
        <v>FES1162843894</v>
      </c>
      <c r="F3139" s="4">
        <v>44568</v>
      </c>
      <c r="G3139" s="3">
        <v>202207</v>
      </c>
      <c r="H3139" s="3" t="s">
        <v>75</v>
      </c>
      <c r="I3139" s="3" t="s">
        <v>76</v>
      </c>
      <c r="J3139" s="3" t="s">
        <v>77</v>
      </c>
      <c r="K3139" s="3" t="s">
        <v>78</v>
      </c>
      <c r="L3139" s="3" t="s">
        <v>218</v>
      </c>
      <c r="M3139" s="3" t="s">
        <v>219</v>
      </c>
      <c r="N3139" s="3" t="s">
        <v>2665</v>
      </c>
      <c r="O3139" s="3" t="s">
        <v>82</v>
      </c>
      <c r="P3139" s="3" t="str">
        <f>"2170802062                    "</f>
        <v xml:space="preserve">2170802062                    </v>
      </c>
      <c r="Q3139" s="3">
        <v>0</v>
      </c>
      <c r="R3139" s="3">
        <v>0</v>
      </c>
      <c r="S3139" s="3">
        <v>0</v>
      </c>
      <c r="T3139" s="3">
        <v>0</v>
      </c>
      <c r="U3139" s="3">
        <v>0</v>
      </c>
      <c r="V3139" s="3">
        <v>0</v>
      </c>
      <c r="W3139" s="3">
        <v>0</v>
      </c>
      <c r="X3139" s="3">
        <v>0</v>
      </c>
      <c r="Y3139" s="3">
        <v>0</v>
      </c>
      <c r="Z3139" s="3">
        <v>0</v>
      </c>
      <c r="AA3139" s="3">
        <v>0</v>
      </c>
      <c r="AB3139" s="3">
        <v>0</v>
      </c>
      <c r="AC3139" s="3">
        <v>0</v>
      </c>
      <c r="AD3139" s="3">
        <v>0</v>
      </c>
      <c r="AE3139" s="3">
        <v>0</v>
      </c>
      <c r="AF3139" s="3">
        <v>0</v>
      </c>
      <c r="AG3139" s="3">
        <v>0</v>
      </c>
      <c r="AH3139" s="3">
        <v>0</v>
      </c>
      <c r="AI3139" s="3">
        <v>0</v>
      </c>
      <c r="AJ3139" s="3">
        <v>0</v>
      </c>
      <c r="AK3139" s="3">
        <v>15.46</v>
      </c>
      <c r="AL3139" s="3">
        <v>0</v>
      </c>
      <c r="AM3139" s="3">
        <v>0</v>
      </c>
      <c r="AN3139" s="3">
        <v>0</v>
      </c>
      <c r="AO3139" s="3">
        <v>0</v>
      </c>
      <c r="AP3139" s="3">
        <v>0</v>
      </c>
      <c r="AQ3139" s="3">
        <v>0</v>
      </c>
      <c r="AR3139" s="3">
        <v>0</v>
      </c>
      <c r="AS3139" s="3">
        <v>0</v>
      </c>
      <c r="AT3139" s="3">
        <v>0</v>
      </c>
      <c r="AU3139" s="3">
        <v>0</v>
      </c>
      <c r="AV3139" s="3">
        <v>0</v>
      </c>
      <c r="AW3139" s="3">
        <v>0</v>
      </c>
      <c r="AX3139" s="3">
        <v>0</v>
      </c>
      <c r="AY3139" s="3">
        <v>0</v>
      </c>
      <c r="AZ3139" s="3">
        <v>0</v>
      </c>
      <c r="BA3139" s="3">
        <v>0</v>
      </c>
      <c r="BB3139" s="3">
        <v>0</v>
      </c>
      <c r="BC3139" s="3">
        <v>0</v>
      </c>
      <c r="BD3139" s="3">
        <v>0</v>
      </c>
      <c r="BE3139" s="3">
        <v>0</v>
      </c>
      <c r="BF3139" s="3">
        <v>0</v>
      </c>
      <c r="BG3139" s="3">
        <v>0</v>
      </c>
      <c r="BH3139" s="3">
        <v>1</v>
      </c>
      <c r="BI3139" s="3">
        <v>1</v>
      </c>
      <c r="BJ3139" s="3">
        <v>0.2</v>
      </c>
      <c r="BK3139" s="3">
        <v>1</v>
      </c>
      <c r="BL3139" s="3">
        <v>59</v>
      </c>
      <c r="BM3139" s="3">
        <v>8.85</v>
      </c>
      <c r="BN3139" s="3">
        <v>67.849999999999994</v>
      </c>
      <c r="BO3139" s="3">
        <v>67.849999999999994</v>
      </c>
      <c r="BR3139" s="3" t="s">
        <v>364</v>
      </c>
      <c r="BS3139" s="4">
        <v>44571</v>
      </c>
      <c r="BT3139" s="5">
        <v>0.39305555555555555</v>
      </c>
      <c r="BU3139" s="3" t="s">
        <v>728</v>
      </c>
      <c r="BV3139" s="3" t="s">
        <v>105</v>
      </c>
      <c r="BY3139" s="3">
        <v>1200</v>
      </c>
      <c r="BZ3139" s="3" t="s">
        <v>165</v>
      </c>
      <c r="CA3139" s="3" t="s">
        <v>362</v>
      </c>
      <c r="CC3139" s="3" t="s">
        <v>219</v>
      </c>
      <c r="CD3139" s="3">
        <v>46</v>
      </c>
      <c r="CE3139" s="3" t="s">
        <v>93</v>
      </c>
      <c r="CF3139" s="4">
        <v>44571</v>
      </c>
      <c r="CI3139" s="3">
        <v>1</v>
      </c>
      <c r="CJ3139" s="3">
        <v>1</v>
      </c>
      <c r="CK3139" s="3">
        <v>21</v>
      </c>
      <c r="CL3139" s="3" t="s">
        <v>87</v>
      </c>
    </row>
    <row r="3140" spans="1:90" x14ac:dyDescent="0.2">
      <c r="A3140" s="3" t="s">
        <v>72</v>
      </c>
      <c r="B3140" s="3" t="s">
        <v>73</v>
      </c>
      <c r="C3140" s="3" t="s">
        <v>74</v>
      </c>
      <c r="E3140" s="3" t="str">
        <f>"FES1162844132"</f>
        <v>FES1162844132</v>
      </c>
      <c r="F3140" s="4">
        <v>44568</v>
      </c>
      <c r="G3140" s="3">
        <v>202207</v>
      </c>
      <c r="H3140" s="3" t="s">
        <v>75</v>
      </c>
      <c r="I3140" s="3" t="s">
        <v>76</v>
      </c>
      <c r="J3140" s="3" t="s">
        <v>77</v>
      </c>
      <c r="K3140" s="3" t="s">
        <v>78</v>
      </c>
      <c r="L3140" s="3" t="s">
        <v>154</v>
      </c>
      <c r="M3140" s="3" t="s">
        <v>155</v>
      </c>
      <c r="N3140" s="3" t="s">
        <v>1960</v>
      </c>
      <c r="O3140" s="3" t="s">
        <v>82</v>
      </c>
      <c r="P3140" s="3" t="str">
        <f>"2170813964                    "</f>
        <v xml:space="preserve">2170813964                    </v>
      </c>
      <c r="Q3140" s="3">
        <v>0</v>
      </c>
      <c r="R3140" s="3">
        <v>0</v>
      </c>
      <c r="S3140" s="3">
        <v>0</v>
      </c>
      <c r="T3140" s="3">
        <v>0</v>
      </c>
      <c r="U3140" s="3">
        <v>0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0</v>
      </c>
      <c r="AC3140" s="3">
        <v>0</v>
      </c>
      <c r="AD3140" s="3">
        <v>0</v>
      </c>
      <c r="AE3140" s="3">
        <v>0</v>
      </c>
      <c r="AF3140" s="3">
        <v>0</v>
      </c>
      <c r="AG3140" s="3">
        <v>0</v>
      </c>
      <c r="AH3140" s="3">
        <v>0</v>
      </c>
      <c r="AI3140" s="3">
        <v>0</v>
      </c>
      <c r="AJ3140" s="3">
        <v>0</v>
      </c>
      <c r="AK3140" s="3">
        <v>12.07</v>
      </c>
      <c r="AL3140" s="3">
        <v>0</v>
      </c>
      <c r="AM3140" s="3">
        <v>0</v>
      </c>
      <c r="AN3140" s="3">
        <v>0</v>
      </c>
      <c r="AO3140" s="3">
        <v>0</v>
      </c>
      <c r="AP3140" s="3">
        <v>0</v>
      </c>
      <c r="AQ3140" s="3">
        <v>0</v>
      </c>
      <c r="AR3140" s="3">
        <v>0</v>
      </c>
      <c r="AS3140" s="3">
        <v>0</v>
      </c>
      <c r="AT3140" s="3">
        <v>0</v>
      </c>
      <c r="AU3140" s="3">
        <v>0</v>
      </c>
      <c r="AV3140" s="3">
        <v>0</v>
      </c>
      <c r="AW3140" s="3">
        <v>0</v>
      </c>
      <c r="AX3140" s="3">
        <v>0</v>
      </c>
      <c r="AY3140" s="3">
        <v>0</v>
      </c>
      <c r="AZ3140" s="3">
        <v>0</v>
      </c>
      <c r="BA3140" s="3">
        <v>0</v>
      </c>
      <c r="BB3140" s="3">
        <v>0</v>
      </c>
      <c r="BC3140" s="3">
        <v>0</v>
      </c>
      <c r="BD3140" s="3">
        <v>0</v>
      </c>
      <c r="BE3140" s="3">
        <v>0</v>
      </c>
      <c r="BF3140" s="3">
        <v>0</v>
      </c>
      <c r="BG3140" s="3">
        <v>0</v>
      </c>
      <c r="BH3140" s="3">
        <v>1</v>
      </c>
      <c r="BI3140" s="3">
        <v>1</v>
      </c>
      <c r="BJ3140" s="3">
        <v>0.2</v>
      </c>
      <c r="BK3140" s="3">
        <v>1</v>
      </c>
      <c r="BL3140" s="3">
        <v>46.08</v>
      </c>
      <c r="BM3140" s="3">
        <v>6.91</v>
      </c>
      <c r="BN3140" s="3">
        <v>52.99</v>
      </c>
      <c r="BO3140" s="3">
        <v>52.99</v>
      </c>
      <c r="BR3140" s="3" t="s">
        <v>364</v>
      </c>
      <c r="BS3140" s="4">
        <v>44572</v>
      </c>
      <c r="BT3140" s="5">
        <v>0.3354166666666667</v>
      </c>
      <c r="BU3140" s="3" t="s">
        <v>2849</v>
      </c>
      <c r="BV3140" s="3" t="s">
        <v>87</v>
      </c>
      <c r="BW3140" s="3" t="s">
        <v>493</v>
      </c>
      <c r="BX3140" s="3" t="s">
        <v>723</v>
      </c>
      <c r="BY3140" s="3">
        <v>1200</v>
      </c>
      <c r="BZ3140" s="3" t="s">
        <v>165</v>
      </c>
      <c r="CA3140" s="3" t="s">
        <v>708</v>
      </c>
      <c r="CC3140" s="3" t="s">
        <v>155</v>
      </c>
      <c r="CD3140" s="3">
        <v>1682</v>
      </c>
      <c r="CE3140" s="3" t="s">
        <v>93</v>
      </c>
      <c r="CF3140" s="4">
        <v>44573</v>
      </c>
      <c r="CI3140" s="3">
        <v>1</v>
      </c>
      <c r="CJ3140" s="3">
        <v>2</v>
      </c>
      <c r="CK3140" s="3">
        <v>22</v>
      </c>
      <c r="CL3140" s="3" t="s">
        <v>87</v>
      </c>
    </row>
    <row r="3141" spans="1:90" x14ac:dyDescent="0.2">
      <c r="A3141" s="3" t="s">
        <v>72</v>
      </c>
      <c r="B3141" s="3" t="s">
        <v>73</v>
      </c>
      <c r="C3141" s="3" t="s">
        <v>74</v>
      </c>
      <c r="E3141" s="3" t="str">
        <f>"FES1162844119"</f>
        <v>FES1162844119</v>
      </c>
      <c r="F3141" s="4">
        <v>44568</v>
      </c>
      <c r="G3141" s="3">
        <v>202207</v>
      </c>
      <c r="H3141" s="3" t="s">
        <v>75</v>
      </c>
      <c r="I3141" s="3" t="s">
        <v>76</v>
      </c>
      <c r="J3141" s="3" t="s">
        <v>77</v>
      </c>
      <c r="K3141" s="3" t="s">
        <v>78</v>
      </c>
      <c r="L3141" s="3" t="s">
        <v>171</v>
      </c>
      <c r="M3141" s="3" t="s">
        <v>172</v>
      </c>
      <c r="N3141" s="3" t="s">
        <v>973</v>
      </c>
      <c r="O3141" s="3" t="s">
        <v>82</v>
      </c>
      <c r="P3141" s="3" t="str">
        <f>"2170815916                    "</f>
        <v xml:space="preserve">2170815916                    </v>
      </c>
      <c r="Q3141" s="3">
        <v>0</v>
      </c>
      <c r="R3141" s="3">
        <v>0</v>
      </c>
      <c r="S3141" s="3">
        <v>0</v>
      </c>
      <c r="T3141" s="3">
        <v>0</v>
      </c>
      <c r="U3141" s="3">
        <v>0</v>
      </c>
      <c r="V3141" s="3">
        <v>0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0</v>
      </c>
      <c r="AC3141" s="3">
        <v>0</v>
      </c>
      <c r="AD3141" s="3">
        <v>0</v>
      </c>
      <c r="AE3141" s="3">
        <v>0</v>
      </c>
      <c r="AF3141" s="3">
        <v>0</v>
      </c>
      <c r="AG3141" s="3">
        <v>0</v>
      </c>
      <c r="AH3141" s="3">
        <v>0</v>
      </c>
      <c r="AI3141" s="3">
        <v>0</v>
      </c>
      <c r="AJ3141" s="3">
        <v>0</v>
      </c>
      <c r="AK3141" s="3">
        <v>15.46</v>
      </c>
      <c r="AL3141" s="3">
        <v>0</v>
      </c>
      <c r="AM3141" s="3">
        <v>0</v>
      </c>
      <c r="AN3141" s="3">
        <v>0</v>
      </c>
      <c r="AO3141" s="3">
        <v>0</v>
      </c>
      <c r="AP3141" s="3">
        <v>0</v>
      </c>
      <c r="AQ3141" s="3">
        <v>0</v>
      </c>
      <c r="AR3141" s="3">
        <v>0</v>
      </c>
      <c r="AS3141" s="3">
        <v>0</v>
      </c>
      <c r="AT3141" s="3">
        <v>0</v>
      </c>
      <c r="AU3141" s="3">
        <v>0</v>
      </c>
      <c r="AV3141" s="3">
        <v>0</v>
      </c>
      <c r="AW3141" s="3">
        <v>0</v>
      </c>
      <c r="AX3141" s="3">
        <v>0</v>
      </c>
      <c r="AY3141" s="3">
        <v>0</v>
      </c>
      <c r="AZ3141" s="3">
        <v>0</v>
      </c>
      <c r="BA3141" s="3">
        <v>0</v>
      </c>
      <c r="BB3141" s="3">
        <v>0</v>
      </c>
      <c r="BC3141" s="3">
        <v>0</v>
      </c>
      <c r="BD3141" s="3">
        <v>0</v>
      </c>
      <c r="BE3141" s="3">
        <v>0</v>
      </c>
      <c r="BF3141" s="3">
        <v>0</v>
      </c>
      <c r="BG3141" s="3">
        <v>0</v>
      </c>
      <c r="BH3141" s="3">
        <v>1</v>
      </c>
      <c r="BI3141" s="3">
        <v>1</v>
      </c>
      <c r="BJ3141" s="3">
        <v>2</v>
      </c>
      <c r="BK3141" s="3">
        <v>2</v>
      </c>
      <c r="BL3141" s="3">
        <v>59</v>
      </c>
      <c r="BM3141" s="3">
        <v>8.85</v>
      </c>
      <c r="BN3141" s="3">
        <v>67.849999999999994</v>
      </c>
      <c r="BO3141" s="3">
        <v>67.849999999999994</v>
      </c>
      <c r="BQ3141" s="3" t="s">
        <v>974</v>
      </c>
      <c r="BR3141" s="3" t="s">
        <v>364</v>
      </c>
      <c r="BS3141" s="4">
        <v>44571</v>
      </c>
      <c r="BT3141" s="5">
        <v>0.39166666666666666</v>
      </c>
      <c r="BU3141" s="3" t="s">
        <v>2850</v>
      </c>
      <c r="BV3141" s="3" t="s">
        <v>105</v>
      </c>
      <c r="BY3141" s="3">
        <v>9900</v>
      </c>
      <c r="BZ3141" s="3" t="s">
        <v>165</v>
      </c>
      <c r="CA3141" s="3" t="s">
        <v>408</v>
      </c>
      <c r="CC3141" s="3" t="s">
        <v>172</v>
      </c>
      <c r="CD3141" s="3">
        <v>6045</v>
      </c>
      <c r="CE3141" s="3" t="s">
        <v>86</v>
      </c>
      <c r="CF3141" s="4">
        <v>44571</v>
      </c>
      <c r="CI3141" s="3">
        <v>1</v>
      </c>
      <c r="CJ3141" s="3">
        <v>1</v>
      </c>
      <c r="CK3141" s="3">
        <v>21</v>
      </c>
      <c r="CL3141" s="3" t="s">
        <v>87</v>
      </c>
    </row>
    <row r="3142" spans="1:90" x14ac:dyDescent="0.2">
      <c r="A3142" s="3" t="s">
        <v>72</v>
      </c>
      <c r="B3142" s="3" t="s">
        <v>73</v>
      </c>
      <c r="C3142" s="3" t="s">
        <v>74</v>
      </c>
      <c r="E3142" s="3" t="str">
        <f>"FES1162843937"</f>
        <v>FES1162843937</v>
      </c>
      <c r="F3142" s="4">
        <v>44568</v>
      </c>
      <c r="G3142" s="3">
        <v>202207</v>
      </c>
      <c r="H3142" s="3" t="s">
        <v>75</v>
      </c>
      <c r="I3142" s="3" t="s">
        <v>76</v>
      </c>
      <c r="J3142" s="3" t="s">
        <v>77</v>
      </c>
      <c r="K3142" s="3" t="s">
        <v>78</v>
      </c>
      <c r="L3142" s="3" t="s">
        <v>97</v>
      </c>
      <c r="M3142" s="3" t="s">
        <v>98</v>
      </c>
      <c r="N3142" s="3" t="s">
        <v>295</v>
      </c>
      <c r="O3142" s="3" t="s">
        <v>82</v>
      </c>
      <c r="P3142" s="3" t="str">
        <f>"2170813674                    "</f>
        <v xml:space="preserve">2170813674                    </v>
      </c>
      <c r="Q3142" s="3">
        <v>0</v>
      </c>
      <c r="R3142" s="3">
        <v>0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  <c r="AE3142" s="3">
        <v>0</v>
      </c>
      <c r="AF3142" s="3">
        <v>0</v>
      </c>
      <c r="AG3142" s="3">
        <v>0</v>
      </c>
      <c r="AH3142" s="3">
        <v>0</v>
      </c>
      <c r="AI3142" s="3">
        <v>0</v>
      </c>
      <c r="AJ3142" s="3">
        <v>0</v>
      </c>
      <c r="AK3142" s="3">
        <v>12.07</v>
      </c>
      <c r="AL3142" s="3">
        <v>0</v>
      </c>
      <c r="AM3142" s="3">
        <v>0</v>
      </c>
      <c r="AN3142" s="3">
        <v>0</v>
      </c>
      <c r="AO3142" s="3">
        <v>0</v>
      </c>
      <c r="AP3142" s="3">
        <v>0</v>
      </c>
      <c r="AQ3142" s="3">
        <v>0</v>
      </c>
      <c r="AR3142" s="3">
        <v>0</v>
      </c>
      <c r="AS3142" s="3">
        <v>0</v>
      </c>
      <c r="AT3142" s="3">
        <v>0</v>
      </c>
      <c r="AU3142" s="3">
        <v>0</v>
      </c>
      <c r="AV3142" s="3">
        <v>0</v>
      </c>
      <c r="AW3142" s="3">
        <v>0</v>
      </c>
      <c r="AX3142" s="3">
        <v>0</v>
      </c>
      <c r="AY3142" s="3">
        <v>0</v>
      </c>
      <c r="AZ3142" s="3">
        <v>0</v>
      </c>
      <c r="BA3142" s="3">
        <v>0</v>
      </c>
      <c r="BB3142" s="3">
        <v>0</v>
      </c>
      <c r="BC3142" s="3">
        <v>0</v>
      </c>
      <c r="BD3142" s="3">
        <v>0</v>
      </c>
      <c r="BE3142" s="3">
        <v>0</v>
      </c>
      <c r="BF3142" s="3">
        <v>0</v>
      </c>
      <c r="BG3142" s="3">
        <v>0</v>
      </c>
      <c r="BH3142" s="3">
        <v>1</v>
      </c>
      <c r="BI3142" s="3">
        <v>1</v>
      </c>
      <c r="BJ3142" s="3">
        <v>0.2</v>
      </c>
      <c r="BK3142" s="3">
        <v>1</v>
      </c>
      <c r="BL3142" s="3">
        <v>46.08</v>
      </c>
      <c r="BM3142" s="3">
        <v>6.91</v>
      </c>
      <c r="BN3142" s="3">
        <v>52.99</v>
      </c>
      <c r="BO3142" s="3">
        <v>52.99</v>
      </c>
      <c r="BR3142" s="3" t="s">
        <v>364</v>
      </c>
      <c r="BS3142" s="4">
        <v>44579</v>
      </c>
      <c r="BT3142" s="5">
        <v>0.3979166666666667</v>
      </c>
      <c r="BU3142" s="3" t="s">
        <v>2851</v>
      </c>
      <c r="BV3142" s="3" t="s">
        <v>87</v>
      </c>
      <c r="BW3142" s="3" t="s">
        <v>617</v>
      </c>
      <c r="BX3142" s="3" t="s">
        <v>618</v>
      </c>
      <c r="BY3142" s="3">
        <v>1200</v>
      </c>
      <c r="BZ3142" s="3" t="s">
        <v>165</v>
      </c>
      <c r="CA3142" s="3" t="s">
        <v>619</v>
      </c>
      <c r="CC3142" s="3" t="s">
        <v>98</v>
      </c>
      <c r="CD3142" s="3">
        <v>2013</v>
      </c>
      <c r="CE3142" s="3" t="s">
        <v>93</v>
      </c>
      <c r="CF3142" s="4">
        <v>44579</v>
      </c>
      <c r="CI3142" s="3">
        <v>1</v>
      </c>
      <c r="CJ3142" s="3">
        <v>7</v>
      </c>
      <c r="CK3142" s="3">
        <v>22</v>
      </c>
      <c r="CL3142" s="3" t="s">
        <v>87</v>
      </c>
    </row>
    <row r="3143" spans="1:90" x14ac:dyDescent="0.2">
      <c r="A3143" s="3" t="s">
        <v>72</v>
      </c>
      <c r="B3143" s="3" t="s">
        <v>73</v>
      </c>
      <c r="C3143" s="3" t="s">
        <v>74</v>
      </c>
      <c r="E3143" s="3" t="str">
        <f>"FES1162844183"</f>
        <v>FES1162844183</v>
      </c>
      <c r="F3143" s="4">
        <v>44568</v>
      </c>
      <c r="G3143" s="3">
        <v>202207</v>
      </c>
      <c r="H3143" s="3" t="s">
        <v>75</v>
      </c>
      <c r="I3143" s="3" t="s">
        <v>76</v>
      </c>
      <c r="J3143" s="3" t="s">
        <v>77</v>
      </c>
      <c r="K3143" s="3" t="s">
        <v>78</v>
      </c>
      <c r="L3143" s="3" t="s">
        <v>176</v>
      </c>
      <c r="M3143" s="3" t="s">
        <v>177</v>
      </c>
      <c r="N3143" s="3" t="s">
        <v>178</v>
      </c>
      <c r="O3143" s="3" t="s">
        <v>82</v>
      </c>
      <c r="P3143" s="3" t="str">
        <f>"2170815925                    "</f>
        <v xml:space="preserve">2170815925                    </v>
      </c>
      <c r="Q3143" s="3">
        <v>0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  <c r="W3143" s="3">
        <v>0</v>
      </c>
      <c r="X3143" s="3">
        <v>0</v>
      </c>
      <c r="Y3143" s="3">
        <v>0</v>
      </c>
      <c r="Z3143" s="3">
        <v>0</v>
      </c>
      <c r="AA3143" s="3">
        <v>0</v>
      </c>
      <c r="AB3143" s="3">
        <v>0</v>
      </c>
      <c r="AC3143" s="3">
        <v>0</v>
      </c>
      <c r="AD3143" s="3">
        <v>0</v>
      </c>
      <c r="AE3143" s="3">
        <v>0</v>
      </c>
      <c r="AF3143" s="3">
        <v>0</v>
      </c>
      <c r="AG3143" s="3">
        <v>0</v>
      </c>
      <c r="AH3143" s="3">
        <v>0</v>
      </c>
      <c r="AI3143" s="3">
        <v>0</v>
      </c>
      <c r="AJ3143" s="3">
        <v>0</v>
      </c>
      <c r="AK3143" s="3">
        <v>15.46</v>
      </c>
      <c r="AL3143" s="3">
        <v>0</v>
      </c>
      <c r="AM3143" s="3">
        <v>0</v>
      </c>
      <c r="AN3143" s="3">
        <v>0</v>
      </c>
      <c r="AO3143" s="3">
        <v>0</v>
      </c>
      <c r="AP3143" s="3">
        <v>0</v>
      </c>
      <c r="AQ3143" s="3">
        <v>0</v>
      </c>
      <c r="AR3143" s="3">
        <v>0</v>
      </c>
      <c r="AS3143" s="3">
        <v>0</v>
      </c>
      <c r="AT3143" s="3">
        <v>0</v>
      </c>
      <c r="AU3143" s="3">
        <v>0</v>
      </c>
      <c r="AV3143" s="3">
        <v>0</v>
      </c>
      <c r="AW3143" s="3">
        <v>0</v>
      </c>
      <c r="AX3143" s="3">
        <v>0</v>
      </c>
      <c r="AY3143" s="3">
        <v>0</v>
      </c>
      <c r="AZ3143" s="3">
        <v>0</v>
      </c>
      <c r="BA3143" s="3">
        <v>0</v>
      </c>
      <c r="BB3143" s="3">
        <v>0</v>
      </c>
      <c r="BC3143" s="3">
        <v>0</v>
      </c>
      <c r="BD3143" s="3">
        <v>0</v>
      </c>
      <c r="BE3143" s="3">
        <v>0</v>
      </c>
      <c r="BF3143" s="3">
        <v>0</v>
      </c>
      <c r="BG3143" s="3">
        <v>0</v>
      </c>
      <c r="BH3143" s="3">
        <v>1</v>
      </c>
      <c r="BI3143" s="3">
        <v>1</v>
      </c>
      <c r="BJ3143" s="3">
        <v>0.2</v>
      </c>
      <c r="BK3143" s="3">
        <v>1</v>
      </c>
      <c r="BL3143" s="3">
        <v>59</v>
      </c>
      <c r="BM3143" s="3">
        <v>8.85</v>
      </c>
      <c r="BN3143" s="3">
        <v>67.849999999999994</v>
      </c>
      <c r="BO3143" s="3">
        <v>67.849999999999994</v>
      </c>
      <c r="BQ3143" s="3" t="s">
        <v>83</v>
      </c>
      <c r="BR3143" s="3" t="s">
        <v>364</v>
      </c>
      <c r="BS3143" s="4">
        <v>44571</v>
      </c>
      <c r="BT3143" s="5">
        <v>0.38750000000000001</v>
      </c>
      <c r="BU3143" s="3" t="s">
        <v>1398</v>
      </c>
      <c r="BV3143" s="3" t="s">
        <v>105</v>
      </c>
      <c r="BY3143" s="3">
        <v>1200</v>
      </c>
      <c r="BZ3143" s="3" t="s">
        <v>165</v>
      </c>
      <c r="CA3143" s="3" t="s">
        <v>528</v>
      </c>
      <c r="CC3143" s="3" t="s">
        <v>177</v>
      </c>
      <c r="CD3143" s="3">
        <v>4026</v>
      </c>
      <c r="CE3143" s="3" t="s">
        <v>93</v>
      </c>
      <c r="CF3143" s="4">
        <v>44571</v>
      </c>
      <c r="CI3143" s="3">
        <v>1</v>
      </c>
      <c r="CJ3143" s="3">
        <v>1</v>
      </c>
      <c r="CK3143" s="3">
        <v>21</v>
      </c>
      <c r="CL3143" s="3" t="s">
        <v>87</v>
      </c>
    </row>
    <row r="3144" spans="1:90" x14ac:dyDescent="0.2">
      <c r="A3144" s="3" t="s">
        <v>72</v>
      </c>
      <c r="B3144" s="3" t="s">
        <v>73</v>
      </c>
      <c r="C3144" s="3" t="s">
        <v>74</v>
      </c>
      <c r="E3144" s="3" t="str">
        <f>"FES1162844039"</f>
        <v>FES1162844039</v>
      </c>
      <c r="F3144" s="4">
        <v>44568</v>
      </c>
      <c r="G3144" s="3">
        <v>202207</v>
      </c>
      <c r="H3144" s="3" t="s">
        <v>75</v>
      </c>
      <c r="I3144" s="3" t="s">
        <v>76</v>
      </c>
      <c r="J3144" s="3" t="s">
        <v>77</v>
      </c>
      <c r="K3144" s="3" t="s">
        <v>78</v>
      </c>
      <c r="L3144" s="3" t="s">
        <v>162</v>
      </c>
      <c r="M3144" s="3" t="s">
        <v>163</v>
      </c>
      <c r="N3144" s="3" t="s">
        <v>2192</v>
      </c>
      <c r="O3144" s="3" t="s">
        <v>82</v>
      </c>
      <c r="P3144" s="3" t="str">
        <f>"2170815846                    "</f>
        <v xml:space="preserve">2170815846                    </v>
      </c>
      <c r="Q3144" s="3">
        <v>0</v>
      </c>
      <c r="R3144" s="3">
        <v>0</v>
      </c>
      <c r="S3144" s="3">
        <v>0</v>
      </c>
      <c r="T3144" s="3">
        <v>0</v>
      </c>
      <c r="U3144" s="3">
        <v>0</v>
      </c>
      <c r="V3144" s="3">
        <v>0</v>
      </c>
      <c r="W3144" s="3">
        <v>0</v>
      </c>
      <c r="X3144" s="3">
        <v>0</v>
      </c>
      <c r="Y3144" s="3">
        <v>0</v>
      </c>
      <c r="Z3144" s="3">
        <v>0</v>
      </c>
      <c r="AA3144" s="3">
        <v>0</v>
      </c>
      <c r="AB3144" s="3">
        <v>0</v>
      </c>
      <c r="AC3144" s="3">
        <v>0</v>
      </c>
      <c r="AD3144" s="3">
        <v>0</v>
      </c>
      <c r="AE3144" s="3">
        <v>0</v>
      </c>
      <c r="AF3144" s="3">
        <v>0</v>
      </c>
      <c r="AG3144" s="3">
        <v>0</v>
      </c>
      <c r="AH3144" s="3">
        <v>0</v>
      </c>
      <c r="AI3144" s="3">
        <v>0</v>
      </c>
      <c r="AJ3144" s="3">
        <v>0</v>
      </c>
      <c r="AK3144" s="3">
        <v>12.07</v>
      </c>
      <c r="AL3144" s="3">
        <v>0</v>
      </c>
      <c r="AM3144" s="3">
        <v>0</v>
      </c>
      <c r="AN3144" s="3">
        <v>0</v>
      </c>
      <c r="AO3144" s="3">
        <v>0</v>
      </c>
      <c r="AP3144" s="3">
        <v>0</v>
      </c>
      <c r="AQ3144" s="3">
        <v>0</v>
      </c>
      <c r="AR3144" s="3">
        <v>0</v>
      </c>
      <c r="AS3144" s="3">
        <v>0</v>
      </c>
      <c r="AT3144" s="3">
        <v>0</v>
      </c>
      <c r="AU3144" s="3">
        <v>0</v>
      </c>
      <c r="AV3144" s="3">
        <v>0</v>
      </c>
      <c r="AW3144" s="3">
        <v>0</v>
      </c>
      <c r="AX3144" s="3">
        <v>0</v>
      </c>
      <c r="AY3144" s="3">
        <v>0</v>
      </c>
      <c r="AZ3144" s="3">
        <v>0</v>
      </c>
      <c r="BA3144" s="3">
        <v>0</v>
      </c>
      <c r="BB3144" s="3">
        <v>0</v>
      </c>
      <c r="BC3144" s="3">
        <v>0</v>
      </c>
      <c r="BD3144" s="3">
        <v>0</v>
      </c>
      <c r="BE3144" s="3">
        <v>0</v>
      </c>
      <c r="BF3144" s="3">
        <v>0</v>
      </c>
      <c r="BG3144" s="3">
        <v>0</v>
      </c>
      <c r="BH3144" s="3">
        <v>1</v>
      </c>
      <c r="BI3144" s="3">
        <v>1</v>
      </c>
      <c r="BJ3144" s="3">
        <v>0.2</v>
      </c>
      <c r="BK3144" s="3">
        <v>1</v>
      </c>
      <c r="BL3144" s="3">
        <v>46.08</v>
      </c>
      <c r="BM3144" s="3">
        <v>6.91</v>
      </c>
      <c r="BN3144" s="3">
        <v>52.99</v>
      </c>
      <c r="BO3144" s="3">
        <v>52.99</v>
      </c>
      <c r="BQ3144" s="3" t="s">
        <v>83</v>
      </c>
      <c r="BR3144" s="3" t="s">
        <v>364</v>
      </c>
      <c r="BS3144" s="4">
        <v>44571</v>
      </c>
      <c r="BT3144" s="5">
        <v>0.3756944444444445</v>
      </c>
      <c r="BU3144" s="3" t="s">
        <v>2852</v>
      </c>
      <c r="BV3144" s="3" t="s">
        <v>105</v>
      </c>
      <c r="BY3144" s="3">
        <v>1200</v>
      </c>
      <c r="BZ3144" s="3" t="s">
        <v>165</v>
      </c>
      <c r="CA3144" s="3" t="s">
        <v>1051</v>
      </c>
      <c r="CC3144" s="3" t="s">
        <v>163</v>
      </c>
      <c r="CD3144" s="3">
        <v>1406</v>
      </c>
      <c r="CE3144" s="3" t="s">
        <v>93</v>
      </c>
      <c r="CF3144" s="4">
        <v>44572</v>
      </c>
      <c r="CI3144" s="3">
        <v>1</v>
      </c>
      <c r="CJ3144" s="3">
        <v>1</v>
      </c>
      <c r="CK3144" s="3">
        <v>22</v>
      </c>
      <c r="CL3144" s="3" t="s">
        <v>87</v>
      </c>
    </row>
    <row r="3145" spans="1:90" x14ac:dyDescent="0.2">
      <c r="A3145" s="3" t="s">
        <v>72</v>
      </c>
      <c r="B3145" s="3" t="s">
        <v>73</v>
      </c>
      <c r="C3145" s="3" t="s">
        <v>74</v>
      </c>
      <c r="E3145" s="3" t="str">
        <f>"FES1162844143"</f>
        <v>FES1162844143</v>
      </c>
      <c r="F3145" s="4">
        <v>44568</v>
      </c>
      <c r="G3145" s="3">
        <v>202207</v>
      </c>
      <c r="H3145" s="3" t="s">
        <v>75</v>
      </c>
      <c r="I3145" s="3" t="s">
        <v>76</v>
      </c>
      <c r="J3145" s="3" t="s">
        <v>77</v>
      </c>
      <c r="K3145" s="3" t="s">
        <v>78</v>
      </c>
      <c r="L3145" s="3" t="s">
        <v>171</v>
      </c>
      <c r="M3145" s="3" t="s">
        <v>172</v>
      </c>
      <c r="N3145" s="3" t="s">
        <v>2853</v>
      </c>
      <c r="O3145" s="3" t="s">
        <v>82</v>
      </c>
      <c r="P3145" s="3" t="str">
        <f>"2170814878                    "</f>
        <v xml:space="preserve">2170814878                    </v>
      </c>
      <c r="Q3145" s="3">
        <v>0</v>
      </c>
      <c r="R3145" s="3">
        <v>0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  <c r="AE3145" s="3">
        <v>0</v>
      </c>
      <c r="AF3145" s="3">
        <v>0</v>
      </c>
      <c r="AG3145" s="3">
        <v>0</v>
      </c>
      <c r="AH3145" s="3">
        <v>0</v>
      </c>
      <c r="AI3145" s="3">
        <v>0</v>
      </c>
      <c r="AJ3145" s="3">
        <v>0</v>
      </c>
      <c r="AK3145" s="3">
        <v>15.46</v>
      </c>
      <c r="AL3145" s="3">
        <v>0</v>
      </c>
      <c r="AM3145" s="3">
        <v>0</v>
      </c>
      <c r="AN3145" s="3">
        <v>0</v>
      </c>
      <c r="AO3145" s="3">
        <v>0</v>
      </c>
      <c r="AP3145" s="3">
        <v>0</v>
      </c>
      <c r="AQ3145" s="3">
        <v>0</v>
      </c>
      <c r="AR3145" s="3">
        <v>0</v>
      </c>
      <c r="AS3145" s="3">
        <v>0</v>
      </c>
      <c r="AT3145" s="3">
        <v>0</v>
      </c>
      <c r="AU3145" s="3">
        <v>0</v>
      </c>
      <c r="AV3145" s="3">
        <v>0</v>
      </c>
      <c r="AW3145" s="3">
        <v>0</v>
      </c>
      <c r="AX3145" s="3">
        <v>0</v>
      </c>
      <c r="AY3145" s="3">
        <v>0</v>
      </c>
      <c r="AZ3145" s="3">
        <v>0</v>
      </c>
      <c r="BA3145" s="3">
        <v>0</v>
      </c>
      <c r="BB3145" s="3">
        <v>0</v>
      </c>
      <c r="BC3145" s="3">
        <v>0</v>
      </c>
      <c r="BD3145" s="3">
        <v>0</v>
      </c>
      <c r="BE3145" s="3">
        <v>0</v>
      </c>
      <c r="BF3145" s="3">
        <v>0</v>
      </c>
      <c r="BG3145" s="3">
        <v>0</v>
      </c>
      <c r="BH3145" s="3">
        <v>1</v>
      </c>
      <c r="BI3145" s="3">
        <v>1</v>
      </c>
      <c r="BJ3145" s="3">
        <v>0.2</v>
      </c>
      <c r="BK3145" s="3">
        <v>1</v>
      </c>
      <c r="BL3145" s="3">
        <v>59</v>
      </c>
      <c r="BM3145" s="3">
        <v>8.85</v>
      </c>
      <c r="BN3145" s="3">
        <v>67.849999999999994</v>
      </c>
      <c r="BO3145" s="3">
        <v>67.849999999999994</v>
      </c>
      <c r="BR3145" s="3" t="s">
        <v>364</v>
      </c>
      <c r="BS3145" s="4">
        <v>44571</v>
      </c>
      <c r="BT3145" s="5">
        <v>0.32291666666666669</v>
      </c>
      <c r="BU3145" s="3" t="s">
        <v>1710</v>
      </c>
      <c r="BV3145" s="3" t="s">
        <v>105</v>
      </c>
      <c r="BY3145" s="3">
        <v>1200</v>
      </c>
      <c r="BZ3145" s="3" t="s">
        <v>165</v>
      </c>
      <c r="CA3145" s="3" t="s">
        <v>331</v>
      </c>
      <c r="CC3145" s="3" t="s">
        <v>172</v>
      </c>
      <c r="CD3145" s="3">
        <v>6001</v>
      </c>
      <c r="CE3145" s="3" t="s">
        <v>93</v>
      </c>
      <c r="CF3145" s="4">
        <v>44571</v>
      </c>
      <c r="CI3145" s="3">
        <v>1</v>
      </c>
      <c r="CJ3145" s="3">
        <v>1</v>
      </c>
      <c r="CK3145" s="3">
        <v>21</v>
      </c>
      <c r="CL3145" s="3" t="s">
        <v>87</v>
      </c>
    </row>
    <row r="3146" spans="1:90" x14ac:dyDescent="0.2">
      <c r="A3146" s="3" t="s">
        <v>72</v>
      </c>
      <c r="B3146" s="3" t="s">
        <v>73</v>
      </c>
      <c r="C3146" s="3" t="s">
        <v>74</v>
      </c>
      <c r="E3146" s="3" t="str">
        <f>"FES1162844128"</f>
        <v>FES1162844128</v>
      </c>
      <c r="F3146" s="4">
        <v>44568</v>
      </c>
      <c r="G3146" s="3">
        <v>202207</v>
      </c>
      <c r="H3146" s="3" t="s">
        <v>75</v>
      </c>
      <c r="I3146" s="3" t="s">
        <v>76</v>
      </c>
      <c r="J3146" s="3" t="s">
        <v>77</v>
      </c>
      <c r="K3146" s="3" t="s">
        <v>78</v>
      </c>
      <c r="L3146" s="3" t="s">
        <v>171</v>
      </c>
      <c r="M3146" s="3" t="s">
        <v>172</v>
      </c>
      <c r="N3146" s="3" t="s">
        <v>2627</v>
      </c>
      <c r="O3146" s="3" t="s">
        <v>82</v>
      </c>
      <c r="P3146" s="3" t="str">
        <f>"2170811949                    "</f>
        <v xml:space="preserve">2170811949                    </v>
      </c>
      <c r="Q3146" s="3">
        <v>0</v>
      </c>
      <c r="R3146" s="3">
        <v>0</v>
      </c>
      <c r="S3146" s="3">
        <v>0</v>
      </c>
      <c r="T3146" s="3">
        <v>0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0</v>
      </c>
      <c r="AA3146" s="3">
        <v>0</v>
      </c>
      <c r="AB3146" s="3">
        <v>0</v>
      </c>
      <c r="AC3146" s="3">
        <v>0</v>
      </c>
      <c r="AD3146" s="3">
        <v>0</v>
      </c>
      <c r="AE3146" s="3">
        <v>0</v>
      </c>
      <c r="AF3146" s="3">
        <v>0</v>
      </c>
      <c r="AG3146" s="3">
        <v>0</v>
      </c>
      <c r="AH3146" s="3">
        <v>0</v>
      </c>
      <c r="AI3146" s="3">
        <v>0</v>
      </c>
      <c r="AJ3146" s="3">
        <v>0</v>
      </c>
      <c r="AK3146" s="3">
        <v>15.46</v>
      </c>
      <c r="AL3146" s="3">
        <v>0</v>
      </c>
      <c r="AM3146" s="3">
        <v>0</v>
      </c>
      <c r="AN3146" s="3">
        <v>0</v>
      </c>
      <c r="AO3146" s="3">
        <v>0</v>
      </c>
      <c r="AP3146" s="3">
        <v>0</v>
      </c>
      <c r="AQ3146" s="3">
        <v>0</v>
      </c>
      <c r="AR3146" s="3">
        <v>0</v>
      </c>
      <c r="AS3146" s="3">
        <v>0</v>
      </c>
      <c r="AT3146" s="3">
        <v>0</v>
      </c>
      <c r="AU3146" s="3">
        <v>0</v>
      </c>
      <c r="AV3146" s="3">
        <v>0</v>
      </c>
      <c r="AW3146" s="3">
        <v>0</v>
      </c>
      <c r="AX3146" s="3">
        <v>0</v>
      </c>
      <c r="AY3146" s="3">
        <v>0</v>
      </c>
      <c r="AZ3146" s="3">
        <v>0</v>
      </c>
      <c r="BA3146" s="3">
        <v>0</v>
      </c>
      <c r="BB3146" s="3">
        <v>0</v>
      </c>
      <c r="BC3146" s="3">
        <v>0</v>
      </c>
      <c r="BD3146" s="3">
        <v>0</v>
      </c>
      <c r="BE3146" s="3">
        <v>0</v>
      </c>
      <c r="BF3146" s="3">
        <v>0</v>
      </c>
      <c r="BG3146" s="3">
        <v>0</v>
      </c>
      <c r="BH3146" s="3">
        <v>1</v>
      </c>
      <c r="BI3146" s="3">
        <v>1</v>
      </c>
      <c r="BJ3146" s="3">
        <v>0.2</v>
      </c>
      <c r="BK3146" s="3">
        <v>1</v>
      </c>
      <c r="BL3146" s="3">
        <v>59</v>
      </c>
      <c r="BM3146" s="3">
        <v>8.85</v>
      </c>
      <c r="BN3146" s="3">
        <v>67.849999999999994</v>
      </c>
      <c r="BO3146" s="3">
        <v>67.849999999999994</v>
      </c>
      <c r="BQ3146" s="3" t="s">
        <v>83</v>
      </c>
      <c r="BR3146" s="3" t="s">
        <v>364</v>
      </c>
      <c r="BS3146" s="4">
        <v>44571</v>
      </c>
      <c r="BT3146" s="5">
        <v>0.53888888888888886</v>
      </c>
      <c r="BU3146" s="3" t="s">
        <v>2854</v>
      </c>
      <c r="BV3146" s="3" t="s">
        <v>87</v>
      </c>
      <c r="BW3146" s="3" t="s">
        <v>457</v>
      </c>
      <c r="BX3146" s="3" t="s">
        <v>279</v>
      </c>
      <c r="BY3146" s="3">
        <v>1200</v>
      </c>
      <c r="BZ3146" s="3" t="s">
        <v>165</v>
      </c>
      <c r="CA3146" s="3" t="s">
        <v>2855</v>
      </c>
      <c r="CC3146" s="3" t="s">
        <v>172</v>
      </c>
      <c r="CD3146" s="3">
        <v>6001</v>
      </c>
      <c r="CE3146" s="3" t="s">
        <v>93</v>
      </c>
      <c r="CF3146" s="4">
        <v>44572</v>
      </c>
      <c r="CI3146" s="3">
        <v>1</v>
      </c>
      <c r="CJ3146" s="3">
        <v>1</v>
      </c>
      <c r="CK3146" s="3">
        <v>21</v>
      </c>
      <c r="CL3146" s="3" t="s">
        <v>87</v>
      </c>
    </row>
    <row r="3147" spans="1:90" x14ac:dyDescent="0.2">
      <c r="A3147" s="3" t="s">
        <v>72</v>
      </c>
      <c r="B3147" s="3" t="s">
        <v>73</v>
      </c>
      <c r="C3147" s="3" t="s">
        <v>74</v>
      </c>
      <c r="E3147" s="3" t="str">
        <f>"FES1162844177"</f>
        <v>FES1162844177</v>
      </c>
      <c r="F3147" s="4">
        <v>44568</v>
      </c>
      <c r="G3147" s="3">
        <v>202207</v>
      </c>
      <c r="H3147" s="3" t="s">
        <v>75</v>
      </c>
      <c r="I3147" s="3" t="s">
        <v>76</v>
      </c>
      <c r="J3147" s="3" t="s">
        <v>77</v>
      </c>
      <c r="K3147" s="3" t="s">
        <v>78</v>
      </c>
      <c r="L3147" s="3" t="s">
        <v>171</v>
      </c>
      <c r="M3147" s="3" t="s">
        <v>172</v>
      </c>
      <c r="N3147" s="3" t="s">
        <v>539</v>
      </c>
      <c r="O3147" s="3" t="s">
        <v>82</v>
      </c>
      <c r="P3147" s="3" t="str">
        <f>"2170814710                    "</f>
        <v xml:space="preserve">2170814710                    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  <c r="AE3147" s="3">
        <v>0</v>
      </c>
      <c r="AF3147" s="3">
        <v>0</v>
      </c>
      <c r="AG3147" s="3">
        <v>0</v>
      </c>
      <c r="AH3147" s="3">
        <v>0</v>
      </c>
      <c r="AI3147" s="3">
        <v>0</v>
      </c>
      <c r="AJ3147" s="3">
        <v>0</v>
      </c>
      <c r="AK3147" s="3">
        <v>15.46</v>
      </c>
      <c r="AL3147" s="3">
        <v>0</v>
      </c>
      <c r="AM3147" s="3">
        <v>0</v>
      </c>
      <c r="AN3147" s="3">
        <v>0</v>
      </c>
      <c r="AO3147" s="3">
        <v>0</v>
      </c>
      <c r="AP3147" s="3">
        <v>0</v>
      </c>
      <c r="AQ3147" s="3">
        <v>0</v>
      </c>
      <c r="AR3147" s="3">
        <v>0</v>
      </c>
      <c r="AS3147" s="3">
        <v>0</v>
      </c>
      <c r="AT3147" s="3">
        <v>0</v>
      </c>
      <c r="AU3147" s="3">
        <v>0</v>
      </c>
      <c r="AV3147" s="3">
        <v>0</v>
      </c>
      <c r="AW3147" s="3">
        <v>0</v>
      </c>
      <c r="AX3147" s="3">
        <v>0</v>
      </c>
      <c r="AY3147" s="3">
        <v>0</v>
      </c>
      <c r="AZ3147" s="3">
        <v>0</v>
      </c>
      <c r="BA3147" s="3">
        <v>0</v>
      </c>
      <c r="BB3147" s="3">
        <v>0</v>
      </c>
      <c r="BC3147" s="3">
        <v>0</v>
      </c>
      <c r="BD3147" s="3">
        <v>0</v>
      </c>
      <c r="BE3147" s="3">
        <v>0</v>
      </c>
      <c r="BF3147" s="3">
        <v>0</v>
      </c>
      <c r="BG3147" s="3">
        <v>0</v>
      </c>
      <c r="BH3147" s="3">
        <v>1</v>
      </c>
      <c r="BI3147" s="3">
        <v>1</v>
      </c>
      <c r="BJ3147" s="3">
        <v>0.2</v>
      </c>
      <c r="BK3147" s="3">
        <v>1</v>
      </c>
      <c r="BL3147" s="3">
        <v>59</v>
      </c>
      <c r="BM3147" s="3">
        <v>8.85</v>
      </c>
      <c r="BN3147" s="3">
        <v>67.849999999999994</v>
      </c>
      <c r="BO3147" s="3">
        <v>67.849999999999994</v>
      </c>
      <c r="BQ3147" s="3" t="s">
        <v>83</v>
      </c>
      <c r="BR3147" s="3" t="s">
        <v>364</v>
      </c>
      <c r="BS3147" s="4">
        <v>44571</v>
      </c>
      <c r="BT3147" s="5">
        <v>0.4368055555555555</v>
      </c>
      <c r="BU3147" s="3" t="s">
        <v>540</v>
      </c>
      <c r="BV3147" s="3" t="s">
        <v>105</v>
      </c>
      <c r="BY3147" s="3">
        <v>1200</v>
      </c>
      <c r="BZ3147" s="3" t="s">
        <v>165</v>
      </c>
      <c r="CA3147" s="3" t="s">
        <v>263</v>
      </c>
      <c r="CC3147" s="3" t="s">
        <v>172</v>
      </c>
      <c r="CD3147" s="3">
        <v>6012</v>
      </c>
      <c r="CE3147" s="3" t="s">
        <v>93</v>
      </c>
      <c r="CF3147" s="4">
        <v>44572</v>
      </c>
      <c r="CI3147" s="3">
        <v>1</v>
      </c>
      <c r="CJ3147" s="3">
        <v>1</v>
      </c>
      <c r="CK3147" s="3">
        <v>21</v>
      </c>
      <c r="CL3147" s="3" t="s">
        <v>87</v>
      </c>
    </row>
    <row r="3148" spans="1:90" x14ac:dyDescent="0.2">
      <c r="A3148" s="3" t="s">
        <v>72</v>
      </c>
      <c r="B3148" s="3" t="s">
        <v>73</v>
      </c>
      <c r="C3148" s="3" t="s">
        <v>74</v>
      </c>
      <c r="E3148" s="3" t="str">
        <f>"FES1162844019"</f>
        <v>FES1162844019</v>
      </c>
      <c r="F3148" s="4">
        <v>44568</v>
      </c>
      <c r="G3148" s="3">
        <v>202207</v>
      </c>
      <c r="H3148" s="3" t="s">
        <v>75</v>
      </c>
      <c r="I3148" s="3" t="s">
        <v>76</v>
      </c>
      <c r="J3148" s="3" t="s">
        <v>77</v>
      </c>
      <c r="K3148" s="3" t="s">
        <v>78</v>
      </c>
      <c r="L3148" s="3" t="s">
        <v>138</v>
      </c>
      <c r="M3148" s="3" t="s">
        <v>139</v>
      </c>
      <c r="N3148" s="3" t="s">
        <v>238</v>
      </c>
      <c r="O3148" s="3" t="s">
        <v>82</v>
      </c>
      <c r="P3148" s="3" t="str">
        <f>"2170815718                    "</f>
        <v xml:space="preserve">2170815718                    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  <c r="AE3148" s="3">
        <v>0</v>
      </c>
      <c r="AF3148" s="3">
        <v>0</v>
      </c>
      <c r="AG3148" s="3">
        <v>0</v>
      </c>
      <c r="AH3148" s="3">
        <v>0</v>
      </c>
      <c r="AI3148" s="3">
        <v>0</v>
      </c>
      <c r="AJ3148" s="3">
        <v>0</v>
      </c>
      <c r="AK3148" s="3">
        <v>23.18</v>
      </c>
      <c r="AL3148" s="3">
        <v>0</v>
      </c>
      <c r="AM3148" s="3">
        <v>0</v>
      </c>
      <c r="AN3148" s="3">
        <v>0</v>
      </c>
      <c r="AO3148" s="3">
        <v>0</v>
      </c>
      <c r="AP3148" s="3">
        <v>0</v>
      </c>
      <c r="AQ3148" s="3">
        <v>0</v>
      </c>
      <c r="AR3148" s="3">
        <v>0</v>
      </c>
      <c r="AS3148" s="3">
        <v>0</v>
      </c>
      <c r="AT3148" s="3">
        <v>0</v>
      </c>
      <c r="AU3148" s="3">
        <v>0</v>
      </c>
      <c r="AV3148" s="3">
        <v>0</v>
      </c>
      <c r="AW3148" s="3">
        <v>0</v>
      </c>
      <c r="AX3148" s="3">
        <v>0</v>
      </c>
      <c r="AY3148" s="3">
        <v>0</v>
      </c>
      <c r="AZ3148" s="3">
        <v>0</v>
      </c>
      <c r="BA3148" s="3">
        <v>0</v>
      </c>
      <c r="BB3148" s="3">
        <v>0</v>
      </c>
      <c r="BC3148" s="3">
        <v>0</v>
      </c>
      <c r="BD3148" s="3">
        <v>0</v>
      </c>
      <c r="BE3148" s="3">
        <v>0</v>
      </c>
      <c r="BF3148" s="3">
        <v>0</v>
      </c>
      <c r="BG3148" s="3">
        <v>0</v>
      </c>
      <c r="BH3148" s="3">
        <v>1</v>
      </c>
      <c r="BI3148" s="3">
        <v>3</v>
      </c>
      <c r="BJ3148" s="3">
        <v>1.4</v>
      </c>
      <c r="BK3148" s="3">
        <v>3</v>
      </c>
      <c r="BL3148" s="3">
        <v>88.48</v>
      </c>
      <c r="BM3148" s="3">
        <v>13.27</v>
      </c>
      <c r="BN3148" s="3">
        <v>101.75</v>
      </c>
      <c r="BO3148" s="3">
        <v>101.75</v>
      </c>
      <c r="BQ3148" s="3" t="s">
        <v>89</v>
      </c>
      <c r="BR3148" s="3" t="s">
        <v>364</v>
      </c>
      <c r="BS3148" s="4">
        <v>44571</v>
      </c>
      <c r="BT3148" s="5">
        <v>0.31527777777777777</v>
      </c>
      <c r="BU3148" s="3" t="s">
        <v>469</v>
      </c>
      <c r="BV3148" s="3" t="s">
        <v>105</v>
      </c>
      <c r="BY3148" s="3">
        <v>6840</v>
      </c>
      <c r="BZ3148" s="3" t="s">
        <v>165</v>
      </c>
      <c r="CA3148" s="3" t="s">
        <v>303</v>
      </c>
      <c r="CC3148" s="3" t="s">
        <v>139</v>
      </c>
      <c r="CD3148" s="3">
        <v>3610</v>
      </c>
      <c r="CE3148" s="3" t="s">
        <v>86</v>
      </c>
      <c r="CF3148" s="4">
        <v>44571</v>
      </c>
      <c r="CI3148" s="3">
        <v>1</v>
      </c>
      <c r="CJ3148" s="3">
        <v>1</v>
      </c>
      <c r="CK3148" s="3">
        <v>21</v>
      </c>
      <c r="CL3148" s="3" t="s">
        <v>87</v>
      </c>
    </row>
    <row r="3149" spans="1:90" x14ac:dyDescent="0.2">
      <c r="A3149" s="3" t="s">
        <v>72</v>
      </c>
      <c r="B3149" s="3" t="s">
        <v>73</v>
      </c>
      <c r="C3149" s="3" t="s">
        <v>74</v>
      </c>
      <c r="E3149" s="3" t="str">
        <f>"FES1162844007"</f>
        <v>FES1162844007</v>
      </c>
      <c r="F3149" s="4">
        <v>44568</v>
      </c>
      <c r="G3149" s="3">
        <v>202207</v>
      </c>
      <c r="H3149" s="3" t="s">
        <v>75</v>
      </c>
      <c r="I3149" s="3" t="s">
        <v>76</v>
      </c>
      <c r="J3149" s="3" t="s">
        <v>77</v>
      </c>
      <c r="K3149" s="3" t="s">
        <v>78</v>
      </c>
      <c r="L3149" s="3" t="s">
        <v>94</v>
      </c>
      <c r="M3149" s="3" t="s">
        <v>95</v>
      </c>
      <c r="N3149" s="3" t="s">
        <v>613</v>
      </c>
      <c r="O3149" s="3" t="s">
        <v>82</v>
      </c>
      <c r="P3149" s="3" t="str">
        <f>"2170815818                    "</f>
        <v xml:space="preserve">2170815818                    </v>
      </c>
      <c r="Q3149" s="3">
        <v>0</v>
      </c>
      <c r="R3149" s="3">
        <v>0</v>
      </c>
      <c r="S3149" s="3">
        <v>0</v>
      </c>
      <c r="T3149" s="3">
        <v>0</v>
      </c>
      <c r="U3149" s="3">
        <v>0</v>
      </c>
      <c r="V3149" s="3">
        <v>0</v>
      </c>
      <c r="W3149" s="3">
        <v>0</v>
      </c>
      <c r="X3149" s="3">
        <v>0</v>
      </c>
      <c r="Y3149" s="3">
        <v>0</v>
      </c>
      <c r="Z3149" s="3">
        <v>0</v>
      </c>
      <c r="AA3149" s="3">
        <v>0</v>
      </c>
      <c r="AB3149" s="3">
        <v>0</v>
      </c>
      <c r="AC3149" s="3">
        <v>0</v>
      </c>
      <c r="AD3149" s="3">
        <v>0</v>
      </c>
      <c r="AE3149" s="3">
        <v>0</v>
      </c>
      <c r="AF3149" s="3">
        <v>0</v>
      </c>
      <c r="AG3149" s="3">
        <v>0</v>
      </c>
      <c r="AH3149" s="3">
        <v>0</v>
      </c>
      <c r="AI3149" s="3">
        <v>0</v>
      </c>
      <c r="AJ3149" s="3">
        <v>0</v>
      </c>
      <c r="AK3149" s="3">
        <v>15.46</v>
      </c>
      <c r="AL3149" s="3">
        <v>0</v>
      </c>
      <c r="AM3149" s="3">
        <v>0</v>
      </c>
      <c r="AN3149" s="3">
        <v>0</v>
      </c>
      <c r="AO3149" s="3">
        <v>0</v>
      </c>
      <c r="AP3149" s="3">
        <v>0</v>
      </c>
      <c r="AQ3149" s="3">
        <v>0</v>
      </c>
      <c r="AR3149" s="3">
        <v>0</v>
      </c>
      <c r="AS3149" s="3">
        <v>0</v>
      </c>
      <c r="AT3149" s="3">
        <v>0</v>
      </c>
      <c r="AU3149" s="3">
        <v>0</v>
      </c>
      <c r="AV3149" s="3">
        <v>0</v>
      </c>
      <c r="AW3149" s="3">
        <v>0</v>
      </c>
      <c r="AX3149" s="3">
        <v>0</v>
      </c>
      <c r="AY3149" s="3">
        <v>0</v>
      </c>
      <c r="AZ3149" s="3">
        <v>0</v>
      </c>
      <c r="BA3149" s="3">
        <v>0</v>
      </c>
      <c r="BB3149" s="3">
        <v>0</v>
      </c>
      <c r="BC3149" s="3">
        <v>0</v>
      </c>
      <c r="BD3149" s="3">
        <v>0</v>
      </c>
      <c r="BE3149" s="3">
        <v>0</v>
      </c>
      <c r="BF3149" s="3">
        <v>0</v>
      </c>
      <c r="BG3149" s="3">
        <v>0</v>
      </c>
      <c r="BH3149" s="3">
        <v>1</v>
      </c>
      <c r="BI3149" s="3">
        <v>1</v>
      </c>
      <c r="BJ3149" s="3">
        <v>0.2</v>
      </c>
      <c r="BK3149" s="3">
        <v>1</v>
      </c>
      <c r="BL3149" s="3">
        <v>59</v>
      </c>
      <c r="BM3149" s="3">
        <v>8.85</v>
      </c>
      <c r="BN3149" s="3">
        <v>67.849999999999994</v>
      </c>
      <c r="BO3149" s="3">
        <v>67.849999999999994</v>
      </c>
      <c r="BQ3149" s="3" t="s">
        <v>89</v>
      </c>
      <c r="BR3149" s="3" t="s">
        <v>364</v>
      </c>
      <c r="BS3149" s="3" t="s">
        <v>85</v>
      </c>
      <c r="BY3149" s="3">
        <v>1200</v>
      </c>
      <c r="BZ3149" s="3" t="s">
        <v>165</v>
      </c>
      <c r="CC3149" s="3" t="s">
        <v>95</v>
      </c>
      <c r="CD3149" s="3">
        <v>3212</v>
      </c>
      <c r="CE3149" s="3" t="s">
        <v>93</v>
      </c>
      <c r="CI3149" s="3">
        <v>1</v>
      </c>
      <c r="CJ3149" s="3" t="s">
        <v>85</v>
      </c>
      <c r="CK3149" s="3">
        <v>21</v>
      </c>
      <c r="CL3149" s="3" t="s">
        <v>87</v>
      </c>
    </row>
    <row r="3150" spans="1:90" x14ac:dyDescent="0.2">
      <c r="A3150" s="3" t="s">
        <v>72</v>
      </c>
      <c r="B3150" s="3" t="s">
        <v>73</v>
      </c>
      <c r="C3150" s="3" t="s">
        <v>74</v>
      </c>
      <c r="E3150" s="3" t="str">
        <f>"FES1162844185"</f>
        <v>FES1162844185</v>
      </c>
      <c r="F3150" s="4">
        <v>44568</v>
      </c>
      <c r="G3150" s="3">
        <v>202207</v>
      </c>
      <c r="H3150" s="3" t="s">
        <v>75</v>
      </c>
      <c r="I3150" s="3" t="s">
        <v>76</v>
      </c>
      <c r="J3150" s="3" t="s">
        <v>77</v>
      </c>
      <c r="K3150" s="3" t="s">
        <v>78</v>
      </c>
      <c r="L3150" s="3" t="s">
        <v>129</v>
      </c>
      <c r="M3150" s="3" t="s">
        <v>130</v>
      </c>
      <c r="N3150" s="3" t="s">
        <v>404</v>
      </c>
      <c r="O3150" s="3" t="s">
        <v>82</v>
      </c>
      <c r="P3150" s="3" t="str">
        <f>"2170815927                    "</f>
        <v xml:space="preserve">2170815927                    </v>
      </c>
      <c r="Q3150" s="3">
        <v>0</v>
      </c>
      <c r="R3150" s="3">
        <v>0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  <c r="AE3150" s="3">
        <v>0</v>
      </c>
      <c r="AF3150" s="3">
        <v>0</v>
      </c>
      <c r="AG3150" s="3">
        <v>0</v>
      </c>
      <c r="AH3150" s="3">
        <v>0</v>
      </c>
      <c r="AI3150" s="3">
        <v>0</v>
      </c>
      <c r="AJ3150" s="3">
        <v>0</v>
      </c>
      <c r="AK3150" s="3">
        <v>29.95</v>
      </c>
      <c r="AL3150" s="3">
        <v>0</v>
      </c>
      <c r="AM3150" s="3">
        <v>0</v>
      </c>
      <c r="AN3150" s="3">
        <v>0</v>
      </c>
      <c r="AO3150" s="3">
        <v>0</v>
      </c>
      <c r="AP3150" s="3">
        <v>0</v>
      </c>
      <c r="AQ3150" s="3">
        <v>0</v>
      </c>
      <c r="AR3150" s="3">
        <v>0</v>
      </c>
      <c r="AS3150" s="3">
        <v>0</v>
      </c>
      <c r="AT3150" s="3">
        <v>0</v>
      </c>
      <c r="AU3150" s="3">
        <v>0</v>
      </c>
      <c r="AV3150" s="3">
        <v>0</v>
      </c>
      <c r="AW3150" s="3">
        <v>0</v>
      </c>
      <c r="AX3150" s="3">
        <v>0</v>
      </c>
      <c r="AY3150" s="3">
        <v>0</v>
      </c>
      <c r="AZ3150" s="3">
        <v>0</v>
      </c>
      <c r="BA3150" s="3">
        <v>0</v>
      </c>
      <c r="BB3150" s="3">
        <v>0</v>
      </c>
      <c r="BC3150" s="3">
        <v>0</v>
      </c>
      <c r="BD3150" s="3">
        <v>0</v>
      </c>
      <c r="BE3150" s="3">
        <v>0</v>
      </c>
      <c r="BF3150" s="3">
        <v>0</v>
      </c>
      <c r="BG3150" s="3">
        <v>0</v>
      </c>
      <c r="BH3150" s="3">
        <v>1</v>
      </c>
      <c r="BI3150" s="3">
        <v>1</v>
      </c>
      <c r="BJ3150" s="3">
        <v>0.9</v>
      </c>
      <c r="BK3150" s="3">
        <v>1</v>
      </c>
      <c r="BL3150" s="3">
        <v>114.31</v>
      </c>
      <c r="BM3150" s="3">
        <v>17.149999999999999</v>
      </c>
      <c r="BN3150" s="3">
        <v>131.46</v>
      </c>
      <c r="BO3150" s="3">
        <v>131.46</v>
      </c>
      <c r="BQ3150" s="3" t="s">
        <v>83</v>
      </c>
      <c r="BR3150" s="3" t="s">
        <v>364</v>
      </c>
      <c r="BS3150" s="4">
        <v>44571</v>
      </c>
      <c r="BT3150" s="5">
        <v>0.60416666666666663</v>
      </c>
      <c r="BU3150" s="3" t="s">
        <v>1522</v>
      </c>
      <c r="BV3150" s="3" t="s">
        <v>105</v>
      </c>
      <c r="BY3150" s="3">
        <v>4320</v>
      </c>
      <c r="BZ3150" s="3" t="s">
        <v>165</v>
      </c>
      <c r="CA3150" s="3" t="s">
        <v>406</v>
      </c>
      <c r="CC3150" s="3" t="s">
        <v>130</v>
      </c>
      <c r="CD3150" s="3">
        <v>3370</v>
      </c>
      <c r="CE3150" s="3" t="s">
        <v>86</v>
      </c>
      <c r="CF3150" s="4">
        <v>44572</v>
      </c>
      <c r="CI3150" s="3">
        <v>2</v>
      </c>
      <c r="CJ3150" s="3">
        <v>1</v>
      </c>
      <c r="CK3150" s="3">
        <v>23</v>
      </c>
      <c r="CL3150" s="3" t="s">
        <v>87</v>
      </c>
    </row>
    <row r="3151" spans="1:90" x14ac:dyDescent="0.2">
      <c r="A3151" s="3" t="s">
        <v>72</v>
      </c>
      <c r="B3151" s="3" t="s">
        <v>73</v>
      </c>
      <c r="C3151" s="3" t="s">
        <v>74</v>
      </c>
      <c r="E3151" s="3" t="str">
        <f>"FES1162844068"</f>
        <v>FES1162844068</v>
      </c>
      <c r="F3151" s="4">
        <v>44568</v>
      </c>
      <c r="G3151" s="3">
        <v>202207</v>
      </c>
      <c r="H3151" s="3" t="s">
        <v>75</v>
      </c>
      <c r="I3151" s="3" t="s">
        <v>76</v>
      </c>
      <c r="J3151" s="3" t="s">
        <v>77</v>
      </c>
      <c r="K3151" s="3" t="s">
        <v>78</v>
      </c>
      <c r="L3151" s="3" t="s">
        <v>171</v>
      </c>
      <c r="M3151" s="3" t="s">
        <v>172</v>
      </c>
      <c r="N3151" s="3" t="s">
        <v>2856</v>
      </c>
      <c r="O3151" s="3" t="s">
        <v>82</v>
      </c>
      <c r="P3151" s="3" t="str">
        <f>"2170810781                    "</f>
        <v xml:space="preserve">2170810781                    </v>
      </c>
      <c r="Q3151" s="3">
        <v>0</v>
      </c>
      <c r="R3151" s="3">
        <v>0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  <c r="AE3151" s="3">
        <v>0</v>
      </c>
      <c r="AF3151" s="3">
        <v>0</v>
      </c>
      <c r="AG3151" s="3">
        <v>0</v>
      </c>
      <c r="AH3151" s="3">
        <v>0</v>
      </c>
      <c r="AI3151" s="3">
        <v>0</v>
      </c>
      <c r="AJ3151" s="3">
        <v>0</v>
      </c>
      <c r="AK3151" s="3">
        <v>15.46</v>
      </c>
      <c r="AL3151" s="3">
        <v>0</v>
      </c>
      <c r="AM3151" s="3">
        <v>0</v>
      </c>
      <c r="AN3151" s="3">
        <v>0</v>
      </c>
      <c r="AO3151" s="3">
        <v>0</v>
      </c>
      <c r="AP3151" s="3">
        <v>0</v>
      </c>
      <c r="AQ3151" s="3">
        <v>0</v>
      </c>
      <c r="AR3151" s="3">
        <v>0</v>
      </c>
      <c r="AS3151" s="3">
        <v>0</v>
      </c>
      <c r="AT3151" s="3">
        <v>0</v>
      </c>
      <c r="AU3151" s="3">
        <v>0</v>
      </c>
      <c r="AV3151" s="3">
        <v>0</v>
      </c>
      <c r="AW3151" s="3">
        <v>0</v>
      </c>
      <c r="AX3151" s="3">
        <v>0</v>
      </c>
      <c r="AY3151" s="3">
        <v>0</v>
      </c>
      <c r="AZ3151" s="3">
        <v>0</v>
      </c>
      <c r="BA3151" s="3">
        <v>0</v>
      </c>
      <c r="BB3151" s="3">
        <v>0</v>
      </c>
      <c r="BC3151" s="3">
        <v>0</v>
      </c>
      <c r="BD3151" s="3">
        <v>0</v>
      </c>
      <c r="BE3151" s="3">
        <v>0</v>
      </c>
      <c r="BF3151" s="3">
        <v>0</v>
      </c>
      <c r="BG3151" s="3">
        <v>0</v>
      </c>
      <c r="BH3151" s="3">
        <v>1</v>
      </c>
      <c r="BI3151" s="3">
        <v>1</v>
      </c>
      <c r="BJ3151" s="3">
        <v>1.1000000000000001</v>
      </c>
      <c r="BK3151" s="3">
        <v>1.5</v>
      </c>
      <c r="BL3151" s="3">
        <v>59</v>
      </c>
      <c r="BM3151" s="3">
        <v>8.85</v>
      </c>
      <c r="BN3151" s="3">
        <v>67.849999999999994</v>
      </c>
      <c r="BO3151" s="3">
        <v>67.849999999999994</v>
      </c>
      <c r="BR3151" s="3" t="s">
        <v>364</v>
      </c>
      <c r="BS3151" s="4">
        <v>44571</v>
      </c>
      <c r="BT3151" s="5">
        <v>0.3611111111111111</v>
      </c>
      <c r="BU3151" s="3" t="s">
        <v>2857</v>
      </c>
      <c r="BV3151" s="3" t="s">
        <v>105</v>
      </c>
      <c r="BY3151" s="3">
        <v>5320</v>
      </c>
      <c r="BZ3151" s="3" t="s">
        <v>165</v>
      </c>
      <c r="CA3151" s="3" t="s">
        <v>2855</v>
      </c>
      <c r="CC3151" s="3" t="s">
        <v>172</v>
      </c>
      <c r="CD3151" s="3">
        <v>6000</v>
      </c>
      <c r="CE3151" s="3" t="s">
        <v>86</v>
      </c>
      <c r="CF3151" s="4">
        <v>44572</v>
      </c>
      <c r="CI3151" s="3">
        <v>1</v>
      </c>
      <c r="CJ3151" s="3">
        <v>1</v>
      </c>
      <c r="CK3151" s="3">
        <v>21</v>
      </c>
      <c r="CL3151" s="3" t="s">
        <v>87</v>
      </c>
    </row>
    <row r="3152" spans="1:90" x14ac:dyDescent="0.2">
      <c r="A3152" s="3" t="s">
        <v>72</v>
      </c>
      <c r="B3152" s="3" t="s">
        <v>73</v>
      </c>
      <c r="C3152" s="3" t="s">
        <v>74</v>
      </c>
      <c r="E3152" s="3" t="str">
        <f>"FES1162843992"</f>
        <v>FES1162843992</v>
      </c>
      <c r="F3152" s="4">
        <v>44568</v>
      </c>
      <c r="G3152" s="3">
        <v>202207</v>
      </c>
      <c r="H3152" s="3" t="s">
        <v>75</v>
      </c>
      <c r="I3152" s="3" t="s">
        <v>76</v>
      </c>
      <c r="J3152" s="3" t="s">
        <v>77</v>
      </c>
      <c r="K3152" s="3" t="s">
        <v>78</v>
      </c>
      <c r="L3152" s="3" t="s">
        <v>90</v>
      </c>
      <c r="M3152" s="3" t="s">
        <v>91</v>
      </c>
      <c r="N3152" s="3" t="s">
        <v>132</v>
      </c>
      <c r="O3152" s="3" t="s">
        <v>82</v>
      </c>
      <c r="P3152" s="3" t="str">
        <f>"2170815576                    "</f>
        <v xml:space="preserve">2170815576                    </v>
      </c>
      <c r="Q3152" s="3">
        <v>0</v>
      </c>
      <c r="R3152" s="3">
        <v>0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  <c r="AE3152" s="3">
        <v>0</v>
      </c>
      <c r="AF3152" s="3">
        <v>0</v>
      </c>
      <c r="AG3152" s="3">
        <v>0</v>
      </c>
      <c r="AH3152" s="3">
        <v>0</v>
      </c>
      <c r="AI3152" s="3">
        <v>0</v>
      </c>
      <c r="AJ3152" s="3">
        <v>0</v>
      </c>
      <c r="AK3152" s="3">
        <v>15.46</v>
      </c>
      <c r="AL3152" s="3">
        <v>0</v>
      </c>
      <c r="AM3152" s="3">
        <v>0</v>
      </c>
      <c r="AN3152" s="3">
        <v>0</v>
      </c>
      <c r="AO3152" s="3">
        <v>0</v>
      </c>
      <c r="AP3152" s="3">
        <v>0</v>
      </c>
      <c r="AQ3152" s="3">
        <v>0</v>
      </c>
      <c r="AR3152" s="3">
        <v>0</v>
      </c>
      <c r="AS3152" s="3">
        <v>0</v>
      </c>
      <c r="AT3152" s="3">
        <v>0</v>
      </c>
      <c r="AU3152" s="3">
        <v>0</v>
      </c>
      <c r="AV3152" s="3">
        <v>0</v>
      </c>
      <c r="AW3152" s="3">
        <v>0</v>
      </c>
      <c r="AX3152" s="3">
        <v>0</v>
      </c>
      <c r="AY3152" s="3">
        <v>0</v>
      </c>
      <c r="AZ3152" s="3">
        <v>0</v>
      </c>
      <c r="BA3152" s="3">
        <v>0</v>
      </c>
      <c r="BB3152" s="3">
        <v>0</v>
      </c>
      <c r="BC3152" s="3">
        <v>0</v>
      </c>
      <c r="BD3152" s="3">
        <v>0</v>
      </c>
      <c r="BE3152" s="3">
        <v>0</v>
      </c>
      <c r="BF3152" s="3">
        <v>0</v>
      </c>
      <c r="BG3152" s="3">
        <v>0</v>
      </c>
      <c r="BH3152" s="3">
        <v>1</v>
      </c>
      <c r="BI3152" s="3">
        <v>1</v>
      </c>
      <c r="BJ3152" s="3">
        <v>0.2</v>
      </c>
      <c r="BK3152" s="3">
        <v>1</v>
      </c>
      <c r="BL3152" s="3">
        <v>59</v>
      </c>
      <c r="BM3152" s="3">
        <v>8.85</v>
      </c>
      <c r="BN3152" s="3">
        <v>67.849999999999994</v>
      </c>
      <c r="BO3152" s="3">
        <v>67.849999999999994</v>
      </c>
      <c r="BQ3152" s="3" t="s">
        <v>83</v>
      </c>
      <c r="BR3152" s="3" t="s">
        <v>364</v>
      </c>
      <c r="BS3152" s="4">
        <v>44571</v>
      </c>
      <c r="BT3152" s="5">
        <v>0.40208333333333335</v>
      </c>
      <c r="BU3152" s="3" t="s">
        <v>2108</v>
      </c>
      <c r="BV3152" s="3" t="s">
        <v>105</v>
      </c>
      <c r="BY3152" s="3">
        <v>1200</v>
      </c>
      <c r="BZ3152" s="3" t="s">
        <v>165</v>
      </c>
      <c r="CA3152" s="3" t="s">
        <v>641</v>
      </c>
      <c r="CC3152" s="3" t="s">
        <v>91</v>
      </c>
      <c r="CD3152" s="3">
        <v>7530</v>
      </c>
      <c r="CE3152" s="3" t="s">
        <v>93</v>
      </c>
      <c r="CF3152" s="4">
        <v>44572</v>
      </c>
      <c r="CI3152" s="3">
        <v>1</v>
      </c>
      <c r="CJ3152" s="3">
        <v>1</v>
      </c>
      <c r="CK3152" s="3">
        <v>21</v>
      </c>
      <c r="CL3152" s="3" t="s">
        <v>87</v>
      </c>
    </row>
    <row r="3153" spans="1:90" x14ac:dyDescent="0.2">
      <c r="A3153" s="3" t="s">
        <v>72</v>
      </c>
      <c r="B3153" s="3" t="s">
        <v>73</v>
      </c>
      <c r="C3153" s="3" t="s">
        <v>74</v>
      </c>
      <c r="E3153" s="3" t="str">
        <f>"FES1162844108"</f>
        <v>FES1162844108</v>
      </c>
      <c r="F3153" s="4">
        <v>44568</v>
      </c>
      <c r="G3153" s="3">
        <v>202207</v>
      </c>
      <c r="H3153" s="3" t="s">
        <v>75</v>
      </c>
      <c r="I3153" s="3" t="s">
        <v>76</v>
      </c>
      <c r="J3153" s="3" t="s">
        <v>77</v>
      </c>
      <c r="K3153" s="3" t="s">
        <v>78</v>
      </c>
      <c r="L3153" s="3" t="s">
        <v>176</v>
      </c>
      <c r="M3153" s="3" t="s">
        <v>177</v>
      </c>
      <c r="N3153" s="3" t="s">
        <v>178</v>
      </c>
      <c r="O3153" s="3" t="s">
        <v>82</v>
      </c>
      <c r="P3153" s="3" t="str">
        <f>"2170815901                    "</f>
        <v xml:space="preserve">2170815901                    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  <c r="AE3153" s="3">
        <v>0</v>
      </c>
      <c r="AF3153" s="3">
        <v>0</v>
      </c>
      <c r="AG3153" s="3">
        <v>0</v>
      </c>
      <c r="AH3153" s="3">
        <v>0</v>
      </c>
      <c r="AI3153" s="3">
        <v>0</v>
      </c>
      <c r="AJ3153" s="3">
        <v>0</v>
      </c>
      <c r="AK3153" s="3">
        <v>15.46</v>
      </c>
      <c r="AL3153" s="3">
        <v>0</v>
      </c>
      <c r="AM3153" s="3">
        <v>0</v>
      </c>
      <c r="AN3153" s="3">
        <v>0</v>
      </c>
      <c r="AO3153" s="3">
        <v>0</v>
      </c>
      <c r="AP3153" s="3">
        <v>0</v>
      </c>
      <c r="AQ3153" s="3">
        <v>0</v>
      </c>
      <c r="AR3153" s="3">
        <v>0</v>
      </c>
      <c r="AS3153" s="3">
        <v>0</v>
      </c>
      <c r="AT3153" s="3">
        <v>0</v>
      </c>
      <c r="AU3153" s="3">
        <v>0</v>
      </c>
      <c r="AV3153" s="3">
        <v>0</v>
      </c>
      <c r="AW3153" s="3">
        <v>0</v>
      </c>
      <c r="AX3153" s="3">
        <v>0</v>
      </c>
      <c r="AY3153" s="3">
        <v>0</v>
      </c>
      <c r="AZ3153" s="3">
        <v>0</v>
      </c>
      <c r="BA3153" s="3">
        <v>0</v>
      </c>
      <c r="BB3153" s="3">
        <v>0</v>
      </c>
      <c r="BC3153" s="3">
        <v>0</v>
      </c>
      <c r="BD3153" s="3">
        <v>0</v>
      </c>
      <c r="BE3153" s="3">
        <v>0</v>
      </c>
      <c r="BF3153" s="3">
        <v>0</v>
      </c>
      <c r="BG3153" s="3">
        <v>0</v>
      </c>
      <c r="BH3153" s="3">
        <v>1</v>
      </c>
      <c r="BI3153" s="3">
        <v>1</v>
      </c>
      <c r="BJ3153" s="3">
        <v>0.2</v>
      </c>
      <c r="BK3153" s="3">
        <v>1</v>
      </c>
      <c r="BL3153" s="3">
        <v>59</v>
      </c>
      <c r="BM3153" s="3">
        <v>8.85</v>
      </c>
      <c r="BN3153" s="3">
        <v>67.849999999999994</v>
      </c>
      <c r="BO3153" s="3">
        <v>67.849999999999994</v>
      </c>
      <c r="BQ3153" s="3" t="s">
        <v>83</v>
      </c>
      <c r="BR3153" s="3" t="s">
        <v>364</v>
      </c>
      <c r="BS3153" s="4">
        <v>44571</v>
      </c>
      <c r="BT3153" s="5">
        <v>0.38750000000000001</v>
      </c>
      <c r="BU3153" s="3" t="s">
        <v>1398</v>
      </c>
      <c r="BV3153" s="3" t="s">
        <v>105</v>
      </c>
      <c r="BY3153" s="3">
        <v>1200</v>
      </c>
      <c r="BZ3153" s="3" t="s">
        <v>165</v>
      </c>
      <c r="CA3153" s="3" t="s">
        <v>528</v>
      </c>
      <c r="CC3153" s="3" t="s">
        <v>177</v>
      </c>
      <c r="CD3153" s="3">
        <v>4026</v>
      </c>
      <c r="CE3153" s="3" t="s">
        <v>93</v>
      </c>
      <c r="CF3153" s="4">
        <v>44571</v>
      </c>
      <c r="CI3153" s="3">
        <v>1</v>
      </c>
      <c r="CJ3153" s="3">
        <v>1</v>
      </c>
      <c r="CK3153" s="3">
        <v>21</v>
      </c>
      <c r="CL3153" s="3" t="s">
        <v>87</v>
      </c>
    </row>
    <row r="3154" spans="1:90" x14ac:dyDescent="0.2">
      <c r="A3154" s="3" t="s">
        <v>72</v>
      </c>
      <c r="B3154" s="3" t="s">
        <v>73</v>
      </c>
      <c r="C3154" s="3" t="s">
        <v>74</v>
      </c>
      <c r="E3154" s="3" t="str">
        <f>"FES1162844127"</f>
        <v>FES1162844127</v>
      </c>
      <c r="F3154" s="4">
        <v>44568</v>
      </c>
      <c r="G3154" s="3">
        <v>202207</v>
      </c>
      <c r="H3154" s="3" t="s">
        <v>75</v>
      </c>
      <c r="I3154" s="3" t="s">
        <v>76</v>
      </c>
      <c r="J3154" s="3" t="s">
        <v>77</v>
      </c>
      <c r="K3154" s="3" t="s">
        <v>78</v>
      </c>
      <c r="L3154" s="3" t="s">
        <v>90</v>
      </c>
      <c r="M3154" s="3" t="s">
        <v>91</v>
      </c>
      <c r="N3154" s="3" t="s">
        <v>418</v>
      </c>
      <c r="O3154" s="3" t="s">
        <v>82</v>
      </c>
      <c r="P3154" s="3" t="str">
        <f>"2170811792                    "</f>
        <v xml:space="preserve">2170811792                    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  <c r="AE3154" s="3">
        <v>0</v>
      </c>
      <c r="AF3154" s="3">
        <v>0</v>
      </c>
      <c r="AG3154" s="3">
        <v>0</v>
      </c>
      <c r="AH3154" s="3">
        <v>0</v>
      </c>
      <c r="AI3154" s="3">
        <v>0</v>
      </c>
      <c r="AJ3154" s="3">
        <v>0</v>
      </c>
      <c r="AK3154" s="3">
        <v>15.46</v>
      </c>
      <c r="AL3154" s="3">
        <v>0</v>
      </c>
      <c r="AM3154" s="3">
        <v>0</v>
      </c>
      <c r="AN3154" s="3">
        <v>0</v>
      </c>
      <c r="AO3154" s="3">
        <v>0</v>
      </c>
      <c r="AP3154" s="3">
        <v>0</v>
      </c>
      <c r="AQ3154" s="3">
        <v>0</v>
      </c>
      <c r="AR3154" s="3">
        <v>0</v>
      </c>
      <c r="AS3154" s="3">
        <v>0</v>
      </c>
      <c r="AT3154" s="3">
        <v>0</v>
      </c>
      <c r="AU3154" s="3">
        <v>0</v>
      </c>
      <c r="AV3154" s="3">
        <v>0</v>
      </c>
      <c r="AW3154" s="3">
        <v>0</v>
      </c>
      <c r="AX3154" s="3">
        <v>0</v>
      </c>
      <c r="AY3154" s="3">
        <v>0</v>
      </c>
      <c r="AZ3154" s="3">
        <v>0</v>
      </c>
      <c r="BA3154" s="3">
        <v>0</v>
      </c>
      <c r="BB3154" s="3">
        <v>0</v>
      </c>
      <c r="BC3154" s="3">
        <v>0</v>
      </c>
      <c r="BD3154" s="3">
        <v>0</v>
      </c>
      <c r="BE3154" s="3">
        <v>0</v>
      </c>
      <c r="BF3154" s="3">
        <v>0</v>
      </c>
      <c r="BG3154" s="3">
        <v>0</v>
      </c>
      <c r="BH3154" s="3">
        <v>1</v>
      </c>
      <c r="BI3154" s="3">
        <v>1</v>
      </c>
      <c r="BJ3154" s="3">
        <v>0.2</v>
      </c>
      <c r="BK3154" s="3">
        <v>1</v>
      </c>
      <c r="BL3154" s="3">
        <v>59</v>
      </c>
      <c r="BM3154" s="3">
        <v>8.85</v>
      </c>
      <c r="BN3154" s="3">
        <v>67.849999999999994</v>
      </c>
      <c r="BO3154" s="3">
        <v>67.849999999999994</v>
      </c>
      <c r="BQ3154" s="3" t="s">
        <v>128</v>
      </c>
      <c r="BR3154" s="3" t="s">
        <v>364</v>
      </c>
      <c r="BS3154" s="4">
        <v>44571</v>
      </c>
      <c r="BT3154" s="5">
        <v>0.35486111111111113</v>
      </c>
      <c r="BU3154" s="3" t="s">
        <v>2858</v>
      </c>
      <c r="BV3154" s="3" t="s">
        <v>105</v>
      </c>
      <c r="BY3154" s="3">
        <v>1200</v>
      </c>
      <c r="BZ3154" s="3" t="s">
        <v>165</v>
      </c>
      <c r="CA3154" s="3" t="s">
        <v>2859</v>
      </c>
      <c r="CC3154" s="3" t="s">
        <v>91</v>
      </c>
      <c r="CD3154" s="3">
        <v>7441</v>
      </c>
      <c r="CE3154" s="3" t="s">
        <v>93</v>
      </c>
      <c r="CF3154" s="4">
        <v>44572</v>
      </c>
      <c r="CI3154" s="3">
        <v>1</v>
      </c>
      <c r="CJ3154" s="3">
        <v>1</v>
      </c>
      <c r="CK3154" s="3">
        <v>21</v>
      </c>
      <c r="CL3154" s="3" t="s">
        <v>87</v>
      </c>
    </row>
    <row r="3155" spans="1:90" x14ac:dyDescent="0.2">
      <c r="A3155" s="3" t="s">
        <v>72</v>
      </c>
      <c r="B3155" s="3" t="s">
        <v>73</v>
      </c>
      <c r="C3155" s="3" t="s">
        <v>74</v>
      </c>
      <c r="E3155" s="3" t="str">
        <f>"FES1162844161"</f>
        <v>FES1162844161</v>
      </c>
      <c r="F3155" s="4">
        <v>44568</v>
      </c>
      <c r="G3155" s="3">
        <v>202207</v>
      </c>
      <c r="H3155" s="3" t="s">
        <v>75</v>
      </c>
      <c r="I3155" s="3" t="s">
        <v>76</v>
      </c>
      <c r="J3155" s="3" t="s">
        <v>77</v>
      </c>
      <c r="K3155" s="3" t="s">
        <v>78</v>
      </c>
      <c r="L3155" s="3" t="s">
        <v>90</v>
      </c>
      <c r="M3155" s="3" t="s">
        <v>91</v>
      </c>
      <c r="N3155" s="3" t="s">
        <v>114</v>
      </c>
      <c r="O3155" s="3" t="s">
        <v>82</v>
      </c>
      <c r="P3155" s="3" t="str">
        <f>"2170800500                    "</f>
        <v xml:space="preserve">2170800500                    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  <c r="AE3155" s="3">
        <v>0</v>
      </c>
      <c r="AF3155" s="3">
        <v>0</v>
      </c>
      <c r="AG3155" s="3">
        <v>0</v>
      </c>
      <c r="AH3155" s="3">
        <v>0</v>
      </c>
      <c r="AI3155" s="3">
        <v>0</v>
      </c>
      <c r="AJ3155" s="3">
        <v>0</v>
      </c>
      <c r="AK3155" s="3">
        <v>15.46</v>
      </c>
      <c r="AL3155" s="3">
        <v>0</v>
      </c>
      <c r="AM3155" s="3">
        <v>0</v>
      </c>
      <c r="AN3155" s="3">
        <v>0</v>
      </c>
      <c r="AO3155" s="3">
        <v>0</v>
      </c>
      <c r="AP3155" s="3">
        <v>0</v>
      </c>
      <c r="AQ3155" s="3">
        <v>0</v>
      </c>
      <c r="AR3155" s="3">
        <v>0</v>
      </c>
      <c r="AS3155" s="3">
        <v>0</v>
      </c>
      <c r="AT3155" s="3">
        <v>0</v>
      </c>
      <c r="AU3155" s="3">
        <v>0</v>
      </c>
      <c r="AV3155" s="3">
        <v>0</v>
      </c>
      <c r="AW3155" s="3">
        <v>0</v>
      </c>
      <c r="AX3155" s="3">
        <v>0</v>
      </c>
      <c r="AY3155" s="3">
        <v>0</v>
      </c>
      <c r="AZ3155" s="3">
        <v>0</v>
      </c>
      <c r="BA3155" s="3">
        <v>0</v>
      </c>
      <c r="BB3155" s="3">
        <v>0</v>
      </c>
      <c r="BC3155" s="3">
        <v>0</v>
      </c>
      <c r="BD3155" s="3">
        <v>0</v>
      </c>
      <c r="BE3155" s="3">
        <v>0</v>
      </c>
      <c r="BF3155" s="3">
        <v>0</v>
      </c>
      <c r="BG3155" s="3">
        <v>0</v>
      </c>
      <c r="BH3155" s="3">
        <v>1</v>
      </c>
      <c r="BI3155" s="3">
        <v>1</v>
      </c>
      <c r="BJ3155" s="3">
        <v>0.2</v>
      </c>
      <c r="BK3155" s="3">
        <v>1</v>
      </c>
      <c r="BL3155" s="3">
        <v>59</v>
      </c>
      <c r="BM3155" s="3">
        <v>8.85</v>
      </c>
      <c r="BN3155" s="3">
        <v>67.849999999999994</v>
      </c>
      <c r="BO3155" s="3">
        <v>67.849999999999994</v>
      </c>
      <c r="BQ3155" s="3" t="s">
        <v>89</v>
      </c>
      <c r="BR3155" s="3" t="s">
        <v>364</v>
      </c>
      <c r="BS3155" s="4">
        <v>44571</v>
      </c>
      <c r="BT3155" s="5">
        <v>0.3430555555555555</v>
      </c>
      <c r="BU3155" s="3" t="s">
        <v>1205</v>
      </c>
      <c r="BV3155" s="3" t="s">
        <v>105</v>
      </c>
      <c r="BY3155" s="3">
        <v>1200</v>
      </c>
      <c r="BZ3155" s="3" t="s">
        <v>165</v>
      </c>
      <c r="CA3155" s="3" t="s">
        <v>289</v>
      </c>
      <c r="CC3155" s="3" t="s">
        <v>91</v>
      </c>
      <c r="CD3155" s="3">
        <v>7441</v>
      </c>
      <c r="CE3155" s="3" t="s">
        <v>93</v>
      </c>
      <c r="CF3155" s="4">
        <v>44572</v>
      </c>
      <c r="CI3155" s="3">
        <v>1</v>
      </c>
      <c r="CJ3155" s="3">
        <v>1</v>
      </c>
      <c r="CK3155" s="3">
        <v>21</v>
      </c>
      <c r="CL3155" s="3" t="s">
        <v>87</v>
      </c>
    </row>
    <row r="3156" spans="1:90" x14ac:dyDescent="0.2">
      <c r="A3156" s="3" t="s">
        <v>72</v>
      </c>
      <c r="B3156" s="3" t="s">
        <v>73</v>
      </c>
      <c r="C3156" s="3" t="s">
        <v>74</v>
      </c>
      <c r="E3156" s="3" t="str">
        <f>"FES1162844182"</f>
        <v>FES1162844182</v>
      </c>
      <c r="F3156" s="4">
        <v>44568</v>
      </c>
      <c r="G3156" s="3">
        <v>202207</v>
      </c>
      <c r="H3156" s="3" t="s">
        <v>75</v>
      </c>
      <c r="I3156" s="3" t="s">
        <v>76</v>
      </c>
      <c r="J3156" s="3" t="s">
        <v>77</v>
      </c>
      <c r="K3156" s="3" t="s">
        <v>78</v>
      </c>
      <c r="L3156" s="3" t="s">
        <v>75</v>
      </c>
      <c r="M3156" s="3" t="s">
        <v>76</v>
      </c>
      <c r="N3156" s="3" t="s">
        <v>224</v>
      </c>
      <c r="O3156" s="3" t="s">
        <v>82</v>
      </c>
      <c r="P3156" s="3" t="str">
        <f>"2170815864                    "</f>
        <v xml:space="preserve">2170815864                    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  <c r="AE3156" s="3">
        <v>0</v>
      </c>
      <c r="AF3156" s="3">
        <v>0</v>
      </c>
      <c r="AG3156" s="3">
        <v>0</v>
      </c>
      <c r="AH3156" s="3">
        <v>0</v>
      </c>
      <c r="AI3156" s="3">
        <v>0</v>
      </c>
      <c r="AJ3156" s="3">
        <v>0</v>
      </c>
      <c r="AK3156" s="3">
        <v>12.07</v>
      </c>
      <c r="AL3156" s="3">
        <v>0</v>
      </c>
      <c r="AM3156" s="3">
        <v>0</v>
      </c>
      <c r="AN3156" s="3">
        <v>0</v>
      </c>
      <c r="AO3156" s="3">
        <v>0</v>
      </c>
      <c r="AP3156" s="3">
        <v>0</v>
      </c>
      <c r="AQ3156" s="3">
        <v>0</v>
      </c>
      <c r="AR3156" s="3">
        <v>0</v>
      </c>
      <c r="AS3156" s="3">
        <v>0</v>
      </c>
      <c r="AT3156" s="3">
        <v>0</v>
      </c>
      <c r="AU3156" s="3">
        <v>0</v>
      </c>
      <c r="AV3156" s="3">
        <v>0</v>
      </c>
      <c r="AW3156" s="3">
        <v>0</v>
      </c>
      <c r="AX3156" s="3">
        <v>0</v>
      </c>
      <c r="AY3156" s="3">
        <v>0</v>
      </c>
      <c r="AZ3156" s="3">
        <v>0</v>
      </c>
      <c r="BA3156" s="3">
        <v>0</v>
      </c>
      <c r="BB3156" s="3">
        <v>0</v>
      </c>
      <c r="BC3156" s="3">
        <v>0</v>
      </c>
      <c r="BD3156" s="3">
        <v>0</v>
      </c>
      <c r="BE3156" s="3">
        <v>0</v>
      </c>
      <c r="BF3156" s="3">
        <v>0</v>
      </c>
      <c r="BG3156" s="3">
        <v>0</v>
      </c>
      <c r="BH3156" s="3">
        <v>1</v>
      </c>
      <c r="BI3156" s="3">
        <v>1</v>
      </c>
      <c r="BJ3156" s="3">
        <v>0.2</v>
      </c>
      <c r="BK3156" s="3">
        <v>1</v>
      </c>
      <c r="BL3156" s="3">
        <v>46.08</v>
      </c>
      <c r="BM3156" s="3">
        <v>6.91</v>
      </c>
      <c r="BN3156" s="3">
        <v>52.99</v>
      </c>
      <c r="BO3156" s="3">
        <v>52.99</v>
      </c>
      <c r="BQ3156" s="3" t="s">
        <v>83</v>
      </c>
      <c r="BR3156" s="3" t="s">
        <v>364</v>
      </c>
      <c r="BS3156" s="4">
        <v>44571</v>
      </c>
      <c r="BT3156" s="5">
        <v>0.37152777777777773</v>
      </c>
      <c r="BU3156" s="3" t="s">
        <v>347</v>
      </c>
      <c r="BV3156" s="3" t="s">
        <v>105</v>
      </c>
      <c r="BY3156" s="3">
        <v>1200</v>
      </c>
      <c r="BZ3156" s="3" t="s">
        <v>165</v>
      </c>
      <c r="CA3156" s="3" t="s">
        <v>227</v>
      </c>
      <c r="CC3156" s="3" t="s">
        <v>76</v>
      </c>
      <c r="CD3156" s="3">
        <v>1600</v>
      </c>
      <c r="CE3156" s="3" t="s">
        <v>93</v>
      </c>
      <c r="CF3156" s="4">
        <v>44571</v>
      </c>
      <c r="CI3156" s="3">
        <v>1</v>
      </c>
      <c r="CJ3156" s="3">
        <v>1</v>
      </c>
      <c r="CK3156" s="3">
        <v>22</v>
      </c>
      <c r="CL3156" s="3" t="s">
        <v>87</v>
      </c>
    </row>
    <row r="3157" spans="1:90" x14ac:dyDescent="0.2">
      <c r="A3157" s="3" t="s">
        <v>72</v>
      </c>
      <c r="B3157" s="3" t="s">
        <v>73</v>
      </c>
      <c r="C3157" s="3" t="s">
        <v>74</v>
      </c>
      <c r="E3157" s="3" t="str">
        <f>"FES1162844176"</f>
        <v>FES1162844176</v>
      </c>
      <c r="F3157" s="4">
        <v>44568</v>
      </c>
      <c r="G3157" s="3">
        <v>202207</v>
      </c>
      <c r="H3157" s="3" t="s">
        <v>75</v>
      </c>
      <c r="I3157" s="3" t="s">
        <v>76</v>
      </c>
      <c r="J3157" s="3" t="s">
        <v>77</v>
      </c>
      <c r="K3157" s="3" t="s">
        <v>78</v>
      </c>
      <c r="L3157" s="3" t="s">
        <v>427</v>
      </c>
      <c r="M3157" s="3" t="s">
        <v>428</v>
      </c>
      <c r="N3157" s="3" t="s">
        <v>447</v>
      </c>
      <c r="O3157" s="3" t="s">
        <v>82</v>
      </c>
      <c r="P3157" s="3" t="str">
        <f>"2170814693                    "</f>
        <v xml:space="preserve">2170814693                    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  <c r="AE3157" s="3">
        <v>0</v>
      </c>
      <c r="AF3157" s="3">
        <v>0</v>
      </c>
      <c r="AG3157" s="3">
        <v>0</v>
      </c>
      <c r="AH3157" s="3">
        <v>0</v>
      </c>
      <c r="AI3157" s="3">
        <v>0</v>
      </c>
      <c r="AJ3157" s="3">
        <v>0</v>
      </c>
      <c r="AK3157" s="3">
        <v>57</v>
      </c>
      <c r="AL3157" s="3">
        <v>0</v>
      </c>
      <c r="AM3157" s="3">
        <v>0</v>
      </c>
      <c r="AN3157" s="3">
        <v>0</v>
      </c>
      <c r="AO3157" s="3">
        <v>0</v>
      </c>
      <c r="AP3157" s="3">
        <v>0</v>
      </c>
      <c r="AQ3157" s="3">
        <v>0</v>
      </c>
      <c r="AR3157" s="3">
        <v>0</v>
      </c>
      <c r="AS3157" s="3">
        <v>0</v>
      </c>
      <c r="AT3157" s="3">
        <v>0</v>
      </c>
      <c r="AU3157" s="3">
        <v>0</v>
      </c>
      <c r="AV3157" s="3">
        <v>0</v>
      </c>
      <c r="AW3157" s="3">
        <v>0</v>
      </c>
      <c r="AX3157" s="3">
        <v>0</v>
      </c>
      <c r="AY3157" s="3">
        <v>0</v>
      </c>
      <c r="AZ3157" s="3">
        <v>0</v>
      </c>
      <c r="BA3157" s="3">
        <v>0</v>
      </c>
      <c r="BB3157" s="3">
        <v>0</v>
      </c>
      <c r="BC3157" s="3">
        <v>0</v>
      </c>
      <c r="BD3157" s="3">
        <v>0</v>
      </c>
      <c r="BE3157" s="3">
        <v>0</v>
      </c>
      <c r="BF3157" s="3">
        <v>0</v>
      </c>
      <c r="BG3157" s="3">
        <v>0</v>
      </c>
      <c r="BH3157" s="3">
        <v>1</v>
      </c>
      <c r="BI3157" s="3">
        <v>4</v>
      </c>
      <c r="BJ3157" s="3">
        <v>2</v>
      </c>
      <c r="BK3157" s="3">
        <v>4</v>
      </c>
      <c r="BL3157" s="3">
        <v>217.56</v>
      </c>
      <c r="BM3157" s="3">
        <v>32.630000000000003</v>
      </c>
      <c r="BN3157" s="3">
        <v>250.19</v>
      </c>
      <c r="BO3157" s="3">
        <v>250.19</v>
      </c>
      <c r="BQ3157" s="3" t="s">
        <v>89</v>
      </c>
      <c r="BR3157" s="3" t="s">
        <v>364</v>
      </c>
      <c r="BS3157" s="4">
        <v>44571</v>
      </c>
      <c r="BT3157" s="5">
        <v>0.53402777777777777</v>
      </c>
      <c r="BU3157" s="3" t="s">
        <v>2860</v>
      </c>
      <c r="BV3157" s="3" t="s">
        <v>105</v>
      </c>
      <c r="BY3157" s="3">
        <v>9918</v>
      </c>
      <c r="BZ3157" s="3" t="s">
        <v>165</v>
      </c>
      <c r="CA3157" s="3" t="s">
        <v>2136</v>
      </c>
      <c r="CC3157" s="3" t="s">
        <v>428</v>
      </c>
      <c r="CD3157" s="3">
        <v>7130</v>
      </c>
      <c r="CE3157" s="3" t="s">
        <v>86</v>
      </c>
      <c r="CF3157" s="4">
        <v>44572</v>
      </c>
      <c r="CI3157" s="3">
        <v>1</v>
      </c>
      <c r="CJ3157" s="3">
        <v>1</v>
      </c>
      <c r="CK3157" s="3">
        <v>23</v>
      </c>
      <c r="CL3157" s="3" t="s">
        <v>87</v>
      </c>
    </row>
    <row r="3158" spans="1:90" x14ac:dyDescent="0.2">
      <c r="A3158" s="3" t="s">
        <v>72</v>
      </c>
      <c r="B3158" s="3" t="s">
        <v>73</v>
      </c>
      <c r="C3158" s="3" t="s">
        <v>74</v>
      </c>
      <c r="E3158" s="3" t="str">
        <f>"FES1162844139"</f>
        <v>FES1162844139</v>
      </c>
      <c r="F3158" s="4">
        <v>44568</v>
      </c>
      <c r="G3158" s="3">
        <v>202207</v>
      </c>
      <c r="H3158" s="3" t="s">
        <v>75</v>
      </c>
      <c r="I3158" s="3" t="s">
        <v>76</v>
      </c>
      <c r="J3158" s="3" t="s">
        <v>77</v>
      </c>
      <c r="K3158" s="3" t="s">
        <v>78</v>
      </c>
      <c r="L3158" s="3" t="s">
        <v>75</v>
      </c>
      <c r="M3158" s="3" t="s">
        <v>76</v>
      </c>
      <c r="N3158" s="3" t="s">
        <v>147</v>
      </c>
      <c r="O3158" s="3" t="s">
        <v>82</v>
      </c>
      <c r="P3158" s="3" t="str">
        <f>"2170814732                    "</f>
        <v xml:space="preserve">2170814732                    </v>
      </c>
      <c r="Q3158" s="3">
        <v>0</v>
      </c>
      <c r="R3158" s="3">
        <v>0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  <c r="AE3158" s="3">
        <v>0</v>
      </c>
      <c r="AF3158" s="3">
        <v>0</v>
      </c>
      <c r="AG3158" s="3">
        <v>0</v>
      </c>
      <c r="AH3158" s="3">
        <v>0</v>
      </c>
      <c r="AI3158" s="3">
        <v>0</v>
      </c>
      <c r="AJ3158" s="3">
        <v>0</v>
      </c>
      <c r="AK3158" s="3">
        <v>12.07</v>
      </c>
      <c r="AL3158" s="3">
        <v>0</v>
      </c>
      <c r="AM3158" s="3">
        <v>0</v>
      </c>
      <c r="AN3158" s="3">
        <v>0</v>
      </c>
      <c r="AO3158" s="3">
        <v>0</v>
      </c>
      <c r="AP3158" s="3">
        <v>0</v>
      </c>
      <c r="AQ3158" s="3">
        <v>0</v>
      </c>
      <c r="AR3158" s="3">
        <v>0</v>
      </c>
      <c r="AS3158" s="3">
        <v>0</v>
      </c>
      <c r="AT3158" s="3">
        <v>0</v>
      </c>
      <c r="AU3158" s="3">
        <v>0</v>
      </c>
      <c r="AV3158" s="3">
        <v>0</v>
      </c>
      <c r="AW3158" s="3">
        <v>0</v>
      </c>
      <c r="AX3158" s="3">
        <v>0</v>
      </c>
      <c r="AY3158" s="3">
        <v>0</v>
      </c>
      <c r="AZ3158" s="3">
        <v>0</v>
      </c>
      <c r="BA3158" s="3">
        <v>0</v>
      </c>
      <c r="BB3158" s="3">
        <v>0</v>
      </c>
      <c r="BC3158" s="3">
        <v>0</v>
      </c>
      <c r="BD3158" s="3">
        <v>0</v>
      </c>
      <c r="BE3158" s="3">
        <v>0</v>
      </c>
      <c r="BF3158" s="3">
        <v>0</v>
      </c>
      <c r="BG3158" s="3">
        <v>0</v>
      </c>
      <c r="BH3158" s="3">
        <v>1</v>
      </c>
      <c r="BI3158" s="3">
        <v>1</v>
      </c>
      <c r="BJ3158" s="3">
        <v>0.2</v>
      </c>
      <c r="BK3158" s="3">
        <v>1</v>
      </c>
      <c r="BL3158" s="3">
        <v>46.08</v>
      </c>
      <c r="BM3158" s="3">
        <v>6.91</v>
      </c>
      <c r="BN3158" s="3">
        <v>52.99</v>
      </c>
      <c r="BO3158" s="3">
        <v>52.99</v>
      </c>
      <c r="BQ3158" s="3" t="s">
        <v>89</v>
      </c>
      <c r="BR3158" s="3" t="s">
        <v>364</v>
      </c>
      <c r="BS3158" s="4">
        <v>44571</v>
      </c>
      <c r="BT3158" s="5">
        <v>0.38541666666666669</v>
      </c>
      <c r="BU3158" s="3" t="s">
        <v>2691</v>
      </c>
      <c r="BV3158" s="3" t="s">
        <v>105</v>
      </c>
      <c r="BY3158" s="3">
        <v>1200</v>
      </c>
      <c r="BZ3158" s="3" t="s">
        <v>165</v>
      </c>
      <c r="CA3158" s="3" t="s">
        <v>1293</v>
      </c>
      <c r="CC3158" s="3" t="s">
        <v>76</v>
      </c>
      <c r="CD3158" s="3">
        <v>1645</v>
      </c>
      <c r="CE3158" s="3" t="s">
        <v>93</v>
      </c>
      <c r="CF3158" s="4">
        <v>44572</v>
      </c>
      <c r="CI3158" s="3">
        <v>1</v>
      </c>
      <c r="CJ3158" s="3">
        <v>1</v>
      </c>
      <c r="CK3158" s="3">
        <v>22</v>
      </c>
      <c r="CL3158" s="3" t="s">
        <v>87</v>
      </c>
    </row>
    <row r="3159" spans="1:90" x14ac:dyDescent="0.2">
      <c r="A3159" s="3" t="s">
        <v>72</v>
      </c>
      <c r="B3159" s="3" t="s">
        <v>73</v>
      </c>
      <c r="C3159" s="3" t="s">
        <v>74</v>
      </c>
      <c r="E3159" s="3" t="str">
        <f>"FES1162844100"</f>
        <v>FES1162844100</v>
      </c>
      <c r="F3159" s="4">
        <v>44568</v>
      </c>
      <c r="G3159" s="3">
        <v>202207</v>
      </c>
      <c r="H3159" s="3" t="s">
        <v>75</v>
      </c>
      <c r="I3159" s="3" t="s">
        <v>76</v>
      </c>
      <c r="J3159" s="3" t="s">
        <v>77</v>
      </c>
      <c r="K3159" s="3" t="s">
        <v>78</v>
      </c>
      <c r="L3159" s="3" t="s">
        <v>101</v>
      </c>
      <c r="M3159" s="3" t="s">
        <v>102</v>
      </c>
      <c r="N3159" s="3" t="s">
        <v>103</v>
      </c>
      <c r="O3159" s="3" t="s">
        <v>82</v>
      </c>
      <c r="P3159" s="3" t="str">
        <f>"2170810434                    "</f>
        <v xml:space="preserve">2170810434                    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  <c r="AE3159" s="3">
        <v>0</v>
      </c>
      <c r="AF3159" s="3">
        <v>0</v>
      </c>
      <c r="AG3159" s="3">
        <v>0</v>
      </c>
      <c r="AH3159" s="3">
        <v>0</v>
      </c>
      <c r="AI3159" s="3">
        <v>0</v>
      </c>
      <c r="AJ3159" s="3">
        <v>0</v>
      </c>
      <c r="AK3159" s="3">
        <v>61.81</v>
      </c>
      <c r="AL3159" s="3">
        <v>0</v>
      </c>
      <c r="AM3159" s="3">
        <v>0</v>
      </c>
      <c r="AN3159" s="3">
        <v>0</v>
      </c>
      <c r="AO3159" s="3">
        <v>0</v>
      </c>
      <c r="AP3159" s="3">
        <v>0</v>
      </c>
      <c r="AQ3159" s="3">
        <v>0</v>
      </c>
      <c r="AR3159" s="3">
        <v>0</v>
      </c>
      <c r="AS3159" s="3">
        <v>0</v>
      </c>
      <c r="AT3159" s="3">
        <v>0</v>
      </c>
      <c r="AU3159" s="3">
        <v>0</v>
      </c>
      <c r="AV3159" s="3">
        <v>0</v>
      </c>
      <c r="AW3159" s="3">
        <v>0</v>
      </c>
      <c r="AX3159" s="3">
        <v>0</v>
      </c>
      <c r="AY3159" s="3">
        <v>0</v>
      </c>
      <c r="AZ3159" s="3">
        <v>0</v>
      </c>
      <c r="BA3159" s="3">
        <v>0</v>
      </c>
      <c r="BB3159" s="3">
        <v>0</v>
      </c>
      <c r="BC3159" s="3">
        <v>0</v>
      </c>
      <c r="BD3159" s="3">
        <v>0</v>
      </c>
      <c r="BE3159" s="3">
        <v>0</v>
      </c>
      <c r="BF3159" s="3">
        <v>0</v>
      </c>
      <c r="BG3159" s="3">
        <v>0</v>
      </c>
      <c r="BH3159" s="3">
        <v>2</v>
      </c>
      <c r="BI3159" s="3">
        <v>8</v>
      </c>
      <c r="BJ3159" s="3">
        <v>3.8</v>
      </c>
      <c r="BK3159" s="3">
        <v>8</v>
      </c>
      <c r="BL3159" s="3">
        <v>235.91</v>
      </c>
      <c r="BM3159" s="3">
        <v>35.39</v>
      </c>
      <c r="BN3159" s="3">
        <v>271.3</v>
      </c>
      <c r="BO3159" s="3">
        <v>271.3</v>
      </c>
      <c r="BQ3159" s="3" t="s">
        <v>83</v>
      </c>
      <c r="BR3159" s="3" t="s">
        <v>364</v>
      </c>
      <c r="BS3159" s="4">
        <v>44571</v>
      </c>
      <c r="BT3159" s="5">
        <v>0.31875000000000003</v>
      </c>
      <c r="BU3159" s="3" t="s">
        <v>104</v>
      </c>
      <c r="BV3159" s="3" t="s">
        <v>105</v>
      </c>
      <c r="BY3159" s="3">
        <v>9464</v>
      </c>
      <c r="BZ3159" s="3" t="s">
        <v>165</v>
      </c>
      <c r="CA3159" s="3" t="s">
        <v>106</v>
      </c>
      <c r="CC3159" s="3" t="s">
        <v>102</v>
      </c>
      <c r="CD3159" s="3">
        <v>4001</v>
      </c>
      <c r="CE3159" s="3" t="s">
        <v>221</v>
      </c>
      <c r="CF3159" s="4">
        <v>44571</v>
      </c>
      <c r="CI3159" s="3">
        <v>1</v>
      </c>
      <c r="CJ3159" s="3">
        <v>1</v>
      </c>
      <c r="CK3159" s="3">
        <v>21</v>
      </c>
      <c r="CL3159" s="3" t="s">
        <v>87</v>
      </c>
    </row>
    <row r="3160" spans="1:90" x14ac:dyDescent="0.2">
      <c r="A3160" s="3" t="s">
        <v>72</v>
      </c>
      <c r="B3160" s="3" t="s">
        <v>73</v>
      </c>
      <c r="C3160" s="3" t="s">
        <v>74</v>
      </c>
      <c r="E3160" s="3" t="str">
        <f>"FES1162844159"</f>
        <v>FES1162844159</v>
      </c>
      <c r="F3160" s="4">
        <v>44568</v>
      </c>
      <c r="G3160" s="3">
        <v>202207</v>
      </c>
      <c r="H3160" s="3" t="s">
        <v>75</v>
      </c>
      <c r="I3160" s="3" t="s">
        <v>76</v>
      </c>
      <c r="J3160" s="3" t="s">
        <v>77</v>
      </c>
      <c r="K3160" s="3" t="s">
        <v>78</v>
      </c>
      <c r="L3160" s="3" t="s">
        <v>1179</v>
      </c>
      <c r="M3160" s="3" t="s">
        <v>1180</v>
      </c>
      <c r="N3160" s="3" t="s">
        <v>1282</v>
      </c>
      <c r="O3160" s="3" t="s">
        <v>82</v>
      </c>
      <c r="P3160" s="3" t="str">
        <f>"2170799892                    "</f>
        <v xml:space="preserve">2170799892                    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  <c r="AE3160" s="3">
        <v>0</v>
      </c>
      <c r="AF3160" s="3">
        <v>0</v>
      </c>
      <c r="AG3160" s="3">
        <v>0</v>
      </c>
      <c r="AH3160" s="3">
        <v>0</v>
      </c>
      <c r="AI3160" s="3">
        <v>0</v>
      </c>
      <c r="AJ3160" s="3">
        <v>0</v>
      </c>
      <c r="AK3160" s="3">
        <v>29.95</v>
      </c>
      <c r="AL3160" s="3">
        <v>0</v>
      </c>
      <c r="AM3160" s="3">
        <v>0</v>
      </c>
      <c r="AN3160" s="3">
        <v>0</v>
      </c>
      <c r="AO3160" s="3">
        <v>0</v>
      </c>
      <c r="AP3160" s="3">
        <v>0</v>
      </c>
      <c r="AQ3160" s="3">
        <v>15</v>
      </c>
      <c r="AR3160" s="3">
        <v>0</v>
      </c>
      <c r="AS3160" s="3">
        <v>0</v>
      </c>
      <c r="AT3160" s="3">
        <v>0</v>
      </c>
      <c r="AU3160" s="3">
        <v>0</v>
      </c>
      <c r="AV3160" s="3">
        <v>0</v>
      </c>
      <c r="AW3160" s="3">
        <v>0</v>
      </c>
      <c r="AX3160" s="3">
        <v>0</v>
      </c>
      <c r="AY3160" s="3">
        <v>0</v>
      </c>
      <c r="AZ3160" s="3">
        <v>0</v>
      </c>
      <c r="BA3160" s="3">
        <v>0</v>
      </c>
      <c r="BB3160" s="3">
        <v>0</v>
      </c>
      <c r="BC3160" s="3">
        <v>0</v>
      </c>
      <c r="BD3160" s="3">
        <v>0</v>
      </c>
      <c r="BE3160" s="3">
        <v>0</v>
      </c>
      <c r="BF3160" s="3">
        <v>0</v>
      </c>
      <c r="BG3160" s="3">
        <v>0</v>
      </c>
      <c r="BH3160" s="3">
        <v>1</v>
      </c>
      <c r="BI3160" s="3">
        <v>1</v>
      </c>
      <c r="BJ3160" s="3">
        <v>0.2</v>
      </c>
      <c r="BK3160" s="3">
        <v>1</v>
      </c>
      <c r="BL3160" s="3">
        <v>129.31</v>
      </c>
      <c r="BM3160" s="3">
        <v>19.399999999999999</v>
      </c>
      <c r="BN3160" s="3">
        <v>148.71</v>
      </c>
      <c r="BO3160" s="3">
        <v>148.71</v>
      </c>
      <c r="BQ3160" s="3" t="s">
        <v>1283</v>
      </c>
      <c r="BR3160" s="3" t="s">
        <v>364</v>
      </c>
      <c r="BS3160" s="4">
        <v>44571</v>
      </c>
      <c r="BT3160" s="5">
        <v>0.65</v>
      </c>
      <c r="BU3160" s="3" t="s">
        <v>752</v>
      </c>
      <c r="BV3160" s="3" t="s">
        <v>105</v>
      </c>
      <c r="BY3160" s="3">
        <v>1200</v>
      </c>
      <c r="BZ3160" s="3" t="s">
        <v>446</v>
      </c>
      <c r="CA3160" s="3" t="s">
        <v>1183</v>
      </c>
      <c r="CC3160" s="3" t="s">
        <v>1180</v>
      </c>
      <c r="CD3160" s="3">
        <v>208</v>
      </c>
      <c r="CE3160" s="3" t="s">
        <v>93</v>
      </c>
      <c r="CF3160" s="4">
        <v>44580</v>
      </c>
      <c r="CI3160" s="3">
        <v>1</v>
      </c>
      <c r="CJ3160" s="3">
        <v>1</v>
      </c>
      <c r="CK3160" s="3">
        <v>23</v>
      </c>
      <c r="CL3160" s="3" t="s">
        <v>87</v>
      </c>
    </row>
    <row r="3161" spans="1:90" x14ac:dyDescent="0.2">
      <c r="A3161" s="3" t="s">
        <v>72</v>
      </c>
      <c r="B3161" s="3" t="s">
        <v>73</v>
      </c>
      <c r="C3161" s="3" t="s">
        <v>74</v>
      </c>
      <c r="E3161" s="3" t="str">
        <f>"FES1162844199"</f>
        <v>FES1162844199</v>
      </c>
      <c r="F3161" s="4">
        <v>44568</v>
      </c>
      <c r="G3161" s="3">
        <v>202207</v>
      </c>
      <c r="H3161" s="3" t="s">
        <v>75</v>
      </c>
      <c r="I3161" s="3" t="s">
        <v>76</v>
      </c>
      <c r="J3161" s="3" t="s">
        <v>77</v>
      </c>
      <c r="K3161" s="3" t="s">
        <v>78</v>
      </c>
      <c r="L3161" s="3" t="s">
        <v>101</v>
      </c>
      <c r="M3161" s="3" t="s">
        <v>102</v>
      </c>
      <c r="N3161" s="3" t="s">
        <v>1463</v>
      </c>
      <c r="O3161" s="3" t="s">
        <v>82</v>
      </c>
      <c r="P3161" s="3" t="str">
        <f>"2170815945                    "</f>
        <v xml:space="preserve">2170815945                    </v>
      </c>
      <c r="Q3161" s="3">
        <v>0</v>
      </c>
      <c r="R3161" s="3">
        <v>0</v>
      </c>
      <c r="S3161" s="3">
        <v>0</v>
      </c>
      <c r="T3161" s="3">
        <v>0</v>
      </c>
      <c r="U3161" s="3">
        <v>0</v>
      </c>
      <c r="V3161" s="3">
        <v>0</v>
      </c>
      <c r="W3161" s="3">
        <v>0</v>
      </c>
      <c r="X3161" s="3">
        <v>0</v>
      </c>
      <c r="Y3161" s="3">
        <v>0</v>
      </c>
      <c r="Z3161" s="3">
        <v>0</v>
      </c>
      <c r="AA3161" s="3">
        <v>0</v>
      </c>
      <c r="AB3161" s="3">
        <v>0</v>
      </c>
      <c r="AC3161" s="3">
        <v>0</v>
      </c>
      <c r="AD3161" s="3">
        <v>0</v>
      </c>
      <c r="AE3161" s="3">
        <v>0</v>
      </c>
      <c r="AF3161" s="3">
        <v>0</v>
      </c>
      <c r="AG3161" s="3">
        <v>0</v>
      </c>
      <c r="AH3161" s="3">
        <v>0</v>
      </c>
      <c r="AI3161" s="3">
        <v>0</v>
      </c>
      <c r="AJ3161" s="3">
        <v>0</v>
      </c>
      <c r="AK3161" s="3">
        <v>15.46</v>
      </c>
      <c r="AL3161" s="3">
        <v>0</v>
      </c>
      <c r="AM3161" s="3">
        <v>0</v>
      </c>
      <c r="AN3161" s="3">
        <v>0</v>
      </c>
      <c r="AO3161" s="3">
        <v>0</v>
      </c>
      <c r="AP3161" s="3">
        <v>0</v>
      </c>
      <c r="AQ3161" s="3">
        <v>0</v>
      </c>
      <c r="AR3161" s="3">
        <v>0</v>
      </c>
      <c r="AS3161" s="3">
        <v>0</v>
      </c>
      <c r="AT3161" s="3">
        <v>0</v>
      </c>
      <c r="AU3161" s="3">
        <v>0</v>
      </c>
      <c r="AV3161" s="3">
        <v>0</v>
      </c>
      <c r="AW3161" s="3">
        <v>0</v>
      </c>
      <c r="AX3161" s="3">
        <v>0</v>
      </c>
      <c r="AY3161" s="3">
        <v>0</v>
      </c>
      <c r="AZ3161" s="3">
        <v>0</v>
      </c>
      <c r="BA3161" s="3">
        <v>0</v>
      </c>
      <c r="BB3161" s="3">
        <v>0</v>
      </c>
      <c r="BC3161" s="3">
        <v>0</v>
      </c>
      <c r="BD3161" s="3">
        <v>0</v>
      </c>
      <c r="BE3161" s="3">
        <v>0</v>
      </c>
      <c r="BF3161" s="3">
        <v>0</v>
      </c>
      <c r="BG3161" s="3">
        <v>0</v>
      </c>
      <c r="BH3161" s="3">
        <v>1</v>
      </c>
      <c r="BI3161" s="3">
        <v>1</v>
      </c>
      <c r="BJ3161" s="3">
        <v>0.2</v>
      </c>
      <c r="BK3161" s="3">
        <v>1</v>
      </c>
      <c r="BL3161" s="3">
        <v>59</v>
      </c>
      <c r="BM3161" s="3">
        <v>8.85</v>
      </c>
      <c r="BN3161" s="3">
        <v>67.849999999999994</v>
      </c>
      <c r="BO3161" s="3">
        <v>67.849999999999994</v>
      </c>
      <c r="BQ3161" s="3" t="s">
        <v>1464</v>
      </c>
      <c r="BR3161" s="3" t="s">
        <v>364</v>
      </c>
      <c r="BS3161" s="4">
        <v>44571</v>
      </c>
      <c r="BT3161" s="5">
        <v>0.43333333333333335</v>
      </c>
      <c r="BU3161" s="3" t="s">
        <v>2861</v>
      </c>
      <c r="BV3161" s="3" t="s">
        <v>105</v>
      </c>
      <c r="BY3161" s="3">
        <v>1200</v>
      </c>
      <c r="BZ3161" s="3" t="s">
        <v>165</v>
      </c>
      <c r="CA3161" s="3" t="s">
        <v>343</v>
      </c>
      <c r="CC3161" s="3" t="s">
        <v>102</v>
      </c>
      <c r="CD3161" s="3">
        <v>4001</v>
      </c>
      <c r="CE3161" s="3" t="s">
        <v>93</v>
      </c>
      <c r="CF3161" s="4">
        <v>44571</v>
      </c>
      <c r="CI3161" s="3">
        <v>1</v>
      </c>
      <c r="CJ3161" s="3">
        <v>1</v>
      </c>
      <c r="CK3161" s="3">
        <v>21</v>
      </c>
      <c r="CL3161" s="3" t="s">
        <v>87</v>
      </c>
    </row>
    <row r="3162" spans="1:90" x14ac:dyDescent="0.2">
      <c r="A3162" s="3" t="s">
        <v>72</v>
      </c>
      <c r="B3162" s="3" t="s">
        <v>73</v>
      </c>
      <c r="C3162" s="3" t="s">
        <v>74</v>
      </c>
      <c r="E3162" s="3" t="str">
        <f>"FES1162843907"</f>
        <v>FES1162843907</v>
      </c>
      <c r="F3162" s="4">
        <v>44568</v>
      </c>
      <c r="G3162" s="3">
        <v>202207</v>
      </c>
      <c r="H3162" s="3" t="s">
        <v>75</v>
      </c>
      <c r="I3162" s="3" t="s">
        <v>76</v>
      </c>
      <c r="J3162" s="3" t="s">
        <v>77</v>
      </c>
      <c r="K3162" s="3" t="s">
        <v>78</v>
      </c>
      <c r="L3162" s="3" t="s">
        <v>101</v>
      </c>
      <c r="M3162" s="3" t="s">
        <v>102</v>
      </c>
      <c r="N3162" s="3" t="s">
        <v>340</v>
      </c>
      <c r="O3162" s="3" t="s">
        <v>82</v>
      </c>
      <c r="P3162" s="3" t="str">
        <f>"2170808910                    "</f>
        <v xml:space="preserve">2170808910                    </v>
      </c>
      <c r="Q3162" s="3">
        <v>0</v>
      </c>
      <c r="R3162" s="3">
        <v>0</v>
      </c>
      <c r="S3162" s="3">
        <v>0</v>
      </c>
      <c r="T3162" s="3">
        <v>0</v>
      </c>
      <c r="U3162" s="3">
        <v>0</v>
      </c>
      <c r="V3162" s="3">
        <v>0</v>
      </c>
      <c r="W3162" s="3">
        <v>0</v>
      </c>
      <c r="X3162" s="3">
        <v>0</v>
      </c>
      <c r="Y3162" s="3">
        <v>0</v>
      </c>
      <c r="Z3162" s="3">
        <v>0</v>
      </c>
      <c r="AA3162" s="3">
        <v>0</v>
      </c>
      <c r="AB3162" s="3">
        <v>0</v>
      </c>
      <c r="AC3162" s="3">
        <v>0</v>
      </c>
      <c r="AD3162" s="3">
        <v>0</v>
      </c>
      <c r="AE3162" s="3">
        <v>0</v>
      </c>
      <c r="AF3162" s="3">
        <v>0</v>
      </c>
      <c r="AG3162" s="3">
        <v>0</v>
      </c>
      <c r="AH3162" s="3">
        <v>0</v>
      </c>
      <c r="AI3162" s="3">
        <v>0</v>
      </c>
      <c r="AJ3162" s="3">
        <v>0</v>
      </c>
      <c r="AK3162" s="3">
        <v>15.46</v>
      </c>
      <c r="AL3162" s="3">
        <v>0</v>
      </c>
      <c r="AM3162" s="3">
        <v>0</v>
      </c>
      <c r="AN3162" s="3">
        <v>0</v>
      </c>
      <c r="AO3162" s="3">
        <v>0</v>
      </c>
      <c r="AP3162" s="3">
        <v>0</v>
      </c>
      <c r="AQ3162" s="3">
        <v>0</v>
      </c>
      <c r="AR3162" s="3">
        <v>0</v>
      </c>
      <c r="AS3162" s="3">
        <v>0</v>
      </c>
      <c r="AT3162" s="3">
        <v>0</v>
      </c>
      <c r="AU3162" s="3">
        <v>0</v>
      </c>
      <c r="AV3162" s="3">
        <v>0</v>
      </c>
      <c r="AW3162" s="3">
        <v>0</v>
      </c>
      <c r="AX3162" s="3">
        <v>0</v>
      </c>
      <c r="AY3162" s="3">
        <v>0</v>
      </c>
      <c r="AZ3162" s="3">
        <v>0</v>
      </c>
      <c r="BA3162" s="3">
        <v>0</v>
      </c>
      <c r="BB3162" s="3">
        <v>0</v>
      </c>
      <c r="BC3162" s="3">
        <v>0</v>
      </c>
      <c r="BD3162" s="3">
        <v>0</v>
      </c>
      <c r="BE3162" s="3">
        <v>0</v>
      </c>
      <c r="BF3162" s="3">
        <v>0</v>
      </c>
      <c r="BG3162" s="3">
        <v>0</v>
      </c>
      <c r="BH3162" s="3">
        <v>1</v>
      </c>
      <c r="BI3162" s="3">
        <v>1</v>
      </c>
      <c r="BJ3162" s="3">
        <v>0.2</v>
      </c>
      <c r="BK3162" s="3">
        <v>1</v>
      </c>
      <c r="BL3162" s="3">
        <v>59</v>
      </c>
      <c r="BM3162" s="3">
        <v>8.85</v>
      </c>
      <c r="BN3162" s="3">
        <v>67.849999999999994</v>
      </c>
      <c r="BO3162" s="3">
        <v>67.849999999999994</v>
      </c>
      <c r="BQ3162" s="3" t="s">
        <v>341</v>
      </c>
      <c r="BR3162" s="3" t="s">
        <v>364</v>
      </c>
      <c r="BS3162" s="4">
        <v>44571</v>
      </c>
      <c r="BT3162" s="5">
        <v>0.35625000000000001</v>
      </c>
      <c r="BU3162" s="3" t="s">
        <v>342</v>
      </c>
      <c r="BV3162" s="3" t="s">
        <v>105</v>
      </c>
      <c r="BY3162" s="3">
        <v>1200</v>
      </c>
      <c r="BZ3162" s="3" t="s">
        <v>165</v>
      </c>
      <c r="CA3162" s="3" t="s">
        <v>343</v>
      </c>
      <c r="CC3162" s="3" t="s">
        <v>102</v>
      </c>
      <c r="CD3162" s="3">
        <v>4001</v>
      </c>
      <c r="CE3162" s="3" t="s">
        <v>93</v>
      </c>
      <c r="CF3162" s="4">
        <v>44571</v>
      </c>
      <c r="CI3162" s="3">
        <v>1</v>
      </c>
      <c r="CJ3162" s="3">
        <v>1</v>
      </c>
      <c r="CK3162" s="3">
        <v>21</v>
      </c>
      <c r="CL3162" s="3" t="s">
        <v>87</v>
      </c>
    </row>
    <row r="3163" spans="1:90" x14ac:dyDescent="0.2">
      <c r="A3163" s="3" t="s">
        <v>72</v>
      </c>
      <c r="B3163" s="3" t="s">
        <v>73</v>
      </c>
      <c r="C3163" s="3" t="s">
        <v>74</v>
      </c>
      <c r="E3163" s="3" t="str">
        <f>"FES1162844165"</f>
        <v>FES1162844165</v>
      </c>
      <c r="F3163" s="4">
        <v>44568</v>
      </c>
      <c r="G3163" s="3">
        <v>202207</v>
      </c>
      <c r="H3163" s="3" t="s">
        <v>75</v>
      </c>
      <c r="I3163" s="3" t="s">
        <v>76</v>
      </c>
      <c r="J3163" s="3" t="s">
        <v>77</v>
      </c>
      <c r="K3163" s="3" t="s">
        <v>78</v>
      </c>
      <c r="L3163" s="3" t="s">
        <v>101</v>
      </c>
      <c r="M3163" s="3" t="s">
        <v>102</v>
      </c>
      <c r="N3163" s="3" t="s">
        <v>272</v>
      </c>
      <c r="O3163" s="3" t="s">
        <v>82</v>
      </c>
      <c r="P3163" s="3" t="str">
        <f>"2170810312                    "</f>
        <v xml:space="preserve">2170810312                    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  <c r="AE3163" s="3">
        <v>0</v>
      </c>
      <c r="AF3163" s="3">
        <v>0</v>
      </c>
      <c r="AG3163" s="3">
        <v>0</v>
      </c>
      <c r="AH3163" s="3">
        <v>0</v>
      </c>
      <c r="AI3163" s="3">
        <v>0</v>
      </c>
      <c r="AJ3163" s="3">
        <v>0</v>
      </c>
      <c r="AK3163" s="3">
        <v>15.46</v>
      </c>
      <c r="AL3163" s="3">
        <v>0</v>
      </c>
      <c r="AM3163" s="3">
        <v>0</v>
      </c>
      <c r="AN3163" s="3">
        <v>0</v>
      </c>
      <c r="AO3163" s="3">
        <v>0</v>
      </c>
      <c r="AP3163" s="3">
        <v>0</v>
      </c>
      <c r="AQ3163" s="3">
        <v>0</v>
      </c>
      <c r="AR3163" s="3">
        <v>0</v>
      </c>
      <c r="AS3163" s="3">
        <v>0</v>
      </c>
      <c r="AT3163" s="3">
        <v>0</v>
      </c>
      <c r="AU3163" s="3">
        <v>0</v>
      </c>
      <c r="AV3163" s="3">
        <v>0</v>
      </c>
      <c r="AW3163" s="3">
        <v>0</v>
      </c>
      <c r="AX3163" s="3">
        <v>0</v>
      </c>
      <c r="AY3163" s="3">
        <v>0</v>
      </c>
      <c r="AZ3163" s="3">
        <v>0</v>
      </c>
      <c r="BA3163" s="3">
        <v>0</v>
      </c>
      <c r="BB3163" s="3">
        <v>0</v>
      </c>
      <c r="BC3163" s="3">
        <v>0</v>
      </c>
      <c r="BD3163" s="3">
        <v>0</v>
      </c>
      <c r="BE3163" s="3">
        <v>0</v>
      </c>
      <c r="BF3163" s="3">
        <v>0</v>
      </c>
      <c r="BG3163" s="3">
        <v>0</v>
      </c>
      <c r="BH3163" s="3">
        <v>1</v>
      </c>
      <c r="BI3163" s="3">
        <v>1</v>
      </c>
      <c r="BJ3163" s="3">
        <v>0.2</v>
      </c>
      <c r="BK3163" s="3">
        <v>1</v>
      </c>
      <c r="BL3163" s="3">
        <v>59</v>
      </c>
      <c r="BM3163" s="3">
        <v>8.85</v>
      </c>
      <c r="BN3163" s="3">
        <v>67.849999999999994</v>
      </c>
      <c r="BO3163" s="3">
        <v>67.849999999999994</v>
      </c>
      <c r="BQ3163" s="3" t="s">
        <v>273</v>
      </c>
      <c r="BR3163" s="3" t="s">
        <v>364</v>
      </c>
      <c r="BS3163" s="4">
        <v>44571</v>
      </c>
      <c r="BT3163" s="5">
        <v>0.35347222222222219</v>
      </c>
      <c r="BU3163" s="3" t="s">
        <v>274</v>
      </c>
      <c r="BV3163" s="3" t="s">
        <v>105</v>
      </c>
      <c r="BY3163" s="3">
        <v>1200</v>
      </c>
      <c r="BZ3163" s="3" t="s">
        <v>165</v>
      </c>
      <c r="CA3163" s="3" t="s">
        <v>275</v>
      </c>
      <c r="CC3163" s="3" t="s">
        <v>102</v>
      </c>
      <c r="CD3163" s="3">
        <v>4000</v>
      </c>
      <c r="CE3163" s="3" t="s">
        <v>93</v>
      </c>
      <c r="CF3163" s="4">
        <v>44571</v>
      </c>
      <c r="CI3163" s="3">
        <v>1</v>
      </c>
      <c r="CJ3163" s="3">
        <v>1</v>
      </c>
      <c r="CK3163" s="3">
        <v>21</v>
      </c>
      <c r="CL3163" s="3" t="s">
        <v>87</v>
      </c>
    </row>
    <row r="3164" spans="1:90" x14ac:dyDescent="0.2">
      <c r="A3164" s="3" t="s">
        <v>72</v>
      </c>
      <c r="B3164" s="3" t="s">
        <v>73</v>
      </c>
      <c r="C3164" s="3" t="s">
        <v>74</v>
      </c>
      <c r="E3164" s="3" t="str">
        <f>"FES1162844200"</f>
        <v>FES1162844200</v>
      </c>
      <c r="F3164" s="4">
        <v>44568</v>
      </c>
      <c r="G3164" s="3">
        <v>202207</v>
      </c>
      <c r="H3164" s="3" t="s">
        <v>75</v>
      </c>
      <c r="I3164" s="3" t="s">
        <v>76</v>
      </c>
      <c r="J3164" s="3" t="s">
        <v>77</v>
      </c>
      <c r="K3164" s="3" t="s">
        <v>78</v>
      </c>
      <c r="L3164" s="3" t="s">
        <v>176</v>
      </c>
      <c r="M3164" s="3" t="s">
        <v>177</v>
      </c>
      <c r="N3164" s="3" t="s">
        <v>178</v>
      </c>
      <c r="O3164" s="3" t="s">
        <v>82</v>
      </c>
      <c r="P3164" s="3" t="str">
        <f>"2170815947                    "</f>
        <v xml:space="preserve">2170815947                    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  <c r="AE3164" s="3">
        <v>0</v>
      </c>
      <c r="AF3164" s="3">
        <v>0</v>
      </c>
      <c r="AG3164" s="3">
        <v>0</v>
      </c>
      <c r="AH3164" s="3">
        <v>0</v>
      </c>
      <c r="AI3164" s="3">
        <v>0</v>
      </c>
      <c r="AJ3164" s="3">
        <v>0</v>
      </c>
      <c r="AK3164" s="3">
        <v>15.46</v>
      </c>
      <c r="AL3164" s="3">
        <v>0</v>
      </c>
      <c r="AM3164" s="3">
        <v>0</v>
      </c>
      <c r="AN3164" s="3">
        <v>0</v>
      </c>
      <c r="AO3164" s="3">
        <v>0</v>
      </c>
      <c r="AP3164" s="3">
        <v>0</v>
      </c>
      <c r="AQ3164" s="3">
        <v>0</v>
      </c>
      <c r="AR3164" s="3">
        <v>0</v>
      </c>
      <c r="AS3164" s="3">
        <v>0</v>
      </c>
      <c r="AT3164" s="3">
        <v>0</v>
      </c>
      <c r="AU3164" s="3">
        <v>0</v>
      </c>
      <c r="AV3164" s="3">
        <v>0</v>
      </c>
      <c r="AW3164" s="3">
        <v>0</v>
      </c>
      <c r="AX3164" s="3">
        <v>0</v>
      </c>
      <c r="AY3164" s="3">
        <v>0</v>
      </c>
      <c r="AZ3164" s="3">
        <v>0</v>
      </c>
      <c r="BA3164" s="3">
        <v>0</v>
      </c>
      <c r="BB3164" s="3">
        <v>0</v>
      </c>
      <c r="BC3164" s="3">
        <v>0</v>
      </c>
      <c r="BD3164" s="3">
        <v>0</v>
      </c>
      <c r="BE3164" s="3">
        <v>0</v>
      </c>
      <c r="BF3164" s="3">
        <v>0</v>
      </c>
      <c r="BG3164" s="3">
        <v>0</v>
      </c>
      <c r="BH3164" s="3">
        <v>1</v>
      </c>
      <c r="BI3164" s="3">
        <v>1</v>
      </c>
      <c r="BJ3164" s="3">
        <v>0.2</v>
      </c>
      <c r="BK3164" s="3">
        <v>1</v>
      </c>
      <c r="BL3164" s="3">
        <v>59</v>
      </c>
      <c r="BM3164" s="3">
        <v>8.85</v>
      </c>
      <c r="BN3164" s="3">
        <v>67.849999999999994</v>
      </c>
      <c r="BO3164" s="3">
        <v>67.849999999999994</v>
      </c>
      <c r="BQ3164" s="3" t="s">
        <v>83</v>
      </c>
      <c r="BR3164" s="3" t="s">
        <v>364</v>
      </c>
      <c r="BS3164" s="4">
        <v>44571</v>
      </c>
      <c r="BT3164" s="5">
        <v>0.38750000000000001</v>
      </c>
      <c r="BU3164" s="3" t="s">
        <v>1398</v>
      </c>
      <c r="BV3164" s="3" t="s">
        <v>105</v>
      </c>
      <c r="BY3164" s="3">
        <v>1200</v>
      </c>
      <c r="BZ3164" s="3" t="s">
        <v>165</v>
      </c>
      <c r="CA3164" s="3" t="s">
        <v>528</v>
      </c>
      <c r="CC3164" s="3" t="s">
        <v>177</v>
      </c>
      <c r="CD3164" s="3">
        <v>4026</v>
      </c>
      <c r="CE3164" s="3" t="s">
        <v>93</v>
      </c>
      <c r="CF3164" s="4">
        <v>44571</v>
      </c>
      <c r="CI3164" s="3">
        <v>1</v>
      </c>
      <c r="CJ3164" s="3">
        <v>1</v>
      </c>
      <c r="CK3164" s="3">
        <v>21</v>
      </c>
      <c r="CL3164" s="3" t="s">
        <v>87</v>
      </c>
    </row>
    <row r="3165" spans="1:90" x14ac:dyDescent="0.2">
      <c r="A3165" s="3" t="s">
        <v>72</v>
      </c>
      <c r="B3165" s="3" t="s">
        <v>73</v>
      </c>
      <c r="C3165" s="3" t="s">
        <v>74</v>
      </c>
      <c r="E3165" s="3" t="str">
        <f>"FES1162844171"</f>
        <v>FES1162844171</v>
      </c>
      <c r="F3165" s="4">
        <v>44568</v>
      </c>
      <c r="G3165" s="3">
        <v>202207</v>
      </c>
      <c r="H3165" s="3" t="s">
        <v>75</v>
      </c>
      <c r="I3165" s="3" t="s">
        <v>76</v>
      </c>
      <c r="J3165" s="3" t="s">
        <v>77</v>
      </c>
      <c r="K3165" s="3" t="s">
        <v>78</v>
      </c>
      <c r="L3165" s="3" t="s">
        <v>101</v>
      </c>
      <c r="M3165" s="3" t="s">
        <v>102</v>
      </c>
      <c r="N3165" s="3" t="s">
        <v>272</v>
      </c>
      <c r="O3165" s="3" t="s">
        <v>82</v>
      </c>
      <c r="P3165" s="3" t="str">
        <f>"2170813663                    "</f>
        <v xml:space="preserve">2170813663                    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  <c r="AE3165" s="3">
        <v>0</v>
      </c>
      <c r="AF3165" s="3">
        <v>0</v>
      </c>
      <c r="AG3165" s="3">
        <v>0</v>
      </c>
      <c r="AH3165" s="3">
        <v>0</v>
      </c>
      <c r="AI3165" s="3">
        <v>0</v>
      </c>
      <c r="AJ3165" s="3">
        <v>0</v>
      </c>
      <c r="AK3165" s="3">
        <v>15.46</v>
      </c>
      <c r="AL3165" s="3">
        <v>0</v>
      </c>
      <c r="AM3165" s="3">
        <v>0</v>
      </c>
      <c r="AN3165" s="3">
        <v>0</v>
      </c>
      <c r="AO3165" s="3">
        <v>0</v>
      </c>
      <c r="AP3165" s="3">
        <v>0</v>
      </c>
      <c r="AQ3165" s="3">
        <v>0</v>
      </c>
      <c r="AR3165" s="3">
        <v>0</v>
      </c>
      <c r="AS3165" s="3">
        <v>0</v>
      </c>
      <c r="AT3165" s="3">
        <v>0</v>
      </c>
      <c r="AU3165" s="3">
        <v>0</v>
      </c>
      <c r="AV3165" s="3">
        <v>0</v>
      </c>
      <c r="AW3165" s="3">
        <v>0</v>
      </c>
      <c r="AX3165" s="3">
        <v>0</v>
      </c>
      <c r="AY3165" s="3">
        <v>0</v>
      </c>
      <c r="AZ3165" s="3">
        <v>0</v>
      </c>
      <c r="BA3165" s="3">
        <v>0</v>
      </c>
      <c r="BB3165" s="3">
        <v>0</v>
      </c>
      <c r="BC3165" s="3">
        <v>0</v>
      </c>
      <c r="BD3165" s="3">
        <v>0</v>
      </c>
      <c r="BE3165" s="3">
        <v>0</v>
      </c>
      <c r="BF3165" s="3">
        <v>0</v>
      </c>
      <c r="BG3165" s="3">
        <v>0</v>
      </c>
      <c r="BH3165" s="3">
        <v>1</v>
      </c>
      <c r="BI3165" s="3">
        <v>1</v>
      </c>
      <c r="BJ3165" s="3">
        <v>0.2</v>
      </c>
      <c r="BK3165" s="3">
        <v>1</v>
      </c>
      <c r="BL3165" s="3">
        <v>59</v>
      </c>
      <c r="BM3165" s="3">
        <v>8.85</v>
      </c>
      <c r="BN3165" s="3">
        <v>67.849999999999994</v>
      </c>
      <c r="BO3165" s="3">
        <v>67.849999999999994</v>
      </c>
      <c r="BQ3165" s="3" t="s">
        <v>273</v>
      </c>
      <c r="BR3165" s="3" t="s">
        <v>364</v>
      </c>
      <c r="BS3165" s="4">
        <v>44571</v>
      </c>
      <c r="BT3165" s="5">
        <v>0.35347222222222219</v>
      </c>
      <c r="BU3165" s="3" t="s">
        <v>274</v>
      </c>
      <c r="BV3165" s="3" t="s">
        <v>105</v>
      </c>
      <c r="BY3165" s="3">
        <v>1200</v>
      </c>
      <c r="BZ3165" s="3" t="s">
        <v>165</v>
      </c>
      <c r="CA3165" s="3" t="s">
        <v>275</v>
      </c>
      <c r="CC3165" s="3" t="s">
        <v>102</v>
      </c>
      <c r="CD3165" s="3">
        <v>4000</v>
      </c>
      <c r="CE3165" s="3" t="s">
        <v>93</v>
      </c>
      <c r="CF3165" s="4">
        <v>44571</v>
      </c>
      <c r="CI3165" s="3">
        <v>1</v>
      </c>
      <c r="CJ3165" s="3">
        <v>1</v>
      </c>
      <c r="CK3165" s="3">
        <v>21</v>
      </c>
      <c r="CL3165" s="3" t="s">
        <v>87</v>
      </c>
    </row>
    <row r="3166" spans="1:90" x14ac:dyDescent="0.2">
      <c r="A3166" s="3" t="s">
        <v>72</v>
      </c>
      <c r="B3166" s="3" t="s">
        <v>73</v>
      </c>
      <c r="C3166" s="3" t="s">
        <v>74</v>
      </c>
      <c r="E3166" s="3" t="str">
        <f>"FES1162844146"</f>
        <v>FES1162844146</v>
      </c>
      <c r="F3166" s="4">
        <v>44568</v>
      </c>
      <c r="G3166" s="3">
        <v>202207</v>
      </c>
      <c r="H3166" s="3" t="s">
        <v>75</v>
      </c>
      <c r="I3166" s="3" t="s">
        <v>76</v>
      </c>
      <c r="J3166" s="3" t="s">
        <v>77</v>
      </c>
      <c r="K3166" s="3" t="s">
        <v>78</v>
      </c>
      <c r="L3166" s="3" t="s">
        <v>716</v>
      </c>
      <c r="M3166" s="3" t="s">
        <v>717</v>
      </c>
      <c r="N3166" s="3" t="s">
        <v>718</v>
      </c>
      <c r="O3166" s="3" t="s">
        <v>82</v>
      </c>
      <c r="P3166" s="3" t="str">
        <f>"2170814965                    "</f>
        <v xml:space="preserve">2170814965                    </v>
      </c>
      <c r="Q3166" s="3">
        <v>0</v>
      </c>
      <c r="R3166" s="3">
        <v>0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  <c r="AE3166" s="3">
        <v>0</v>
      </c>
      <c r="AF3166" s="3">
        <v>0</v>
      </c>
      <c r="AG3166" s="3">
        <v>0</v>
      </c>
      <c r="AH3166" s="3">
        <v>0</v>
      </c>
      <c r="AI3166" s="3">
        <v>0</v>
      </c>
      <c r="AJ3166" s="3">
        <v>0</v>
      </c>
      <c r="AK3166" s="3">
        <v>29.95</v>
      </c>
      <c r="AL3166" s="3">
        <v>0</v>
      </c>
      <c r="AM3166" s="3">
        <v>0</v>
      </c>
      <c r="AN3166" s="3">
        <v>0</v>
      </c>
      <c r="AO3166" s="3">
        <v>0</v>
      </c>
      <c r="AP3166" s="3">
        <v>0</v>
      </c>
      <c r="AQ3166" s="3">
        <v>0</v>
      </c>
      <c r="AR3166" s="3">
        <v>0</v>
      </c>
      <c r="AS3166" s="3">
        <v>0</v>
      </c>
      <c r="AT3166" s="3">
        <v>0</v>
      </c>
      <c r="AU3166" s="3">
        <v>0</v>
      </c>
      <c r="AV3166" s="3">
        <v>0</v>
      </c>
      <c r="AW3166" s="3">
        <v>0</v>
      </c>
      <c r="AX3166" s="3">
        <v>0</v>
      </c>
      <c r="AY3166" s="3">
        <v>0</v>
      </c>
      <c r="AZ3166" s="3">
        <v>0</v>
      </c>
      <c r="BA3166" s="3">
        <v>0</v>
      </c>
      <c r="BB3166" s="3">
        <v>0</v>
      </c>
      <c r="BC3166" s="3">
        <v>0</v>
      </c>
      <c r="BD3166" s="3">
        <v>0</v>
      </c>
      <c r="BE3166" s="3">
        <v>0</v>
      </c>
      <c r="BF3166" s="3">
        <v>0</v>
      </c>
      <c r="BG3166" s="3">
        <v>0</v>
      </c>
      <c r="BH3166" s="3">
        <v>1</v>
      </c>
      <c r="BI3166" s="3">
        <v>1</v>
      </c>
      <c r="BJ3166" s="3">
        <v>0.2</v>
      </c>
      <c r="BK3166" s="3">
        <v>1</v>
      </c>
      <c r="BL3166" s="3">
        <v>114.31</v>
      </c>
      <c r="BM3166" s="3">
        <v>17.149999999999999</v>
      </c>
      <c r="BN3166" s="3">
        <v>131.46</v>
      </c>
      <c r="BO3166" s="3">
        <v>131.46</v>
      </c>
      <c r="BQ3166" s="3" t="s">
        <v>89</v>
      </c>
      <c r="BR3166" s="3" t="s">
        <v>364</v>
      </c>
      <c r="BS3166" s="4">
        <v>44571</v>
      </c>
      <c r="BT3166" s="5">
        <v>0.59097222222222223</v>
      </c>
      <c r="BU3166" s="3" t="s">
        <v>2662</v>
      </c>
      <c r="BV3166" s="3" t="s">
        <v>105</v>
      </c>
      <c r="BY3166" s="3">
        <v>1200</v>
      </c>
      <c r="BZ3166" s="3" t="s">
        <v>165</v>
      </c>
      <c r="CA3166" s="3" t="s">
        <v>720</v>
      </c>
      <c r="CC3166" s="3" t="s">
        <v>717</v>
      </c>
      <c r="CD3166" s="3">
        <v>1028</v>
      </c>
      <c r="CE3166" s="3" t="s">
        <v>93</v>
      </c>
      <c r="CF3166" s="4">
        <v>44571</v>
      </c>
      <c r="CI3166" s="3">
        <v>1</v>
      </c>
      <c r="CJ3166" s="3">
        <v>1</v>
      </c>
      <c r="CK3166" s="3">
        <v>23</v>
      </c>
      <c r="CL3166" s="3" t="s">
        <v>87</v>
      </c>
    </row>
    <row r="3167" spans="1:90" x14ac:dyDescent="0.2">
      <c r="A3167" s="3" t="s">
        <v>72</v>
      </c>
      <c r="B3167" s="3" t="s">
        <v>73</v>
      </c>
      <c r="C3167" s="3" t="s">
        <v>74</v>
      </c>
      <c r="E3167" s="3" t="str">
        <f>"FES1162844152"</f>
        <v>FES1162844152</v>
      </c>
      <c r="F3167" s="4">
        <v>44568</v>
      </c>
      <c r="G3167" s="3">
        <v>202207</v>
      </c>
      <c r="H3167" s="3" t="s">
        <v>75</v>
      </c>
      <c r="I3167" s="3" t="s">
        <v>76</v>
      </c>
      <c r="J3167" s="3" t="s">
        <v>77</v>
      </c>
      <c r="K3167" s="3" t="s">
        <v>78</v>
      </c>
      <c r="L3167" s="3" t="s">
        <v>171</v>
      </c>
      <c r="M3167" s="3" t="s">
        <v>172</v>
      </c>
      <c r="N3167" s="3" t="s">
        <v>200</v>
      </c>
      <c r="O3167" s="3" t="s">
        <v>82</v>
      </c>
      <c r="P3167" s="3" t="str">
        <f>"2170789845                    "</f>
        <v xml:space="preserve">2170789845                    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  <c r="AE3167" s="3">
        <v>0</v>
      </c>
      <c r="AF3167" s="3">
        <v>0</v>
      </c>
      <c r="AG3167" s="3">
        <v>0</v>
      </c>
      <c r="AH3167" s="3">
        <v>0</v>
      </c>
      <c r="AI3167" s="3">
        <v>0</v>
      </c>
      <c r="AJ3167" s="3">
        <v>0</v>
      </c>
      <c r="AK3167" s="3">
        <v>15.46</v>
      </c>
      <c r="AL3167" s="3">
        <v>0</v>
      </c>
      <c r="AM3167" s="3">
        <v>0</v>
      </c>
      <c r="AN3167" s="3">
        <v>0</v>
      </c>
      <c r="AO3167" s="3">
        <v>0</v>
      </c>
      <c r="AP3167" s="3">
        <v>0</v>
      </c>
      <c r="AQ3167" s="3">
        <v>0</v>
      </c>
      <c r="AR3167" s="3">
        <v>0</v>
      </c>
      <c r="AS3167" s="3">
        <v>0</v>
      </c>
      <c r="AT3167" s="3">
        <v>0</v>
      </c>
      <c r="AU3167" s="3">
        <v>0</v>
      </c>
      <c r="AV3167" s="3">
        <v>0</v>
      </c>
      <c r="AW3167" s="3">
        <v>0</v>
      </c>
      <c r="AX3167" s="3">
        <v>0</v>
      </c>
      <c r="AY3167" s="3">
        <v>0</v>
      </c>
      <c r="AZ3167" s="3">
        <v>0</v>
      </c>
      <c r="BA3167" s="3">
        <v>0</v>
      </c>
      <c r="BB3167" s="3">
        <v>0</v>
      </c>
      <c r="BC3167" s="3">
        <v>0</v>
      </c>
      <c r="BD3167" s="3">
        <v>0</v>
      </c>
      <c r="BE3167" s="3">
        <v>0</v>
      </c>
      <c r="BF3167" s="3">
        <v>0</v>
      </c>
      <c r="BG3167" s="3">
        <v>0</v>
      </c>
      <c r="BH3167" s="3">
        <v>1</v>
      </c>
      <c r="BI3167" s="3">
        <v>1</v>
      </c>
      <c r="BJ3167" s="3">
        <v>0.2</v>
      </c>
      <c r="BK3167" s="3">
        <v>1</v>
      </c>
      <c r="BL3167" s="3">
        <v>59</v>
      </c>
      <c r="BM3167" s="3">
        <v>8.85</v>
      </c>
      <c r="BN3167" s="3">
        <v>67.849999999999994</v>
      </c>
      <c r="BO3167" s="3">
        <v>67.849999999999994</v>
      </c>
      <c r="BQ3167" s="3" t="s">
        <v>89</v>
      </c>
      <c r="BR3167" s="3" t="s">
        <v>364</v>
      </c>
      <c r="BS3167" s="4">
        <v>44571</v>
      </c>
      <c r="BT3167" s="5">
        <v>0.33402777777777781</v>
      </c>
      <c r="BU3167" s="3" t="s">
        <v>908</v>
      </c>
      <c r="BV3167" s="3" t="s">
        <v>105</v>
      </c>
      <c r="BY3167" s="3">
        <v>1200</v>
      </c>
      <c r="BZ3167" s="3" t="s">
        <v>165</v>
      </c>
      <c r="CA3167" s="3" t="s">
        <v>814</v>
      </c>
      <c r="CC3167" s="3" t="s">
        <v>172</v>
      </c>
      <c r="CD3167" s="3">
        <v>6001</v>
      </c>
      <c r="CE3167" s="3" t="s">
        <v>93</v>
      </c>
      <c r="CF3167" s="4">
        <v>44571</v>
      </c>
      <c r="CI3167" s="3">
        <v>1</v>
      </c>
      <c r="CJ3167" s="3">
        <v>1</v>
      </c>
      <c r="CK3167" s="3">
        <v>21</v>
      </c>
      <c r="CL3167" s="3" t="s">
        <v>87</v>
      </c>
    </row>
    <row r="3168" spans="1:90" x14ac:dyDescent="0.2">
      <c r="A3168" s="3" t="s">
        <v>72</v>
      </c>
      <c r="B3168" s="3" t="s">
        <v>73</v>
      </c>
      <c r="C3168" s="3" t="s">
        <v>74</v>
      </c>
      <c r="E3168" s="3" t="str">
        <f>"FES1162844136"</f>
        <v>FES1162844136</v>
      </c>
      <c r="F3168" s="4">
        <v>44568</v>
      </c>
      <c r="G3168" s="3">
        <v>202207</v>
      </c>
      <c r="H3168" s="3" t="s">
        <v>75</v>
      </c>
      <c r="I3168" s="3" t="s">
        <v>76</v>
      </c>
      <c r="J3168" s="3" t="s">
        <v>77</v>
      </c>
      <c r="K3168" s="3" t="s">
        <v>78</v>
      </c>
      <c r="L3168" s="3" t="s">
        <v>171</v>
      </c>
      <c r="M3168" s="3" t="s">
        <v>172</v>
      </c>
      <c r="N3168" s="3" t="s">
        <v>329</v>
      </c>
      <c r="O3168" s="3" t="s">
        <v>82</v>
      </c>
      <c r="P3168" s="3" t="str">
        <f>"2170814326                    "</f>
        <v xml:space="preserve">2170814326                    </v>
      </c>
      <c r="Q3168" s="3">
        <v>0</v>
      </c>
      <c r="R3168" s="3">
        <v>0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  <c r="AE3168" s="3">
        <v>0</v>
      </c>
      <c r="AF3168" s="3">
        <v>0</v>
      </c>
      <c r="AG3168" s="3">
        <v>0</v>
      </c>
      <c r="AH3168" s="3">
        <v>0</v>
      </c>
      <c r="AI3168" s="3">
        <v>0</v>
      </c>
      <c r="AJ3168" s="3">
        <v>0</v>
      </c>
      <c r="AK3168" s="3">
        <v>15.46</v>
      </c>
      <c r="AL3168" s="3">
        <v>0</v>
      </c>
      <c r="AM3168" s="3">
        <v>0</v>
      </c>
      <c r="AN3168" s="3">
        <v>0</v>
      </c>
      <c r="AO3168" s="3">
        <v>0</v>
      </c>
      <c r="AP3168" s="3">
        <v>0</v>
      </c>
      <c r="AQ3168" s="3">
        <v>0</v>
      </c>
      <c r="AR3168" s="3">
        <v>0</v>
      </c>
      <c r="AS3168" s="3">
        <v>0</v>
      </c>
      <c r="AT3168" s="3">
        <v>0</v>
      </c>
      <c r="AU3168" s="3">
        <v>0</v>
      </c>
      <c r="AV3168" s="3">
        <v>0</v>
      </c>
      <c r="AW3168" s="3">
        <v>0</v>
      </c>
      <c r="AX3168" s="3">
        <v>0</v>
      </c>
      <c r="AY3168" s="3">
        <v>0</v>
      </c>
      <c r="AZ3168" s="3">
        <v>0</v>
      </c>
      <c r="BA3168" s="3">
        <v>0</v>
      </c>
      <c r="BB3168" s="3">
        <v>0</v>
      </c>
      <c r="BC3168" s="3">
        <v>0</v>
      </c>
      <c r="BD3168" s="3">
        <v>0</v>
      </c>
      <c r="BE3168" s="3">
        <v>0</v>
      </c>
      <c r="BF3168" s="3">
        <v>0</v>
      </c>
      <c r="BG3168" s="3">
        <v>0</v>
      </c>
      <c r="BH3168" s="3">
        <v>1</v>
      </c>
      <c r="BI3168" s="3">
        <v>1</v>
      </c>
      <c r="BJ3168" s="3">
        <v>0.2</v>
      </c>
      <c r="BK3168" s="3">
        <v>1</v>
      </c>
      <c r="BL3168" s="3">
        <v>59</v>
      </c>
      <c r="BM3168" s="3">
        <v>8.85</v>
      </c>
      <c r="BN3168" s="3">
        <v>67.849999999999994</v>
      </c>
      <c r="BO3168" s="3">
        <v>67.849999999999994</v>
      </c>
      <c r="BQ3168" s="3" t="s">
        <v>83</v>
      </c>
      <c r="BR3168" s="3" t="s">
        <v>364</v>
      </c>
      <c r="BS3168" s="4">
        <v>44571</v>
      </c>
      <c r="BT3168" s="5">
        <v>0.3298611111111111</v>
      </c>
      <c r="BU3168" s="3" t="s">
        <v>330</v>
      </c>
      <c r="BV3168" s="3" t="s">
        <v>105</v>
      </c>
      <c r="BY3168" s="3">
        <v>1200</v>
      </c>
      <c r="BZ3168" s="3" t="s">
        <v>165</v>
      </c>
      <c r="CA3168" s="3" t="s">
        <v>331</v>
      </c>
      <c r="CC3168" s="3" t="s">
        <v>172</v>
      </c>
      <c r="CD3168" s="3">
        <v>6001</v>
      </c>
      <c r="CE3168" s="3" t="s">
        <v>93</v>
      </c>
      <c r="CF3168" s="4">
        <v>44585</v>
      </c>
      <c r="CI3168" s="3">
        <v>1</v>
      </c>
      <c r="CJ3168" s="3">
        <v>1</v>
      </c>
      <c r="CK3168" s="3">
        <v>21</v>
      </c>
      <c r="CL3168" s="3" t="s">
        <v>87</v>
      </c>
    </row>
    <row r="3169" spans="1:90" x14ac:dyDescent="0.2">
      <c r="A3169" s="3" t="s">
        <v>72</v>
      </c>
      <c r="B3169" s="3" t="s">
        <v>73</v>
      </c>
      <c r="C3169" s="3" t="s">
        <v>74</v>
      </c>
      <c r="E3169" s="3" t="str">
        <f>"FES1162844067"</f>
        <v>FES1162844067</v>
      </c>
      <c r="F3169" s="4">
        <v>44568</v>
      </c>
      <c r="G3169" s="3">
        <v>202207</v>
      </c>
      <c r="H3169" s="3" t="s">
        <v>75</v>
      </c>
      <c r="I3169" s="3" t="s">
        <v>76</v>
      </c>
      <c r="J3169" s="3" t="s">
        <v>77</v>
      </c>
      <c r="K3169" s="3" t="s">
        <v>78</v>
      </c>
      <c r="L3169" s="3" t="s">
        <v>90</v>
      </c>
      <c r="M3169" s="3" t="s">
        <v>91</v>
      </c>
      <c r="N3169" s="3" t="s">
        <v>132</v>
      </c>
      <c r="O3169" s="3" t="s">
        <v>148</v>
      </c>
      <c r="P3169" s="3" t="str">
        <f>"2170810382                    "</f>
        <v xml:space="preserve">2170810382                    </v>
      </c>
      <c r="Q3169" s="3">
        <v>0</v>
      </c>
      <c r="R3169" s="3">
        <v>0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  <c r="AE3169" s="3">
        <v>0</v>
      </c>
      <c r="AF3169" s="3">
        <v>0</v>
      </c>
      <c r="AG3169" s="3">
        <v>0</v>
      </c>
      <c r="AH3169" s="3">
        <v>0</v>
      </c>
      <c r="AI3169" s="3">
        <v>0</v>
      </c>
      <c r="AJ3169" s="3">
        <v>0</v>
      </c>
      <c r="AK3169" s="3">
        <v>34.82</v>
      </c>
      <c r="AL3169" s="3">
        <v>0</v>
      </c>
      <c r="AM3169" s="3">
        <v>0</v>
      </c>
      <c r="AN3169" s="3">
        <v>0</v>
      </c>
      <c r="AO3169" s="3">
        <v>0</v>
      </c>
      <c r="AP3169" s="3">
        <v>0</v>
      </c>
      <c r="AQ3169" s="3">
        <v>0</v>
      </c>
      <c r="AR3169" s="3">
        <v>0</v>
      </c>
      <c r="AS3169" s="3">
        <v>0</v>
      </c>
      <c r="AT3169" s="3">
        <v>0</v>
      </c>
      <c r="AU3169" s="3">
        <v>0</v>
      </c>
      <c r="AV3169" s="3">
        <v>0</v>
      </c>
      <c r="AW3169" s="3">
        <v>0</v>
      </c>
      <c r="AX3169" s="3">
        <v>0</v>
      </c>
      <c r="AY3169" s="3">
        <v>0</v>
      </c>
      <c r="AZ3169" s="3">
        <v>0</v>
      </c>
      <c r="BA3169" s="3">
        <v>0</v>
      </c>
      <c r="BB3169" s="3">
        <v>0</v>
      </c>
      <c r="BC3169" s="3">
        <v>0</v>
      </c>
      <c r="BD3169" s="3">
        <v>0</v>
      </c>
      <c r="BE3169" s="3">
        <v>0</v>
      </c>
      <c r="BF3169" s="3">
        <v>0</v>
      </c>
      <c r="BG3169" s="3">
        <v>0</v>
      </c>
      <c r="BH3169" s="3">
        <v>4</v>
      </c>
      <c r="BI3169" s="3">
        <v>16</v>
      </c>
      <c r="BJ3169" s="3">
        <v>18.2</v>
      </c>
      <c r="BK3169" s="3">
        <v>19</v>
      </c>
      <c r="BL3169" s="3">
        <v>138.15</v>
      </c>
      <c r="BM3169" s="3">
        <v>20.72</v>
      </c>
      <c r="BN3169" s="3">
        <v>158.87</v>
      </c>
      <c r="BO3169" s="3">
        <v>158.87</v>
      </c>
      <c r="BQ3169" s="3" t="s">
        <v>83</v>
      </c>
      <c r="BR3169" s="3" t="s">
        <v>364</v>
      </c>
      <c r="BS3169" s="4">
        <v>44571</v>
      </c>
      <c r="BT3169" s="5">
        <v>0.40208333333333335</v>
      </c>
      <c r="BU3169" s="3" t="s">
        <v>2108</v>
      </c>
      <c r="BV3169" s="3" t="s">
        <v>105</v>
      </c>
      <c r="BY3169" s="3">
        <v>85678</v>
      </c>
      <c r="BZ3169" s="3" t="s">
        <v>327</v>
      </c>
      <c r="CA3169" s="3" t="s">
        <v>641</v>
      </c>
      <c r="CC3169" s="3" t="s">
        <v>91</v>
      </c>
      <c r="CD3169" s="3">
        <v>7530</v>
      </c>
      <c r="CE3169" s="3" t="s">
        <v>2862</v>
      </c>
      <c r="CF3169" s="4">
        <v>44572</v>
      </c>
      <c r="CI3169" s="3">
        <v>2</v>
      </c>
      <c r="CJ3169" s="3">
        <v>1</v>
      </c>
      <c r="CK3169" s="3">
        <v>41</v>
      </c>
      <c r="CL3169" s="3" t="s">
        <v>87</v>
      </c>
    </row>
    <row r="3170" spans="1:90" x14ac:dyDescent="0.2">
      <c r="A3170" s="3" t="s">
        <v>72</v>
      </c>
      <c r="B3170" s="3" t="s">
        <v>73</v>
      </c>
      <c r="C3170" s="3" t="s">
        <v>74</v>
      </c>
      <c r="E3170" s="3" t="str">
        <f>"FES1162844184"</f>
        <v>FES1162844184</v>
      </c>
      <c r="F3170" s="4">
        <v>44568</v>
      </c>
      <c r="G3170" s="3">
        <v>202207</v>
      </c>
      <c r="H3170" s="3" t="s">
        <v>75</v>
      </c>
      <c r="I3170" s="3" t="s">
        <v>76</v>
      </c>
      <c r="J3170" s="3" t="s">
        <v>77</v>
      </c>
      <c r="K3170" s="3" t="s">
        <v>78</v>
      </c>
      <c r="L3170" s="3" t="s">
        <v>158</v>
      </c>
      <c r="M3170" s="3" t="s">
        <v>159</v>
      </c>
      <c r="N3170" s="3" t="s">
        <v>2863</v>
      </c>
      <c r="O3170" s="3" t="s">
        <v>82</v>
      </c>
      <c r="P3170" s="3" t="str">
        <f>"2170815926                    "</f>
        <v xml:space="preserve">2170815926                    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  <c r="AE3170" s="3">
        <v>0</v>
      </c>
      <c r="AF3170" s="3">
        <v>0</v>
      </c>
      <c r="AG3170" s="3">
        <v>0</v>
      </c>
      <c r="AH3170" s="3">
        <v>0</v>
      </c>
      <c r="AI3170" s="3">
        <v>0</v>
      </c>
      <c r="AJ3170" s="3">
        <v>0</v>
      </c>
      <c r="AK3170" s="3">
        <v>12.07</v>
      </c>
      <c r="AL3170" s="3">
        <v>0</v>
      </c>
      <c r="AM3170" s="3">
        <v>0</v>
      </c>
      <c r="AN3170" s="3">
        <v>0</v>
      </c>
      <c r="AO3170" s="3">
        <v>0</v>
      </c>
      <c r="AP3170" s="3">
        <v>0</v>
      </c>
      <c r="AQ3170" s="3">
        <v>0</v>
      </c>
      <c r="AR3170" s="3">
        <v>0</v>
      </c>
      <c r="AS3170" s="3">
        <v>0</v>
      </c>
      <c r="AT3170" s="3">
        <v>0</v>
      </c>
      <c r="AU3170" s="3">
        <v>0</v>
      </c>
      <c r="AV3170" s="3">
        <v>0</v>
      </c>
      <c r="AW3170" s="3">
        <v>0</v>
      </c>
      <c r="AX3170" s="3">
        <v>0</v>
      </c>
      <c r="AY3170" s="3">
        <v>0</v>
      </c>
      <c r="AZ3170" s="3">
        <v>0</v>
      </c>
      <c r="BA3170" s="3">
        <v>0</v>
      </c>
      <c r="BB3170" s="3">
        <v>0</v>
      </c>
      <c r="BC3170" s="3">
        <v>0</v>
      </c>
      <c r="BD3170" s="3">
        <v>0</v>
      </c>
      <c r="BE3170" s="3">
        <v>0</v>
      </c>
      <c r="BF3170" s="3">
        <v>0</v>
      </c>
      <c r="BG3170" s="3">
        <v>0</v>
      </c>
      <c r="BH3170" s="3">
        <v>1</v>
      </c>
      <c r="BI3170" s="3">
        <v>1</v>
      </c>
      <c r="BJ3170" s="3">
        <v>0.2</v>
      </c>
      <c r="BK3170" s="3">
        <v>1</v>
      </c>
      <c r="BL3170" s="3">
        <v>46.08</v>
      </c>
      <c r="BM3170" s="3">
        <v>6.91</v>
      </c>
      <c r="BN3170" s="3">
        <v>52.99</v>
      </c>
      <c r="BO3170" s="3">
        <v>52.99</v>
      </c>
      <c r="BR3170" s="3" t="s">
        <v>364</v>
      </c>
      <c r="BS3170" s="4">
        <v>44571</v>
      </c>
      <c r="BT3170" s="5">
        <v>0.37847222222222227</v>
      </c>
      <c r="BU3170" s="3" t="s">
        <v>2864</v>
      </c>
      <c r="BV3170" s="3" t="s">
        <v>105</v>
      </c>
      <c r="BY3170" s="3">
        <v>1200</v>
      </c>
      <c r="BZ3170" s="3" t="s">
        <v>165</v>
      </c>
      <c r="CA3170" s="3" t="s">
        <v>678</v>
      </c>
      <c r="CC3170" s="3" t="s">
        <v>159</v>
      </c>
      <c r="CD3170" s="3">
        <v>1459</v>
      </c>
      <c r="CE3170" s="3" t="s">
        <v>93</v>
      </c>
      <c r="CF3170" s="4">
        <v>44572</v>
      </c>
      <c r="CI3170" s="3">
        <v>1</v>
      </c>
      <c r="CJ3170" s="3">
        <v>1</v>
      </c>
      <c r="CK3170" s="3">
        <v>22</v>
      </c>
      <c r="CL3170" s="3" t="s">
        <v>87</v>
      </c>
    </row>
    <row r="3171" spans="1:90" x14ac:dyDescent="0.2">
      <c r="A3171" s="3" t="s">
        <v>72</v>
      </c>
      <c r="B3171" s="3" t="s">
        <v>73</v>
      </c>
      <c r="C3171" s="3" t="s">
        <v>74</v>
      </c>
      <c r="E3171" s="3" t="str">
        <f>"FES1162844189"</f>
        <v>FES1162844189</v>
      </c>
      <c r="F3171" s="4">
        <v>44568</v>
      </c>
      <c r="G3171" s="3">
        <v>202207</v>
      </c>
      <c r="H3171" s="3" t="s">
        <v>75</v>
      </c>
      <c r="I3171" s="3" t="s">
        <v>76</v>
      </c>
      <c r="J3171" s="3" t="s">
        <v>77</v>
      </c>
      <c r="K3171" s="3" t="s">
        <v>78</v>
      </c>
      <c r="L3171" s="3" t="s">
        <v>94</v>
      </c>
      <c r="M3171" s="3" t="s">
        <v>95</v>
      </c>
      <c r="N3171" s="3" t="s">
        <v>1443</v>
      </c>
      <c r="O3171" s="3" t="s">
        <v>82</v>
      </c>
      <c r="P3171" s="3" t="str">
        <f>"2170815935                    "</f>
        <v xml:space="preserve">2170815935                    </v>
      </c>
      <c r="Q3171" s="3">
        <v>0</v>
      </c>
      <c r="R3171" s="3">
        <v>0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  <c r="AE3171" s="3">
        <v>0</v>
      </c>
      <c r="AF3171" s="3">
        <v>0</v>
      </c>
      <c r="AG3171" s="3">
        <v>0</v>
      </c>
      <c r="AH3171" s="3">
        <v>0</v>
      </c>
      <c r="AI3171" s="3">
        <v>0</v>
      </c>
      <c r="AJ3171" s="3">
        <v>0</v>
      </c>
      <c r="AK3171" s="3">
        <v>15.46</v>
      </c>
      <c r="AL3171" s="3">
        <v>0</v>
      </c>
      <c r="AM3171" s="3">
        <v>0</v>
      </c>
      <c r="AN3171" s="3">
        <v>0</v>
      </c>
      <c r="AO3171" s="3">
        <v>0</v>
      </c>
      <c r="AP3171" s="3">
        <v>0</v>
      </c>
      <c r="AQ3171" s="3">
        <v>0</v>
      </c>
      <c r="AR3171" s="3">
        <v>0</v>
      </c>
      <c r="AS3171" s="3">
        <v>0</v>
      </c>
      <c r="AT3171" s="3">
        <v>0</v>
      </c>
      <c r="AU3171" s="3">
        <v>0</v>
      </c>
      <c r="AV3171" s="3">
        <v>0</v>
      </c>
      <c r="AW3171" s="3">
        <v>0</v>
      </c>
      <c r="AX3171" s="3">
        <v>0</v>
      </c>
      <c r="AY3171" s="3">
        <v>0</v>
      </c>
      <c r="AZ3171" s="3">
        <v>0</v>
      </c>
      <c r="BA3171" s="3">
        <v>0</v>
      </c>
      <c r="BB3171" s="3">
        <v>0</v>
      </c>
      <c r="BC3171" s="3">
        <v>0</v>
      </c>
      <c r="BD3171" s="3">
        <v>0</v>
      </c>
      <c r="BE3171" s="3">
        <v>0</v>
      </c>
      <c r="BF3171" s="3">
        <v>0</v>
      </c>
      <c r="BG3171" s="3">
        <v>0</v>
      </c>
      <c r="BH3171" s="3">
        <v>1</v>
      </c>
      <c r="BI3171" s="3">
        <v>1</v>
      </c>
      <c r="BJ3171" s="3">
        <v>0.2</v>
      </c>
      <c r="BK3171" s="3">
        <v>1</v>
      </c>
      <c r="BL3171" s="3">
        <v>59</v>
      </c>
      <c r="BM3171" s="3">
        <v>8.85</v>
      </c>
      <c r="BN3171" s="3">
        <v>67.849999999999994</v>
      </c>
      <c r="BO3171" s="3">
        <v>67.849999999999994</v>
      </c>
      <c r="BR3171" s="3" t="s">
        <v>364</v>
      </c>
      <c r="BS3171" s="4">
        <v>44571</v>
      </c>
      <c r="BT3171" s="5">
        <v>0.54513888888888895</v>
      </c>
      <c r="BU3171" s="3" t="s">
        <v>2865</v>
      </c>
      <c r="BV3171" s="3" t="s">
        <v>87</v>
      </c>
      <c r="BW3171" s="3" t="s">
        <v>453</v>
      </c>
      <c r="BX3171" s="3" t="s">
        <v>279</v>
      </c>
      <c r="BY3171" s="3">
        <v>1200</v>
      </c>
      <c r="BZ3171" s="3" t="s">
        <v>165</v>
      </c>
      <c r="CA3171" s="3" t="s">
        <v>328</v>
      </c>
      <c r="CC3171" s="3" t="s">
        <v>95</v>
      </c>
      <c r="CD3171" s="3">
        <v>3200</v>
      </c>
      <c r="CE3171" s="3" t="s">
        <v>93</v>
      </c>
      <c r="CF3171" s="4">
        <v>44572</v>
      </c>
      <c r="CI3171" s="3">
        <v>1</v>
      </c>
      <c r="CJ3171" s="3">
        <v>1</v>
      </c>
      <c r="CK3171" s="3">
        <v>21</v>
      </c>
      <c r="CL3171" s="3" t="s">
        <v>87</v>
      </c>
    </row>
    <row r="3172" spans="1:90" x14ac:dyDescent="0.2">
      <c r="A3172" s="3" t="s">
        <v>72</v>
      </c>
      <c r="B3172" s="3" t="s">
        <v>73</v>
      </c>
      <c r="C3172" s="3" t="s">
        <v>74</v>
      </c>
      <c r="E3172" s="3" t="str">
        <f>"FES1162844178"</f>
        <v>FES1162844178</v>
      </c>
      <c r="F3172" s="4">
        <v>44568</v>
      </c>
      <c r="G3172" s="3">
        <v>202207</v>
      </c>
      <c r="H3172" s="3" t="s">
        <v>75</v>
      </c>
      <c r="I3172" s="3" t="s">
        <v>76</v>
      </c>
      <c r="J3172" s="3" t="s">
        <v>77</v>
      </c>
      <c r="K3172" s="3" t="s">
        <v>78</v>
      </c>
      <c r="L3172" s="3" t="s">
        <v>187</v>
      </c>
      <c r="M3172" s="3" t="s">
        <v>188</v>
      </c>
      <c r="N3172" s="3" t="s">
        <v>189</v>
      </c>
      <c r="O3172" s="3" t="s">
        <v>82</v>
      </c>
      <c r="P3172" s="3" t="str">
        <f>"2170815193                    "</f>
        <v xml:space="preserve">2170815193                    </v>
      </c>
      <c r="Q3172" s="3">
        <v>0</v>
      </c>
      <c r="R3172" s="3">
        <v>0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  <c r="AE3172" s="3">
        <v>0</v>
      </c>
      <c r="AF3172" s="3">
        <v>0</v>
      </c>
      <c r="AG3172" s="3">
        <v>0</v>
      </c>
      <c r="AH3172" s="3">
        <v>0</v>
      </c>
      <c r="AI3172" s="3">
        <v>0</v>
      </c>
      <c r="AJ3172" s="3">
        <v>0</v>
      </c>
      <c r="AK3172" s="3">
        <v>29.95</v>
      </c>
      <c r="AL3172" s="3">
        <v>0</v>
      </c>
      <c r="AM3172" s="3">
        <v>0</v>
      </c>
      <c r="AN3172" s="3">
        <v>0</v>
      </c>
      <c r="AO3172" s="3">
        <v>0</v>
      </c>
      <c r="AP3172" s="3">
        <v>0</v>
      </c>
      <c r="AQ3172" s="3">
        <v>0</v>
      </c>
      <c r="AR3172" s="3">
        <v>0</v>
      </c>
      <c r="AS3172" s="3">
        <v>0</v>
      </c>
      <c r="AT3172" s="3">
        <v>0</v>
      </c>
      <c r="AU3172" s="3">
        <v>0</v>
      </c>
      <c r="AV3172" s="3">
        <v>0</v>
      </c>
      <c r="AW3172" s="3">
        <v>0</v>
      </c>
      <c r="AX3172" s="3">
        <v>0</v>
      </c>
      <c r="AY3172" s="3">
        <v>0</v>
      </c>
      <c r="AZ3172" s="3">
        <v>0</v>
      </c>
      <c r="BA3172" s="3">
        <v>0</v>
      </c>
      <c r="BB3172" s="3">
        <v>0</v>
      </c>
      <c r="BC3172" s="3">
        <v>0</v>
      </c>
      <c r="BD3172" s="3">
        <v>0</v>
      </c>
      <c r="BE3172" s="3">
        <v>0</v>
      </c>
      <c r="BF3172" s="3">
        <v>0</v>
      </c>
      <c r="BG3172" s="3">
        <v>0</v>
      </c>
      <c r="BH3172" s="3">
        <v>1</v>
      </c>
      <c r="BI3172" s="3">
        <v>1</v>
      </c>
      <c r="BJ3172" s="3">
        <v>0.2</v>
      </c>
      <c r="BK3172" s="3">
        <v>1</v>
      </c>
      <c r="BL3172" s="3">
        <v>114.31</v>
      </c>
      <c r="BM3172" s="3">
        <v>17.149999999999999</v>
      </c>
      <c r="BN3172" s="3">
        <v>131.46</v>
      </c>
      <c r="BO3172" s="3">
        <v>131.46</v>
      </c>
      <c r="BQ3172" s="3" t="s">
        <v>83</v>
      </c>
      <c r="BR3172" s="3" t="s">
        <v>364</v>
      </c>
      <c r="BS3172" s="4">
        <v>44571</v>
      </c>
      <c r="BT3172" s="5">
        <v>0.53125</v>
      </c>
      <c r="BU3172" s="3" t="s">
        <v>955</v>
      </c>
      <c r="BV3172" s="3" t="s">
        <v>105</v>
      </c>
      <c r="BY3172" s="3">
        <v>1200</v>
      </c>
      <c r="BZ3172" s="3" t="s">
        <v>165</v>
      </c>
      <c r="CA3172" s="3" t="s">
        <v>268</v>
      </c>
      <c r="CC3172" s="3" t="s">
        <v>188</v>
      </c>
      <c r="CD3172" s="3">
        <v>7300</v>
      </c>
      <c r="CE3172" s="3" t="s">
        <v>93</v>
      </c>
      <c r="CF3172" s="4">
        <v>44572</v>
      </c>
      <c r="CI3172" s="3">
        <v>1</v>
      </c>
      <c r="CJ3172" s="3">
        <v>1</v>
      </c>
      <c r="CK3172" s="3">
        <v>23</v>
      </c>
      <c r="CL3172" s="3" t="s">
        <v>87</v>
      </c>
    </row>
    <row r="3173" spans="1:90" x14ac:dyDescent="0.2">
      <c r="A3173" s="3" t="s">
        <v>72</v>
      </c>
      <c r="B3173" s="3" t="s">
        <v>73</v>
      </c>
      <c r="C3173" s="3" t="s">
        <v>74</v>
      </c>
      <c r="E3173" s="3" t="str">
        <f>"FES1162844138"</f>
        <v>FES1162844138</v>
      </c>
      <c r="F3173" s="4">
        <v>44568</v>
      </c>
      <c r="G3173" s="3">
        <v>202207</v>
      </c>
      <c r="H3173" s="3" t="s">
        <v>75</v>
      </c>
      <c r="I3173" s="3" t="s">
        <v>76</v>
      </c>
      <c r="J3173" s="3" t="s">
        <v>77</v>
      </c>
      <c r="K3173" s="3" t="s">
        <v>78</v>
      </c>
      <c r="L3173" s="3" t="s">
        <v>472</v>
      </c>
      <c r="M3173" s="3" t="s">
        <v>473</v>
      </c>
      <c r="N3173" s="3" t="s">
        <v>474</v>
      </c>
      <c r="O3173" s="3" t="s">
        <v>82</v>
      </c>
      <c r="P3173" s="3" t="str">
        <f>"2170814670                    "</f>
        <v xml:space="preserve">2170814670                    </v>
      </c>
      <c r="Q3173" s="3">
        <v>0</v>
      </c>
      <c r="R3173" s="3">
        <v>0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  <c r="AE3173" s="3">
        <v>0</v>
      </c>
      <c r="AF3173" s="3">
        <v>0</v>
      </c>
      <c r="AG3173" s="3">
        <v>0</v>
      </c>
      <c r="AH3173" s="3">
        <v>0</v>
      </c>
      <c r="AI3173" s="3">
        <v>0</v>
      </c>
      <c r="AJ3173" s="3">
        <v>0</v>
      </c>
      <c r="AK3173" s="3">
        <v>29.95</v>
      </c>
      <c r="AL3173" s="3">
        <v>0</v>
      </c>
      <c r="AM3173" s="3">
        <v>0</v>
      </c>
      <c r="AN3173" s="3">
        <v>0</v>
      </c>
      <c r="AO3173" s="3">
        <v>0</v>
      </c>
      <c r="AP3173" s="3">
        <v>0</v>
      </c>
      <c r="AQ3173" s="3">
        <v>0</v>
      </c>
      <c r="AR3173" s="3">
        <v>0</v>
      </c>
      <c r="AS3173" s="3">
        <v>0</v>
      </c>
      <c r="AT3173" s="3">
        <v>0</v>
      </c>
      <c r="AU3173" s="3">
        <v>0</v>
      </c>
      <c r="AV3173" s="3">
        <v>0</v>
      </c>
      <c r="AW3173" s="3">
        <v>0</v>
      </c>
      <c r="AX3173" s="3">
        <v>0</v>
      </c>
      <c r="AY3173" s="3">
        <v>0</v>
      </c>
      <c r="AZ3173" s="3">
        <v>0</v>
      </c>
      <c r="BA3173" s="3">
        <v>0</v>
      </c>
      <c r="BB3173" s="3">
        <v>0</v>
      </c>
      <c r="BC3173" s="3">
        <v>0</v>
      </c>
      <c r="BD3173" s="3">
        <v>0</v>
      </c>
      <c r="BE3173" s="3">
        <v>0</v>
      </c>
      <c r="BF3173" s="3">
        <v>0</v>
      </c>
      <c r="BG3173" s="3">
        <v>0</v>
      </c>
      <c r="BH3173" s="3">
        <v>1</v>
      </c>
      <c r="BI3173" s="3">
        <v>1</v>
      </c>
      <c r="BJ3173" s="3">
        <v>0.2</v>
      </c>
      <c r="BK3173" s="3">
        <v>1</v>
      </c>
      <c r="BL3173" s="3">
        <v>114.31</v>
      </c>
      <c r="BM3173" s="3">
        <v>17.149999999999999</v>
      </c>
      <c r="BN3173" s="3">
        <v>131.46</v>
      </c>
      <c r="BO3173" s="3">
        <v>131.46</v>
      </c>
      <c r="BQ3173" s="3" t="s">
        <v>83</v>
      </c>
      <c r="BR3173" s="3" t="s">
        <v>364</v>
      </c>
      <c r="BS3173" s="4">
        <v>44571</v>
      </c>
      <c r="BT3173" s="5">
        <v>0.38750000000000001</v>
      </c>
      <c r="BU3173" s="3" t="s">
        <v>475</v>
      </c>
      <c r="BV3173" s="3" t="s">
        <v>105</v>
      </c>
      <c r="BY3173" s="3">
        <v>1200</v>
      </c>
      <c r="BZ3173" s="3" t="s">
        <v>165</v>
      </c>
      <c r="CA3173" s="3" t="s">
        <v>324</v>
      </c>
      <c r="CC3173" s="3" t="s">
        <v>473</v>
      </c>
      <c r="CD3173" s="3">
        <v>5257</v>
      </c>
      <c r="CE3173" s="3" t="s">
        <v>93</v>
      </c>
      <c r="CF3173" s="4">
        <v>44571</v>
      </c>
      <c r="CI3173" s="3">
        <v>1</v>
      </c>
      <c r="CJ3173" s="3">
        <v>1</v>
      </c>
      <c r="CK3173" s="3">
        <v>23</v>
      </c>
      <c r="CL3173" s="3" t="s">
        <v>87</v>
      </c>
    </row>
    <row r="3174" spans="1:90" x14ac:dyDescent="0.2">
      <c r="A3174" s="3" t="s">
        <v>72</v>
      </c>
      <c r="B3174" s="3" t="s">
        <v>73</v>
      </c>
      <c r="C3174" s="3" t="s">
        <v>74</v>
      </c>
      <c r="E3174" s="3" t="str">
        <f>"FES1162844162"</f>
        <v>FES1162844162</v>
      </c>
      <c r="F3174" s="4">
        <v>44568</v>
      </c>
      <c r="G3174" s="3">
        <v>202207</v>
      </c>
      <c r="H3174" s="3" t="s">
        <v>75</v>
      </c>
      <c r="I3174" s="3" t="s">
        <v>76</v>
      </c>
      <c r="J3174" s="3" t="s">
        <v>77</v>
      </c>
      <c r="K3174" s="3" t="s">
        <v>78</v>
      </c>
      <c r="L3174" s="3" t="s">
        <v>489</v>
      </c>
      <c r="M3174" s="3" t="s">
        <v>490</v>
      </c>
      <c r="N3174" s="3" t="s">
        <v>491</v>
      </c>
      <c r="O3174" s="3" t="s">
        <v>82</v>
      </c>
      <c r="P3174" s="3" t="str">
        <f>"2170804629                    "</f>
        <v xml:space="preserve">2170804629                    </v>
      </c>
      <c r="Q3174" s="3">
        <v>0</v>
      </c>
      <c r="R3174" s="3">
        <v>0</v>
      </c>
      <c r="S3174" s="3">
        <v>0</v>
      </c>
      <c r="T3174" s="3">
        <v>0</v>
      </c>
      <c r="U3174" s="3">
        <v>0</v>
      </c>
      <c r="V3174" s="3">
        <v>0</v>
      </c>
      <c r="W3174" s="3">
        <v>0</v>
      </c>
      <c r="X3174" s="3">
        <v>0</v>
      </c>
      <c r="Y3174" s="3">
        <v>0</v>
      </c>
      <c r="Z3174" s="3">
        <v>0</v>
      </c>
      <c r="AA3174" s="3">
        <v>0</v>
      </c>
      <c r="AB3174" s="3">
        <v>0</v>
      </c>
      <c r="AC3174" s="3">
        <v>0</v>
      </c>
      <c r="AD3174" s="3">
        <v>0</v>
      </c>
      <c r="AE3174" s="3">
        <v>0</v>
      </c>
      <c r="AF3174" s="3">
        <v>0</v>
      </c>
      <c r="AG3174" s="3">
        <v>0</v>
      </c>
      <c r="AH3174" s="3">
        <v>0</v>
      </c>
      <c r="AI3174" s="3">
        <v>0</v>
      </c>
      <c r="AJ3174" s="3">
        <v>0</v>
      </c>
      <c r="AK3174" s="3">
        <v>29.95</v>
      </c>
      <c r="AL3174" s="3">
        <v>0</v>
      </c>
      <c r="AM3174" s="3">
        <v>0</v>
      </c>
      <c r="AN3174" s="3">
        <v>0</v>
      </c>
      <c r="AO3174" s="3">
        <v>0</v>
      </c>
      <c r="AP3174" s="3">
        <v>0</v>
      </c>
      <c r="AQ3174" s="3">
        <v>15</v>
      </c>
      <c r="AR3174" s="3">
        <v>0</v>
      </c>
      <c r="AS3174" s="3">
        <v>0</v>
      </c>
      <c r="AT3174" s="3">
        <v>0</v>
      </c>
      <c r="AU3174" s="3">
        <v>0</v>
      </c>
      <c r="AV3174" s="3">
        <v>0</v>
      </c>
      <c r="AW3174" s="3">
        <v>0</v>
      </c>
      <c r="AX3174" s="3">
        <v>0</v>
      </c>
      <c r="AY3174" s="3">
        <v>0</v>
      </c>
      <c r="AZ3174" s="3">
        <v>0</v>
      </c>
      <c r="BA3174" s="3">
        <v>0</v>
      </c>
      <c r="BB3174" s="3">
        <v>0</v>
      </c>
      <c r="BC3174" s="3">
        <v>0</v>
      </c>
      <c r="BD3174" s="3">
        <v>0</v>
      </c>
      <c r="BE3174" s="3">
        <v>0</v>
      </c>
      <c r="BF3174" s="3">
        <v>0</v>
      </c>
      <c r="BG3174" s="3">
        <v>0</v>
      </c>
      <c r="BH3174" s="3">
        <v>1</v>
      </c>
      <c r="BI3174" s="3">
        <v>1</v>
      </c>
      <c r="BJ3174" s="3">
        <v>0.2</v>
      </c>
      <c r="BK3174" s="3">
        <v>1</v>
      </c>
      <c r="BL3174" s="3">
        <v>129.31</v>
      </c>
      <c r="BM3174" s="3">
        <v>19.399999999999999</v>
      </c>
      <c r="BN3174" s="3">
        <v>148.71</v>
      </c>
      <c r="BO3174" s="3">
        <v>148.71</v>
      </c>
      <c r="BQ3174" s="3" t="s">
        <v>83</v>
      </c>
      <c r="BR3174" s="3" t="s">
        <v>364</v>
      </c>
      <c r="BS3174" s="4">
        <v>44571</v>
      </c>
      <c r="BT3174" s="5">
        <v>0.52777777777777779</v>
      </c>
      <c r="BU3174" s="3" t="s">
        <v>492</v>
      </c>
      <c r="BV3174" s="3" t="s">
        <v>105</v>
      </c>
      <c r="BY3174" s="3">
        <v>1200</v>
      </c>
      <c r="BZ3174" s="3" t="s">
        <v>446</v>
      </c>
      <c r="CA3174" s="3" t="s">
        <v>495</v>
      </c>
      <c r="CC3174" s="3" t="s">
        <v>490</v>
      </c>
      <c r="CD3174" s="3">
        <v>250</v>
      </c>
      <c r="CE3174" s="3" t="s">
        <v>93</v>
      </c>
      <c r="CF3174" s="4">
        <v>44572</v>
      </c>
      <c r="CI3174" s="3">
        <v>1</v>
      </c>
      <c r="CJ3174" s="3">
        <v>1</v>
      </c>
      <c r="CK3174" s="3">
        <v>23</v>
      </c>
      <c r="CL3174" s="3" t="s">
        <v>87</v>
      </c>
    </row>
    <row r="3175" spans="1:90" x14ac:dyDescent="0.2">
      <c r="A3175" s="3" t="s">
        <v>72</v>
      </c>
      <c r="B3175" s="3" t="s">
        <v>73</v>
      </c>
      <c r="C3175" s="3" t="s">
        <v>74</v>
      </c>
      <c r="E3175" s="3" t="str">
        <f>"FES1162844196"</f>
        <v>FES1162844196</v>
      </c>
      <c r="F3175" s="4">
        <v>44568</v>
      </c>
      <c r="G3175" s="3">
        <v>202207</v>
      </c>
      <c r="H3175" s="3" t="s">
        <v>75</v>
      </c>
      <c r="I3175" s="3" t="s">
        <v>76</v>
      </c>
      <c r="J3175" s="3" t="s">
        <v>77</v>
      </c>
      <c r="K3175" s="3" t="s">
        <v>78</v>
      </c>
      <c r="L3175" s="3" t="s">
        <v>184</v>
      </c>
      <c r="M3175" s="3" t="s">
        <v>185</v>
      </c>
      <c r="N3175" s="3" t="s">
        <v>503</v>
      </c>
      <c r="O3175" s="3" t="s">
        <v>148</v>
      </c>
      <c r="P3175" s="3" t="str">
        <f>"2170815941                    "</f>
        <v xml:space="preserve">2170815941                    </v>
      </c>
      <c r="Q3175" s="3">
        <v>0</v>
      </c>
      <c r="R3175" s="3">
        <v>0</v>
      </c>
      <c r="S3175" s="3">
        <v>0</v>
      </c>
      <c r="T3175" s="3">
        <v>0</v>
      </c>
      <c r="U3175" s="3">
        <v>0</v>
      </c>
      <c r="V3175" s="3">
        <v>0</v>
      </c>
      <c r="W3175" s="3">
        <v>0</v>
      </c>
      <c r="X3175" s="3">
        <v>0</v>
      </c>
      <c r="Y3175" s="3">
        <v>0</v>
      </c>
      <c r="Z3175" s="3">
        <v>0</v>
      </c>
      <c r="AA3175" s="3">
        <v>0</v>
      </c>
      <c r="AB3175" s="3">
        <v>0</v>
      </c>
      <c r="AC3175" s="3">
        <v>0</v>
      </c>
      <c r="AD3175" s="3">
        <v>0</v>
      </c>
      <c r="AE3175" s="3">
        <v>0</v>
      </c>
      <c r="AF3175" s="3">
        <v>0</v>
      </c>
      <c r="AG3175" s="3">
        <v>0</v>
      </c>
      <c r="AH3175" s="3">
        <v>0</v>
      </c>
      <c r="AI3175" s="3">
        <v>0</v>
      </c>
      <c r="AJ3175" s="3">
        <v>0</v>
      </c>
      <c r="AK3175" s="3">
        <v>34.82</v>
      </c>
      <c r="AL3175" s="3">
        <v>0</v>
      </c>
      <c r="AM3175" s="3">
        <v>0</v>
      </c>
      <c r="AN3175" s="3">
        <v>0</v>
      </c>
      <c r="AO3175" s="3">
        <v>0</v>
      </c>
      <c r="AP3175" s="3">
        <v>0</v>
      </c>
      <c r="AQ3175" s="3">
        <v>0</v>
      </c>
      <c r="AR3175" s="3">
        <v>0</v>
      </c>
      <c r="AS3175" s="3">
        <v>0</v>
      </c>
      <c r="AT3175" s="3">
        <v>0</v>
      </c>
      <c r="AU3175" s="3">
        <v>0</v>
      </c>
      <c r="AV3175" s="3">
        <v>0</v>
      </c>
      <c r="AW3175" s="3">
        <v>0</v>
      </c>
      <c r="AX3175" s="3">
        <v>0</v>
      </c>
      <c r="AY3175" s="3">
        <v>0</v>
      </c>
      <c r="AZ3175" s="3">
        <v>0</v>
      </c>
      <c r="BA3175" s="3">
        <v>0</v>
      </c>
      <c r="BB3175" s="3">
        <v>0</v>
      </c>
      <c r="BC3175" s="3">
        <v>0</v>
      </c>
      <c r="BD3175" s="3">
        <v>0</v>
      </c>
      <c r="BE3175" s="3">
        <v>0</v>
      </c>
      <c r="BF3175" s="3">
        <v>0</v>
      </c>
      <c r="BG3175" s="3">
        <v>0</v>
      </c>
      <c r="BH3175" s="3">
        <v>1</v>
      </c>
      <c r="BI3175" s="3">
        <v>12</v>
      </c>
      <c r="BJ3175" s="3">
        <v>18.3</v>
      </c>
      <c r="BK3175" s="3">
        <v>19</v>
      </c>
      <c r="BL3175" s="3">
        <v>138.15</v>
      </c>
      <c r="BM3175" s="3">
        <v>20.72</v>
      </c>
      <c r="BN3175" s="3">
        <v>158.87</v>
      </c>
      <c r="BO3175" s="3">
        <v>158.87</v>
      </c>
      <c r="BQ3175" s="3" t="s">
        <v>89</v>
      </c>
      <c r="BR3175" s="3" t="s">
        <v>364</v>
      </c>
      <c r="BS3175" s="4">
        <v>44571</v>
      </c>
      <c r="BT3175" s="5">
        <v>0.54999999999999993</v>
      </c>
      <c r="BU3175" s="3" t="s">
        <v>2839</v>
      </c>
      <c r="BV3175" s="3" t="s">
        <v>105</v>
      </c>
      <c r="BY3175" s="3">
        <v>91264</v>
      </c>
      <c r="BZ3175" s="3" t="s">
        <v>327</v>
      </c>
      <c r="CA3175" s="3" t="s">
        <v>2534</v>
      </c>
      <c r="CC3175" s="3" t="s">
        <v>185</v>
      </c>
      <c r="CD3175" s="3">
        <v>5201</v>
      </c>
      <c r="CE3175" s="3" t="s">
        <v>86</v>
      </c>
      <c r="CF3175" s="4">
        <v>44571</v>
      </c>
      <c r="CI3175" s="3">
        <v>3</v>
      </c>
      <c r="CJ3175" s="3">
        <v>1</v>
      </c>
      <c r="CK3175" s="3">
        <v>41</v>
      </c>
      <c r="CL3175" s="3" t="s">
        <v>87</v>
      </c>
    </row>
    <row r="3176" spans="1:90" x14ac:dyDescent="0.2">
      <c r="A3176" s="3" t="s">
        <v>72</v>
      </c>
      <c r="B3176" s="3" t="s">
        <v>73</v>
      </c>
      <c r="C3176" s="3" t="s">
        <v>74</v>
      </c>
      <c r="E3176" s="3" t="str">
        <f>"FES1162844025"</f>
        <v>FES1162844025</v>
      </c>
      <c r="F3176" s="4">
        <v>44568</v>
      </c>
      <c r="G3176" s="3">
        <v>202207</v>
      </c>
      <c r="H3176" s="3" t="s">
        <v>75</v>
      </c>
      <c r="I3176" s="3" t="s">
        <v>76</v>
      </c>
      <c r="J3176" s="3" t="s">
        <v>77</v>
      </c>
      <c r="K3176" s="3" t="s">
        <v>78</v>
      </c>
      <c r="L3176" s="3" t="s">
        <v>94</v>
      </c>
      <c r="M3176" s="3" t="s">
        <v>95</v>
      </c>
      <c r="N3176" s="3" t="s">
        <v>179</v>
      </c>
      <c r="O3176" s="3" t="s">
        <v>82</v>
      </c>
      <c r="P3176" s="3" t="str">
        <f>"2170815835                    "</f>
        <v xml:space="preserve">2170815835                    </v>
      </c>
      <c r="Q3176" s="3">
        <v>0</v>
      </c>
      <c r="R3176" s="3">
        <v>0</v>
      </c>
      <c r="S3176" s="3">
        <v>0</v>
      </c>
      <c r="T3176" s="3">
        <v>0</v>
      </c>
      <c r="U3176" s="3">
        <v>0</v>
      </c>
      <c r="V3176" s="3">
        <v>0</v>
      </c>
      <c r="W3176" s="3">
        <v>0</v>
      </c>
      <c r="X3176" s="3">
        <v>0</v>
      </c>
      <c r="Y3176" s="3">
        <v>0</v>
      </c>
      <c r="Z3176" s="3">
        <v>0</v>
      </c>
      <c r="AA3176" s="3">
        <v>0</v>
      </c>
      <c r="AB3176" s="3">
        <v>0</v>
      </c>
      <c r="AC3176" s="3">
        <v>0</v>
      </c>
      <c r="AD3176" s="3">
        <v>0</v>
      </c>
      <c r="AE3176" s="3">
        <v>0</v>
      </c>
      <c r="AF3176" s="3">
        <v>0</v>
      </c>
      <c r="AG3176" s="3">
        <v>0</v>
      </c>
      <c r="AH3176" s="3">
        <v>0</v>
      </c>
      <c r="AI3176" s="3">
        <v>0</v>
      </c>
      <c r="AJ3176" s="3">
        <v>0</v>
      </c>
      <c r="AK3176" s="3">
        <v>15.46</v>
      </c>
      <c r="AL3176" s="3">
        <v>0</v>
      </c>
      <c r="AM3176" s="3">
        <v>0</v>
      </c>
      <c r="AN3176" s="3">
        <v>0</v>
      </c>
      <c r="AO3176" s="3">
        <v>0</v>
      </c>
      <c r="AP3176" s="3">
        <v>0</v>
      </c>
      <c r="AQ3176" s="3">
        <v>0</v>
      </c>
      <c r="AR3176" s="3">
        <v>0</v>
      </c>
      <c r="AS3176" s="3">
        <v>0</v>
      </c>
      <c r="AT3176" s="3">
        <v>0</v>
      </c>
      <c r="AU3176" s="3">
        <v>0</v>
      </c>
      <c r="AV3176" s="3">
        <v>0</v>
      </c>
      <c r="AW3176" s="3">
        <v>0</v>
      </c>
      <c r="AX3176" s="3">
        <v>0</v>
      </c>
      <c r="AY3176" s="3">
        <v>0</v>
      </c>
      <c r="AZ3176" s="3">
        <v>0</v>
      </c>
      <c r="BA3176" s="3">
        <v>0</v>
      </c>
      <c r="BB3176" s="3">
        <v>0</v>
      </c>
      <c r="BC3176" s="3">
        <v>0</v>
      </c>
      <c r="BD3176" s="3">
        <v>0</v>
      </c>
      <c r="BE3176" s="3">
        <v>0</v>
      </c>
      <c r="BF3176" s="3">
        <v>0</v>
      </c>
      <c r="BG3176" s="3">
        <v>0</v>
      </c>
      <c r="BH3176" s="3">
        <v>1</v>
      </c>
      <c r="BI3176" s="3">
        <v>1</v>
      </c>
      <c r="BJ3176" s="3">
        <v>0.2</v>
      </c>
      <c r="BK3176" s="3">
        <v>1</v>
      </c>
      <c r="BL3176" s="3">
        <v>59</v>
      </c>
      <c r="BM3176" s="3">
        <v>8.85</v>
      </c>
      <c r="BN3176" s="3">
        <v>67.849999999999994</v>
      </c>
      <c r="BO3176" s="3">
        <v>67.849999999999994</v>
      </c>
      <c r="BQ3176" s="3" t="s">
        <v>83</v>
      </c>
      <c r="BR3176" s="3" t="s">
        <v>364</v>
      </c>
      <c r="BS3176" s="4">
        <v>44571</v>
      </c>
      <c r="BT3176" s="5">
        <v>0.40972222222222227</v>
      </c>
      <c r="BU3176" s="3" t="s">
        <v>988</v>
      </c>
      <c r="BV3176" s="3" t="s">
        <v>105</v>
      </c>
      <c r="BY3176" s="3">
        <v>1200</v>
      </c>
      <c r="BZ3176" s="3" t="s">
        <v>165</v>
      </c>
      <c r="CA3176" s="3" t="s">
        <v>328</v>
      </c>
      <c r="CC3176" s="3" t="s">
        <v>95</v>
      </c>
      <c r="CD3176" s="3">
        <v>3201</v>
      </c>
      <c r="CE3176" s="3" t="s">
        <v>93</v>
      </c>
      <c r="CF3176" s="4">
        <v>44572</v>
      </c>
      <c r="CI3176" s="3">
        <v>1</v>
      </c>
      <c r="CJ3176" s="3">
        <v>1</v>
      </c>
      <c r="CK3176" s="3">
        <v>21</v>
      </c>
      <c r="CL3176" s="3" t="s">
        <v>87</v>
      </c>
    </row>
    <row r="3177" spans="1:90" x14ac:dyDescent="0.2">
      <c r="A3177" s="3" t="s">
        <v>72</v>
      </c>
      <c r="B3177" s="3" t="s">
        <v>73</v>
      </c>
      <c r="C3177" s="3" t="s">
        <v>74</v>
      </c>
      <c r="E3177" s="3" t="str">
        <f>"FES1162844148"</f>
        <v>FES1162844148</v>
      </c>
      <c r="F3177" s="4">
        <v>44568</v>
      </c>
      <c r="G3177" s="3">
        <v>202207</v>
      </c>
      <c r="H3177" s="3" t="s">
        <v>75</v>
      </c>
      <c r="I3177" s="3" t="s">
        <v>76</v>
      </c>
      <c r="J3177" s="3" t="s">
        <v>77</v>
      </c>
      <c r="K3177" s="3" t="s">
        <v>78</v>
      </c>
      <c r="L3177" s="3" t="s">
        <v>94</v>
      </c>
      <c r="M3177" s="3" t="s">
        <v>95</v>
      </c>
      <c r="N3177" s="3" t="s">
        <v>1437</v>
      </c>
      <c r="O3177" s="3" t="s">
        <v>82</v>
      </c>
      <c r="P3177" s="3" t="str">
        <f>"2170814992                    "</f>
        <v xml:space="preserve">2170814992                    </v>
      </c>
      <c r="Q3177" s="3">
        <v>0</v>
      </c>
      <c r="R3177" s="3">
        <v>0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  <c r="AE3177" s="3">
        <v>0</v>
      </c>
      <c r="AF3177" s="3">
        <v>0</v>
      </c>
      <c r="AG3177" s="3">
        <v>0</v>
      </c>
      <c r="AH3177" s="3">
        <v>0</v>
      </c>
      <c r="AI3177" s="3">
        <v>0</v>
      </c>
      <c r="AJ3177" s="3">
        <v>0</v>
      </c>
      <c r="AK3177" s="3">
        <v>15.46</v>
      </c>
      <c r="AL3177" s="3">
        <v>0</v>
      </c>
      <c r="AM3177" s="3">
        <v>0</v>
      </c>
      <c r="AN3177" s="3">
        <v>0</v>
      </c>
      <c r="AO3177" s="3">
        <v>0</v>
      </c>
      <c r="AP3177" s="3">
        <v>0</v>
      </c>
      <c r="AQ3177" s="3">
        <v>0</v>
      </c>
      <c r="AR3177" s="3">
        <v>0</v>
      </c>
      <c r="AS3177" s="3">
        <v>0</v>
      </c>
      <c r="AT3177" s="3">
        <v>0</v>
      </c>
      <c r="AU3177" s="3">
        <v>0</v>
      </c>
      <c r="AV3177" s="3">
        <v>0</v>
      </c>
      <c r="AW3177" s="3">
        <v>0</v>
      </c>
      <c r="AX3177" s="3">
        <v>0</v>
      </c>
      <c r="AY3177" s="3">
        <v>0</v>
      </c>
      <c r="AZ3177" s="3">
        <v>0</v>
      </c>
      <c r="BA3177" s="3">
        <v>0</v>
      </c>
      <c r="BB3177" s="3">
        <v>0</v>
      </c>
      <c r="BC3177" s="3">
        <v>0</v>
      </c>
      <c r="BD3177" s="3">
        <v>0</v>
      </c>
      <c r="BE3177" s="3">
        <v>0</v>
      </c>
      <c r="BF3177" s="3">
        <v>0</v>
      </c>
      <c r="BG3177" s="3">
        <v>0</v>
      </c>
      <c r="BH3177" s="3">
        <v>1</v>
      </c>
      <c r="BI3177" s="3">
        <v>1</v>
      </c>
      <c r="BJ3177" s="3">
        <v>1.1000000000000001</v>
      </c>
      <c r="BK3177" s="3">
        <v>1.5</v>
      </c>
      <c r="BL3177" s="3">
        <v>59</v>
      </c>
      <c r="BM3177" s="3">
        <v>8.85</v>
      </c>
      <c r="BN3177" s="3">
        <v>67.849999999999994</v>
      </c>
      <c r="BO3177" s="3">
        <v>67.849999999999994</v>
      </c>
      <c r="BQ3177" s="3" t="s">
        <v>89</v>
      </c>
      <c r="BR3177" s="3" t="s">
        <v>364</v>
      </c>
      <c r="BS3177" s="4">
        <v>44571</v>
      </c>
      <c r="BT3177" s="5">
        <v>0.56597222222222221</v>
      </c>
      <c r="BU3177" s="3" t="s">
        <v>2866</v>
      </c>
      <c r="BV3177" s="3" t="s">
        <v>87</v>
      </c>
      <c r="BW3177" s="3" t="s">
        <v>453</v>
      </c>
      <c r="BX3177" s="3" t="s">
        <v>279</v>
      </c>
      <c r="BY3177" s="3">
        <v>5320</v>
      </c>
      <c r="BZ3177" s="3" t="s">
        <v>165</v>
      </c>
      <c r="CA3177" s="3" t="s">
        <v>328</v>
      </c>
      <c r="CC3177" s="3" t="s">
        <v>95</v>
      </c>
      <c r="CD3177" s="3">
        <v>3200</v>
      </c>
      <c r="CE3177" s="3" t="s">
        <v>86</v>
      </c>
      <c r="CF3177" s="4">
        <v>44572</v>
      </c>
      <c r="CI3177" s="3">
        <v>1</v>
      </c>
      <c r="CJ3177" s="3">
        <v>1</v>
      </c>
      <c r="CK3177" s="3">
        <v>21</v>
      </c>
      <c r="CL3177" s="3" t="s">
        <v>87</v>
      </c>
    </row>
    <row r="3178" spans="1:90" x14ac:dyDescent="0.2">
      <c r="A3178" s="3" t="s">
        <v>72</v>
      </c>
      <c r="B3178" s="3" t="s">
        <v>73</v>
      </c>
      <c r="C3178" s="3" t="s">
        <v>74</v>
      </c>
      <c r="E3178" s="3" t="str">
        <f>"FES1162844074"</f>
        <v>FES1162844074</v>
      </c>
      <c r="F3178" s="4">
        <v>44568</v>
      </c>
      <c r="G3178" s="3">
        <v>202207</v>
      </c>
      <c r="H3178" s="3" t="s">
        <v>75</v>
      </c>
      <c r="I3178" s="3" t="s">
        <v>76</v>
      </c>
      <c r="J3178" s="3" t="s">
        <v>77</v>
      </c>
      <c r="K3178" s="3" t="s">
        <v>78</v>
      </c>
      <c r="L3178" s="3" t="s">
        <v>138</v>
      </c>
      <c r="M3178" s="3" t="s">
        <v>139</v>
      </c>
      <c r="N3178" s="3" t="s">
        <v>140</v>
      </c>
      <c r="O3178" s="3" t="s">
        <v>148</v>
      </c>
      <c r="P3178" s="3" t="str">
        <f>"2170812317                    "</f>
        <v xml:space="preserve">2170812317                    </v>
      </c>
      <c r="Q3178" s="3">
        <v>0</v>
      </c>
      <c r="R3178" s="3">
        <v>0</v>
      </c>
      <c r="S3178" s="3">
        <v>0</v>
      </c>
      <c r="T3178" s="3">
        <v>0</v>
      </c>
      <c r="U3178" s="3">
        <v>0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0</v>
      </c>
      <c r="AC3178" s="3">
        <v>0</v>
      </c>
      <c r="AD3178" s="3">
        <v>0</v>
      </c>
      <c r="AE3178" s="3">
        <v>0</v>
      </c>
      <c r="AF3178" s="3">
        <v>0</v>
      </c>
      <c r="AG3178" s="3">
        <v>0</v>
      </c>
      <c r="AH3178" s="3">
        <v>0</v>
      </c>
      <c r="AI3178" s="3">
        <v>0</v>
      </c>
      <c r="AJ3178" s="3">
        <v>0</v>
      </c>
      <c r="AK3178" s="3">
        <v>43.44</v>
      </c>
      <c r="AL3178" s="3">
        <v>0</v>
      </c>
      <c r="AM3178" s="3">
        <v>0</v>
      </c>
      <c r="AN3178" s="3">
        <v>0</v>
      </c>
      <c r="AO3178" s="3">
        <v>0</v>
      </c>
      <c r="AP3178" s="3">
        <v>0</v>
      </c>
      <c r="AQ3178" s="3">
        <v>0</v>
      </c>
      <c r="AR3178" s="3">
        <v>0</v>
      </c>
      <c r="AS3178" s="3">
        <v>0</v>
      </c>
      <c r="AT3178" s="3">
        <v>0</v>
      </c>
      <c r="AU3178" s="3">
        <v>0</v>
      </c>
      <c r="AV3178" s="3">
        <v>0</v>
      </c>
      <c r="AW3178" s="3">
        <v>0</v>
      </c>
      <c r="AX3178" s="3">
        <v>0</v>
      </c>
      <c r="AY3178" s="3">
        <v>0</v>
      </c>
      <c r="AZ3178" s="3">
        <v>0</v>
      </c>
      <c r="BA3178" s="3">
        <v>0</v>
      </c>
      <c r="BB3178" s="3">
        <v>0</v>
      </c>
      <c r="BC3178" s="3">
        <v>0</v>
      </c>
      <c r="BD3178" s="3">
        <v>0</v>
      </c>
      <c r="BE3178" s="3">
        <v>0</v>
      </c>
      <c r="BF3178" s="3">
        <v>0</v>
      </c>
      <c r="BG3178" s="3">
        <v>0</v>
      </c>
      <c r="BH3178" s="3">
        <v>1</v>
      </c>
      <c r="BI3178" s="3">
        <v>26</v>
      </c>
      <c r="BJ3178" s="3">
        <v>24</v>
      </c>
      <c r="BK3178" s="3">
        <v>26</v>
      </c>
      <c r="BL3178" s="3">
        <v>171.06</v>
      </c>
      <c r="BM3178" s="3">
        <v>25.66</v>
      </c>
      <c r="BN3178" s="3">
        <v>196.72</v>
      </c>
      <c r="BO3178" s="3">
        <v>196.72</v>
      </c>
      <c r="BQ3178" s="3" t="s">
        <v>126</v>
      </c>
      <c r="BR3178" s="3" t="s">
        <v>364</v>
      </c>
      <c r="BS3178" s="4">
        <v>44571</v>
      </c>
      <c r="BT3178" s="5">
        <v>0.48125000000000001</v>
      </c>
      <c r="BU3178" s="3" t="s">
        <v>2867</v>
      </c>
      <c r="BV3178" s="3" t="s">
        <v>105</v>
      </c>
      <c r="BY3178" s="3">
        <v>120000</v>
      </c>
      <c r="CC3178" s="3" t="s">
        <v>139</v>
      </c>
      <c r="CD3178" s="3">
        <v>3610</v>
      </c>
      <c r="CE3178" s="3" t="s">
        <v>86</v>
      </c>
      <c r="CF3178" s="4">
        <v>44572</v>
      </c>
      <c r="CI3178" s="3">
        <v>1</v>
      </c>
      <c r="CJ3178" s="3">
        <v>1</v>
      </c>
      <c r="CK3178" s="3">
        <v>41</v>
      </c>
      <c r="CL3178" s="3" t="s">
        <v>87</v>
      </c>
    </row>
    <row r="3179" spans="1:90" x14ac:dyDescent="0.2">
      <c r="A3179" s="3" t="s">
        <v>72</v>
      </c>
      <c r="B3179" s="3" t="s">
        <v>73</v>
      </c>
      <c r="C3179" s="3" t="s">
        <v>74</v>
      </c>
      <c r="E3179" s="3" t="str">
        <f>"FES1162844126"</f>
        <v>FES1162844126</v>
      </c>
      <c r="F3179" s="4">
        <v>44568</v>
      </c>
      <c r="G3179" s="3">
        <v>202207</v>
      </c>
      <c r="H3179" s="3" t="s">
        <v>75</v>
      </c>
      <c r="I3179" s="3" t="s">
        <v>76</v>
      </c>
      <c r="J3179" s="3" t="s">
        <v>77</v>
      </c>
      <c r="K3179" s="3" t="s">
        <v>78</v>
      </c>
      <c r="L3179" s="3" t="s">
        <v>171</v>
      </c>
      <c r="M3179" s="3" t="s">
        <v>172</v>
      </c>
      <c r="N3179" s="3" t="s">
        <v>838</v>
      </c>
      <c r="O3179" s="3" t="s">
        <v>82</v>
      </c>
      <c r="P3179" s="3" t="str">
        <f>"2170811468                    "</f>
        <v xml:space="preserve">2170811468                    </v>
      </c>
      <c r="Q3179" s="3">
        <v>0</v>
      </c>
      <c r="R3179" s="3">
        <v>0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  <c r="AE3179" s="3">
        <v>0</v>
      </c>
      <c r="AF3179" s="3">
        <v>0</v>
      </c>
      <c r="AG3179" s="3">
        <v>0</v>
      </c>
      <c r="AH3179" s="3">
        <v>0</v>
      </c>
      <c r="AI3179" s="3">
        <v>0</v>
      </c>
      <c r="AJ3179" s="3">
        <v>0</v>
      </c>
      <c r="AK3179" s="3">
        <v>15.46</v>
      </c>
      <c r="AL3179" s="3">
        <v>0</v>
      </c>
      <c r="AM3179" s="3">
        <v>0</v>
      </c>
      <c r="AN3179" s="3">
        <v>0</v>
      </c>
      <c r="AO3179" s="3">
        <v>0</v>
      </c>
      <c r="AP3179" s="3">
        <v>0</v>
      </c>
      <c r="AQ3179" s="3">
        <v>0</v>
      </c>
      <c r="AR3179" s="3">
        <v>0</v>
      </c>
      <c r="AS3179" s="3">
        <v>0</v>
      </c>
      <c r="AT3179" s="3">
        <v>0</v>
      </c>
      <c r="AU3179" s="3">
        <v>0</v>
      </c>
      <c r="AV3179" s="3">
        <v>0</v>
      </c>
      <c r="AW3179" s="3">
        <v>0</v>
      </c>
      <c r="AX3179" s="3">
        <v>0</v>
      </c>
      <c r="AY3179" s="3">
        <v>0</v>
      </c>
      <c r="AZ3179" s="3">
        <v>0</v>
      </c>
      <c r="BA3179" s="3">
        <v>0</v>
      </c>
      <c r="BB3179" s="3">
        <v>0</v>
      </c>
      <c r="BC3179" s="3">
        <v>0</v>
      </c>
      <c r="BD3179" s="3">
        <v>0</v>
      </c>
      <c r="BE3179" s="3">
        <v>0</v>
      </c>
      <c r="BF3179" s="3">
        <v>0</v>
      </c>
      <c r="BG3179" s="3">
        <v>0</v>
      </c>
      <c r="BH3179" s="3">
        <v>1</v>
      </c>
      <c r="BI3179" s="3">
        <v>1</v>
      </c>
      <c r="BJ3179" s="3">
        <v>0.2</v>
      </c>
      <c r="BK3179" s="3">
        <v>1</v>
      </c>
      <c r="BL3179" s="3">
        <v>59</v>
      </c>
      <c r="BM3179" s="3">
        <v>8.85</v>
      </c>
      <c r="BN3179" s="3">
        <v>67.849999999999994</v>
      </c>
      <c r="BO3179" s="3">
        <v>67.849999999999994</v>
      </c>
      <c r="BQ3179" s="3" t="s">
        <v>83</v>
      </c>
      <c r="BR3179" s="3" t="s">
        <v>364</v>
      </c>
      <c r="BS3179" s="4">
        <v>44571</v>
      </c>
      <c r="BT3179" s="5">
        <v>0.54097222222222219</v>
      </c>
      <c r="BU3179" s="3" t="s">
        <v>2868</v>
      </c>
      <c r="BV3179" s="3" t="s">
        <v>87</v>
      </c>
      <c r="BW3179" s="3" t="s">
        <v>457</v>
      </c>
      <c r="BX3179" s="3" t="s">
        <v>279</v>
      </c>
      <c r="BY3179" s="3">
        <v>1200</v>
      </c>
      <c r="BZ3179" s="3" t="s">
        <v>165</v>
      </c>
      <c r="CA3179" s="3" t="s">
        <v>2855</v>
      </c>
      <c r="CC3179" s="3" t="s">
        <v>172</v>
      </c>
      <c r="CD3179" s="3">
        <v>6001</v>
      </c>
      <c r="CE3179" s="3" t="s">
        <v>93</v>
      </c>
      <c r="CF3179" s="4">
        <v>44572</v>
      </c>
      <c r="CI3179" s="3">
        <v>1</v>
      </c>
      <c r="CJ3179" s="3">
        <v>1</v>
      </c>
      <c r="CK3179" s="3">
        <v>21</v>
      </c>
      <c r="CL3179" s="3" t="s">
        <v>87</v>
      </c>
    </row>
    <row r="3180" spans="1:90" x14ac:dyDescent="0.2">
      <c r="A3180" s="3" t="s">
        <v>72</v>
      </c>
      <c r="B3180" s="3" t="s">
        <v>73</v>
      </c>
      <c r="C3180" s="3" t="s">
        <v>74</v>
      </c>
      <c r="E3180" s="3" t="str">
        <f>"FES1162843990"</f>
        <v>FES1162843990</v>
      </c>
      <c r="F3180" s="4">
        <v>44568</v>
      </c>
      <c r="G3180" s="3">
        <v>202207</v>
      </c>
      <c r="H3180" s="3" t="s">
        <v>75</v>
      </c>
      <c r="I3180" s="3" t="s">
        <v>76</v>
      </c>
      <c r="J3180" s="3" t="s">
        <v>77</v>
      </c>
      <c r="K3180" s="3" t="s">
        <v>78</v>
      </c>
      <c r="L3180" s="3" t="s">
        <v>90</v>
      </c>
      <c r="M3180" s="3" t="s">
        <v>91</v>
      </c>
      <c r="N3180" s="3" t="s">
        <v>791</v>
      </c>
      <c r="O3180" s="3" t="s">
        <v>82</v>
      </c>
      <c r="P3180" s="3" t="str">
        <f>"2170815505                    "</f>
        <v xml:space="preserve">2170815505                    </v>
      </c>
      <c r="Q3180" s="3">
        <v>0</v>
      </c>
      <c r="R3180" s="3">
        <v>0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  <c r="AE3180" s="3">
        <v>0</v>
      </c>
      <c r="AF3180" s="3">
        <v>0</v>
      </c>
      <c r="AG3180" s="3">
        <v>0</v>
      </c>
      <c r="AH3180" s="3">
        <v>0</v>
      </c>
      <c r="AI3180" s="3">
        <v>0</v>
      </c>
      <c r="AJ3180" s="3">
        <v>0</v>
      </c>
      <c r="AK3180" s="3">
        <v>15.46</v>
      </c>
      <c r="AL3180" s="3">
        <v>0</v>
      </c>
      <c r="AM3180" s="3">
        <v>0</v>
      </c>
      <c r="AN3180" s="3">
        <v>0</v>
      </c>
      <c r="AO3180" s="3">
        <v>0</v>
      </c>
      <c r="AP3180" s="3">
        <v>0</v>
      </c>
      <c r="AQ3180" s="3">
        <v>0</v>
      </c>
      <c r="AR3180" s="3">
        <v>0</v>
      </c>
      <c r="AS3180" s="3">
        <v>0</v>
      </c>
      <c r="AT3180" s="3">
        <v>0</v>
      </c>
      <c r="AU3180" s="3">
        <v>0</v>
      </c>
      <c r="AV3180" s="3">
        <v>0</v>
      </c>
      <c r="AW3180" s="3">
        <v>0</v>
      </c>
      <c r="AX3180" s="3">
        <v>0</v>
      </c>
      <c r="AY3180" s="3">
        <v>0</v>
      </c>
      <c r="AZ3180" s="3">
        <v>0</v>
      </c>
      <c r="BA3180" s="3">
        <v>0</v>
      </c>
      <c r="BB3180" s="3">
        <v>0</v>
      </c>
      <c r="BC3180" s="3">
        <v>0</v>
      </c>
      <c r="BD3180" s="3">
        <v>0</v>
      </c>
      <c r="BE3180" s="3">
        <v>0</v>
      </c>
      <c r="BF3180" s="3">
        <v>0</v>
      </c>
      <c r="BG3180" s="3">
        <v>0</v>
      </c>
      <c r="BH3180" s="3">
        <v>1</v>
      </c>
      <c r="BI3180" s="3">
        <v>1</v>
      </c>
      <c r="BJ3180" s="3">
        <v>0.2</v>
      </c>
      <c r="BK3180" s="3">
        <v>1</v>
      </c>
      <c r="BL3180" s="3">
        <v>59</v>
      </c>
      <c r="BM3180" s="3">
        <v>8.85</v>
      </c>
      <c r="BN3180" s="3">
        <v>67.849999999999994</v>
      </c>
      <c r="BO3180" s="3">
        <v>67.849999999999994</v>
      </c>
      <c r="BQ3180" s="3" t="s">
        <v>145</v>
      </c>
      <c r="BR3180" s="3" t="s">
        <v>364</v>
      </c>
      <c r="BS3180" s="4">
        <v>44571</v>
      </c>
      <c r="BT3180" s="5">
        <v>0.60069444444444442</v>
      </c>
      <c r="BU3180" s="3" t="s">
        <v>2869</v>
      </c>
      <c r="BV3180" s="3" t="s">
        <v>87</v>
      </c>
      <c r="BW3180" s="3" t="s">
        <v>353</v>
      </c>
      <c r="BX3180" s="3" t="s">
        <v>354</v>
      </c>
      <c r="BY3180" s="3">
        <v>1200</v>
      </c>
      <c r="BZ3180" s="3" t="s">
        <v>165</v>
      </c>
      <c r="CA3180" s="3" t="s">
        <v>623</v>
      </c>
      <c r="CC3180" s="3" t="s">
        <v>91</v>
      </c>
      <c r="CD3180" s="3">
        <v>7945</v>
      </c>
      <c r="CE3180" s="3" t="s">
        <v>93</v>
      </c>
      <c r="CF3180" s="4">
        <v>44572</v>
      </c>
      <c r="CI3180" s="3">
        <v>1</v>
      </c>
      <c r="CJ3180" s="3">
        <v>1</v>
      </c>
      <c r="CK3180" s="3">
        <v>21</v>
      </c>
      <c r="CL3180" s="3" t="s">
        <v>87</v>
      </c>
    </row>
    <row r="3181" spans="1:90" x14ac:dyDescent="0.2">
      <c r="A3181" s="3" t="s">
        <v>72</v>
      </c>
      <c r="B3181" s="3" t="s">
        <v>73</v>
      </c>
      <c r="C3181" s="3" t="s">
        <v>74</v>
      </c>
      <c r="E3181" s="3" t="str">
        <f>"FES1162844205"</f>
        <v>FES1162844205</v>
      </c>
      <c r="F3181" s="4">
        <v>44568</v>
      </c>
      <c r="G3181" s="3">
        <v>202207</v>
      </c>
      <c r="H3181" s="3" t="s">
        <v>75</v>
      </c>
      <c r="I3181" s="3" t="s">
        <v>76</v>
      </c>
      <c r="J3181" s="3" t="s">
        <v>77</v>
      </c>
      <c r="K3181" s="3" t="s">
        <v>78</v>
      </c>
      <c r="L3181" s="3" t="s">
        <v>101</v>
      </c>
      <c r="M3181" s="3" t="s">
        <v>102</v>
      </c>
      <c r="N3181" s="3" t="s">
        <v>272</v>
      </c>
      <c r="O3181" s="3" t="s">
        <v>82</v>
      </c>
      <c r="P3181" s="3" t="str">
        <f>"2170815959                    "</f>
        <v xml:space="preserve">2170815959                    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  <c r="W3181" s="3">
        <v>0</v>
      </c>
      <c r="X3181" s="3">
        <v>0</v>
      </c>
      <c r="Y3181" s="3">
        <v>0</v>
      </c>
      <c r="Z3181" s="3">
        <v>0</v>
      </c>
      <c r="AA3181" s="3">
        <v>0</v>
      </c>
      <c r="AB3181" s="3">
        <v>0</v>
      </c>
      <c r="AC3181" s="3">
        <v>0</v>
      </c>
      <c r="AD3181" s="3">
        <v>0</v>
      </c>
      <c r="AE3181" s="3">
        <v>0</v>
      </c>
      <c r="AF3181" s="3">
        <v>0</v>
      </c>
      <c r="AG3181" s="3">
        <v>0</v>
      </c>
      <c r="AH3181" s="3">
        <v>0</v>
      </c>
      <c r="AI3181" s="3">
        <v>0</v>
      </c>
      <c r="AJ3181" s="3">
        <v>0</v>
      </c>
      <c r="AK3181" s="3">
        <v>15.46</v>
      </c>
      <c r="AL3181" s="3">
        <v>0</v>
      </c>
      <c r="AM3181" s="3">
        <v>0</v>
      </c>
      <c r="AN3181" s="3">
        <v>0</v>
      </c>
      <c r="AO3181" s="3">
        <v>0</v>
      </c>
      <c r="AP3181" s="3">
        <v>0</v>
      </c>
      <c r="AQ3181" s="3">
        <v>0</v>
      </c>
      <c r="AR3181" s="3">
        <v>0</v>
      </c>
      <c r="AS3181" s="3">
        <v>0</v>
      </c>
      <c r="AT3181" s="3">
        <v>0</v>
      </c>
      <c r="AU3181" s="3">
        <v>0</v>
      </c>
      <c r="AV3181" s="3">
        <v>0</v>
      </c>
      <c r="AW3181" s="3">
        <v>0</v>
      </c>
      <c r="AX3181" s="3">
        <v>0</v>
      </c>
      <c r="AY3181" s="3">
        <v>0</v>
      </c>
      <c r="AZ3181" s="3">
        <v>0</v>
      </c>
      <c r="BA3181" s="3">
        <v>0</v>
      </c>
      <c r="BB3181" s="3">
        <v>0</v>
      </c>
      <c r="BC3181" s="3">
        <v>0</v>
      </c>
      <c r="BD3181" s="3">
        <v>0</v>
      </c>
      <c r="BE3181" s="3">
        <v>0</v>
      </c>
      <c r="BF3181" s="3">
        <v>0</v>
      </c>
      <c r="BG3181" s="3">
        <v>0</v>
      </c>
      <c r="BH3181" s="3">
        <v>1</v>
      </c>
      <c r="BI3181" s="3">
        <v>1</v>
      </c>
      <c r="BJ3181" s="3">
        <v>0.2</v>
      </c>
      <c r="BK3181" s="3">
        <v>1</v>
      </c>
      <c r="BL3181" s="3">
        <v>59</v>
      </c>
      <c r="BM3181" s="3">
        <v>8.85</v>
      </c>
      <c r="BN3181" s="3">
        <v>67.849999999999994</v>
      </c>
      <c r="BO3181" s="3">
        <v>67.849999999999994</v>
      </c>
      <c r="BQ3181" s="3" t="s">
        <v>273</v>
      </c>
      <c r="BR3181" s="3" t="s">
        <v>364</v>
      </c>
      <c r="BS3181" s="4">
        <v>44571</v>
      </c>
      <c r="BT3181" s="5">
        <v>0.35347222222222219</v>
      </c>
      <c r="BU3181" s="3" t="s">
        <v>274</v>
      </c>
      <c r="BV3181" s="3" t="s">
        <v>105</v>
      </c>
      <c r="BY3181" s="3">
        <v>1200</v>
      </c>
      <c r="BZ3181" s="3" t="s">
        <v>165</v>
      </c>
      <c r="CA3181" s="3" t="s">
        <v>275</v>
      </c>
      <c r="CC3181" s="3" t="s">
        <v>102</v>
      </c>
      <c r="CD3181" s="3">
        <v>4000</v>
      </c>
      <c r="CE3181" s="3" t="s">
        <v>93</v>
      </c>
      <c r="CF3181" s="4">
        <v>44571</v>
      </c>
      <c r="CI3181" s="3">
        <v>1</v>
      </c>
      <c r="CJ3181" s="3">
        <v>1</v>
      </c>
      <c r="CK3181" s="3">
        <v>21</v>
      </c>
      <c r="CL3181" s="3" t="s">
        <v>87</v>
      </c>
    </row>
    <row r="3182" spans="1:90" x14ac:dyDescent="0.2">
      <c r="A3182" s="3" t="s">
        <v>72</v>
      </c>
      <c r="B3182" s="3" t="s">
        <v>73</v>
      </c>
      <c r="C3182" s="3" t="s">
        <v>74</v>
      </c>
      <c r="E3182" s="3" t="str">
        <f>"FES1162843884"</f>
        <v>FES1162843884</v>
      </c>
      <c r="F3182" s="4">
        <v>44568</v>
      </c>
      <c r="G3182" s="3">
        <v>202207</v>
      </c>
      <c r="H3182" s="3" t="s">
        <v>75</v>
      </c>
      <c r="I3182" s="3" t="s">
        <v>76</v>
      </c>
      <c r="J3182" s="3" t="s">
        <v>77</v>
      </c>
      <c r="K3182" s="3" t="s">
        <v>78</v>
      </c>
      <c r="L3182" s="3" t="s">
        <v>731</v>
      </c>
      <c r="M3182" s="3" t="s">
        <v>732</v>
      </c>
      <c r="N3182" s="3" t="s">
        <v>733</v>
      </c>
      <c r="O3182" s="3" t="s">
        <v>82</v>
      </c>
      <c r="P3182" s="3" t="str">
        <f>"2170815803                    "</f>
        <v xml:space="preserve">2170815803                    </v>
      </c>
      <c r="Q3182" s="3">
        <v>0</v>
      </c>
      <c r="R3182" s="3">
        <v>0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  <c r="AE3182" s="3">
        <v>0</v>
      </c>
      <c r="AF3182" s="3">
        <v>0</v>
      </c>
      <c r="AG3182" s="3">
        <v>0</v>
      </c>
      <c r="AH3182" s="3">
        <v>0</v>
      </c>
      <c r="AI3182" s="3">
        <v>0</v>
      </c>
      <c r="AJ3182" s="3">
        <v>0</v>
      </c>
      <c r="AK3182" s="3">
        <v>57</v>
      </c>
      <c r="AL3182" s="3">
        <v>0</v>
      </c>
      <c r="AM3182" s="3">
        <v>0</v>
      </c>
      <c r="AN3182" s="3">
        <v>0</v>
      </c>
      <c r="AO3182" s="3">
        <v>0</v>
      </c>
      <c r="AP3182" s="3">
        <v>0</v>
      </c>
      <c r="AQ3182" s="3">
        <v>0</v>
      </c>
      <c r="AR3182" s="3">
        <v>0</v>
      </c>
      <c r="AS3182" s="3">
        <v>0</v>
      </c>
      <c r="AT3182" s="3">
        <v>0</v>
      </c>
      <c r="AU3182" s="3">
        <v>0</v>
      </c>
      <c r="AV3182" s="3">
        <v>0</v>
      </c>
      <c r="AW3182" s="3">
        <v>0</v>
      </c>
      <c r="AX3182" s="3">
        <v>0</v>
      </c>
      <c r="AY3182" s="3">
        <v>0</v>
      </c>
      <c r="AZ3182" s="3">
        <v>0</v>
      </c>
      <c r="BA3182" s="3">
        <v>0</v>
      </c>
      <c r="BB3182" s="3">
        <v>0</v>
      </c>
      <c r="BC3182" s="3">
        <v>0</v>
      </c>
      <c r="BD3182" s="3">
        <v>0</v>
      </c>
      <c r="BE3182" s="3">
        <v>0</v>
      </c>
      <c r="BF3182" s="3">
        <v>0</v>
      </c>
      <c r="BG3182" s="3">
        <v>0</v>
      </c>
      <c r="BH3182" s="3">
        <v>1</v>
      </c>
      <c r="BI3182" s="3">
        <v>4</v>
      </c>
      <c r="BJ3182" s="3">
        <v>2.8</v>
      </c>
      <c r="BK3182" s="3">
        <v>4</v>
      </c>
      <c r="BL3182" s="3">
        <v>217.56</v>
      </c>
      <c r="BM3182" s="3">
        <v>32.630000000000003</v>
      </c>
      <c r="BN3182" s="3">
        <v>250.19</v>
      </c>
      <c r="BO3182" s="3">
        <v>250.19</v>
      </c>
      <c r="BQ3182" s="3" t="s">
        <v>89</v>
      </c>
      <c r="BR3182" s="3" t="s">
        <v>364</v>
      </c>
      <c r="BS3182" s="4">
        <v>44572</v>
      </c>
      <c r="BT3182" s="5">
        <v>0.44097222222222227</v>
      </c>
      <c r="BU3182" s="3" t="s">
        <v>2513</v>
      </c>
      <c r="BV3182" s="3" t="s">
        <v>87</v>
      </c>
      <c r="BY3182" s="3">
        <v>13872</v>
      </c>
      <c r="CA3182" s="3" t="s">
        <v>328</v>
      </c>
      <c r="CC3182" s="3" t="s">
        <v>732</v>
      </c>
      <c r="CD3182" s="3">
        <v>3290</v>
      </c>
      <c r="CE3182" s="3" t="s">
        <v>86</v>
      </c>
      <c r="CF3182" s="4">
        <v>44574</v>
      </c>
      <c r="CI3182" s="3">
        <v>1</v>
      </c>
      <c r="CJ3182" s="3">
        <v>2</v>
      </c>
      <c r="CK3182" s="3">
        <v>23</v>
      </c>
      <c r="CL3182" s="3" t="s">
        <v>87</v>
      </c>
    </row>
    <row r="3183" spans="1:90" x14ac:dyDescent="0.2">
      <c r="A3183" s="3" t="s">
        <v>72</v>
      </c>
      <c r="B3183" s="3" t="s">
        <v>73</v>
      </c>
      <c r="C3183" s="3" t="s">
        <v>74</v>
      </c>
      <c r="E3183" s="3" t="str">
        <f>"FES1162843986"</f>
        <v>FES1162843986</v>
      </c>
      <c r="F3183" s="4">
        <v>44568</v>
      </c>
      <c r="G3183" s="3">
        <v>202207</v>
      </c>
      <c r="H3183" s="3" t="s">
        <v>75</v>
      </c>
      <c r="I3183" s="3" t="s">
        <v>76</v>
      </c>
      <c r="J3183" s="3" t="s">
        <v>77</v>
      </c>
      <c r="K3183" s="3" t="s">
        <v>78</v>
      </c>
      <c r="L3183" s="3" t="s">
        <v>731</v>
      </c>
      <c r="M3183" s="3" t="s">
        <v>732</v>
      </c>
      <c r="N3183" s="3" t="s">
        <v>883</v>
      </c>
      <c r="O3183" s="3" t="s">
        <v>82</v>
      </c>
      <c r="P3183" s="3" t="str">
        <f>"2170815318                    "</f>
        <v xml:space="preserve">2170815318                    </v>
      </c>
      <c r="Q3183" s="3">
        <v>0</v>
      </c>
      <c r="R3183" s="3">
        <v>0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  <c r="AE3183" s="3">
        <v>0</v>
      </c>
      <c r="AF3183" s="3">
        <v>0</v>
      </c>
      <c r="AG3183" s="3">
        <v>0</v>
      </c>
      <c r="AH3183" s="3">
        <v>0</v>
      </c>
      <c r="AI3183" s="3">
        <v>0</v>
      </c>
      <c r="AJ3183" s="3">
        <v>0</v>
      </c>
      <c r="AK3183" s="3">
        <v>29.95</v>
      </c>
      <c r="AL3183" s="3">
        <v>0</v>
      </c>
      <c r="AM3183" s="3">
        <v>0</v>
      </c>
      <c r="AN3183" s="3">
        <v>0</v>
      </c>
      <c r="AO3183" s="3">
        <v>0</v>
      </c>
      <c r="AP3183" s="3">
        <v>0</v>
      </c>
      <c r="AQ3183" s="3">
        <v>0</v>
      </c>
      <c r="AR3183" s="3">
        <v>0</v>
      </c>
      <c r="AS3183" s="3">
        <v>0</v>
      </c>
      <c r="AT3183" s="3">
        <v>0</v>
      </c>
      <c r="AU3183" s="3">
        <v>0</v>
      </c>
      <c r="AV3183" s="3">
        <v>0</v>
      </c>
      <c r="AW3183" s="3">
        <v>0</v>
      </c>
      <c r="AX3183" s="3">
        <v>0</v>
      </c>
      <c r="AY3183" s="3">
        <v>0</v>
      </c>
      <c r="AZ3183" s="3">
        <v>0</v>
      </c>
      <c r="BA3183" s="3">
        <v>0</v>
      </c>
      <c r="BB3183" s="3">
        <v>0</v>
      </c>
      <c r="BC3183" s="3">
        <v>0</v>
      </c>
      <c r="BD3183" s="3">
        <v>0</v>
      </c>
      <c r="BE3183" s="3">
        <v>0</v>
      </c>
      <c r="BF3183" s="3">
        <v>0</v>
      </c>
      <c r="BG3183" s="3">
        <v>0</v>
      </c>
      <c r="BH3183" s="3">
        <v>1</v>
      </c>
      <c r="BI3183" s="3">
        <v>1</v>
      </c>
      <c r="BJ3183" s="3">
        <v>0.2</v>
      </c>
      <c r="BK3183" s="3">
        <v>1</v>
      </c>
      <c r="BL3183" s="3">
        <v>114.31</v>
      </c>
      <c r="BM3183" s="3">
        <v>17.149999999999999</v>
      </c>
      <c r="BN3183" s="3">
        <v>131.46</v>
      </c>
      <c r="BO3183" s="3">
        <v>131.46</v>
      </c>
      <c r="BQ3183" s="3" t="s">
        <v>273</v>
      </c>
      <c r="BR3183" s="3" t="s">
        <v>364</v>
      </c>
      <c r="BS3183" s="4">
        <v>44572</v>
      </c>
      <c r="BT3183" s="5">
        <v>0.44791666666666669</v>
      </c>
      <c r="BU3183" s="3" t="s">
        <v>2870</v>
      </c>
      <c r="BV3183" s="3" t="s">
        <v>87</v>
      </c>
      <c r="BY3183" s="3">
        <v>1200</v>
      </c>
      <c r="BZ3183" s="3" t="s">
        <v>165</v>
      </c>
      <c r="CA3183" s="3" t="s">
        <v>328</v>
      </c>
      <c r="CC3183" s="3" t="s">
        <v>732</v>
      </c>
      <c r="CD3183" s="3">
        <v>3280</v>
      </c>
      <c r="CE3183" s="3" t="s">
        <v>93</v>
      </c>
      <c r="CF3183" s="4">
        <v>44574</v>
      </c>
      <c r="CI3183" s="3">
        <v>1</v>
      </c>
      <c r="CJ3183" s="3">
        <v>2</v>
      </c>
      <c r="CK3183" s="3">
        <v>23</v>
      </c>
      <c r="CL3183" s="3" t="s">
        <v>87</v>
      </c>
    </row>
    <row r="3184" spans="1:90" x14ac:dyDescent="0.2">
      <c r="A3184" s="3" t="s">
        <v>72</v>
      </c>
      <c r="B3184" s="3" t="s">
        <v>73</v>
      </c>
      <c r="C3184" s="3" t="s">
        <v>74</v>
      </c>
      <c r="E3184" s="3" t="str">
        <f>"FES1162844075"</f>
        <v>FES1162844075</v>
      </c>
      <c r="F3184" s="4">
        <v>44568</v>
      </c>
      <c r="G3184" s="3">
        <v>202207</v>
      </c>
      <c r="H3184" s="3" t="s">
        <v>75</v>
      </c>
      <c r="I3184" s="3" t="s">
        <v>76</v>
      </c>
      <c r="J3184" s="3" t="s">
        <v>77</v>
      </c>
      <c r="K3184" s="3" t="s">
        <v>78</v>
      </c>
      <c r="L3184" s="3" t="s">
        <v>90</v>
      </c>
      <c r="M3184" s="3" t="s">
        <v>91</v>
      </c>
      <c r="N3184" s="3" t="s">
        <v>114</v>
      </c>
      <c r="O3184" s="3" t="s">
        <v>82</v>
      </c>
      <c r="P3184" s="3" t="str">
        <f>"2170812440                    "</f>
        <v xml:space="preserve">2170812440                    </v>
      </c>
      <c r="Q3184" s="3">
        <v>0</v>
      </c>
      <c r="R3184" s="3">
        <v>0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  <c r="AE3184" s="3">
        <v>0</v>
      </c>
      <c r="AF3184" s="3">
        <v>0</v>
      </c>
      <c r="AG3184" s="3">
        <v>0</v>
      </c>
      <c r="AH3184" s="3">
        <v>0</v>
      </c>
      <c r="AI3184" s="3">
        <v>0</v>
      </c>
      <c r="AJ3184" s="3">
        <v>0</v>
      </c>
      <c r="AK3184" s="3">
        <v>61.81</v>
      </c>
      <c r="AL3184" s="3">
        <v>0</v>
      </c>
      <c r="AM3184" s="3">
        <v>0</v>
      </c>
      <c r="AN3184" s="3">
        <v>0</v>
      </c>
      <c r="AO3184" s="3">
        <v>0</v>
      </c>
      <c r="AP3184" s="3">
        <v>0</v>
      </c>
      <c r="AQ3184" s="3">
        <v>0</v>
      </c>
      <c r="AR3184" s="3">
        <v>0</v>
      </c>
      <c r="AS3184" s="3">
        <v>0</v>
      </c>
      <c r="AT3184" s="3">
        <v>0</v>
      </c>
      <c r="AU3184" s="3">
        <v>0</v>
      </c>
      <c r="AV3184" s="3">
        <v>0</v>
      </c>
      <c r="AW3184" s="3">
        <v>0</v>
      </c>
      <c r="AX3184" s="3">
        <v>0</v>
      </c>
      <c r="AY3184" s="3">
        <v>0</v>
      </c>
      <c r="AZ3184" s="3">
        <v>0</v>
      </c>
      <c r="BA3184" s="3">
        <v>0</v>
      </c>
      <c r="BB3184" s="3">
        <v>0</v>
      </c>
      <c r="BC3184" s="3">
        <v>0</v>
      </c>
      <c r="BD3184" s="3">
        <v>0</v>
      </c>
      <c r="BE3184" s="3">
        <v>0</v>
      </c>
      <c r="BF3184" s="3">
        <v>0</v>
      </c>
      <c r="BG3184" s="3">
        <v>0</v>
      </c>
      <c r="BH3184" s="3">
        <v>1</v>
      </c>
      <c r="BI3184" s="3">
        <v>3</v>
      </c>
      <c r="BJ3184" s="3">
        <v>7.7</v>
      </c>
      <c r="BK3184" s="3">
        <v>8</v>
      </c>
      <c r="BL3184" s="3">
        <v>235.91</v>
      </c>
      <c r="BM3184" s="3">
        <v>35.39</v>
      </c>
      <c r="BN3184" s="3">
        <v>271.3</v>
      </c>
      <c r="BO3184" s="3">
        <v>271.3</v>
      </c>
      <c r="BQ3184" s="3" t="s">
        <v>89</v>
      </c>
      <c r="BR3184" s="3" t="s">
        <v>364</v>
      </c>
      <c r="BS3184" s="4">
        <v>44571</v>
      </c>
      <c r="BT3184" s="5">
        <v>0.3430555555555555</v>
      </c>
      <c r="BU3184" s="3" t="s">
        <v>1205</v>
      </c>
      <c r="BV3184" s="3" t="s">
        <v>105</v>
      </c>
      <c r="BY3184" s="3">
        <v>38400</v>
      </c>
      <c r="CA3184" s="3" t="s">
        <v>289</v>
      </c>
      <c r="CC3184" s="3" t="s">
        <v>91</v>
      </c>
      <c r="CD3184" s="3">
        <v>7441</v>
      </c>
      <c r="CE3184" s="3" t="s">
        <v>86</v>
      </c>
      <c r="CF3184" s="4">
        <v>44572</v>
      </c>
      <c r="CI3184" s="3">
        <v>1</v>
      </c>
      <c r="CJ3184" s="3">
        <v>1</v>
      </c>
      <c r="CK3184" s="3">
        <v>21</v>
      </c>
      <c r="CL3184" s="3" t="s">
        <v>87</v>
      </c>
    </row>
    <row r="3185" spans="1:90" x14ac:dyDescent="0.2">
      <c r="A3185" s="3" t="s">
        <v>72</v>
      </c>
      <c r="B3185" s="3" t="s">
        <v>73</v>
      </c>
      <c r="C3185" s="3" t="s">
        <v>74</v>
      </c>
      <c r="E3185" s="3" t="str">
        <f>"FES1162844135"</f>
        <v>FES1162844135</v>
      </c>
      <c r="F3185" s="4">
        <v>44568</v>
      </c>
      <c r="G3185" s="3">
        <v>202207</v>
      </c>
      <c r="H3185" s="3" t="s">
        <v>75</v>
      </c>
      <c r="I3185" s="3" t="s">
        <v>76</v>
      </c>
      <c r="J3185" s="3" t="s">
        <v>77</v>
      </c>
      <c r="K3185" s="3" t="s">
        <v>78</v>
      </c>
      <c r="L3185" s="3" t="s">
        <v>101</v>
      </c>
      <c r="M3185" s="3" t="s">
        <v>102</v>
      </c>
      <c r="N3185" s="3" t="s">
        <v>1463</v>
      </c>
      <c r="O3185" s="3" t="s">
        <v>82</v>
      </c>
      <c r="P3185" s="3" t="str">
        <f>"2170814131                    "</f>
        <v xml:space="preserve">2170814131                    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  <c r="AE3185" s="3">
        <v>0</v>
      </c>
      <c r="AF3185" s="3">
        <v>0</v>
      </c>
      <c r="AG3185" s="3">
        <v>0</v>
      </c>
      <c r="AH3185" s="3">
        <v>0</v>
      </c>
      <c r="AI3185" s="3">
        <v>0</v>
      </c>
      <c r="AJ3185" s="3">
        <v>0</v>
      </c>
      <c r="AK3185" s="3">
        <v>15.46</v>
      </c>
      <c r="AL3185" s="3">
        <v>0</v>
      </c>
      <c r="AM3185" s="3">
        <v>0</v>
      </c>
      <c r="AN3185" s="3">
        <v>0</v>
      </c>
      <c r="AO3185" s="3">
        <v>0</v>
      </c>
      <c r="AP3185" s="3">
        <v>0</v>
      </c>
      <c r="AQ3185" s="3">
        <v>0</v>
      </c>
      <c r="AR3185" s="3">
        <v>0</v>
      </c>
      <c r="AS3185" s="3">
        <v>0</v>
      </c>
      <c r="AT3185" s="3">
        <v>0</v>
      </c>
      <c r="AU3185" s="3">
        <v>0</v>
      </c>
      <c r="AV3185" s="3">
        <v>0</v>
      </c>
      <c r="AW3185" s="3">
        <v>0</v>
      </c>
      <c r="AX3185" s="3">
        <v>0</v>
      </c>
      <c r="AY3185" s="3">
        <v>0</v>
      </c>
      <c r="AZ3185" s="3">
        <v>0</v>
      </c>
      <c r="BA3185" s="3">
        <v>0</v>
      </c>
      <c r="BB3185" s="3">
        <v>0</v>
      </c>
      <c r="BC3185" s="3">
        <v>0</v>
      </c>
      <c r="BD3185" s="3">
        <v>0</v>
      </c>
      <c r="BE3185" s="3">
        <v>0</v>
      </c>
      <c r="BF3185" s="3">
        <v>0</v>
      </c>
      <c r="BG3185" s="3">
        <v>0</v>
      </c>
      <c r="BH3185" s="3">
        <v>1</v>
      </c>
      <c r="BI3185" s="3">
        <v>1</v>
      </c>
      <c r="BJ3185" s="3">
        <v>0.2</v>
      </c>
      <c r="BK3185" s="3">
        <v>1</v>
      </c>
      <c r="BL3185" s="3">
        <v>59</v>
      </c>
      <c r="BM3185" s="3">
        <v>8.85</v>
      </c>
      <c r="BN3185" s="3">
        <v>67.849999999999994</v>
      </c>
      <c r="BO3185" s="3">
        <v>67.849999999999994</v>
      </c>
      <c r="BQ3185" s="3" t="s">
        <v>1464</v>
      </c>
      <c r="BR3185" s="3" t="s">
        <v>364</v>
      </c>
      <c r="BS3185" s="4">
        <v>44571</v>
      </c>
      <c r="BT3185" s="5">
        <v>0.43333333333333335</v>
      </c>
      <c r="BU3185" s="3" t="s">
        <v>2871</v>
      </c>
      <c r="BV3185" s="3" t="s">
        <v>105</v>
      </c>
      <c r="BY3185" s="3">
        <v>1200</v>
      </c>
      <c r="BZ3185" s="3" t="s">
        <v>165</v>
      </c>
      <c r="CA3185" s="3" t="s">
        <v>343</v>
      </c>
      <c r="CC3185" s="3" t="s">
        <v>102</v>
      </c>
      <c r="CD3185" s="3">
        <v>4001</v>
      </c>
      <c r="CE3185" s="3" t="s">
        <v>93</v>
      </c>
      <c r="CF3185" s="4">
        <v>44571</v>
      </c>
      <c r="CI3185" s="3">
        <v>1</v>
      </c>
      <c r="CJ3185" s="3">
        <v>1</v>
      </c>
      <c r="CK3185" s="3">
        <v>21</v>
      </c>
      <c r="CL3185" s="3" t="s">
        <v>87</v>
      </c>
    </row>
    <row r="3186" spans="1:90" x14ac:dyDescent="0.2">
      <c r="A3186" s="3" t="s">
        <v>72</v>
      </c>
      <c r="B3186" s="3" t="s">
        <v>73</v>
      </c>
      <c r="C3186" s="3" t="s">
        <v>74</v>
      </c>
      <c r="E3186" s="3" t="str">
        <f>"FES1162843945"</f>
        <v>FES1162843945</v>
      </c>
      <c r="F3186" s="4">
        <v>44568</v>
      </c>
      <c r="G3186" s="3">
        <v>202207</v>
      </c>
      <c r="H3186" s="3" t="s">
        <v>75</v>
      </c>
      <c r="I3186" s="3" t="s">
        <v>76</v>
      </c>
      <c r="J3186" s="3" t="s">
        <v>77</v>
      </c>
      <c r="K3186" s="3" t="s">
        <v>78</v>
      </c>
      <c r="L3186" s="3" t="s">
        <v>101</v>
      </c>
      <c r="M3186" s="3" t="s">
        <v>102</v>
      </c>
      <c r="N3186" s="3" t="s">
        <v>2872</v>
      </c>
      <c r="O3186" s="3" t="s">
        <v>148</v>
      </c>
      <c r="P3186" s="3" t="str">
        <f>"2170813825                    "</f>
        <v xml:space="preserve">2170813825                    </v>
      </c>
      <c r="Q3186" s="3">
        <v>0</v>
      </c>
      <c r="R3186" s="3">
        <v>0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  <c r="AE3186" s="3">
        <v>0</v>
      </c>
      <c r="AF3186" s="3">
        <v>0</v>
      </c>
      <c r="AG3186" s="3">
        <v>0</v>
      </c>
      <c r="AH3186" s="3">
        <v>0</v>
      </c>
      <c r="AI3186" s="3">
        <v>0</v>
      </c>
      <c r="AJ3186" s="3">
        <v>0</v>
      </c>
      <c r="AK3186" s="3">
        <v>34.82</v>
      </c>
      <c r="AL3186" s="3">
        <v>0</v>
      </c>
      <c r="AM3186" s="3">
        <v>0</v>
      </c>
      <c r="AN3186" s="3">
        <v>0</v>
      </c>
      <c r="AO3186" s="3">
        <v>0</v>
      </c>
      <c r="AP3186" s="3">
        <v>0</v>
      </c>
      <c r="AQ3186" s="3">
        <v>0</v>
      </c>
      <c r="AR3186" s="3">
        <v>0</v>
      </c>
      <c r="AS3186" s="3">
        <v>0</v>
      </c>
      <c r="AT3186" s="3">
        <v>0</v>
      </c>
      <c r="AU3186" s="3">
        <v>0</v>
      </c>
      <c r="AV3186" s="3">
        <v>0</v>
      </c>
      <c r="AW3186" s="3">
        <v>0</v>
      </c>
      <c r="AX3186" s="3">
        <v>0</v>
      </c>
      <c r="AY3186" s="3">
        <v>0</v>
      </c>
      <c r="AZ3186" s="3">
        <v>0</v>
      </c>
      <c r="BA3186" s="3">
        <v>0</v>
      </c>
      <c r="BB3186" s="3">
        <v>0</v>
      </c>
      <c r="BC3186" s="3">
        <v>0</v>
      </c>
      <c r="BD3186" s="3">
        <v>0</v>
      </c>
      <c r="BE3186" s="3">
        <v>0</v>
      </c>
      <c r="BF3186" s="3">
        <v>0</v>
      </c>
      <c r="BG3186" s="3">
        <v>0</v>
      </c>
      <c r="BH3186" s="3">
        <v>1</v>
      </c>
      <c r="BI3186" s="3">
        <v>13</v>
      </c>
      <c r="BJ3186" s="3">
        <v>18.3</v>
      </c>
      <c r="BK3186" s="3">
        <v>19</v>
      </c>
      <c r="BL3186" s="3">
        <v>138.15</v>
      </c>
      <c r="BM3186" s="3">
        <v>20.72</v>
      </c>
      <c r="BN3186" s="3">
        <v>158.87</v>
      </c>
      <c r="BO3186" s="3">
        <v>158.87</v>
      </c>
      <c r="BQ3186" s="3" t="s">
        <v>89</v>
      </c>
      <c r="BR3186" s="3" t="s">
        <v>364</v>
      </c>
      <c r="BS3186" s="4">
        <v>44571</v>
      </c>
      <c r="BT3186" s="5">
        <v>0.33958333333333335</v>
      </c>
      <c r="BU3186" s="3" t="s">
        <v>2873</v>
      </c>
      <c r="BV3186" s="3" t="s">
        <v>105</v>
      </c>
      <c r="BY3186" s="3">
        <v>91264</v>
      </c>
      <c r="BZ3186" s="3" t="s">
        <v>327</v>
      </c>
      <c r="CA3186" s="3" t="s">
        <v>615</v>
      </c>
      <c r="CC3186" s="3" t="s">
        <v>102</v>
      </c>
      <c r="CD3186" s="3">
        <v>4001</v>
      </c>
      <c r="CE3186" s="3" t="s">
        <v>86</v>
      </c>
      <c r="CF3186" s="4">
        <v>44571</v>
      </c>
      <c r="CI3186" s="3">
        <v>1</v>
      </c>
      <c r="CJ3186" s="3">
        <v>1</v>
      </c>
      <c r="CK3186" s="3">
        <v>41</v>
      </c>
      <c r="CL3186" s="3" t="s">
        <v>87</v>
      </c>
    </row>
    <row r="3187" spans="1:90" x14ac:dyDescent="0.2">
      <c r="A3187" s="3" t="s">
        <v>72</v>
      </c>
      <c r="B3187" s="3" t="s">
        <v>73</v>
      </c>
      <c r="C3187" s="3" t="s">
        <v>74</v>
      </c>
      <c r="E3187" s="3" t="str">
        <f>"FES1162843988"</f>
        <v>FES1162843988</v>
      </c>
      <c r="F3187" s="4">
        <v>44568</v>
      </c>
      <c r="G3187" s="3">
        <v>202207</v>
      </c>
      <c r="H3187" s="3" t="s">
        <v>75</v>
      </c>
      <c r="I3187" s="3" t="s">
        <v>76</v>
      </c>
      <c r="J3187" s="3" t="s">
        <v>77</v>
      </c>
      <c r="K3187" s="3" t="s">
        <v>78</v>
      </c>
      <c r="L3187" s="3" t="s">
        <v>75</v>
      </c>
      <c r="M3187" s="3" t="s">
        <v>76</v>
      </c>
      <c r="N3187" s="3" t="s">
        <v>166</v>
      </c>
      <c r="O3187" s="3" t="s">
        <v>82</v>
      </c>
      <c r="P3187" s="3" t="str">
        <f>"2170815354                    "</f>
        <v xml:space="preserve">2170815354                    </v>
      </c>
      <c r="Q3187" s="3">
        <v>0</v>
      </c>
      <c r="R3187" s="3">
        <v>0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0</v>
      </c>
      <c r="AE3187" s="3">
        <v>0</v>
      </c>
      <c r="AF3187" s="3">
        <v>0</v>
      </c>
      <c r="AG3187" s="3">
        <v>0</v>
      </c>
      <c r="AH3187" s="3">
        <v>0</v>
      </c>
      <c r="AI3187" s="3">
        <v>0</v>
      </c>
      <c r="AJ3187" s="3">
        <v>0</v>
      </c>
      <c r="AK3187" s="3">
        <v>12.07</v>
      </c>
      <c r="AL3187" s="3">
        <v>0</v>
      </c>
      <c r="AM3187" s="3">
        <v>0</v>
      </c>
      <c r="AN3187" s="3">
        <v>0</v>
      </c>
      <c r="AO3187" s="3">
        <v>0</v>
      </c>
      <c r="AP3187" s="3">
        <v>0</v>
      </c>
      <c r="AQ3187" s="3">
        <v>0</v>
      </c>
      <c r="AR3187" s="3">
        <v>0</v>
      </c>
      <c r="AS3187" s="3">
        <v>0</v>
      </c>
      <c r="AT3187" s="3">
        <v>0</v>
      </c>
      <c r="AU3187" s="3">
        <v>0</v>
      </c>
      <c r="AV3187" s="3">
        <v>0</v>
      </c>
      <c r="AW3187" s="3">
        <v>0</v>
      </c>
      <c r="AX3187" s="3">
        <v>0</v>
      </c>
      <c r="AY3187" s="3">
        <v>0</v>
      </c>
      <c r="AZ3187" s="3">
        <v>0</v>
      </c>
      <c r="BA3187" s="3">
        <v>0</v>
      </c>
      <c r="BB3187" s="3">
        <v>0</v>
      </c>
      <c r="BC3187" s="3">
        <v>0</v>
      </c>
      <c r="BD3187" s="3">
        <v>0</v>
      </c>
      <c r="BE3187" s="3">
        <v>0</v>
      </c>
      <c r="BF3187" s="3">
        <v>0</v>
      </c>
      <c r="BG3187" s="3">
        <v>0</v>
      </c>
      <c r="BH3187" s="3">
        <v>1</v>
      </c>
      <c r="BI3187" s="3">
        <v>1</v>
      </c>
      <c r="BJ3187" s="3">
        <v>0.2</v>
      </c>
      <c r="BK3187" s="3">
        <v>1</v>
      </c>
      <c r="BL3187" s="3">
        <v>46.08</v>
      </c>
      <c r="BM3187" s="3">
        <v>6.91</v>
      </c>
      <c r="BN3187" s="3">
        <v>52.99</v>
      </c>
      <c r="BO3187" s="3">
        <v>52.99</v>
      </c>
      <c r="BQ3187" s="3" t="s">
        <v>89</v>
      </c>
      <c r="BR3187" s="3" t="s">
        <v>364</v>
      </c>
      <c r="BS3187" s="4">
        <v>44571</v>
      </c>
      <c r="BT3187" s="5">
        <v>0.32847222222222222</v>
      </c>
      <c r="BU3187" s="3" t="s">
        <v>1778</v>
      </c>
      <c r="BV3187" s="3" t="s">
        <v>105</v>
      </c>
      <c r="BY3187" s="3">
        <v>1200</v>
      </c>
      <c r="BZ3187" s="3" t="s">
        <v>165</v>
      </c>
      <c r="CA3187" s="3" t="s">
        <v>1779</v>
      </c>
      <c r="CC3187" s="3" t="s">
        <v>76</v>
      </c>
      <c r="CD3187" s="3">
        <v>1665</v>
      </c>
      <c r="CE3187" s="3" t="s">
        <v>93</v>
      </c>
      <c r="CF3187" s="4">
        <v>44572</v>
      </c>
      <c r="CI3187" s="3">
        <v>1</v>
      </c>
      <c r="CJ3187" s="3">
        <v>1</v>
      </c>
      <c r="CK3187" s="3">
        <v>22</v>
      </c>
      <c r="CL3187" s="3" t="s">
        <v>87</v>
      </c>
    </row>
    <row r="3188" spans="1:90" x14ac:dyDescent="0.2">
      <c r="A3188" s="3" t="s">
        <v>72</v>
      </c>
      <c r="B3188" s="3" t="s">
        <v>73</v>
      </c>
      <c r="C3188" s="3" t="s">
        <v>74</v>
      </c>
      <c r="E3188" s="3" t="str">
        <f>"FES1162844081"</f>
        <v>FES1162844081</v>
      </c>
      <c r="F3188" s="4">
        <v>44568</v>
      </c>
      <c r="G3188" s="3">
        <v>202207</v>
      </c>
      <c r="H3188" s="3" t="s">
        <v>75</v>
      </c>
      <c r="I3188" s="3" t="s">
        <v>76</v>
      </c>
      <c r="J3188" s="3" t="s">
        <v>77</v>
      </c>
      <c r="K3188" s="3" t="s">
        <v>78</v>
      </c>
      <c r="L3188" s="3" t="s">
        <v>171</v>
      </c>
      <c r="M3188" s="3" t="s">
        <v>172</v>
      </c>
      <c r="N3188" s="3" t="s">
        <v>725</v>
      </c>
      <c r="O3188" s="3" t="s">
        <v>148</v>
      </c>
      <c r="P3188" s="3" t="str">
        <f>"2170813647                    "</f>
        <v xml:space="preserve">2170813647                    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  <c r="AE3188" s="3">
        <v>0</v>
      </c>
      <c r="AF3188" s="3">
        <v>0</v>
      </c>
      <c r="AG3188" s="3">
        <v>0</v>
      </c>
      <c r="AH3188" s="3">
        <v>0</v>
      </c>
      <c r="AI3188" s="3">
        <v>0</v>
      </c>
      <c r="AJ3188" s="3">
        <v>0</v>
      </c>
      <c r="AK3188" s="3">
        <v>36.049999999999997</v>
      </c>
      <c r="AL3188" s="3">
        <v>0</v>
      </c>
      <c r="AM3188" s="3">
        <v>0</v>
      </c>
      <c r="AN3188" s="3">
        <v>0</v>
      </c>
      <c r="AO3188" s="3">
        <v>0</v>
      </c>
      <c r="AP3188" s="3">
        <v>0</v>
      </c>
      <c r="AQ3188" s="3">
        <v>0</v>
      </c>
      <c r="AR3188" s="3">
        <v>0</v>
      </c>
      <c r="AS3188" s="3">
        <v>0</v>
      </c>
      <c r="AT3188" s="3">
        <v>0</v>
      </c>
      <c r="AU3188" s="3">
        <v>0</v>
      </c>
      <c r="AV3188" s="3">
        <v>0</v>
      </c>
      <c r="AW3188" s="3">
        <v>0</v>
      </c>
      <c r="AX3188" s="3">
        <v>0</v>
      </c>
      <c r="AY3188" s="3">
        <v>0</v>
      </c>
      <c r="AZ3188" s="3">
        <v>0</v>
      </c>
      <c r="BA3188" s="3">
        <v>0</v>
      </c>
      <c r="BB3188" s="3">
        <v>0</v>
      </c>
      <c r="BC3188" s="3">
        <v>0</v>
      </c>
      <c r="BD3188" s="3">
        <v>0</v>
      </c>
      <c r="BE3188" s="3">
        <v>0</v>
      </c>
      <c r="BF3188" s="3">
        <v>0</v>
      </c>
      <c r="BG3188" s="3">
        <v>0</v>
      </c>
      <c r="BH3188" s="3">
        <v>1</v>
      </c>
      <c r="BI3188" s="3">
        <v>16</v>
      </c>
      <c r="BJ3188" s="3">
        <v>19.2</v>
      </c>
      <c r="BK3188" s="3">
        <v>20</v>
      </c>
      <c r="BL3188" s="3">
        <v>142.85</v>
      </c>
      <c r="BM3188" s="3">
        <v>21.43</v>
      </c>
      <c r="BN3188" s="3">
        <v>164.28</v>
      </c>
      <c r="BO3188" s="3">
        <v>164.28</v>
      </c>
      <c r="BQ3188" s="3" t="s">
        <v>83</v>
      </c>
      <c r="BR3188" s="3" t="s">
        <v>364</v>
      </c>
      <c r="BS3188" s="4">
        <v>44571</v>
      </c>
      <c r="BT3188" s="5">
        <v>0.37013888888888885</v>
      </c>
      <c r="BU3188" s="3" t="s">
        <v>2061</v>
      </c>
      <c r="BV3188" s="3" t="s">
        <v>105</v>
      </c>
      <c r="BY3188" s="3">
        <v>96000</v>
      </c>
      <c r="BZ3188" s="3" t="s">
        <v>327</v>
      </c>
      <c r="CA3188" s="3" t="s">
        <v>408</v>
      </c>
      <c r="CC3188" s="3" t="s">
        <v>172</v>
      </c>
      <c r="CD3188" s="3">
        <v>6001</v>
      </c>
      <c r="CE3188" s="3" t="s">
        <v>86</v>
      </c>
      <c r="CF3188" s="4">
        <v>44571</v>
      </c>
      <c r="CI3188" s="3">
        <v>2</v>
      </c>
      <c r="CJ3188" s="3">
        <v>1</v>
      </c>
      <c r="CK3188" s="3">
        <v>41</v>
      </c>
      <c r="CL3188" s="3" t="s">
        <v>87</v>
      </c>
    </row>
    <row r="3189" spans="1:90" x14ac:dyDescent="0.2">
      <c r="A3189" s="3" t="s">
        <v>72</v>
      </c>
      <c r="B3189" s="3" t="s">
        <v>73</v>
      </c>
      <c r="C3189" s="3" t="s">
        <v>74</v>
      </c>
      <c r="E3189" s="3" t="str">
        <f>"FES1162843297"</f>
        <v>FES1162843297</v>
      </c>
      <c r="F3189" s="4">
        <v>44564</v>
      </c>
      <c r="G3189" s="3">
        <v>202207</v>
      </c>
      <c r="H3189" s="3" t="s">
        <v>75</v>
      </c>
      <c r="I3189" s="3" t="s">
        <v>76</v>
      </c>
      <c r="J3189" s="3" t="s">
        <v>77</v>
      </c>
      <c r="K3189" s="3" t="s">
        <v>78</v>
      </c>
      <c r="L3189" s="3" t="s">
        <v>94</v>
      </c>
      <c r="M3189" s="3" t="s">
        <v>95</v>
      </c>
      <c r="N3189" s="3" t="s">
        <v>96</v>
      </c>
      <c r="O3189" s="3" t="s">
        <v>82</v>
      </c>
      <c r="P3189" s="3" t="str">
        <f>"2170814499                    "</f>
        <v xml:space="preserve">2170814499                    </v>
      </c>
      <c r="Q3189" s="3">
        <v>0</v>
      </c>
      <c r="R3189" s="3">
        <v>0</v>
      </c>
      <c r="S3189" s="3">
        <v>0</v>
      </c>
      <c r="T3189" s="3">
        <v>0</v>
      </c>
      <c r="U3189" s="3">
        <v>0</v>
      </c>
      <c r="V3189" s="3">
        <v>0</v>
      </c>
      <c r="W3189" s="3">
        <v>0</v>
      </c>
      <c r="X3189" s="3">
        <v>0</v>
      </c>
      <c r="Y3189" s="3">
        <v>0</v>
      </c>
      <c r="Z3189" s="3">
        <v>0</v>
      </c>
      <c r="AA3189" s="3">
        <v>0</v>
      </c>
      <c r="AB3189" s="3">
        <v>0</v>
      </c>
      <c r="AC3189" s="3">
        <v>0</v>
      </c>
      <c r="AD3189" s="3">
        <v>0</v>
      </c>
      <c r="AE3189" s="3">
        <v>0</v>
      </c>
      <c r="AF3189" s="3">
        <v>0</v>
      </c>
      <c r="AG3189" s="3">
        <v>0</v>
      </c>
      <c r="AH3189" s="3">
        <v>0</v>
      </c>
      <c r="AI3189" s="3">
        <v>0</v>
      </c>
      <c r="AJ3189" s="3">
        <v>0</v>
      </c>
      <c r="AK3189" s="3">
        <v>16.98</v>
      </c>
      <c r="AL3189" s="3">
        <v>0</v>
      </c>
      <c r="AM3189" s="3">
        <v>0</v>
      </c>
      <c r="AN3189" s="3">
        <v>0</v>
      </c>
      <c r="AO3189" s="3">
        <v>0</v>
      </c>
      <c r="AP3189" s="3">
        <v>0</v>
      </c>
      <c r="AQ3189" s="3">
        <v>0</v>
      </c>
      <c r="AR3189" s="3">
        <v>0</v>
      </c>
      <c r="AS3189" s="3">
        <v>0</v>
      </c>
      <c r="AT3189" s="3">
        <v>0</v>
      </c>
      <c r="AU3189" s="3">
        <v>0</v>
      </c>
      <c r="AV3189" s="3">
        <v>0</v>
      </c>
      <c r="AW3189" s="3">
        <v>0</v>
      </c>
      <c r="AX3189" s="3">
        <v>0</v>
      </c>
      <c r="AY3189" s="3">
        <v>0</v>
      </c>
      <c r="AZ3189" s="3">
        <v>0</v>
      </c>
      <c r="BA3189" s="3">
        <v>0</v>
      </c>
      <c r="BB3189" s="3">
        <v>0</v>
      </c>
      <c r="BC3189" s="3">
        <v>0</v>
      </c>
      <c r="BD3189" s="3">
        <v>0</v>
      </c>
      <c r="BE3189" s="3">
        <v>0</v>
      </c>
      <c r="BF3189" s="3">
        <v>0</v>
      </c>
      <c r="BG3189" s="3">
        <v>0</v>
      </c>
      <c r="BH3189" s="3">
        <v>1</v>
      </c>
      <c r="BI3189" s="3">
        <v>1</v>
      </c>
      <c r="BJ3189" s="3">
        <v>0.2</v>
      </c>
      <c r="BK3189" s="3">
        <v>1</v>
      </c>
      <c r="BL3189" s="3">
        <v>60.52</v>
      </c>
      <c r="BM3189" s="3">
        <v>9.08</v>
      </c>
      <c r="BN3189" s="3">
        <v>69.599999999999994</v>
      </c>
      <c r="BO3189" s="3">
        <v>69.599999999999994</v>
      </c>
      <c r="BQ3189" s="3" t="s">
        <v>89</v>
      </c>
      <c r="BR3189" s="3" t="s">
        <v>308</v>
      </c>
      <c r="BS3189" s="4">
        <v>44565</v>
      </c>
      <c r="BT3189" s="5">
        <v>0.5395833333333333</v>
      </c>
      <c r="BU3189" s="3" t="s">
        <v>2577</v>
      </c>
      <c r="BV3189" s="3" t="s">
        <v>87</v>
      </c>
      <c r="BW3189" s="3" t="s">
        <v>453</v>
      </c>
      <c r="BX3189" s="3" t="s">
        <v>1878</v>
      </c>
      <c r="BY3189" s="3">
        <v>1200</v>
      </c>
      <c r="BZ3189" s="3" t="s">
        <v>165</v>
      </c>
      <c r="CA3189" s="3" t="s">
        <v>328</v>
      </c>
      <c r="CC3189" s="3" t="s">
        <v>95</v>
      </c>
      <c r="CD3189" s="3">
        <v>3201</v>
      </c>
      <c r="CE3189" s="3" t="s">
        <v>93</v>
      </c>
      <c r="CF3189" s="4">
        <v>44567</v>
      </c>
      <c r="CI3189" s="3">
        <v>1</v>
      </c>
      <c r="CJ3189" s="3">
        <v>1</v>
      </c>
      <c r="CK3189" s="3">
        <v>21</v>
      </c>
      <c r="CL3189" s="3" t="s">
        <v>87</v>
      </c>
    </row>
    <row r="3190" spans="1:90" x14ac:dyDescent="0.2">
      <c r="A3190" s="3" t="s">
        <v>72</v>
      </c>
      <c r="B3190" s="3" t="s">
        <v>73</v>
      </c>
      <c r="C3190" s="3" t="s">
        <v>74</v>
      </c>
      <c r="E3190" s="3" t="str">
        <f>"FES1162843434"</f>
        <v>FES1162843434</v>
      </c>
      <c r="F3190" s="4">
        <v>44565</v>
      </c>
      <c r="G3190" s="3">
        <v>202207</v>
      </c>
      <c r="H3190" s="3" t="s">
        <v>75</v>
      </c>
      <c r="I3190" s="3" t="s">
        <v>76</v>
      </c>
      <c r="J3190" s="3" t="s">
        <v>77</v>
      </c>
      <c r="K3190" s="3" t="s">
        <v>78</v>
      </c>
      <c r="L3190" s="3" t="s">
        <v>107</v>
      </c>
      <c r="M3190" s="3" t="s">
        <v>108</v>
      </c>
      <c r="N3190" s="3" t="s">
        <v>392</v>
      </c>
      <c r="O3190" s="3" t="s">
        <v>82</v>
      </c>
      <c r="P3190" s="3" t="str">
        <f>"2170813599                    "</f>
        <v xml:space="preserve">2170813599                    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  <c r="AE3190" s="3">
        <v>0</v>
      </c>
      <c r="AF3190" s="3">
        <v>0</v>
      </c>
      <c r="AG3190" s="3">
        <v>0</v>
      </c>
      <c r="AH3190" s="3">
        <v>0</v>
      </c>
      <c r="AI3190" s="3">
        <v>0</v>
      </c>
      <c r="AJ3190" s="3">
        <v>0</v>
      </c>
      <c r="AK3190" s="3">
        <v>32.9</v>
      </c>
      <c r="AL3190" s="3">
        <v>0</v>
      </c>
      <c r="AM3190" s="3">
        <v>0</v>
      </c>
      <c r="AN3190" s="3">
        <v>0</v>
      </c>
      <c r="AO3190" s="3">
        <v>0</v>
      </c>
      <c r="AP3190" s="3">
        <v>0</v>
      </c>
      <c r="AQ3190" s="3">
        <v>0</v>
      </c>
      <c r="AR3190" s="3">
        <v>0</v>
      </c>
      <c r="AS3190" s="3">
        <v>0</v>
      </c>
      <c r="AT3190" s="3">
        <v>0</v>
      </c>
      <c r="AU3190" s="3">
        <v>0</v>
      </c>
      <c r="AV3190" s="3">
        <v>0</v>
      </c>
      <c r="AW3190" s="3">
        <v>0</v>
      </c>
      <c r="AX3190" s="3">
        <v>0</v>
      </c>
      <c r="AY3190" s="3">
        <v>0</v>
      </c>
      <c r="AZ3190" s="3">
        <v>0</v>
      </c>
      <c r="BA3190" s="3">
        <v>0</v>
      </c>
      <c r="BB3190" s="3">
        <v>0</v>
      </c>
      <c r="BC3190" s="3">
        <v>0</v>
      </c>
      <c r="BD3190" s="3">
        <v>0</v>
      </c>
      <c r="BE3190" s="3">
        <v>0</v>
      </c>
      <c r="BF3190" s="3">
        <v>0</v>
      </c>
      <c r="BG3190" s="3">
        <v>0</v>
      </c>
      <c r="BH3190" s="3">
        <v>1</v>
      </c>
      <c r="BI3190" s="3">
        <v>1</v>
      </c>
      <c r="BJ3190" s="3">
        <v>0.2</v>
      </c>
      <c r="BK3190" s="3">
        <v>1</v>
      </c>
      <c r="BL3190" s="3">
        <v>117.26</v>
      </c>
      <c r="BM3190" s="3">
        <v>17.59</v>
      </c>
      <c r="BN3190" s="3">
        <v>134.85</v>
      </c>
      <c r="BO3190" s="3">
        <v>134.85</v>
      </c>
      <c r="BQ3190" s="3" t="s">
        <v>83</v>
      </c>
      <c r="BR3190" s="3" t="s">
        <v>308</v>
      </c>
      <c r="BS3190" s="4">
        <v>44571</v>
      </c>
      <c r="BT3190" s="5">
        <v>0.41666666666666669</v>
      </c>
      <c r="BU3190" s="3" t="s">
        <v>2334</v>
      </c>
      <c r="BV3190" s="3" t="s">
        <v>87</v>
      </c>
      <c r="BW3190" s="3" t="s">
        <v>493</v>
      </c>
      <c r="BX3190" s="3" t="s">
        <v>354</v>
      </c>
      <c r="BY3190" s="3">
        <v>1200</v>
      </c>
      <c r="BZ3190" s="3" t="s">
        <v>165</v>
      </c>
      <c r="CC3190" s="3" t="s">
        <v>108</v>
      </c>
      <c r="CD3190" s="3">
        <v>6849</v>
      </c>
      <c r="CE3190" s="3" t="s">
        <v>93</v>
      </c>
      <c r="CF3190" s="4">
        <v>44572</v>
      </c>
      <c r="CI3190" s="3">
        <v>2</v>
      </c>
      <c r="CJ3190" s="3">
        <v>4</v>
      </c>
      <c r="CK3190" s="3">
        <v>23</v>
      </c>
      <c r="CL3190" s="3" t="s">
        <v>87</v>
      </c>
    </row>
    <row r="3191" spans="1:90" x14ac:dyDescent="0.2">
      <c r="A3191" s="3" t="s">
        <v>72</v>
      </c>
      <c r="B3191" s="3" t="s">
        <v>73</v>
      </c>
      <c r="C3191" s="3" t="s">
        <v>74</v>
      </c>
      <c r="E3191" s="3" t="str">
        <f>"FES1162843530"</f>
        <v>FES1162843530</v>
      </c>
      <c r="F3191" s="4">
        <v>44565</v>
      </c>
      <c r="G3191" s="3">
        <v>202207</v>
      </c>
      <c r="H3191" s="3" t="s">
        <v>75</v>
      </c>
      <c r="I3191" s="3" t="s">
        <v>76</v>
      </c>
      <c r="J3191" s="3" t="s">
        <v>77</v>
      </c>
      <c r="K3191" s="3" t="s">
        <v>78</v>
      </c>
      <c r="L3191" s="3" t="s">
        <v>335</v>
      </c>
      <c r="M3191" s="3" t="s">
        <v>336</v>
      </c>
      <c r="N3191" s="3" t="s">
        <v>2874</v>
      </c>
      <c r="O3191" s="3" t="s">
        <v>148</v>
      </c>
      <c r="P3191" s="3" t="str">
        <f>"2170813800                    "</f>
        <v xml:space="preserve">2170813800                    </v>
      </c>
      <c r="Q3191" s="3">
        <v>0</v>
      </c>
      <c r="R3191" s="3">
        <v>0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  <c r="AE3191" s="3">
        <v>0</v>
      </c>
      <c r="AF3191" s="3">
        <v>0</v>
      </c>
      <c r="AG3191" s="3">
        <v>0</v>
      </c>
      <c r="AH3191" s="3">
        <v>0</v>
      </c>
      <c r="AI3191" s="3">
        <v>0</v>
      </c>
      <c r="AJ3191" s="3">
        <v>0</v>
      </c>
      <c r="AK3191" s="3">
        <v>46.37</v>
      </c>
      <c r="AL3191" s="3">
        <v>0</v>
      </c>
      <c r="AM3191" s="3">
        <v>0</v>
      </c>
      <c r="AN3191" s="3">
        <v>0</v>
      </c>
      <c r="AO3191" s="3">
        <v>0</v>
      </c>
      <c r="AP3191" s="3">
        <v>0</v>
      </c>
      <c r="AQ3191" s="3">
        <v>15</v>
      </c>
      <c r="AR3191" s="3">
        <v>0</v>
      </c>
      <c r="AS3191" s="3">
        <v>0</v>
      </c>
      <c r="AT3191" s="3">
        <v>0</v>
      </c>
      <c r="AU3191" s="3">
        <v>0</v>
      </c>
      <c r="AV3191" s="3">
        <v>0</v>
      </c>
      <c r="AW3191" s="3">
        <v>0</v>
      </c>
      <c r="AX3191" s="3">
        <v>0</v>
      </c>
      <c r="AY3191" s="3">
        <v>0</v>
      </c>
      <c r="AZ3191" s="3">
        <v>0</v>
      </c>
      <c r="BA3191" s="3">
        <v>0</v>
      </c>
      <c r="BB3191" s="3">
        <v>0</v>
      </c>
      <c r="BC3191" s="3">
        <v>0</v>
      </c>
      <c r="BD3191" s="3">
        <v>0</v>
      </c>
      <c r="BE3191" s="3">
        <v>0</v>
      </c>
      <c r="BF3191" s="3">
        <v>0</v>
      </c>
      <c r="BG3191" s="3">
        <v>0</v>
      </c>
      <c r="BH3191" s="3">
        <v>1</v>
      </c>
      <c r="BI3191" s="3">
        <v>25</v>
      </c>
      <c r="BJ3191" s="3">
        <v>16</v>
      </c>
      <c r="BK3191" s="3">
        <v>25</v>
      </c>
      <c r="BL3191" s="3">
        <v>185.52</v>
      </c>
      <c r="BM3191" s="3">
        <v>27.83</v>
      </c>
      <c r="BN3191" s="3">
        <v>213.35</v>
      </c>
      <c r="BO3191" s="3">
        <v>213.35</v>
      </c>
      <c r="BQ3191" s="3" t="s">
        <v>2875</v>
      </c>
      <c r="BR3191" s="3" t="s">
        <v>308</v>
      </c>
      <c r="BS3191" s="4">
        <v>44566</v>
      </c>
      <c r="BT3191" s="5">
        <v>0.52777777777777779</v>
      </c>
      <c r="BU3191" s="3" t="s">
        <v>2876</v>
      </c>
      <c r="BV3191" s="3" t="s">
        <v>105</v>
      </c>
      <c r="BY3191" s="3">
        <v>80000</v>
      </c>
      <c r="BZ3191" s="3" t="s">
        <v>426</v>
      </c>
      <c r="CC3191" s="3" t="s">
        <v>336</v>
      </c>
      <c r="CD3191" s="3">
        <v>4133</v>
      </c>
      <c r="CE3191" s="3" t="s">
        <v>86</v>
      </c>
      <c r="CF3191" s="4">
        <v>44566</v>
      </c>
      <c r="CI3191" s="3">
        <v>1</v>
      </c>
      <c r="CJ3191" s="3">
        <v>1</v>
      </c>
      <c r="CK3191" s="3">
        <v>41</v>
      </c>
      <c r="CL3191" s="3" t="s">
        <v>87</v>
      </c>
    </row>
    <row r="3192" spans="1:90" x14ac:dyDescent="0.2">
      <c r="A3192" s="3" t="s">
        <v>72</v>
      </c>
      <c r="B3192" s="3" t="s">
        <v>73</v>
      </c>
      <c r="C3192" s="3" t="s">
        <v>74</v>
      </c>
      <c r="E3192" s="3" t="str">
        <f>"FES1162843478"</f>
        <v>FES1162843478</v>
      </c>
      <c r="F3192" s="4">
        <v>44565</v>
      </c>
      <c r="G3192" s="3">
        <v>202207</v>
      </c>
      <c r="H3192" s="3" t="s">
        <v>75</v>
      </c>
      <c r="I3192" s="3" t="s">
        <v>76</v>
      </c>
      <c r="J3192" s="3" t="s">
        <v>77</v>
      </c>
      <c r="K3192" s="3" t="s">
        <v>78</v>
      </c>
      <c r="L3192" s="3" t="s">
        <v>79</v>
      </c>
      <c r="M3192" s="3" t="s">
        <v>80</v>
      </c>
      <c r="N3192" s="3" t="s">
        <v>554</v>
      </c>
      <c r="O3192" s="3" t="s">
        <v>82</v>
      </c>
      <c r="P3192" s="3" t="str">
        <f>"2170814383                    "</f>
        <v xml:space="preserve">2170814383                    </v>
      </c>
      <c r="Q3192" s="3">
        <v>0</v>
      </c>
      <c r="R3192" s="3">
        <v>0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  <c r="AE3192" s="3">
        <v>0</v>
      </c>
      <c r="AF3192" s="3">
        <v>0</v>
      </c>
      <c r="AG3192" s="3">
        <v>0</v>
      </c>
      <c r="AH3192" s="3">
        <v>0</v>
      </c>
      <c r="AI3192" s="3">
        <v>0</v>
      </c>
      <c r="AJ3192" s="3">
        <v>0</v>
      </c>
      <c r="AK3192" s="3">
        <v>16.98</v>
      </c>
      <c r="AL3192" s="3">
        <v>0</v>
      </c>
      <c r="AM3192" s="3">
        <v>0</v>
      </c>
      <c r="AN3192" s="3">
        <v>0</v>
      </c>
      <c r="AO3192" s="3">
        <v>0</v>
      </c>
      <c r="AP3192" s="3">
        <v>0</v>
      </c>
      <c r="AQ3192" s="3">
        <v>0</v>
      </c>
      <c r="AR3192" s="3">
        <v>0</v>
      </c>
      <c r="AS3192" s="3">
        <v>0</v>
      </c>
      <c r="AT3192" s="3">
        <v>0</v>
      </c>
      <c r="AU3192" s="3">
        <v>0</v>
      </c>
      <c r="AV3192" s="3">
        <v>0</v>
      </c>
      <c r="AW3192" s="3">
        <v>0</v>
      </c>
      <c r="AX3192" s="3">
        <v>0</v>
      </c>
      <c r="AY3192" s="3">
        <v>0</v>
      </c>
      <c r="AZ3192" s="3">
        <v>0</v>
      </c>
      <c r="BA3192" s="3">
        <v>0</v>
      </c>
      <c r="BB3192" s="3">
        <v>0</v>
      </c>
      <c r="BC3192" s="3">
        <v>0</v>
      </c>
      <c r="BD3192" s="3">
        <v>0</v>
      </c>
      <c r="BE3192" s="3">
        <v>0</v>
      </c>
      <c r="BF3192" s="3">
        <v>0</v>
      </c>
      <c r="BG3192" s="3">
        <v>0</v>
      </c>
      <c r="BH3192" s="3">
        <v>1</v>
      </c>
      <c r="BI3192" s="3">
        <v>1</v>
      </c>
      <c r="BJ3192" s="3">
        <v>0.2</v>
      </c>
      <c r="BK3192" s="3">
        <v>1</v>
      </c>
      <c r="BL3192" s="3">
        <v>60.52</v>
      </c>
      <c r="BM3192" s="3">
        <v>9.08</v>
      </c>
      <c r="BN3192" s="3">
        <v>69.599999999999994</v>
      </c>
      <c r="BO3192" s="3">
        <v>69.599999999999994</v>
      </c>
      <c r="BQ3192" s="3" t="s">
        <v>555</v>
      </c>
      <c r="BR3192" s="3" t="s">
        <v>308</v>
      </c>
      <c r="BS3192" s="4">
        <v>44566</v>
      </c>
      <c r="BT3192" s="5">
        <v>0.46388888888888885</v>
      </c>
      <c r="BU3192" s="3" t="s">
        <v>2877</v>
      </c>
      <c r="BV3192" s="3" t="s">
        <v>87</v>
      </c>
      <c r="BY3192" s="3">
        <v>1200</v>
      </c>
      <c r="BZ3192" s="3" t="s">
        <v>165</v>
      </c>
      <c r="CA3192" s="3" t="s">
        <v>557</v>
      </c>
      <c r="CC3192" s="3" t="s">
        <v>80</v>
      </c>
      <c r="CD3192" s="3">
        <v>117</v>
      </c>
      <c r="CE3192" s="3" t="s">
        <v>93</v>
      </c>
      <c r="CF3192" s="4">
        <v>44566</v>
      </c>
      <c r="CI3192" s="3">
        <v>1</v>
      </c>
      <c r="CJ3192" s="3">
        <v>1</v>
      </c>
      <c r="CK3192" s="3">
        <v>21</v>
      </c>
      <c r="CL3192" s="3" t="s">
        <v>87</v>
      </c>
    </row>
    <row r="3193" spans="1:90" x14ac:dyDescent="0.2">
      <c r="A3193" s="3" t="s">
        <v>72</v>
      </c>
      <c r="B3193" s="3" t="s">
        <v>73</v>
      </c>
      <c r="C3193" s="3" t="s">
        <v>74</v>
      </c>
      <c r="E3193" s="3" t="str">
        <f>"FES1162843491"</f>
        <v>FES1162843491</v>
      </c>
      <c r="F3193" s="4">
        <v>44565</v>
      </c>
      <c r="G3193" s="3">
        <v>202207</v>
      </c>
      <c r="H3193" s="3" t="s">
        <v>75</v>
      </c>
      <c r="I3193" s="3" t="s">
        <v>76</v>
      </c>
      <c r="J3193" s="3" t="s">
        <v>77</v>
      </c>
      <c r="K3193" s="3" t="s">
        <v>78</v>
      </c>
      <c r="L3193" s="3" t="s">
        <v>138</v>
      </c>
      <c r="M3193" s="3" t="s">
        <v>139</v>
      </c>
      <c r="N3193" s="3" t="s">
        <v>304</v>
      </c>
      <c r="O3193" s="3" t="s">
        <v>82</v>
      </c>
      <c r="P3193" s="3" t="str">
        <f>"2170814905                    "</f>
        <v xml:space="preserve">2170814905                    </v>
      </c>
      <c r="Q3193" s="3">
        <v>0</v>
      </c>
      <c r="R3193" s="3">
        <v>0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  <c r="AE3193" s="3">
        <v>0</v>
      </c>
      <c r="AF3193" s="3">
        <v>0</v>
      </c>
      <c r="AG3193" s="3">
        <v>0</v>
      </c>
      <c r="AH3193" s="3">
        <v>0</v>
      </c>
      <c r="AI3193" s="3">
        <v>0</v>
      </c>
      <c r="AJ3193" s="3">
        <v>0</v>
      </c>
      <c r="AK3193" s="3">
        <v>16.98</v>
      </c>
      <c r="AL3193" s="3">
        <v>0</v>
      </c>
      <c r="AM3193" s="3">
        <v>0</v>
      </c>
      <c r="AN3193" s="3">
        <v>0</v>
      </c>
      <c r="AO3193" s="3">
        <v>0</v>
      </c>
      <c r="AP3193" s="3">
        <v>0</v>
      </c>
      <c r="AQ3193" s="3">
        <v>0</v>
      </c>
      <c r="AR3193" s="3">
        <v>0</v>
      </c>
      <c r="AS3193" s="3">
        <v>0</v>
      </c>
      <c r="AT3193" s="3">
        <v>0</v>
      </c>
      <c r="AU3193" s="3">
        <v>0</v>
      </c>
      <c r="AV3193" s="3">
        <v>0</v>
      </c>
      <c r="AW3193" s="3">
        <v>0</v>
      </c>
      <c r="AX3193" s="3">
        <v>0</v>
      </c>
      <c r="AY3193" s="3">
        <v>0</v>
      </c>
      <c r="AZ3193" s="3">
        <v>0</v>
      </c>
      <c r="BA3193" s="3">
        <v>0</v>
      </c>
      <c r="BB3193" s="3">
        <v>0</v>
      </c>
      <c r="BC3193" s="3">
        <v>0</v>
      </c>
      <c r="BD3193" s="3">
        <v>0</v>
      </c>
      <c r="BE3193" s="3">
        <v>0</v>
      </c>
      <c r="BF3193" s="3">
        <v>0</v>
      </c>
      <c r="BG3193" s="3">
        <v>0</v>
      </c>
      <c r="BH3193" s="3">
        <v>1</v>
      </c>
      <c r="BI3193" s="3">
        <v>2</v>
      </c>
      <c r="BJ3193" s="3">
        <v>2</v>
      </c>
      <c r="BK3193" s="3">
        <v>2</v>
      </c>
      <c r="BL3193" s="3">
        <v>60.52</v>
      </c>
      <c r="BM3193" s="3">
        <v>9.08</v>
      </c>
      <c r="BN3193" s="3">
        <v>69.599999999999994</v>
      </c>
      <c r="BO3193" s="3">
        <v>69.599999999999994</v>
      </c>
      <c r="BR3193" s="3" t="s">
        <v>308</v>
      </c>
      <c r="BS3193" s="4">
        <v>44566</v>
      </c>
      <c r="BT3193" s="5">
        <v>0.36388888888888887</v>
      </c>
      <c r="BU3193" s="3" t="s">
        <v>305</v>
      </c>
      <c r="BV3193" s="3" t="s">
        <v>105</v>
      </c>
      <c r="BY3193" s="3">
        <v>9918</v>
      </c>
      <c r="BZ3193" s="3" t="s">
        <v>165</v>
      </c>
      <c r="CA3193" s="3" t="s">
        <v>303</v>
      </c>
      <c r="CC3193" s="3" t="s">
        <v>139</v>
      </c>
      <c r="CD3193" s="3">
        <v>3610</v>
      </c>
      <c r="CE3193" s="3" t="s">
        <v>86</v>
      </c>
      <c r="CF3193" s="4">
        <v>44566</v>
      </c>
      <c r="CI3193" s="3">
        <v>1</v>
      </c>
      <c r="CJ3193" s="3">
        <v>1</v>
      </c>
      <c r="CK3193" s="3">
        <v>21</v>
      </c>
      <c r="CL3193" s="3" t="s">
        <v>87</v>
      </c>
    </row>
    <row r="3194" spans="1:90" x14ac:dyDescent="0.2">
      <c r="A3194" s="3" t="s">
        <v>72</v>
      </c>
      <c r="B3194" s="3" t="s">
        <v>73</v>
      </c>
      <c r="C3194" s="3" t="s">
        <v>74</v>
      </c>
      <c r="E3194" s="3" t="str">
        <f>"FES1162843456"</f>
        <v>FES1162843456</v>
      </c>
      <c r="F3194" s="4">
        <v>44565</v>
      </c>
      <c r="G3194" s="3">
        <v>202207</v>
      </c>
      <c r="H3194" s="3" t="s">
        <v>75</v>
      </c>
      <c r="I3194" s="3" t="s">
        <v>76</v>
      </c>
      <c r="J3194" s="3" t="s">
        <v>77</v>
      </c>
      <c r="K3194" s="3" t="s">
        <v>78</v>
      </c>
      <c r="L3194" s="3" t="s">
        <v>184</v>
      </c>
      <c r="M3194" s="3" t="s">
        <v>185</v>
      </c>
      <c r="N3194" s="3" t="s">
        <v>610</v>
      </c>
      <c r="O3194" s="3" t="s">
        <v>82</v>
      </c>
      <c r="P3194" s="3" t="str">
        <f>"2170813873                    "</f>
        <v xml:space="preserve">2170813873                    </v>
      </c>
      <c r="Q3194" s="3">
        <v>0</v>
      </c>
      <c r="R3194" s="3">
        <v>0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  <c r="AE3194" s="3">
        <v>0</v>
      </c>
      <c r="AF3194" s="3">
        <v>0</v>
      </c>
      <c r="AG3194" s="3">
        <v>0</v>
      </c>
      <c r="AH3194" s="3">
        <v>0</v>
      </c>
      <c r="AI3194" s="3">
        <v>0</v>
      </c>
      <c r="AJ3194" s="3">
        <v>0</v>
      </c>
      <c r="AK3194" s="3">
        <v>16.98</v>
      </c>
      <c r="AL3194" s="3">
        <v>0</v>
      </c>
      <c r="AM3194" s="3">
        <v>0</v>
      </c>
      <c r="AN3194" s="3">
        <v>0</v>
      </c>
      <c r="AO3194" s="3">
        <v>0</v>
      </c>
      <c r="AP3194" s="3">
        <v>0</v>
      </c>
      <c r="AQ3194" s="3">
        <v>0</v>
      </c>
      <c r="AR3194" s="3">
        <v>0</v>
      </c>
      <c r="AS3194" s="3">
        <v>0</v>
      </c>
      <c r="AT3194" s="3">
        <v>0</v>
      </c>
      <c r="AU3194" s="3">
        <v>0</v>
      </c>
      <c r="AV3194" s="3">
        <v>0</v>
      </c>
      <c r="AW3194" s="3">
        <v>0</v>
      </c>
      <c r="AX3194" s="3">
        <v>0</v>
      </c>
      <c r="AY3194" s="3">
        <v>0</v>
      </c>
      <c r="AZ3194" s="3">
        <v>0</v>
      </c>
      <c r="BA3194" s="3">
        <v>0</v>
      </c>
      <c r="BB3194" s="3">
        <v>0</v>
      </c>
      <c r="BC3194" s="3">
        <v>0</v>
      </c>
      <c r="BD3194" s="3">
        <v>0</v>
      </c>
      <c r="BE3194" s="3">
        <v>0</v>
      </c>
      <c r="BF3194" s="3">
        <v>0</v>
      </c>
      <c r="BG3194" s="3">
        <v>0</v>
      </c>
      <c r="BH3194" s="3">
        <v>1</v>
      </c>
      <c r="BI3194" s="3">
        <v>1</v>
      </c>
      <c r="BJ3194" s="3">
        <v>0.2</v>
      </c>
      <c r="BK3194" s="3">
        <v>1</v>
      </c>
      <c r="BL3194" s="3">
        <v>60.52</v>
      </c>
      <c r="BM3194" s="3">
        <v>9.08</v>
      </c>
      <c r="BN3194" s="3">
        <v>69.599999999999994</v>
      </c>
      <c r="BO3194" s="3">
        <v>69.599999999999994</v>
      </c>
      <c r="BQ3194" s="3" t="s">
        <v>89</v>
      </c>
      <c r="BR3194" s="3" t="s">
        <v>308</v>
      </c>
      <c r="BS3194" s="4">
        <v>44566</v>
      </c>
      <c r="BT3194" s="5">
        <v>0.41805555555555557</v>
      </c>
      <c r="BU3194" s="3" t="s">
        <v>2632</v>
      </c>
      <c r="BV3194" s="3" t="s">
        <v>105</v>
      </c>
      <c r="BY3194" s="3">
        <v>1200</v>
      </c>
      <c r="BZ3194" s="3" t="s">
        <v>165</v>
      </c>
      <c r="CA3194" s="3" t="s">
        <v>2534</v>
      </c>
      <c r="CC3194" s="3" t="s">
        <v>185</v>
      </c>
      <c r="CD3194" s="3">
        <v>5201</v>
      </c>
      <c r="CE3194" s="3" t="s">
        <v>93</v>
      </c>
      <c r="CF3194" s="4">
        <v>44566</v>
      </c>
      <c r="CI3194" s="3">
        <v>1</v>
      </c>
      <c r="CJ3194" s="3">
        <v>1</v>
      </c>
      <c r="CK3194" s="3">
        <v>21</v>
      </c>
      <c r="CL3194" s="3" t="s">
        <v>87</v>
      </c>
    </row>
    <row r="3195" spans="1:90" x14ac:dyDescent="0.2">
      <c r="A3195" s="3" t="s">
        <v>72</v>
      </c>
      <c r="B3195" s="3" t="s">
        <v>73</v>
      </c>
      <c r="C3195" s="3" t="s">
        <v>74</v>
      </c>
      <c r="E3195" s="3" t="str">
        <f>"FES1162843587"</f>
        <v>FES1162843587</v>
      </c>
      <c r="F3195" s="4">
        <v>44566</v>
      </c>
      <c r="G3195" s="3">
        <v>202207</v>
      </c>
      <c r="H3195" s="3" t="s">
        <v>75</v>
      </c>
      <c r="I3195" s="3" t="s">
        <v>76</v>
      </c>
      <c r="J3195" s="3" t="s">
        <v>77</v>
      </c>
      <c r="K3195" s="3" t="s">
        <v>78</v>
      </c>
      <c r="L3195" s="3" t="s">
        <v>171</v>
      </c>
      <c r="M3195" s="3" t="s">
        <v>172</v>
      </c>
      <c r="N3195" s="3" t="s">
        <v>174</v>
      </c>
      <c r="O3195" s="3" t="s">
        <v>82</v>
      </c>
      <c r="P3195" s="3" t="str">
        <f>"2170814452                    "</f>
        <v xml:space="preserve">2170814452                    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  <c r="AE3195" s="3">
        <v>0</v>
      </c>
      <c r="AF3195" s="3">
        <v>0</v>
      </c>
      <c r="AG3195" s="3">
        <v>0</v>
      </c>
      <c r="AH3195" s="3">
        <v>0</v>
      </c>
      <c r="AI3195" s="3">
        <v>0</v>
      </c>
      <c r="AJ3195" s="3">
        <v>0</v>
      </c>
      <c r="AK3195" s="3">
        <v>15.46</v>
      </c>
      <c r="AL3195" s="3">
        <v>0</v>
      </c>
      <c r="AM3195" s="3">
        <v>0</v>
      </c>
      <c r="AN3195" s="3">
        <v>0</v>
      </c>
      <c r="AO3195" s="3">
        <v>0</v>
      </c>
      <c r="AP3195" s="3">
        <v>0</v>
      </c>
      <c r="AQ3195" s="3">
        <v>0</v>
      </c>
      <c r="AR3195" s="3">
        <v>0</v>
      </c>
      <c r="AS3195" s="3">
        <v>0</v>
      </c>
      <c r="AT3195" s="3">
        <v>0</v>
      </c>
      <c r="AU3195" s="3">
        <v>0</v>
      </c>
      <c r="AV3195" s="3">
        <v>0</v>
      </c>
      <c r="AW3195" s="3">
        <v>0</v>
      </c>
      <c r="AX3195" s="3">
        <v>0</v>
      </c>
      <c r="AY3195" s="3">
        <v>0</v>
      </c>
      <c r="AZ3195" s="3">
        <v>0</v>
      </c>
      <c r="BA3195" s="3">
        <v>0</v>
      </c>
      <c r="BB3195" s="3">
        <v>0</v>
      </c>
      <c r="BC3195" s="3">
        <v>0</v>
      </c>
      <c r="BD3195" s="3">
        <v>0</v>
      </c>
      <c r="BE3195" s="3">
        <v>0</v>
      </c>
      <c r="BF3195" s="3">
        <v>0</v>
      </c>
      <c r="BG3195" s="3">
        <v>0</v>
      </c>
      <c r="BH3195" s="3">
        <v>1</v>
      </c>
      <c r="BI3195" s="3">
        <v>1</v>
      </c>
      <c r="BJ3195" s="3">
        <v>0.2</v>
      </c>
      <c r="BK3195" s="3">
        <v>1</v>
      </c>
      <c r="BL3195" s="3">
        <v>59</v>
      </c>
      <c r="BM3195" s="3">
        <v>8.85</v>
      </c>
      <c r="BN3195" s="3">
        <v>67.849999999999994</v>
      </c>
      <c r="BO3195" s="3">
        <v>67.849999999999994</v>
      </c>
      <c r="BQ3195" s="3" t="s">
        <v>83</v>
      </c>
      <c r="BR3195" s="3" t="s">
        <v>364</v>
      </c>
      <c r="BS3195" s="4">
        <v>44567</v>
      </c>
      <c r="BT3195" s="5">
        <v>0.47361111111111115</v>
      </c>
      <c r="BU3195" s="3" t="s">
        <v>1083</v>
      </c>
      <c r="BV3195" s="3" t="s">
        <v>87</v>
      </c>
      <c r="BW3195" s="3" t="s">
        <v>457</v>
      </c>
      <c r="BX3195" s="3" t="s">
        <v>2542</v>
      </c>
      <c r="BY3195" s="3">
        <v>1200</v>
      </c>
      <c r="BZ3195" s="3" t="s">
        <v>165</v>
      </c>
      <c r="CA3195" s="3" t="s">
        <v>263</v>
      </c>
      <c r="CC3195" s="3" t="s">
        <v>172</v>
      </c>
      <c r="CD3195" s="3">
        <v>6001</v>
      </c>
      <c r="CE3195" s="3" t="s">
        <v>93</v>
      </c>
      <c r="CF3195" s="4">
        <v>44567</v>
      </c>
      <c r="CI3195" s="3">
        <v>1</v>
      </c>
      <c r="CJ3195" s="3">
        <v>1</v>
      </c>
      <c r="CK3195" s="3">
        <v>21</v>
      </c>
      <c r="CL3195" s="3" t="s">
        <v>87</v>
      </c>
    </row>
    <row r="3196" spans="1:90" x14ac:dyDescent="0.2">
      <c r="A3196" s="3" t="s">
        <v>72</v>
      </c>
      <c r="B3196" s="3" t="s">
        <v>73</v>
      </c>
      <c r="C3196" s="3" t="s">
        <v>74</v>
      </c>
      <c r="E3196" s="3" t="str">
        <f>"FES1162843508"</f>
        <v>FES1162843508</v>
      </c>
      <c r="F3196" s="4">
        <v>44565</v>
      </c>
      <c r="G3196" s="3">
        <v>202207</v>
      </c>
      <c r="H3196" s="3" t="s">
        <v>75</v>
      </c>
      <c r="I3196" s="3" t="s">
        <v>76</v>
      </c>
      <c r="J3196" s="3" t="s">
        <v>77</v>
      </c>
      <c r="K3196" s="3" t="s">
        <v>78</v>
      </c>
      <c r="L3196" s="3" t="s">
        <v>184</v>
      </c>
      <c r="M3196" s="3" t="s">
        <v>185</v>
      </c>
      <c r="N3196" s="3" t="s">
        <v>186</v>
      </c>
      <c r="O3196" s="3" t="s">
        <v>82</v>
      </c>
      <c r="P3196" s="3" t="str">
        <f>"2170815618                    "</f>
        <v xml:space="preserve">2170815618                    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  <c r="AE3196" s="3">
        <v>0</v>
      </c>
      <c r="AF3196" s="3">
        <v>0</v>
      </c>
      <c r="AG3196" s="3">
        <v>0</v>
      </c>
      <c r="AH3196" s="3">
        <v>0</v>
      </c>
      <c r="AI3196" s="3">
        <v>0</v>
      </c>
      <c r="AJ3196" s="3">
        <v>0</v>
      </c>
      <c r="AK3196" s="3">
        <v>16.98</v>
      </c>
      <c r="AL3196" s="3">
        <v>0</v>
      </c>
      <c r="AM3196" s="3">
        <v>0</v>
      </c>
      <c r="AN3196" s="3">
        <v>0</v>
      </c>
      <c r="AO3196" s="3">
        <v>0</v>
      </c>
      <c r="AP3196" s="3">
        <v>0</v>
      </c>
      <c r="AQ3196" s="3">
        <v>0</v>
      </c>
      <c r="AR3196" s="3">
        <v>0</v>
      </c>
      <c r="AS3196" s="3">
        <v>0</v>
      </c>
      <c r="AT3196" s="3">
        <v>0</v>
      </c>
      <c r="AU3196" s="3">
        <v>0</v>
      </c>
      <c r="AV3196" s="3">
        <v>0</v>
      </c>
      <c r="AW3196" s="3">
        <v>0</v>
      </c>
      <c r="AX3196" s="3">
        <v>0</v>
      </c>
      <c r="AY3196" s="3">
        <v>0</v>
      </c>
      <c r="AZ3196" s="3">
        <v>0</v>
      </c>
      <c r="BA3196" s="3">
        <v>0</v>
      </c>
      <c r="BB3196" s="3">
        <v>0</v>
      </c>
      <c r="BC3196" s="3">
        <v>0</v>
      </c>
      <c r="BD3196" s="3">
        <v>0</v>
      </c>
      <c r="BE3196" s="3">
        <v>0</v>
      </c>
      <c r="BF3196" s="3">
        <v>0</v>
      </c>
      <c r="BG3196" s="3">
        <v>0</v>
      </c>
      <c r="BH3196" s="3">
        <v>1</v>
      </c>
      <c r="BI3196" s="3">
        <v>1</v>
      </c>
      <c r="BJ3196" s="3">
        <v>0.2</v>
      </c>
      <c r="BK3196" s="3">
        <v>1</v>
      </c>
      <c r="BL3196" s="3">
        <v>60.52</v>
      </c>
      <c r="BM3196" s="3">
        <v>9.08</v>
      </c>
      <c r="BN3196" s="3">
        <v>69.599999999999994</v>
      </c>
      <c r="BO3196" s="3">
        <v>69.599999999999994</v>
      </c>
      <c r="BQ3196" s="3" t="s">
        <v>83</v>
      </c>
      <c r="BR3196" s="3" t="s">
        <v>308</v>
      </c>
      <c r="BS3196" s="4">
        <v>44566</v>
      </c>
      <c r="BT3196" s="5">
        <v>0.51250000000000007</v>
      </c>
      <c r="BU3196" s="3" t="s">
        <v>2878</v>
      </c>
      <c r="BV3196" s="3" t="s">
        <v>87</v>
      </c>
      <c r="BW3196" s="3" t="s">
        <v>493</v>
      </c>
      <c r="BX3196" s="3" t="s">
        <v>605</v>
      </c>
      <c r="BY3196" s="3">
        <v>1200</v>
      </c>
      <c r="BZ3196" s="3" t="s">
        <v>165</v>
      </c>
      <c r="CA3196" s="3" t="s">
        <v>1541</v>
      </c>
      <c r="CC3196" s="3" t="s">
        <v>185</v>
      </c>
      <c r="CD3196" s="3">
        <v>5201</v>
      </c>
      <c r="CE3196" s="3" t="s">
        <v>93</v>
      </c>
      <c r="CF3196" s="4">
        <v>44566</v>
      </c>
      <c r="CI3196" s="3">
        <v>1</v>
      </c>
      <c r="CJ3196" s="3">
        <v>1</v>
      </c>
      <c r="CK3196" s="3">
        <v>21</v>
      </c>
      <c r="CL3196" s="3" t="s">
        <v>87</v>
      </c>
    </row>
    <row r="3197" spans="1:90" x14ac:dyDescent="0.2">
      <c r="A3197" s="3" t="s">
        <v>72</v>
      </c>
      <c r="B3197" s="3" t="s">
        <v>73</v>
      </c>
      <c r="C3197" s="3" t="s">
        <v>74</v>
      </c>
      <c r="E3197" s="3" t="str">
        <f>"FES1162844151"</f>
        <v>FES1162844151</v>
      </c>
      <c r="F3197" s="4">
        <v>44568</v>
      </c>
      <c r="G3197" s="3">
        <v>202207</v>
      </c>
      <c r="H3197" s="3" t="s">
        <v>75</v>
      </c>
      <c r="I3197" s="3" t="s">
        <v>76</v>
      </c>
      <c r="J3197" s="3" t="s">
        <v>77</v>
      </c>
      <c r="K3197" s="3" t="s">
        <v>78</v>
      </c>
      <c r="L3197" s="3" t="s">
        <v>171</v>
      </c>
      <c r="M3197" s="3" t="s">
        <v>172</v>
      </c>
      <c r="N3197" s="3" t="s">
        <v>1129</v>
      </c>
      <c r="O3197" s="3" t="s">
        <v>82</v>
      </c>
      <c r="P3197" s="3" t="str">
        <f>"2170815291                    "</f>
        <v xml:space="preserve">2170815291                    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  <c r="AE3197" s="3">
        <v>0</v>
      </c>
      <c r="AF3197" s="3">
        <v>0</v>
      </c>
      <c r="AG3197" s="3">
        <v>0</v>
      </c>
      <c r="AH3197" s="3">
        <v>0</v>
      </c>
      <c r="AI3197" s="3">
        <v>0</v>
      </c>
      <c r="AJ3197" s="3">
        <v>0</v>
      </c>
      <c r="AK3197" s="3">
        <v>23.18</v>
      </c>
      <c r="AL3197" s="3">
        <v>0</v>
      </c>
      <c r="AM3197" s="3">
        <v>0</v>
      </c>
      <c r="AN3197" s="3">
        <v>0</v>
      </c>
      <c r="AO3197" s="3">
        <v>0</v>
      </c>
      <c r="AP3197" s="3">
        <v>0</v>
      </c>
      <c r="AQ3197" s="3">
        <v>0</v>
      </c>
      <c r="AR3197" s="3">
        <v>0</v>
      </c>
      <c r="AS3197" s="3">
        <v>0</v>
      </c>
      <c r="AT3197" s="3">
        <v>0</v>
      </c>
      <c r="AU3197" s="3">
        <v>0</v>
      </c>
      <c r="AV3197" s="3">
        <v>0</v>
      </c>
      <c r="AW3197" s="3">
        <v>0</v>
      </c>
      <c r="AX3197" s="3">
        <v>0</v>
      </c>
      <c r="AY3197" s="3">
        <v>0</v>
      </c>
      <c r="AZ3197" s="3">
        <v>0</v>
      </c>
      <c r="BA3197" s="3">
        <v>0</v>
      </c>
      <c r="BB3197" s="3">
        <v>0</v>
      </c>
      <c r="BC3197" s="3">
        <v>0</v>
      </c>
      <c r="BD3197" s="3">
        <v>0</v>
      </c>
      <c r="BE3197" s="3">
        <v>0</v>
      </c>
      <c r="BF3197" s="3">
        <v>0</v>
      </c>
      <c r="BG3197" s="3">
        <v>0</v>
      </c>
      <c r="BH3197" s="3">
        <v>1</v>
      </c>
      <c r="BI3197" s="3">
        <v>3</v>
      </c>
      <c r="BJ3197" s="3">
        <v>1.8</v>
      </c>
      <c r="BK3197" s="3">
        <v>3</v>
      </c>
      <c r="BL3197" s="3">
        <v>88.48</v>
      </c>
      <c r="BM3197" s="3">
        <v>13.27</v>
      </c>
      <c r="BN3197" s="3">
        <v>101.75</v>
      </c>
      <c r="BO3197" s="3">
        <v>101.75</v>
      </c>
      <c r="BQ3197" s="3" t="s">
        <v>89</v>
      </c>
      <c r="BR3197" s="3" t="s">
        <v>364</v>
      </c>
      <c r="BS3197" s="4">
        <v>44571</v>
      </c>
      <c r="BT3197" s="5">
        <v>0.39097222222222222</v>
      </c>
      <c r="BU3197" s="3" t="s">
        <v>2879</v>
      </c>
      <c r="BV3197" s="3" t="s">
        <v>105</v>
      </c>
      <c r="BY3197" s="3">
        <v>9000</v>
      </c>
      <c r="BZ3197" s="3" t="s">
        <v>165</v>
      </c>
      <c r="CA3197" s="3" t="s">
        <v>2855</v>
      </c>
      <c r="CC3197" s="3" t="s">
        <v>172</v>
      </c>
      <c r="CD3197" s="3">
        <v>6000</v>
      </c>
      <c r="CE3197" s="3" t="s">
        <v>86</v>
      </c>
      <c r="CF3197" s="4">
        <v>44572</v>
      </c>
      <c r="CI3197" s="3">
        <v>1</v>
      </c>
      <c r="CJ3197" s="3">
        <v>1</v>
      </c>
      <c r="CK3197" s="3">
        <v>21</v>
      </c>
      <c r="CL3197" s="3" t="s">
        <v>87</v>
      </c>
    </row>
    <row r="3198" spans="1:90" x14ac:dyDescent="0.2">
      <c r="A3198" s="3" t="s">
        <v>72</v>
      </c>
      <c r="B3198" s="3" t="s">
        <v>73</v>
      </c>
      <c r="C3198" s="3" t="s">
        <v>74</v>
      </c>
      <c r="E3198" s="3" t="str">
        <f>"FES1162843980"</f>
        <v>FES1162843980</v>
      </c>
      <c r="F3198" s="4">
        <v>44568</v>
      </c>
      <c r="G3198" s="3">
        <v>202207</v>
      </c>
      <c r="H3198" s="3" t="s">
        <v>75</v>
      </c>
      <c r="I3198" s="3" t="s">
        <v>76</v>
      </c>
      <c r="J3198" s="3" t="s">
        <v>77</v>
      </c>
      <c r="K3198" s="3" t="s">
        <v>78</v>
      </c>
      <c r="L3198" s="3" t="s">
        <v>90</v>
      </c>
      <c r="M3198" s="3" t="s">
        <v>91</v>
      </c>
      <c r="N3198" s="3" t="s">
        <v>791</v>
      </c>
      <c r="O3198" s="3" t="s">
        <v>82</v>
      </c>
      <c r="P3198" s="3" t="str">
        <f>"2170815033                    "</f>
        <v xml:space="preserve">2170815033                    </v>
      </c>
      <c r="Q3198" s="3">
        <v>0</v>
      </c>
      <c r="R3198" s="3">
        <v>0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  <c r="AE3198" s="3">
        <v>0</v>
      </c>
      <c r="AF3198" s="3">
        <v>0</v>
      </c>
      <c r="AG3198" s="3">
        <v>0</v>
      </c>
      <c r="AH3198" s="3">
        <v>0</v>
      </c>
      <c r="AI3198" s="3">
        <v>0</v>
      </c>
      <c r="AJ3198" s="3">
        <v>0</v>
      </c>
      <c r="AK3198" s="3">
        <v>15.46</v>
      </c>
      <c r="AL3198" s="3">
        <v>0</v>
      </c>
      <c r="AM3198" s="3">
        <v>0</v>
      </c>
      <c r="AN3198" s="3">
        <v>0</v>
      </c>
      <c r="AO3198" s="3">
        <v>0</v>
      </c>
      <c r="AP3198" s="3">
        <v>0</v>
      </c>
      <c r="AQ3198" s="3">
        <v>0</v>
      </c>
      <c r="AR3198" s="3">
        <v>0</v>
      </c>
      <c r="AS3198" s="3">
        <v>0</v>
      </c>
      <c r="AT3198" s="3">
        <v>0</v>
      </c>
      <c r="AU3198" s="3">
        <v>0</v>
      </c>
      <c r="AV3198" s="3">
        <v>0</v>
      </c>
      <c r="AW3198" s="3">
        <v>0</v>
      </c>
      <c r="AX3198" s="3">
        <v>0</v>
      </c>
      <c r="AY3198" s="3">
        <v>0</v>
      </c>
      <c r="AZ3198" s="3">
        <v>0</v>
      </c>
      <c r="BA3198" s="3">
        <v>0</v>
      </c>
      <c r="BB3198" s="3">
        <v>0</v>
      </c>
      <c r="BC3198" s="3">
        <v>0</v>
      </c>
      <c r="BD3198" s="3">
        <v>0</v>
      </c>
      <c r="BE3198" s="3">
        <v>0</v>
      </c>
      <c r="BF3198" s="3">
        <v>0</v>
      </c>
      <c r="BG3198" s="3">
        <v>0</v>
      </c>
      <c r="BH3198" s="3">
        <v>1</v>
      </c>
      <c r="BI3198" s="3">
        <v>1</v>
      </c>
      <c r="BJ3198" s="3">
        <v>0.2</v>
      </c>
      <c r="BK3198" s="3">
        <v>1</v>
      </c>
      <c r="BL3198" s="3">
        <v>59</v>
      </c>
      <c r="BM3198" s="3">
        <v>8.85</v>
      </c>
      <c r="BN3198" s="3">
        <v>67.849999999999994</v>
      </c>
      <c r="BO3198" s="3">
        <v>67.849999999999994</v>
      </c>
      <c r="BQ3198" s="3" t="s">
        <v>145</v>
      </c>
      <c r="BR3198" s="3" t="s">
        <v>364</v>
      </c>
      <c r="BS3198" s="4">
        <v>44571</v>
      </c>
      <c r="BT3198" s="5">
        <v>0.60069444444444442</v>
      </c>
      <c r="BU3198" s="3" t="s">
        <v>2869</v>
      </c>
      <c r="BV3198" s="3" t="s">
        <v>87</v>
      </c>
      <c r="BW3198" s="3" t="s">
        <v>353</v>
      </c>
      <c r="BX3198" s="3" t="s">
        <v>354</v>
      </c>
      <c r="BY3198" s="3">
        <v>1200</v>
      </c>
      <c r="BZ3198" s="3" t="s">
        <v>165</v>
      </c>
      <c r="CA3198" s="3" t="s">
        <v>623</v>
      </c>
      <c r="CC3198" s="3" t="s">
        <v>91</v>
      </c>
      <c r="CD3198" s="3">
        <v>7945</v>
      </c>
      <c r="CE3198" s="3" t="s">
        <v>93</v>
      </c>
      <c r="CF3198" s="4">
        <v>44572</v>
      </c>
      <c r="CI3198" s="3">
        <v>1</v>
      </c>
      <c r="CJ3198" s="3">
        <v>1</v>
      </c>
      <c r="CK3198" s="3">
        <v>21</v>
      </c>
      <c r="CL3198" s="3" t="s">
        <v>87</v>
      </c>
    </row>
    <row r="3199" spans="1:90" x14ac:dyDescent="0.2">
      <c r="A3199" s="3" t="s">
        <v>72</v>
      </c>
      <c r="B3199" s="3" t="s">
        <v>73</v>
      </c>
      <c r="C3199" s="3" t="s">
        <v>74</v>
      </c>
      <c r="E3199" s="3" t="str">
        <f>"FES1162843974"</f>
        <v>FES1162843974</v>
      </c>
      <c r="F3199" s="4">
        <v>44568</v>
      </c>
      <c r="G3199" s="3">
        <v>202207</v>
      </c>
      <c r="H3199" s="3" t="s">
        <v>75</v>
      </c>
      <c r="I3199" s="3" t="s">
        <v>76</v>
      </c>
      <c r="J3199" s="3" t="s">
        <v>77</v>
      </c>
      <c r="K3199" s="3" t="s">
        <v>78</v>
      </c>
      <c r="L3199" s="3" t="s">
        <v>529</v>
      </c>
      <c r="M3199" s="3" t="s">
        <v>530</v>
      </c>
      <c r="N3199" s="3" t="s">
        <v>531</v>
      </c>
      <c r="O3199" s="3" t="s">
        <v>82</v>
      </c>
      <c r="P3199" s="3" t="str">
        <f>"2170814552                    "</f>
        <v xml:space="preserve">2170814552                    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  <c r="AE3199" s="3">
        <v>0</v>
      </c>
      <c r="AF3199" s="3">
        <v>0</v>
      </c>
      <c r="AG3199" s="3">
        <v>0</v>
      </c>
      <c r="AH3199" s="3">
        <v>0</v>
      </c>
      <c r="AI3199" s="3">
        <v>0</v>
      </c>
      <c r="AJ3199" s="3">
        <v>0</v>
      </c>
      <c r="AK3199" s="3">
        <v>63.76</v>
      </c>
      <c r="AL3199" s="3">
        <v>0</v>
      </c>
      <c r="AM3199" s="3">
        <v>0</v>
      </c>
      <c r="AN3199" s="3">
        <v>0</v>
      </c>
      <c r="AO3199" s="3">
        <v>0</v>
      </c>
      <c r="AP3199" s="3">
        <v>0</v>
      </c>
      <c r="AQ3199" s="3">
        <v>0</v>
      </c>
      <c r="AR3199" s="3">
        <v>0</v>
      </c>
      <c r="AS3199" s="3">
        <v>0</v>
      </c>
      <c r="AT3199" s="3">
        <v>0</v>
      </c>
      <c r="AU3199" s="3">
        <v>0</v>
      </c>
      <c r="AV3199" s="3">
        <v>0</v>
      </c>
      <c r="AW3199" s="3">
        <v>0</v>
      </c>
      <c r="AX3199" s="3">
        <v>0</v>
      </c>
      <c r="AY3199" s="3">
        <v>0</v>
      </c>
      <c r="AZ3199" s="3">
        <v>0</v>
      </c>
      <c r="BA3199" s="3">
        <v>0</v>
      </c>
      <c r="BB3199" s="3">
        <v>0</v>
      </c>
      <c r="BC3199" s="3">
        <v>0</v>
      </c>
      <c r="BD3199" s="3">
        <v>0</v>
      </c>
      <c r="BE3199" s="3">
        <v>0</v>
      </c>
      <c r="BF3199" s="3">
        <v>0</v>
      </c>
      <c r="BG3199" s="3">
        <v>0</v>
      </c>
      <c r="BH3199" s="3">
        <v>1</v>
      </c>
      <c r="BI3199" s="3">
        <v>2</v>
      </c>
      <c r="BJ3199" s="3">
        <v>4.0999999999999996</v>
      </c>
      <c r="BK3199" s="3">
        <v>4.5</v>
      </c>
      <c r="BL3199" s="3">
        <v>243.37</v>
      </c>
      <c r="BM3199" s="3">
        <v>36.51</v>
      </c>
      <c r="BN3199" s="3">
        <v>279.88</v>
      </c>
      <c r="BO3199" s="3">
        <v>279.88</v>
      </c>
      <c r="BQ3199" s="3" t="s">
        <v>83</v>
      </c>
      <c r="BR3199" s="3" t="s">
        <v>364</v>
      </c>
      <c r="BS3199" s="4">
        <v>44571</v>
      </c>
      <c r="BT3199" s="5">
        <v>0.51180555555555551</v>
      </c>
      <c r="BU3199" s="3" t="s">
        <v>826</v>
      </c>
      <c r="BV3199" s="3" t="s">
        <v>105</v>
      </c>
      <c r="BY3199" s="3">
        <v>20358</v>
      </c>
      <c r="BZ3199" s="3" t="s">
        <v>165</v>
      </c>
      <c r="CA3199" s="3" t="s">
        <v>328</v>
      </c>
      <c r="CC3199" s="3" t="s">
        <v>530</v>
      </c>
      <c r="CD3199" s="3">
        <v>6500</v>
      </c>
      <c r="CE3199" s="3" t="s">
        <v>86</v>
      </c>
      <c r="CF3199" s="4">
        <v>44571</v>
      </c>
      <c r="CI3199" s="3">
        <v>1</v>
      </c>
      <c r="CJ3199" s="3">
        <v>1</v>
      </c>
      <c r="CK3199" s="3">
        <v>23</v>
      </c>
      <c r="CL3199" s="3" t="s">
        <v>87</v>
      </c>
    </row>
    <row r="3200" spans="1:90" x14ac:dyDescent="0.2">
      <c r="A3200" s="3" t="s">
        <v>72</v>
      </c>
      <c r="B3200" s="3" t="s">
        <v>73</v>
      </c>
      <c r="C3200" s="3" t="s">
        <v>74</v>
      </c>
      <c r="E3200" s="3" t="str">
        <f>"FES1162844204"</f>
        <v>FES1162844204</v>
      </c>
      <c r="F3200" s="4">
        <v>44568</v>
      </c>
      <c r="G3200" s="3">
        <v>202207</v>
      </c>
      <c r="H3200" s="3" t="s">
        <v>75</v>
      </c>
      <c r="I3200" s="3" t="s">
        <v>76</v>
      </c>
      <c r="J3200" s="3" t="s">
        <v>77</v>
      </c>
      <c r="K3200" s="3" t="s">
        <v>78</v>
      </c>
      <c r="L3200" s="3" t="s">
        <v>90</v>
      </c>
      <c r="M3200" s="3" t="s">
        <v>91</v>
      </c>
      <c r="N3200" s="3" t="s">
        <v>584</v>
      </c>
      <c r="O3200" s="3" t="s">
        <v>82</v>
      </c>
      <c r="P3200" s="3" t="str">
        <f>"2170815957                    "</f>
        <v xml:space="preserve">2170815957                    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  <c r="AE3200" s="3">
        <v>0</v>
      </c>
      <c r="AF3200" s="3">
        <v>0</v>
      </c>
      <c r="AG3200" s="3">
        <v>0</v>
      </c>
      <c r="AH3200" s="3">
        <v>0</v>
      </c>
      <c r="AI3200" s="3">
        <v>0</v>
      </c>
      <c r="AJ3200" s="3">
        <v>0</v>
      </c>
      <c r="AK3200" s="3">
        <v>15.46</v>
      </c>
      <c r="AL3200" s="3">
        <v>0</v>
      </c>
      <c r="AM3200" s="3">
        <v>0</v>
      </c>
      <c r="AN3200" s="3">
        <v>0</v>
      </c>
      <c r="AO3200" s="3">
        <v>0</v>
      </c>
      <c r="AP3200" s="3">
        <v>0</v>
      </c>
      <c r="AQ3200" s="3">
        <v>0</v>
      </c>
      <c r="AR3200" s="3">
        <v>0</v>
      </c>
      <c r="AS3200" s="3">
        <v>0</v>
      </c>
      <c r="AT3200" s="3">
        <v>0</v>
      </c>
      <c r="AU3200" s="3">
        <v>0</v>
      </c>
      <c r="AV3200" s="3">
        <v>0</v>
      </c>
      <c r="AW3200" s="3">
        <v>0</v>
      </c>
      <c r="AX3200" s="3">
        <v>0</v>
      </c>
      <c r="AY3200" s="3">
        <v>0</v>
      </c>
      <c r="AZ3200" s="3">
        <v>0</v>
      </c>
      <c r="BA3200" s="3">
        <v>0</v>
      </c>
      <c r="BB3200" s="3">
        <v>0</v>
      </c>
      <c r="BC3200" s="3">
        <v>0</v>
      </c>
      <c r="BD3200" s="3">
        <v>0</v>
      </c>
      <c r="BE3200" s="3">
        <v>0</v>
      </c>
      <c r="BF3200" s="3">
        <v>0</v>
      </c>
      <c r="BG3200" s="3">
        <v>0</v>
      </c>
      <c r="BH3200" s="3">
        <v>1</v>
      </c>
      <c r="BI3200" s="3">
        <v>1</v>
      </c>
      <c r="BJ3200" s="3">
        <v>0.2</v>
      </c>
      <c r="BK3200" s="3">
        <v>1</v>
      </c>
      <c r="BL3200" s="3">
        <v>59</v>
      </c>
      <c r="BM3200" s="3">
        <v>8.85</v>
      </c>
      <c r="BN3200" s="3">
        <v>67.849999999999994</v>
      </c>
      <c r="BO3200" s="3">
        <v>67.849999999999994</v>
      </c>
      <c r="BQ3200" s="3" t="s">
        <v>83</v>
      </c>
      <c r="BR3200" s="3" t="s">
        <v>364</v>
      </c>
      <c r="BS3200" s="4">
        <v>44571</v>
      </c>
      <c r="BT3200" s="5">
        <v>0.32777777777777778</v>
      </c>
      <c r="BU3200" s="3" t="s">
        <v>2880</v>
      </c>
      <c r="BV3200" s="3" t="s">
        <v>105</v>
      </c>
      <c r="BY3200" s="3">
        <v>1200</v>
      </c>
      <c r="BZ3200" s="3" t="s">
        <v>165</v>
      </c>
      <c r="CA3200" s="3" t="s">
        <v>1061</v>
      </c>
      <c r="CC3200" s="3" t="s">
        <v>91</v>
      </c>
      <c r="CD3200" s="3">
        <v>7530</v>
      </c>
      <c r="CE3200" s="3" t="s">
        <v>93</v>
      </c>
      <c r="CF3200" s="4">
        <v>44572</v>
      </c>
      <c r="CI3200" s="3">
        <v>1</v>
      </c>
      <c r="CJ3200" s="3">
        <v>1</v>
      </c>
      <c r="CK3200" s="3">
        <v>21</v>
      </c>
      <c r="CL3200" s="3" t="s">
        <v>87</v>
      </c>
    </row>
    <row r="3201" spans="1:90" x14ac:dyDescent="0.2">
      <c r="A3201" s="3" t="s">
        <v>72</v>
      </c>
      <c r="B3201" s="3" t="s">
        <v>73</v>
      </c>
      <c r="C3201" s="3" t="s">
        <v>74</v>
      </c>
      <c r="E3201" s="3" t="str">
        <f>"FES1162844130"</f>
        <v>FES1162844130</v>
      </c>
      <c r="F3201" s="4">
        <v>44568</v>
      </c>
      <c r="G3201" s="3">
        <v>202207</v>
      </c>
      <c r="H3201" s="3" t="s">
        <v>75</v>
      </c>
      <c r="I3201" s="3" t="s">
        <v>76</v>
      </c>
      <c r="J3201" s="3" t="s">
        <v>77</v>
      </c>
      <c r="K3201" s="3" t="s">
        <v>78</v>
      </c>
      <c r="L3201" s="3" t="s">
        <v>101</v>
      </c>
      <c r="M3201" s="3" t="s">
        <v>102</v>
      </c>
      <c r="N3201" s="3" t="s">
        <v>524</v>
      </c>
      <c r="O3201" s="3" t="s">
        <v>82</v>
      </c>
      <c r="P3201" s="3" t="str">
        <f>"2170813540                    "</f>
        <v xml:space="preserve">2170813540                    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  <c r="AE3201" s="3">
        <v>0</v>
      </c>
      <c r="AF3201" s="3">
        <v>0</v>
      </c>
      <c r="AG3201" s="3">
        <v>0</v>
      </c>
      <c r="AH3201" s="3">
        <v>0</v>
      </c>
      <c r="AI3201" s="3">
        <v>0</v>
      </c>
      <c r="AJ3201" s="3">
        <v>0</v>
      </c>
      <c r="AK3201" s="3">
        <v>54.08</v>
      </c>
      <c r="AL3201" s="3">
        <v>0</v>
      </c>
      <c r="AM3201" s="3">
        <v>0</v>
      </c>
      <c r="AN3201" s="3">
        <v>0</v>
      </c>
      <c r="AO3201" s="3">
        <v>0</v>
      </c>
      <c r="AP3201" s="3">
        <v>0</v>
      </c>
      <c r="AQ3201" s="3">
        <v>0</v>
      </c>
      <c r="AR3201" s="3">
        <v>0</v>
      </c>
      <c r="AS3201" s="3">
        <v>0</v>
      </c>
      <c r="AT3201" s="3">
        <v>0</v>
      </c>
      <c r="AU3201" s="3">
        <v>0</v>
      </c>
      <c r="AV3201" s="3">
        <v>0</v>
      </c>
      <c r="AW3201" s="3">
        <v>0</v>
      </c>
      <c r="AX3201" s="3">
        <v>0</v>
      </c>
      <c r="AY3201" s="3">
        <v>0</v>
      </c>
      <c r="AZ3201" s="3">
        <v>0</v>
      </c>
      <c r="BA3201" s="3">
        <v>0</v>
      </c>
      <c r="BB3201" s="3">
        <v>0</v>
      </c>
      <c r="BC3201" s="3">
        <v>0</v>
      </c>
      <c r="BD3201" s="3">
        <v>0</v>
      </c>
      <c r="BE3201" s="3">
        <v>0</v>
      </c>
      <c r="BF3201" s="3">
        <v>0</v>
      </c>
      <c r="BG3201" s="3">
        <v>0</v>
      </c>
      <c r="BH3201" s="3">
        <v>1</v>
      </c>
      <c r="BI3201" s="3">
        <v>7</v>
      </c>
      <c r="BJ3201" s="3">
        <v>2</v>
      </c>
      <c r="BK3201" s="3">
        <v>7</v>
      </c>
      <c r="BL3201" s="3">
        <v>206.42</v>
      </c>
      <c r="BM3201" s="3">
        <v>30.96</v>
      </c>
      <c r="BN3201" s="3">
        <v>237.38</v>
      </c>
      <c r="BO3201" s="3">
        <v>237.38</v>
      </c>
      <c r="BQ3201" s="3" t="s">
        <v>126</v>
      </c>
      <c r="BR3201" s="3" t="s">
        <v>364</v>
      </c>
      <c r="BS3201" s="4">
        <v>44571</v>
      </c>
      <c r="BT3201" s="5">
        <v>0.43402777777777773</v>
      </c>
      <c r="BU3201" s="3" t="s">
        <v>2881</v>
      </c>
      <c r="BV3201" s="3" t="s">
        <v>105</v>
      </c>
      <c r="BY3201" s="3">
        <v>10000</v>
      </c>
      <c r="CA3201" s="3" t="s">
        <v>343</v>
      </c>
      <c r="CC3201" s="3" t="s">
        <v>102</v>
      </c>
      <c r="CD3201" s="3">
        <v>4017</v>
      </c>
      <c r="CE3201" s="3" t="s">
        <v>86</v>
      </c>
      <c r="CF3201" s="4">
        <v>44571</v>
      </c>
      <c r="CI3201" s="3">
        <v>1</v>
      </c>
      <c r="CJ3201" s="3">
        <v>1</v>
      </c>
      <c r="CK3201" s="3">
        <v>21</v>
      </c>
      <c r="CL3201" s="3" t="s">
        <v>87</v>
      </c>
    </row>
    <row r="3202" spans="1:90" x14ac:dyDescent="0.2">
      <c r="A3202" s="3" t="s">
        <v>72</v>
      </c>
      <c r="B3202" s="3" t="s">
        <v>73</v>
      </c>
      <c r="C3202" s="3" t="s">
        <v>74</v>
      </c>
      <c r="E3202" s="3" t="str">
        <f>"FES1162843985"</f>
        <v>FES1162843985</v>
      </c>
      <c r="F3202" s="4">
        <v>44568</v>
      </c>
      <c r="G3202" s="3">
        <v>202207</v>
      </c>
      <c r="H3202" s="3" t="s">
        <v>75</v>
      </c>
      <c r="I3202" s="3" t="s">
        <v>76</v>
      </c>
      <c r="J3202" s="3" t="s">
        <v>77</v>
      </c>
      <c r="K3202" s="3" t="s">
        <v>78</v>
      </c>
      <c r="L3202" s="3" t="s">
        <v>187</v>
      </c>
      <c r="M3202" s="3" t="s">
        <v>188</v>
      </c>
      <c r="N3202" s="3" t="s">
        <v>189</v>
      </c>
      <c r="O3202" s="3" t="s">
        <v>82</v>
      </c>
      <c r="P3202" s="3" t="str">
        <f>"2170815193                    "</f>
        <v xml:space="preserve">2170815193                    </v>
      </c>
      <c r="Q3202" s="3">
        <v>0</v>
      </c>
      <c r="R3202" s="3">
        <v>0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  <c r="AE3202" s="3">
        <v>0</v>
      </c>
      <c r="AF3202" s="3">
        <v>0</v>
      </c>
      <c r="AG3202" s="3">
        <v>0</v>
      </c>
      <c r="AH3202" s="3">
        <v>0</v>
      </c>
      <c r="AI3202" s="3">
        <v>0</v>
      </c>
      <c r="AJ3202" s="3">
        <v>0</v>
      </c>
      <c r="AK3202" s="3">
        <v>29.95</v>
      </c>
      <c r="AL3202" s="3">
        <v>0</v>
      </c>
      <c r="AM3202" s="3">
        <v>0</v>
      </c>
      <c r="AN3202" s="3">
        <v>0</v>
      </c>
      <c r="AO3202" s="3">
        <v>0</v>
      </c>
      <c r="AP3202" s="3">
        <v>0</v>
      </c>
      <c r="AQ3202" s="3">
        <v>0</v>
      </c>
      <c r="AR3202" s="3">
        <v>0</v>
      </c>
      <c r="AS3202" s="3">
        <v>0</v>
      </c>
      <c r="AT3202" s="3">
        <v>0</v>
      </c>
      <c r="AU3202" s="3">
        <v>0</v>
      </c>
      <c r="AV3202" s="3">
        <v>0</v>
      </c>
      <c r="AW3202" s="3">
        <v>0</v>
      </c>
      <c r="AX3202" s="3">
        <v>0</v>
      </c>
      <c r="AY3202" s="3">
        <v>0</v>
      </c>
      <c r="AZ3202" s="3">
        <v>0</v>
      </c>
      <c r="BA3202" s="3">
        <v>0</v>
      </c>
      <c r="BB3202" s="3">
        <v>0</v>
      </c>
      <c r="BC3202" s="3">
        <v>0</v>
      </c>
      <c r="BD3202" s="3">
        <v>0</v>
      </c>
      <c r="BE3202" s="3">
        <v>0</v>
      </c>
      <c r="BF3202" s="3">
        <v>0</v>
      </c>
      <c r="BG3202" s="3">
        <v>0</v>
      </c>
      <c r="BH3202" s="3">
        <v>1</v>
      </c>
      <c r="BI3202" s="3">
        <v>1</v>
      </c>
      <c r="BJ3202" s="3">
        <v>0.2</v>
      </c>
      <c r="BK3202" s="3">
        <v>1</v>
      </c>
      <c r="BL3202" s="3">
        <v>114.31</v>
      </c>
      <c r="BM3202" s="3">
        <v>17.149999999999999</v>
      </c>
      <c r="BN3202" s="3">
        <v>131.46</v>
      </c>
      <c r="BO3202" s="3">
        <v>131.46</v>
      </c>
      <c r="BQ3202" s="3" t="s">
        <v>83</v>
      </c>
      <c r="BR3202" s="3" t="s">
        <v>364</v>
      </c>
      <c r="BS3202" s="4">
        <v>44571</v>
      </c>
      <c r="BT3202" s="5">
        <v>0.53125</v>
      </c>
      <c r="BU3202" s="3" t="s">
        <v>955</v>
      </c>
      <c r="BV3202" s="3" t="s">
        <v>105</v>
      </c>
      <c r="BY3202" s="3">
        <v>1200</v>
      </c>
      <c r="BZ3202" s="3" t="s">
        <v>165</v>
      </c>
      <c r="CA3202" s="3" t="s">
        <v>268</v>
      </c>
      <c r="CC3202" s="3" t="s">
        <v>188</v>
      </c>
      <c r="CD3202" s="3">
        <v>7300</v>
      </c>
      <c r="CE3202" s="3" t="s">
        <v>93</v>
      </c>
      <c r="CF3202" s="4">
        <v>44572</v>
      </c>
      <c r="CI3202" s="3">
        <v>1</v>
      </c>
      <c r="CJ3202" s="3">
        <v>1</v>
      </c>
      <c r="CK3202" s="3">
        <v>23</v>
      </c>
      <c r="CL3202" s="3" t="s">
        <v>87</v>
      </c>
    </row>
    <row r="3203" spans="1:90" x14ac:dyDescent="0.2">
      <c r="A3203" s="3" t="s">
        <v>72</v>
      </c>
      <c r="B3203" s="3" t="s">
        <v>73</v>
      </c>
      <c r="C3203" s="3" t="s">
        <v>74</v>
      </c>
      <c r="E3203" s="3" t="str">
        <f>"FES1162843909"</f>
        <v>FES1162843909</v>
      </c>
      <c r="F3203" s="4">
        <v>44568</v>
      </c>
      <c r="G3203" s="3">
        <v>202207</v>
      </c>
      <c r="H3203" s="3" t="s">
        <v>75</v>
      </c>
      <c r="I3203" s="3" t="s">
        <v>76</v>
      </c>
      <c r="J3203" s="3" t="s">
        <v>77</v>
      </c>
      <c r="K3203" s="3" t="s">
        <v>78</v>
      </c>
      <c r="L3203" s="3" t="s">
        <v>110</v>
      </c>
      <c r="M3203" s="3" t="s">
        <v>110</v>
      </c>
      <c r="N3203" s="3" t="s">
        <v>111</v>
      </c>
      <c r="O3203" s="3" t="s">
        <v>82</v>
      </c>
      <c r="P3203" s="3" t="str">
        <f>"2170810589                    "</f>
        <v xml:space="preserve">2170810589                    </v>
      </c>
      <c r="Q3203" s="3">
        <v>0</v>
      </c>
      <c r="R3203" s="3">
        <v>0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  <c r="AE3203" s="3">
        <v>0</v>
      </c>
      <c r="AF3203" s="3">
        <v>0</v>
      </c>
      <c r="AG3203" s="3">
        <v>0</v>
      </c>
      <c r="AH3203" s="3">
        <v>0</v>
      </c>
      <c r="AI3203" s="3">
        <v>0</v>
      </c>
      <c r="AJ3203" s="3">
        <v>0</v>
      </c>
      <c r="AK3203" s="3">
        <v>29.95</v>
      </c>
      <c r="AL3203" s="3">
        <v>0</v>
      </c>
      <c r="AM3203" s="3">
        <v>0</v>
      </c>
      <c r="AN3203" s="3">
        <v>0</v>
      </c>
      <c r="AO3203" s="3">
        <v>0</v>
      </c>
      <c r="AP3203" s="3">
        <v>0</v>
      </c>
      <c r="AQ3203" s="3">
        <v>0</v>
      </c>
      <c r="AR3203" s="3">
        <v>0</v>
      </c>
      <c r="AS3203" s="3">
        <v>0</v>
      </c>
      <c r="AT3203" s="3">
        <v>0</v>
      </c>
      <c r="AU3203" s="3">
        <v>0</v>
      </c>
      <c r="AV3203" s="3">
        <v>0</v>
      </c>
      <c r="AW3203" s="3">
        <v>0</v>
      </c>
      <c r="AX3203" s="3">
        <v>0</v>
      </c>
      <c r="AY3203" s="3">
        <v>0</v>
      </c>
      <c r="AZ3203" s="3">
        <v>0</v>
      </c>
      <c r="BA3203" s="3">
        <v>0</v>
      </c>
      <c r="BB3203" s="3">
        <v>0</v>
      </c>
      <c r="BC3203" s="3">
        <v>0</v>
      </c>
      <c r="BD3203" s="3">
        <v>0</v>
      </c>
      <c r="BE3203" s="3">
        <v>0</v>
      </c>
      <c r="BF3203" s="3">
        <v>0</v>
      </c>
      <c r="BG3203" s="3">
        <v>0</v>
      </c>
      <c r="BH3203" s="3">
        <v>1</v>
      </c>
      <c r="BI3203" s="3">
        <v>1</v>
      </c>
      <c r="BJ3203" s="3">
        <v>0.2</v>
      </c>
      <c r="BK3203" s="3">
        <v>1</v>
      </c>
      <c r="BL3203" s="3">
        <v>114.31</v>
      </c>
      <c r="BM3203" s="3">
        <v>17.149999999999999</v>
      </c>
      <c r="BN3203" s="3">
        <v>131.46</v>
      </c>
      <c r="BO3203" s="3">
        <v>131.46</v>
      </c>
      <c r="BQ3203" s="3" t="s">
        <v>89</v>
      </c>
      <c r="BR3203" s="3" t="s">
        <v>364</v>
      </c>
      <c r="BS3203" s="4">
        <v>44571</v>
      </c>
      <c r="BT3203" s="5">
        <v>0.47430555555555554</v>
      </c>
      <c r="BU3203" s="3" t="s">
        <v>1675</v>
      </c>
      <c r="BV3203" s="3" t="s">
        <v>105</v>
      </c>
      <c r="BY3203" s="3">
        <v>1200</v>
      </c>
      <c r="BZ3203" s="3" t="s">
        <v>165</v>
      </c>
      <c r="CA3203" s="3" t="s">
        <v>563</v>
      </c>
      <c r="CC3203" s="3" t="s">
        <v>110</v>
      </c>
      <c r="CD3203" s="3">
        <v>7646</v>
      </c>
      <c r="CE3203" s="3" t="s">
        <v>93</v>
      </c>
      <c r="CF3203" s="4">
        <v>44572</v>
      </c>
      <c r="CI3203" s="3">
        <v>1</v>
      </c>
      <c r="CJ3203" s="3">
        <v>1</v>
      </c>
      <c r="CK3203" s="3">
        <v>23</v>
      </c>
      <c r="CL3203" s="3" t="s">
        <v>87</v>
      </c>
    </row>
    <row r="3204" spans="1:90" x14ac:dyDescent="0.2">
      <c r="A3204" s="3" t="s">
        <v>72</v>
      </c>
      <c r="B3204" s="3" t="s">
        <v>73</v>
      </c>
      <c r="C3204" s="3" t="s">
        <v>74</v>
      </c>
      <c r="E3204" s="3" t="str">
        <f>"FES1162844147"</f>
        <v>FES1162844147</v>
      </c>
      <c r="F3204" s="4">
        <v>44568</v>
      </c>
      <c r="G3204" s="3">
        <v>202207</v>
      </c>
      <c r="H3204" s="3" t="s">
        <v>75</v>
      </c>
      <c r="I3204" s="3" t="s">
        <v>76</v>
      </c>
      <c r="J3204" s="3" t="s">
        <v>77</v>
      </c>
      <c r="K3204" s="3" t="s">
        <v>78</v>
      </c>
      <c r="L3204" s="3" t="s">
        <v>510</v>
      </c>
      <c r="M3204" s="3" t="s">
        <v>511</v>
      </c>
      <c r="N3204" s="3" t="s">
        <v>2882</v>
      </c>
      <c r="O3204" s="3" t="s">
        <v>82</v>
      </c>
      <c r="P3204" s="3" t="str">
        <f>"2170814969                    "</f>
        <v xml:space="preserve">2170814969                    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  <c r="AE3204" s="3">
        <v>0</v>
      </c>
      <c r="AF3204" s="3">
        <v>0</v>
      </c>
      <c r="AG3204" s="3">
        <v>0</v>
      </c>
      <c r="AH3204" s="3">
        <v>0</v>
      </c>
      <c r="AI3204" s="3">
        <v>0</v>
      </c>
      <c r="AJ3204" s="3">
        <v>0</v>
      </c>
      <c r="AK3204" s="3">
        <v>12.07</v>
      </c>
      <c r="AL3204" s="3">
        <v>0</v>
      </c>
      <c r="AM3204" s="3">
        <v>0</v>
      </c>
      <c r="AN3204" s="3">
        <v>0</v>
      </c>
      <c r="AO3204" s="3">
        <v>0</v>
      </c>
      <c r="AP3204" s="3">
        <v>0</v>
      </c>
      <c r="AQ3204" s="3">
        <v>0</v>
      </c>
      <c r="AR3204" s="3">
        <v>0</v>
      </c>
      <c r="AS3204" s="3">
        <v>0</v>
      </c>
      <c r="AT3204" s="3">
        <v>0</v>
      </c>
      <c r="AU3204" s="3">
        <v>0</v>
      </c>
      <c r="AV3204" s="3">
        <v>0</v>
      </c>
      <c r="AW3204" s="3">
        <v>0</v>
      </c>
      <c r="AX3204" s="3">
        <v>0</v>
      </c>
      <c r="AY3204" s="3">
        <v>0</v>
      </c>
      <c r="AZ3204" s="3">
        <v>0</v>
      </c>
      <c r="BA3204" s="3">
        <v>0</v>
      </c>
      <c r="BB3204" s="3">
        <v>0</v>
      </c>
      <c r="BC3204" s="3">
        <v>0</v>
      </c>
      <c r="BD3204" s="3">
        <v>0</v>
      </c>
      <c r="BE3204" s="3">
        <v>0</v>
      </c>
      <c r="BF3204" s="3">
        <v>0</v>
      </c>
      <c r="BG3204" s="3">
        <v>0</v>
      </c>
      <c r="BH3204" s="3">
        <v>1</v>
      </c>
      <c r="BI3204" s="3">
        <v>1</v>
      </c>
      <c r="BJ3204" s="3">
        <v>4.0999999999999996</v>
      </c>
      <c r="BK3204" s="3">
        <v>4.5</v>
      </c>
      <c r="BL3204" s="3">
        <v>46.08</v>
      </c>
      <c r="BM3204" s="3">
        <v>6.91</v>
      </c>
      <c r="BN3204" s="3">
        <v>52.99</v>
      </c>
      <c r="BO3204" s="3">
        <v>52.99</v>
      </c>
      <c r="BQ3204" s="3" t="s">
        <v>89</v>
      </c>
      <c r="BR3204" s="3" t="s">
        <v>364</v>
      </c>
      <c r="BS3204" s="4">
        <v>44571</v>
      </c>
      <c r="BT3204" s="5">
        <v>0.39027777777777778</v>
      </c>
      <c r="BU3204" s="3" t="s">
        <v>2883</v>
      </c>
      <c r="BV3204" s="3" t="s">
        <v>105</v>
      </c>
      <c r="BY3204" s="3">
        <v>20358</v>
      </c>
      <c r="BZ3204" s="3" t="s">
        <v>165</v>
      </c>
      <c r="CA3204" s="3" t="s">
        <v>514</v>
      </c>
      <c r="CC3204" s="3" t="s">
        <v>511</v>
      </c>
      <c r="CD3204" s="3">
        <v>1540</v>
      </c>
      <c r="CE3204" s="3" t="s">
        <v>86</v>
      </c>
      <c r="CF3204" s="4">
        <v>44572</v>
      </c>
      <c r="CI3204" s="3">
        <v>1</v>
      </c>
      <c r="CJ3204" s="3">
        <v>1</v>
      </c>
      <c r="CK3204" s="3">
        <v>22</v>
      </c>
      <c r="CL3204" s="3" t="s">
        <v>87</v>
      </c>
    </row>
    <row r="3205" spans="1:90" x14ac:dyDescent="0.2">
      <c r="A3205" s="3" t="s">
        <v>72</v>
      </c>
      <c r="B3205" s="3" t="s">
        <v>73</v>
      </c>
      <c r="C3205" s="3" t="s">
        <v>74</v>
      </c>
      <c r="E3205" s="3" t="str">
        <f>"FES1162843896"</f>
        <v>FES1162843896</v>
      </c>
      <c r="F3205" s="4">
        <v>44568</v>
      </c>
      <c r="G3205" s="3">
        <v>202207</v>
      </c>
      <c r="H3205" s="3" t="s">
        <v>75</v>
      </c>
      <c r="I3205" s="3" t="s">
        <v>76</v>
      </c>
      <c r="J3205" s="3" t="s">
        <v>77</v>
      </c>
      <c r="K3205" s="3" t="s">
        <v>78</v>
      </c>
      <c r="L3205" s="3" t="s">
        <v>90</v>
      </c>
      <c r="M3205" s="3" t="s">
        <v>91</v>
      </c>
      <c r="N3205" s="3" t="s">
        <v>2884</v>
      </c>
      <c r="O3205" s="3" t="s">
        <v>82</v>
      </c>
      <c r="P3205" s="3" t="str">
        <f>"2170804140                    "</f>
        <v xml:space="preserve">2170804140                    </v>
      </c>
      <c r="Q3205" s="3">
        <v>0</v>
      </c>
      <c r="R3205" s="3">
        <v>0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  <c r="AE3205" s="3">
        <v>0</v>
      </c>
      <c r="AF3205" s="3">
        <v>0</v>
      </c>
      <c r="AG3205" s="3">
        <v>0</v>
      </c>
      <c r="AH3205" s="3">
        <v>0</v>
      </c>
      <c r="AI3205" s="3">
        <v>0</v>
      </c>
      <c r="AJ3205" s="3">
        <v>0</v>
      </c>
      <c r="AK3205" s="3">
        <v>15.46</v>
      </c>
      <c r="AL3205" s="3">
        <v>0</v>
      </c>
      <c r="AM3205" s="3">
        <v>0</v>
      </c>
      <c r="AN3205" s="3">
        <v>0</v>
      </c>
      <c r="AO3205" s="3">
        <v>0</v>
      </c>
      <c r="AP3205" s="3">
        <v>0</v>
      </c>
      <c r="AQ3205" s="3">
        <v>0</v>
      </c>
      <c r="AR3205" s="3">
        <v>0</v>
      </c>
      <c r="AS3205" s="3">
        <v>0</v>
      </c>
      <c r="AT3205" s="3">
        <v>0</v>
      </c>
      <c r="AU3205" s="3">
        <v>0</v>
      </c>
      <c r="AV3205" s="3">
        <v>0</v>
      </c>
      <c r="AW3205" s="3">
        <v>0</v>
      </c>
      <c r="AX3205" s="3">
        <v>0</v>
      </c>
      <c r="AY3205" s="3">
        <v>0</v>
      </c>
      <c r="AZ3205" s="3">
        <v>0</v>
      </c>
      <c r="BA3205" s="3">
        <v>0</v>
      </c>
      <c r="BB3205" s="3">
        <v>0</v>
      </c>
      <c r="BC3205" s="3">
        <v>0</v>
      </c>
      <c r="BD3205" s="3">
        <v>0</v>
      </c>
      <c r="BE3205" s="3">
        <v>0</v>
      </c>
      <c r="BF3205" s="3">
        <v>0</v>
      </c>
      <c r="BG3205" s="3">
        <v>0</v>
      </c>
      <c r="BH3205" s="3">
        <v>1</v>
      </c>
      <c r="BI3205" s="3">
        <v>1</v>
      </c>
      <c r="BJ3205" s="3">
        <v>0.2</v>
      </c>
      <c r="BK3205" s="3">
        <v>1</v>
      </c>
      <c r="BL3205" s="3">
        <v>59</v>
      </c>
      <c r="BM3205" s="3">
        <v>8.85</v>
      </c>
      <c r="BN3205" s="3">
        <v>67.849999999999994</v>
      </c>
      <c r="BO3205" s="3">
        <v>67.849999999999994</v>
      </c>
      <c r="BQ3205" s="3" t="s">
        <v>83</v>
      </c>
      <c r="BR3205" s="3" t="s">
        <v>364</v>
      </c>
      <c r="BS3205" s="4">
        <v>44571</v>
      </c>
      <c r="BT3205" s="5">
        <v>0.4465277777777778</v>
      </c>
      <c r="BU3205" s="3" t="s">
        <v>2885</v>
      </c>
      <c r="BV3205" s="3" t="s">
        <v>105</v>
      </c>
      <c r="BY3205" s="3">
        <v>1200</v>
      </c>
      <c r="BZ3205" s="3" t="s">
        <v>165</v>
      </c>
      <c r="CA3205" s="3" t="s">
        <v>2141</v>
      </c>
      <c r="CC3205" s="3" t="s">
        <v>91</v>
      </c>
      <c r="CD3205" s="3">
        <v>7480</v>
      </c>
      <c r="CE3205" s="3" t="s">
        <v>93</v>
      </c>
      <c r="CF3205" s="4">
        <v>44572</v>
      </c>
      <c r="CI3205" s="3">
        <v>0</v>
      </c>
      <c r="CJ3205" s="3">
        <v>0</v>
      </c>
      <c r="CK3205" s="3">
        <v>21</v>
      </c>
      <c r="CL3205" s="3" t="s">
        <v>87</v>
      </c>
    </row>
    <row r="3206" spans="1:90" x14ac:dyDescent="0.2">
      <c r="A3206" s="3" t="s">
        <v>72</v>
      </c>
      <c r="B3206" s="3" t="s">
        <v>73</v>
      </c>
      <c r="C3206" s="3" t="s">
        <v>74</v>
      </c>
      <c r="E3206" s="3" t="str">
        <f>"FES1162844021"</f>
        <v>FES1162844021</v>
      </c>
      <c r="F3206" s="4">
        <v>44568</v>
      </c>
      <c r="G3206" s="3">
        <v>202207</v>
      </c>
      <c r="H3206" s="3" t="s">
        <v>75</v>
      </c>
      <c r="I3206" s="3" t="s">
        <v>76</v>
      </c>
      <c r="J3206" s="3" t="s">
        <v>77</v>
      </c>
      <c r="K3206" s="3" t="s">
        <v>78</v>
      </c>
      <c r="L3206" s="3" t="s">
        <v>101</v>
      </c>
      <c r="M3206" s="3" t="s">
        <v>102</v>
      </c>
      <c r="N3206" s="3" t="s">
        <v>2886</v>
      </c>
      <c r="O3206" s="3" t="s">
        <v>82</v>
      </c>
      <c r="P3206" s="3" t="str">
        <f>"2170815830                    "</f>
        <v xml:space="preserve">2170815830                    </v>
      </c>
      <c r="Q3206" s="3">
        <v>0</v>
      </c>
      <c r="R3206" s="3">
        <v>0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  <c r="AE3206" s="3">
        <v>0</v>
      </c>
      <c r="AF3206" s="3">
        <v>0</v>
      </c>
      <c r="AG3206" s="3">
        <v>0</v>
      </c>
      <c r="AH3206" s="3">
        <v>0</v>
      </c>
      <c r="AI3206" s="3">
        <v>0</v>
      </c>
      <c r="AJ3206" s="3">
        <v>0</v>
      </c>
      <c r="AK3206" s="3">
        <v>15.46</v>
      </c>
      <c r="AL3206" s="3">
        <v>0</v>
      </c>
      <c r="AM3206" s="3">
        <v>0</v>
      </c>
      <c r="AN3206" s="3">
        <v>0</v>
      </c>
      <c r="AO3206" s="3">
        <v>0</v>
      </c>
      <c r="AP3206" s="3">
        <v>0</v>
      </c>
      <c r="AQ3206" s="3">
        <v>0</v>
      </c>
      <c r="AR3206" s="3">
        <v>0</v>
      </c>
      <c r="AS3206" s="3">
        <v>0</v>
      </c>
      <c r="AT3206" s="3">
        <v>0</v>
      </c>
      <c r="AU3206" s="3">
        <v>0</v>
      </c>
      <c r="AV3206" s="3">
        <v>0</v>
      </c>
      <c r="AW3206" s="3">
        <v>0</v>
      </c>
      <c r="AX3206" s="3">
        <v>0</v>
      </c>
      <c r="AY3206" s="3">
        <v>0</v>
      </c>
      <c r="AZ3206" s="3">
        <v>0</v>
      </c>
      <c r="BA3206" s="3">
        <v>0</v>
      </c>
      <c r="BB3206" s="3">
        <v>0</v>
      </c>
      <c r="BC3206" s="3">
        <v>0</v>
      </c>
      <c r="BD3206" s="3">
        <v>0</v>
      </c>
      <c r="BE3206" s="3">
        <v>0</v>
      </c>
      <c r="BF3206" s="3">
        <v>0</v>
      </c>
      <c r="BG3206" s="3">
        <v>0</v>
      </c>
      <c r="BH3206" s="3">
        <v>1</v>
      </c>
      <c r="BI3206" s="3">
        <v>1</v>
      </c>
      <c r="BJ3206" s="3">
        <v>1.1000000000000001</v>
      </c>
      <c r="BK3206" s="3">
        <v>1.5</v>
      </c>
      <c r="BL3206" s="3">
        <v>59</v>
      </c>
      <c r="BM3206" s="3">
        <v>8.85</v>
      </c>
      <c r="BN3206" s="3">
        <v>67.849999999999994</v>
      </c>
      <c r="BO3206" s="3">
        <v>67.849999999999994</v>
      </c>
      <c r="BQ3206" s="3" t="s">
        <v>83</v>
      </c>
      <c r="BR3206" s="3" t="s">
        <v>364</v>
      </c>
      <c r="BS3206" s="4">
        <v>44571</v>
      </c>
      <c r="BT3206" s="5">
        <v>0.37916666666666665</v>
      </c>
      <c r="BU3206" s="3" t="s">
        <v>2887</v>
      </c>
      <c r="BV3206" s="3" t="s">
        <v>105</v>
      </c>
      <c r="BY3206" s="3">
        <v>5320</v>
      </c>
      <c r="BZ3206" s="3" t="s">
        <v>165</v>
      </c>
      <c r="CA3206" s="3" t="s">
        <v>343</v>
      </c>
      <c r="CC3206" s="3" t="s">
        <v>102</v>
      </c>
      <c r="CD3206" s="3">
        <v>4051</v>
      </c>
      <c r="CE3206" s="3" t="s">
        <v>86</v>
      </c>
      <c r="CF3206" s="4">
        <v>44571</v>
      </c>
      <c r="CI3206" s="3">
        <v>1</v>
      </c>
      <c r="CJ3206" s="3">
        <v>1</v>
      </c>
      <c r="CK3206" s="3">
        <v>21</v>
      </c>
      <c r="CL3206" s="3" t="s">
        <v>87</v>
      </c>
    </row>
    <row r="3207" spans="1:90" x14ac:dyDescent="0.2">
      <c r="A3207" s="3" t="s">
        <v>72</v>
      </c>
      <c r="B3207" s="3" t="s">
        <v>73</v>
      </c>
      <c r="C3207" s="3" t="s">
        <v>74</v>
      </c>
      <c r="E3207" s="3" t="str">
        <f>"FES1162844198"</f>
        <v>FES1162844198</v>
      </c>
      <c r="F3207" s="4">
        <v>44568</v>
      </c>
      <c r="G3207" s="3">
        <v>202207</v>
      </c>
      <c r="H3207" s="3" t="s">
        <v>75</v>
      </c>
      <c r="I3207" s="3" t="s">
        <v>76</v>
      </c>
      <c r="J3207" s="3" t="s">
        <v>77</v>
      </c>
      <c r="K3207" s="3" t="s">
        <v>78</v>
      </c>
      <c r="L3207" s="3" t="s">
        <v>989</v>
      </c>
      <c r="M3207" s="3" t="s">
        <v>990</v>
      </c>
      <c r="N3207" s="3" t="s">
        <v>337</v>
      </c>
      <c r="O3207" s="3" t="s">
        <v>82</v>
      </c>
      <c r="P3207" s="3" t="str">
        <f>"2170815933                    "</f>
        <v xml:space="preserve">2170815933                    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  <c r="AE3207" s="3">
        <v>0</v>
      </c>
      <c r="AF3207" s="3">
        <v>0</v>
      </c>
      <c r="AG3207" s="3">
        <v>0</v>
      </c>
      <c r="AH3207" s="3">
        <v>0</v>
      </c>
      <c r="AI3207" s="3">
        <v>0</v>
      </c>
      <c r="AJ3207" s="3">
        <v>0</v>
      </c>
      <c r="AK3207" s="3">
        <v>15.46</v>
      </c>
      <c r="AL3207" s="3">
        <v>0</v>
      </c>
      <c r="AM3207" s="3">
        <v>0</v>
      </c>
      <c r="AN3207" s="3">
        <v>0</v>
      </c>
      <c r="AO3207" s="3">
        <v>0</v>
      </c>
      <c r="AP3207" s="3">
        <v>0</v>
      </c>
      <c r="AQ3207" s="3">
        <v>0</v>
      </c>
      <c r="AR3207" s="3">
        <v>0</v>
      </c>
      <c r="AS3207" s="3">
        <v>0</v>
      </c>
      <c r="AT3207" s="3">
        <v>0</v>
      </c>
      <c r="AU3207" s="3">
        <v>0</v>
      </c>
      <c r="AV3207" s="3">
        <v>0</v>
      </c>
      <c r="AW3207" s="3">
        <v>0</v>
      </c>
      <c r="AX3207" s="3">
        <v>0</v>
      </c>
      <c r="AY3207" s="3">
        <v>0</v>
      </c>
      <c r="AZ3207" s="3">
        <v>0</v>
      </c>
      <c r="BA3207" s="3">
        <v>0</v>
      </c>
      <c r="BB3207" s="3">
        <v>0</v>
      </c>
      <c r="BC3207" s="3">
        <v>0</v>
      </c>
      <c r="BD3207" s="3">
        <v>0</v>
      </c>
      <c r="BE3207" s="3">
        <v>0</v>
      </c>
      <c r="BF3207" s="3">
        <v>0</v>
      </c>
      <c r="BG3207" s="3">
        <v>0</v>
      </c>
      <c r="BH3207" s="3">
        <v>1</v>
      </c>
      <c r="BI3207" s="3">
        <v>1</v>
      </c>
      <c r="BJ3207" s="3">
        <v>0.2</v>
      </c>
      <c r="BK3207" s="3">
        <v>1</v>
      </c>
      <c r="BL3207" s="3">
        <v>59</v>
      </c>
      <c r="BM3207" s="3">
        <v>8.85</v>
      </c>
      <c r="BN3207" s="3">
        <v>67.849999999999994</v>
      </c>
      <c r="BO3207" s="3">
        <v>67.849999999999994</v>
      </c>
      <c r="BR3207" s="3" t="s">
        <v>364</v>
      </c>
      <c r="BS3207" s="4">
        <v>44571</v>
      </c>
      <c r="BT3207" s="5">
        <v>0.3576388888888889</v>
      </c>
      <c r="BU3207" s="3" t="s">
        <v>2055</v>
      </c>
      <c r="BV3207" s="3" t="s">
        <v>105</v>
      </c>
      <c r="BY3207" s="3">
        <v>1200</v>
      </c>
      <c r="BZ3207" s="3" t="s">
        <v>165</v>
      </c>
      <c r="CA3207" s="3" t="s">
        <v>992</v>
      </c>
      <c r="CC3207" s="3" t="s">
        <v>990</v>
      </c>
      <c r="CD3207" s="3">
        <v>700</v>
      </c>
      <c r="CE3207" s="3" t="s">
        <v>93</v>
      </c>
      <c r="CF3207" s="4">
        <v>44571</v>
      </c>
      <c r="CI3207" s="3">
        <v>1</v>
      </c>
      <c r="CJ3207" s="3">
        <v>1</v>
      </c>
      <c r="CK3207" s="3">
        <v>21</v>
      </c>
      <c r="CL3207" s="3" t="s">
        <v>87</v>
      </c>
    </row>
    <row r="3208" spans="1:90" x14ac:dyDescent="0.2">
      <c r="A3208" s="3" t="s">
        <v>72</v>
      </c>
      <c r="B3208" s="3" t="s">
        <v>73</v>
      </c>
      <c r="C3208" s="3" t="s">
        <v>74</v>
      </c>
      <c r="E3208" s="3" t="str">
        <f>"FES1162844142"</f>
        <v>FES1162844142</v>
      </c>
      <c r="F3208" s="4">
        <v>44568</v>
      </c>
      <c r="G3208" s="3">
        <v>202207</v>
      </c>
      <c r="H3208" s="3" t="s">
        <v>75</v>
      </c>
      <c r="I3208" s="3" t="s">
        <v>76</v>
      </c>
      <c r="J3208" s="3" t="s">
        <v>77</v>
      </c>
      <c r="K3208" s="3" t="s">
        <v>78</v>
      </c>
      <c r="L3208" s="3" t="s">
        <v>298</v>
      </c>
      <c r="M3208" s="3" t="s">
        <v>299</v>
      </c>
      <c r="N3208" s="3" t="s">
        <v>300</v>
      </c>
      <c r="O3208" s="3" t="s">
        <v>82</v>
      </c>
      <c r="P3208" s="3" t="str">
        <f>"2170814863                    "</f>
        <v xml:space="preserve">2170814863                    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  <c r="AE3208" s="3">
        <v>0</v>
      </c>
      <c r="AF3208" s="3">
        <v>0</v>
      </c>
      <c r="AG3208" s="3">
        <v>0</v>
      </c>
      <c r="AH3208" s="3">
        <v>0</v>
      </c>
      <c r="AI3208" s="3">
        <v>0</v>
      </c>
      <c r="AJ3208" s="3">
        <v>0</v>
      </c>
      <c r="AK3208" s="3">
        <v>29.95</v>
      </c>
      <c r="AL3208" s="3">
        <v>0</v>
      </c>
      <c r="AM3208" s="3">
        <v>0</v>
      </c>
      <c r="AN3208" s="3">
        <v>0</v>
      </c>
      <c r="AO3208" s="3">
        <v>0</v>
      </c>
      <c r="AP3208" s="3">
        <v>0</v>
      </c>
      <c r="AQ3208" s="3">
        <v>0</v>
      </c>
      <c r="AR3208" s="3">
        <v>0</v>
      </c>
      <c r="AS3208" s="3">
        <v>0</v>
      </c>
      <c r="AT3208" s="3">
        <v>0</v>
      </c>
      <c r="AU3208" s="3">
        <v>0</v>
      </c>
      <c r="AV3208" s="3">
        <v>0</v>
      </c>
      <c r="AW3208" s="3">
        <v>0</v>
      </c>
      <c r="AX3208" s="3">
        <v>0</v>
      </c>
      <c r="AY3208" s="3">
        <v>0</v>
      </c>
      <c r="AZ3208" s="3">
        <v>0</v>
      </c>
      <c r="BA3208" s="3">
        <v>0</v>
      </c>
      <c r="BB3208" s="3">
        <v>0</v>
      </c>
      <c r="BC3208" s="3">
        <v>0</v>
      </c>
      <c r="BD3208" s="3">
        <v>0</v>
      </c>
      <c r="BE3208" s="3">
        <v>0</v>
      </c>
      <c r="BF3208" s="3">
        <v>0</v>
      </c>
      <c r="BG3208" s="3">
        <v>0</v>
      </c>
      <c r="BH3208" s="3">
        <v>1</v>
      </c>
      <c r="BI3208" s="3">
        <v>1</v>
      </c>
      <c r="BJ3208" s="3">
        <v>1.1000000000000001</v>
      </c>
      <c r="BK3208" s="3">
        <v>1.5</v>
      </c>
      <c r="BL3208" s="3">
        <v>114.31</v>
      </c>
      <c r="BM3208" s="3">
        <v>17.149999999999999</v>
      </c>
      <c r="BN3208" s="3">
        <v>131.46</v>
      </c>
      <c r="BO3208" s="3">
        <v>131.46</v>
      </c>
      <c r="BR3208" s="3" t="s">
        <v>364</v>
      </c>
      <c r="BS3208" s="4">
        <v>44571</v>
      </c>
      <c r="BT3208" s="5">
        <v>0.43888888888888888</v>
      </c>
      <c r="BU3208" s="3" t="s">
        <v>549</v>
      </c>
      <c r="BV3208" s="3" t="s">
        <v>105</v>
      </c>
      <c r="BY3208" s="3">
        <v>5320</v>
      </c>
      <c r="BZ3208" s="3" t="s">
        <v>165</v>
      </c>
      <c r="CA3208" s="3" t="s">
        <v>268</v>
      </c>
      <c r="CC3208" s="3" t="s">
        <v>299</v>
      </c>
      <c r="CD3208" s="3">
        <v>7349</v>
      </c>
      <c r="CE3208" s="3" t="s">
        <v>86</v>
      </c>
      <c r="CF3208" s="4">
        <v>44572</v>
      </c>
      <c r="CI3208" s="3">
        <v>1</v>
      </c>
      <c r="CJ3208" s="3">
        <v>1</v>
      </c>
      <c r="CK3208" s="3">
        <v>23</v>
      </c>
      <c r="CL3208" s="3" t="s">
        <v>87</v>
      </c>
    </row>
    <row r="3209" spans="1:90" x14ac:dyDescent="0.2">
      <c r="A3209" s="3" t="s">
        <v>72</v>
      </c>
      <c r="B3209" s="3" t="s">
        <v>73</v>
      </c>
      <c r="C3209" s="3" t="s">
        <v>74</v>
      </c>
      <c r="E3209" s="3" t="str">
        <f>"FES1162843862"</f>
        <v>FES1162843862</v>
      </c>
      <c r="F3209" s="4">
        <v>44568</v>
      </c>
      <c r="G3209" s="3">
        <v>202207</v>
      </c>
      <c r="H3209" s="3" t="s">
        <v>75</v>
      </c>
      <c r="I3209" s="3" t="s">
        <v>76</v>
      </c>
      <c r="J3209" s="3" t="s">
        <v>77</v>
      </c>
      <c r="K3209" s="3" t="s">
        <v>78</v>
      </c>
      <c r="L3209" s="3" t="s">
        <v>97</v>
      </c>
      <c r="M3209" s="3" t="s">
        <v>98</v>
      </c>
      <c r="N3209" s="3" t="s">
        <v>644</v>
      </c>
      <c r="O3209" s="3" t="s">
        <v>82</v>
      </c>
      <c r="P3209" s="3" t="str">
        <f>"2170814336                    "</f>
        <v xml:space="preserve">2170814336                    </v>
      </c>
      <c r="Q3209" s="3">
        <v>0</v>
      </c>
      <c r="R3209" s="3">
        <v>0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  <c r="AE3209" s="3">
        <v>0</v>
      </c>
      <c r="AF3209" s="3">
        <v>0</v>
      </c>
      <c r="AG3209" s="3">
        <v>0</v>
      </c>
      <c r="AH3209" s="3">
        <v>0</v>
      </c>
      <c r="AI3209" s="3">
        <v>0</v>
      </c>
      <c r="AJ3209" s="3">
        <v>0</v>
      </c>
      <c r="AK3209" s="3">
        <v>12.07</v>
      </c>
      <c r="AL3209" s="3">
        <v>0</v>
      </c>
      <c r="AM3209" s="3">
        <v>0</v>
      </c>
      <c r="AN3209" s="3">
        <v>0</v>
      </c>
      <c r="AO3209" s="3">
        <v>0</v>
      </c>
      <c r="AP3209" s="3">
        <v>0</v>
      </c>
      <c r="AQ3209" s="3">
        <v>0</v>
      </c>
      <c r="AR3209" s="3">
        <v>0</v>
      </c>
      <c r="AS3209" s="3">
        <v>0</v>
      </c>
      <c r="AT3209" s="3">
        <v>0</v>
      </c>
      <c r="AU3209" s="3">
        <v>0</v>
      </c>
      <c r="AV3209" s="3">
        <v>0</v>
      </c>
      <c r="AW3209" s="3">
        <v>0</v>
      </c>
      <c r="AX3209" s="3">
        <v>0</v>
      </c>
      <c r="AY3209" s="3">
        <v>0</v>
      </c>
      <c r="AZ3209" s="3">
        <v>0</v>
      </c>
      <c r="BA3209" s="3">
        <v>0</v>
      </c>
      <c r="BB3209" s="3">
        <v>0</v>
      </c>
      <c r="BC3209" s="3">
        <v>0</v>
      </c>
      <c r="BD3209" s="3">
        <v>0</v>
      </c>
      <c r="BE3209" s="3">
        <v>0</v>
      </c>
      <c r="BF3209" s="3">
        <v>0</v>
      </c>
      <c r="BG3209" s="3">
        <v>0</v>
      </c>
      <c r="BH3209" s="3">
        <v>1</v>
      </c>
      <c r="BI3209" s="3">
        <v>1</v>
      </c>
      <c r="BJ3209" s="3">
        <v>0.2</v>
      </c>
      <c r="BK3209" s="3">
        <v>1</v>
      </c>
      <c r="BL3209" s="3">
        <v>46.08</v>
      </c>
      <c r="BM3209" s="3">
        <v>6.91</v>
      </c>
      <c r="BN3209" s="3">
        <v>52.99</v>
      </c>
      <c r="BO3209" s="3">
        <v>52.99</v>
      </c>
      <c r="BQ3209" s="3" t="s">
        <v>126</v>
      </c>
      <c r="BR3209" s="3" t="s">
        <v>364</v>
      </c>
      <c r="BS3209" s="4">
        <v>44571</v>
      </c>
      <c r="BT3209" s="5">
        <v>0.38125000000000003</v>
      </c>
      <c r="BU3209" s="3" t="s">
        <v>2888</v>
      </c>
      <c r="BV3209" s="3" t="s">
        <v>105</v>
      </c>
      <c r="BY3209" s="3">
        <v>1200</v>
      </c>
      <c r="BZ3209" s="3" t="s">
        <v>165</v>
      </c>
      <c r="CC3209" s="3" t="s">
        <v>98</v>
      </c>
      <c r="CD3209" s="3">
        <v>2013</v>
      </c>
      <c r="CE3209" s="3" t="s">
        <v>93</v>
      </c>
      <c r="CF3209" s="4">
        <v>44572</v>
      </c>
      <c r="CI3209" s="3">
        <v>1</v>
      </c>
      <c r="CJ3209" s="3">
        <v>1</v>
      </c>
      <c r="CK3209" s="3">
        <v>22</v>
      </c>
      <c r="CL3209" s="3" t="s">
        <v>87</v>
      </c>
    </row>
    <row r="3210" spans="1:90" x14ac:dyDescent="0.2">
      <c r="A3210" s="3" t="s">
        <v>72</v>
      </c>
      <c r="B3210" s="3" t="s">
        <v>73</v>
      </c>
      <c r="C3210" s="3" t="s">
        <v>74</v>
      </c>
      <c r="E3210" s="3" t="str">
        <f>"FES1162844059"</f>
        <v>FES1162844059</v>
      </c>
      <c r="F3210" s="4">
        <v>44568</v>
      </c>
      <c r="G3210" s="3">
        <v>202207</v>
      </c>
      <c r="H3210" s="3" t="s">
        <v>75</v>
      </c>
      <c r="I3210" s="3" t="s">
        <v>76</v>
      </c>
      <c r="J3210" s="3" t="s">
        <v>77</v>
      </c>
      <c r="K3210" s="3" t="s">
        <v>78</v>
      </c>
      <c r="L3210" s="3" t="s">
        <v>529</v>
      </c>
      <c r="M3210" s="3" t="s">
        <v>530</v>
      </c>
      <c r="N3210" s="3" t="s">
        <v>531</v>
      </c>
      <c r="O3210" s="3" t="s">
        <v>82</v>
      </c>
      <c r="P3210" s="3" t="str">
        <f>"2170815876                    "</f>
        <v xml:space="preserve">2170815876                    </v>
      </c>
      <c r="Q3210" s="3">
        <v>0</v>
      </c>
      <c r="R3210" s="3">
        <v>0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  <c r="AE3210" s="3">
        <v>0</v>
      </c>
      <c r="AF3210" s="3">
        <v>0</v>
      </c>
      <c r="AG3210" s="3">
        <v>0</v>
      </c>
      <c r="AH3210" s="3">
        <v>0</v>
      </c>
      <c r="AI3210" s="3">
        <v>0</v>
      </c>
      <c r="AJ3210" s="3">
        <v>0</v>
      </c>
      <c r="AK3210" s="3">
        <v>57</v>
      </c>
      <c r="AL3210" s="3">
        <v>0</v>
      </c>
      <c r="AM3210" s="3">
        <v>0</v>
      </c>
      <c r="AN3210" s="3">
        <v>0</v>
      </c>
      <c r="AO3210" s="3">
        <v>0</v>
      </c>
      <c r="AP3210" s="3">
        <v>0</v>
      </c>
      <c r="AQ3210" s="3">
        <v>0</v>
      </c>
      <c r="AR3210" s="3">
        <v>0</v>
      </c>
      <c r="AS3210" s="3">
        <v>0</v>
      </c>
      <c r="AT3210" s="3">
        <v>0</v>
      </c>
      <c r="AU3210" s="3">
        <v>0</v>
      </c>
      <c r="AV3210" s="3">
        <v>0</v>
      </c>
      <c r="AW3210" s="3">
        <v>0</v>
      </c>
      <c r="AX3210" s="3">
        <v>0</v>
      </c>
      <c r="AY3210" s="3">
        <v>0</v>
      </c>
      <c r="AZ3210" s="3">
        <v>0</v>
      </c>
      <c r="BA3210" s="3">
        <v>0</v>
      </c>
      <c r="BB3210" s="3">
        <v>0</v>
      </c>
      <c r="BC3210" s="3">
        <v>0</v>
      </c>
      <c r="BD3210" s="3">
        <v>0</v>
      </c>
      <c r="BE3210" s="3">
        <v>0</v>
      </c>
      <c r="BF3210" s="3">
        <v>0</v>
      </c>
      <c r="BG3210" s="3">
        <v>0</v>
      </c>
      <c r="BH3210" s="3">
        <v>1</v>
      </c>
      <c r="BI3210" s="3">
        <v>4</v>
      </c>
      <c r="BJ3210" s="3">
        <v>1.1000000000000001</v>
      </c>
      <c r="BK3210" s="3">
        <v>4</v>
      </c>
      <c r="BL3210" s="3">
        <v>217.56</v>
      </c>
      <c r="BM3210" s="3">
        <v>32.630000000000003</v>
      </c>
      <c r="BN3210" s="3">
        <v>250.19</v>
      </c>
      <c r="BO3210" s="3">
        <v>250.19</v>
      </c>
      <c r="BQ3210" s="3" t="s">
        <v>83</v>
      </c>
      <c r="BR3210" s="3" t="s">
        <v>364</v>
      </c>
      <c r="BS3210" s="4">
        <v>44571</v>
      </c>
      <c r="BT3210" s="5">
        <v>0.51180555555555551</v>
      </c>
      <c r="BU3210" s="3" t="s">
        <v>826</v>
      </c>
      <c r="BV3210" s="3" t="s">
        <v>105</v>
      </c>
      <c r="BY3210" s="3">
        <v>5320</v>
      </c>
      <c r="BZ3210" s="3" t="s">
        <v>165</v>
      </c>
      <c r="CA3210" s="3" t="s">
        <v>328</v>
      </c>
      <c r="CC3210" s="3" t="s">
        <v>530</v>
      </c>
      <c r="CD3210" s="3">
        <v>6500</v>
      </c>
      <c r="CE3210" s="3" t="s">
        <v>86</v>
      </c>
      <c r="CF3210" s="4">
        <v>44571</v>
      </c>
      <c r="CI3210" s="3">
        <v>1</v>
      </c>
      <c r="CJ3210" s="3">
        <v>1</v>
      </c>
      <c r="CK3210" s="3">
        <v>23</v>
      </c>
      <c r="CL3210" s="3" t="s">
        <v>87</v>
      </c>
    </row>
    <row r="3211" spans="1:90" x14ac:dyDescent="0.2">
      <c r="A3211" s="3" t="s">
        <v>72</v>
      </c>
      <c r="B3211" s="3" t="s">
        <v>73</v>
      </c>
      <c r="C3211" s="3" t="s">
        <v>74</v>
      </c>
      <c r="E3211" s="3" t="str">
        <f>"FES1162844224"</f>
        <v>FES1162844224</v>
      </c>
      <c r="F3211" s="4">
        <v>44568</v>
      </c>
      <c r="G3211" s="3">
        <v>202207</v>
      </c>
      <c r="H3211" s="3" t="s">
        <v>75</v>
      </c>
      <c r="I3211" s="3" t="s">
        <v>76</v>
      </c>
      <c r="J3211" s="3" t="s">
        <v>77</v>
      </c>
      <c r="K3211" s="3" t="s">
        <v>78</v>
      </c>
      <c r="L3211" s="3" t="s">
        <v>101</v>
      </c>
      <c r="M3211" s="3" t="s">
        <v>102</v>
      </c>
      <c r="N3211" s="3" t="s">
        <v>272</v>
      </c>
      <c r="O3211" s="3" t="s">
        <v>148</v>
      </c>
      <c r="P3211" s="3" t="str">
        <f>"2170810809                    "</f>
        <v xml:space="preserve">2170810809                    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  <c r="AE3211" s="3">
        <v>0</v>
      </c>
      <c r="AF3211" s="3">
        <v>0</v>
      </c>
      <c r="AG3211" s="3">
        <v>0</v>
      </c>
      <c r="AH3211" s="3">
        <v>0</v>
      </c>
      <c r="AI3211" s="3">
        <v>0</v>
      </c>
      <c r="AJ3211" s="3">
        <v>0</v>
      </c>
      <c r="AK3211" s="3">
        <v>29.89</v>
      </c>
      <c r="AL3211" s="3">
        <v>0</v>
      </c>
      <c r="AM3211" s="3">
        <v>0</v>
      </c>
      <c r="AN3211" s="3">
        <v>0</v>
      </c>
      <c r="AO3211" s="3">
        <v>0</v>
      </c>
      <c r="AP3211" s="3">
        <v>0</v>
      </c>
      <c r="AQ3211" s="3">
        <v>0</v>
      </c>
      <c r="AR3211" s="3">
        <v>0</v>
      </c>
      <c r="AS3211" s="3">
        <v>0</v>
      </c>
      <c r="AT3211" s="3">
        <v>0</v>
      </c>
      <c r="AU3211" s="3">
        <v>0</v>
      </c>
      <c r="AV3211" s="3">
        <v>0</v>
      </c>
      <c r="AW3211" s="3">
        <v>0</v>
      </c>
      <c r="AX3211" s="3">
        <v>0</v>
      </c>
      <c r="AY3211" s="3">
        <v>0</v>
      </c>
      <c r="AZ3211" s="3">
        <v>0</v>
      </c>
      <c r="BA3211" s="3">
        <v>0</v>
      </c>
      <c r="BB3211" s="3">
        <v>0</v>
      </c>
      <c r="BC3211" s="3">
        <v>0</v>
      </c>
      <c r="BD3211" s="3">
        <v>0</v>
      </c>
      <c r="BE3211" s="3">
        <v>0</v>
      </c>
      <c r="BF3211" s="3">
        <v>0</v>
      </c>
      <c r="BG3211" s="3">
        <v>0</v>
      </c>
      <c r="BH3211" s="3">
        <v>1</v>
      </c>
      <c r="BI3211" s="3">
        <v>10</v>
      </c>
      <c r="BJ3211" s="3">
        <v>4.5999999999999996</v>
      </c>
      <c r="BK3211" s="3">
        <v>10</v>
      </c>
      <c r="BL3211" s="3">
        <v>119.34</v>
      </c>
      <c r="BM3211" s="3">
        <v>17.899999999999999</v>
      </c>
      <c r="BN3211" s="3">
        <v>137.24</v>
      </c>
      <c r="BO3211" s="3">
        <v>137.24</v>
      </c>
      <c r="BQ3211" s="3" t="s">
        <v>273</v>
      </c>
      <c r="BR3211" s="3" t="s">
        <v>364</v>
      </c>
      <c r="BS3211" s="4">
        <v>44571</v>
      </c>
      <c r="BT3211" s="5">
        <v>0.35347222222222219</v>
      </c>
      <c r="BU3211" s="3" t="s">
        <v>274</v>
      </c>
      <c r="BV3211" s="3" t="s">
        <v>105</v>
      </c>
      <c r="BY3211" s="3">
        <v>23040</v>
      </c>
      <c r="BZ3211" s="3" t="s">
        <v>327</v>
      </c>
      <c r="CA3211" s="3" t="s">
        <v>275</v>
      </c>
      <c r="CC3211" s="3" t="s">
        <v>102</v>
      </c>
      <c r="CD3211" s="3">
        <v>4000</v>
      </c>
      <c r="CE3211" s="3" t="s">
        <v>86</v>
      </c>
      <c r="CF3211" s="4">
        <v>44571</v>
      </c>
      <c r="CI3211" s="3">
        <v>1</v>
      </c>
      <c r="CJ3211" s="3">
        <v>1</v>
      </c>
      <c r="CK3211" s="3">
        <v>41</v>
      </c>
      <c r="CL3211" s="3" t="s">
        <v>87</v>
      </c>
    </row>
    <row r="3212" spans="1:90" x14ac:dyDescent="0.2">
      <c r="A3212" s="3" t="s">
        <v>72</v>
      </c>
      <c r="B3212" s="3" t="s">
        <v>73</v>
      </c>
      <c r="C3212" s="3" t="s">
        <v>74</v>
      </c>
      <c r="E3212" s="3" t="str">
        <f>"009941218704"</f>
        <v>009941218704</v>
      </c>
      <c r="F3212" s="4">
        <v>44568</v>
      </c>
      <c r="G3212" s="3">
        <v>202207</v>
      </c>
      <c r="H3212" s="3" t="s">
        <v>90</v>
      </c>
      <c r="I3212" s="3" t="s">
        <v>91</v>
      </c>
      <c r="J3212" s="3" t="s">
        <v>966</v>
      </c>
      <c r="K3212" s="3" t="s">
        <v>78</v>
      </c>
      <c r="L3212" s="3" t="s">
        <v>75</v>
      </c>
      <c r="M3212" s="3" t="s">
        <v>76</v>
      </c>
      <c r="N3212" s="3" t="s">
        <v>1515</v>
      </c>
      <c r="O3212" s="3" t="s">
        <v>1237</v>
      </c>
      <c r="P3212" s="3" t="str">
        <f>"1703                          "</f>
        <v xml:space="preserve">1703                          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  <c r="AE3212" s="3">
        <v>0</v>
      </c>
      <c r="AF3212" s="3">
        <v>0</v>
      </c>
      <c r="AG3212" s="3">
        <v>0</v>
      </c>
      <c r="AH3212" s="3">
        <v>0</v>
      </c>
      <c r="AI3212" s="3">
        <v>0</v>
      </c>
      <c r="AJ3212" s="3">
        <v>0</v>
      </c>
      <c r="AK3212" s="3">
        <v>28.98</v>
      </c>
      <c r="AL3212" s="3">
        <v>0</v>
      </c>
      <c r="AM3212" s="3">
        <v>0</v>
      </c>
      <c r="AN3212" s="3">
        <v>0</v>
      </c>
      <c r="AO3212" s="3">
        <v>0</v>
      </c>
      <c r="AP3212" s="3">
        <v>0</v>
      </c>
      <c r="AQ3212" s="3">
        <v>0</v>
      </c>
      <c r="AR3212" s="3">
        <v>0</v>
      </c>
      <c r="AS3212" s="3">
        <v>0</v>
      </c>
      <c r="AT3212" s="3">
        <v>0</v>
      </c>
      <c r="AU3212" s="3">
        <v>0</v>
      </c>
      <c r="AV3212" s="3">
        <v>0</v>
      </c>
      <c r="AW3212" s="3">
        <v>0</v>
      </c>
      <c r="AX3212" s="3">
        <v>0</v>
      </c>
      <c r="AY3212" s="3">
        <v>0</v>
      </c>
      <c r="AZ3212" s="3">
        <v>0</v>
      </c>
      <c r="BA3212" s="3">
        <v>0</v>
      </c>
      <c r="BB3212" s="3">
        <v>0</v>
      </c>
      <c r="BC3212" s="3">
        <v>0</v>
      </c>
      <c r="BD3212" s="3">
        <v>0</v>
      </c>
      <c r="BE3212" s="3">
        <v>0</v>
      </c>
      <c r="BF3212" s="3">
        <v>0</v>
      </c>
      <c r="BG3212" s="3">
        <v>0</v>
      </c>
      <c r="BH3212" s="3">
        <v>1</v>
      </c>
      <c r="BI3212" s="3">
        <v>3.1</v>
      </c>
      <c r="BJ3212" s="3">
        <v>4</v>
      </c>
      <c r="BK3212" s="3">
        <v>4</v>
      </c>
      <c r="BL3212" s="3">
        <v>110.62</v>
      </c>
      <c r="BM3212" s="3">
        <v>16.59</v>
      </c>
      <c r="BN3212" s="3">
        <v>127.21</v>
      </c>
      <c r="BO3212" s="3">
        <v>127.21</v>
      </c>
      <c r="BQ3212" s="3" t="s">
        <v>1516</v>
      </c>
      <c r="BR3212" s="3" t="s">
        <v>141</v>
      </c>
      <c r="BS3212" s="4">
        <v>44571</v>
      </c>
      <c r="BT3212" s="5">
        <v>0.39166666666666666</v>
      </c>
      <c r="BU3212" s="3" t="s">
        <v>1600</v>
      </c>
      <c r="BV3212" s="3" t="s">
        <v>105</v>
      </c>
      <c r="BY3212" s="3">
        <v>19817</v>
      </c>
      <c r="BZ3212" s="3" t="s">
        <v>327</v>
      </c>
      <c r="CA3212" s="3" t="s">
        <v>378</v>
      </c>
      <c r="CC3212" s="3" t="s">
        <v>76</v>
      </c>
      <c r="CD3212" s="3">
        <v>1600</v>
      </c>
      <c r="CE3212" s="3" t="s">
        <v>86</v>
      </c>
      <c r="CF3212" s="4">
        <v>44571</v>
      </c>
      <c r="CI3212" s="3">
        <v>1</v>
      </c>
      <c r="CJ3212" s="3">
        <v>1</v>
      </c>
      <c r="CK3212" s="3">
        <v>31</v>
      </c>
      <c r="CL3212" s="3" t="s">
        <v>87</v>
      </c>
    </row>
    <row r="3213" spans="1:90" x14ac:dyDescent="0.2">
      <c r="A3213" s="3" t="s">
        <v>72</v>
      </c>
      <c r="B3213" s="3" t="s">
        <v>73</v>
      </c>
      <c r="C3213" s="3" t="s">
        <v>74</v>
      </c>
      <c r="E3213" s="3" t="str">
        <f>"FES1162843941"</f>
        <v>FES1162843941</v>
      </c>
      <c r="F3213" s="4">
        <v>44568</v>
      </c>
      <c r="G3213" s="3">
        <v>202207</v>
      </c>
      <c r="H3213" s="3" t="s">
        <v>75</v>
      </c>
      <c r="I3213" s="3" t="s">
        <v>76</v>
      </c>
      <c r="J3213" s="3" t="s">
        <v>77</v>
      </c>
      <c r="K3213" s="3" t="s">
        <v>78</v>
      </c>
      <c r="L3213" s="3" t="s">
        <v>110</v>
      </c>
      <c r="M3213" s="3" t="s">
        <v>110</v>
      </c>
      <c r="N3213" s="3" t="s">
        <v>2228</v>
      </c>
      <c r="O3213" s="3" t="s">
        <v>82</v>
      </c>
      <c r="P3213" s="3" t="str">
        <f>"2170813731                    "</f>
        <v xml:space="preserve">2170813731                    </v>
      </c>
      <c r="Q3213" s="3">
        <v>0</v>
      </c>
      <c r="R3213" s="3">
        <v>0</v>
      </c>
      <c r="S3213" s="3">
        <v>0</v>
      </c>
      <c r="T3213" s="3">
        <v>0</v>
      </c>
      <c r="U3213" s="3">
        <v>0</v>
      </c>
      <c r="V3213" s="3">
        <v>0</v>
      </c>
      <c r="W3213" s="3">
        <v>0</v>
      </c>
      <c r="X3213" s="3">
        <v>0</v>
      </c>
      <c r="Y3213" s="3">
        <v>0</v>
      </c>
      <c r="Z3213" s="3">
        <v>0</v>
      </c>
      <c r="AA3213" s="3">
        <v>0</v>
      </c>
      <c r="AB3213" s="3">
        <v>0</v>
      </c>
      <c r="AC3213" s="3">
        <v>0</v>
      </c>
      <c r="AD3213" s="3">
        <v>0</v>
      </c>
      <c r="AE3213" s="3">
        <v>0</v>
      </c>
      <c r="AF3213" s="3">
        <v>0</v>
      </c>
      <c r="AG3213" s="3">
        <v>0</v>
      </c>
      <c r="AH3213" s="3">
        <v>0</v>
      </c>
      <c r="AI3213" s="3">
        <v>0</v>
      </c>
      <c r="AJ3213" s="3">
        <v>0</v>
      </c>
      <c r="AK3213" s="3">
        <v>29.95</v>
      </c>
      <c r="AL3213" s="3">
        <v>0</v>
      </c>
      <c r="AM3213" s="3">
        <v>0</v>
      </c>
      <c r="AN3213" s="3">
        <v>0</v>
      </c>
      <c r="AO3213" s="3">
        <v>0</v>
      </c>
      <c r="AP3213" s="3">
        <v>0</v>
      </c>
      <c r="AQ3213" s="3">
        <v>0</v>
      </c>
      <c r="AR3213" s="3">
        <v>0</v>
      </c>
      <c r="AS3213" s="3">
        <v>0</v>
      </c>
      <c r="AT3213" s="3">
        <v>0</v>
      </c>
      <c r="AU3213" s="3">
        <v>0</v>
      </c>
      <c r="AV3213" s="3">
        <v>0</v>
      </c>
      <c r="AW3213" s="3">
        <v>0</v>
      </c>
      <c r="AX3213" s="3">
        <v>0</v>
      </c>
      <c r="AY3213" s="3">
        <v>0</v>
      </c>
      <c r="AZ3213" s="3">
        <v>0</v>
      </c>
      <c r="BA3213" s="3">
        <v>0</v>
      </c>
      <c r="BB3213" s="3">
        <v>0</v>
      </c>
      <c r="BC3213" s="3">
        <v>0</v>
      </c>
      <c r="BD3213" s="3">
        <v>0</v>
      </c>
      <c r="BE3213" s="3">
        <v>0</v>
      </c>
      <c r="BF3213" s="3">
        <v>0</v>
      </c>
      <c r="BG3213" s="3">
        <v>0</v>
      </c>
      <c r="BH3213" s="3">
        <v>1</v>
      </c>
      <c r="BI3213" s="3">
        <v>1</v>
      </c>
      <c r="BJ3213" s="3">
        <v>0.2</v>
      </c>
      <c r="BK3213" s="3">
        <v>1</v>
      </c>
      <c r="BL3213" s="3">
        <v>114.31</v>
      </c>
      <c r="BM3213" s="3">
        <v>17.149999999999999</v>
      </c>
      <c r="BN3213" s="3">
        <v>131.46</v>
      </c>
      <c r="BO3213" s="3">
        <v>131.46</v>
      </c>
      <c r="BQ3213" s="3" t="s">
        <v>83</v>
      </c>
      <c r="BR3213" s="3" t="s">
        <v>364</v>
      </c>
      <c r="BS3213" s="4">
        <v>44571</v>
      </c>
      <c r="BT3213" s="5">
        <v>0.45833333333333331</v>
      </c>
      <c r="BU3213" s="3" t="s">
        <v>2889</v>
      </c>
      <c r="BV3213" s="3" t="s">
        <v>105</v>
      </c>
      <c r="BY3213" s="3">
        <v>1200</v>
      </c>
      <c r="BZ3213" s="3" t="s">
        <v>165</v>
      </c>
      <c r="CA3213" s="3" t="s">
        <v>563</v>
      </c>
      <c r="CC3213" s="3" t="s">
        <v>110</v>
      </c>
      <c r="CD3213" s="3">
        <v>7646</v>
      </c>
      <c r="CE3213" s="3" t="s">
        <v>93</v>
      </c>
      <c r="CF3213" s="4">
        <v>44572</v>
      </c>
      <c r="CI3213" s="3">
        <v>1</v>
      </c>
      <c r="CJ3213" s="3">
        <v>1</v>
      </c>
      <c r="CK3213" s="3">
        <v>23</v>
      </c>
      <c r="CL3213" s="3" t="s">
        <v>87</v>
      </c>
    </row>
    <row r="3214" spans="1:90" x14ac:dyDescent="0.2">
      <c r="A3214" s="3" t="s">
        <v>72</v>
      </c>
      <c r="B3214" s="3" t="s">
        <v>73</v>
      </c>
      <c r="C3214" s="3" t="s">
        <v>74</v>
      </c>
      <c r="E3214" s="3" t="str">
        <f>"FES1162844113"</f>
        <v>FES1162844113</v>
      </c>
      <c r="F3214" s="4">
        <v>44568</v>
      </c>
      <c r="G3214" s="3">
        <v>202207</v>
      </c>
      <c r="H3214" s="3" t="s">
        <v>75</v>
      </c>
      <c r="I3214" s="3" t="s">
        <v>76</v>
      </c>
      <c r="J3214" s="3" t="s">
        <v>77</v>
      </c>
      <c r="K3214" s="3" t="s">
        <v>78</v>
      </c>
      <c r="L3214" s="3" t="s">
        <v>167</v>
      </c>
      <c r="M3214" s="3" t="s">
        <v>168</v>
      </c>
      <c r="N3214" s="3" t="s">
        <v>247</v>
      </c>
      <c r="O3214" s="3" t="s">
        <v>82</v>
      </c>
      <c r="P3214" s="3" t="str">
        <f>"2170815907                    "</f>
        <v xml:space="preserve">2170815907                    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  <c r="AE3214" s="3">
        <v>0</v>
      </c>
      <c r="AF3214" s="3">
        <v>0</v>
      </c>
      <c r="AG3214" s="3">
        <v>0</v>
      </c>
      <c r="AH3214" s="3">
        <v>0</v>
      </c>
      <c r="AI3214" s="3">
        <v>0</v>
      </c>
      <c r="AJ3214" s="3">
        <v>0</v>
      </c>
      <c r="AK3214" s="3">
        <v>15.46</v>
      </c>
      <c r="AL3214" s="3">
        <v>0</v>
      </c>
      <c r="AM3214" s="3">
        <v>0</v>
      </c>
      <c r="AN3214" s="3">
        <v>0</v>
      </c>
      <c r="AO3214" s="3">
        <v>0</v>
      </c>
      <c r="AP3214" s="3">
        <v>0</v>
      </c>
      <c r="AQ3214" s="3">
        <v>0</v>
      </c>
      <c r="AR3214" s="3">
        <v>0</v>
      </c>
      <c r="AS3214" s="3">
        <v>0</v>
      </c>
      <c r="AT3214" s="3">
        <v>0</v>
      </c>
      <c r="AU3214" s="3">
        <v>0</v>
      </c>
      <c r="AV3214" s="3">
        <v>0</v>
      </c>
      <c r="AW3214" s="3">
        <v>0</v>
      </c>
      <c r="AX3214" s="3">
        <v>0</v>
      </c>
      <c r="AY3214" s="3">
        <v>0</v>
      </c>
      <c r="AZ3214" s="3">
        <v>0</v>
      </c>
      <c r="BA3214" s="3">
        <v>0</v>
      </c>
      <c r="BB3214" s="3">
        <v>0</v>
      </c>
      <c r="BC3214" s="3">
        <v>0</v>
      </c>
      <c r="BD3214" s="3">
        <v>0</v>
      </c>
      <c r="BE3214" s="3">
        <v>0</v>
      </c>
      <c r="BF3214" s="3">
        <v>0</v>
      </c>
      <c r="BG3214" s="3">
        <v>0</v>
      </c>
      <c r="BH3214" s="3">
        <v>1</v>
      </c>
      <c r="BI3214" s="3">
        <v>2</v>
      </c>
      <c r="BJ3214" s="3">
        <v>2</v>
      </c>
      <c r="BK3214" s="3">
        <v>2</v>
      </c>
      <c r="BL3214" s="3">
        <v>59</v>
      </c>
      <c r="BM3214" s="3">
        <v>8.85</v>
      </c>
      <c r="BN3214" s="3">
        <v>67.849999999999994</v>
      </c>
      <c r="BO3214" s="3">
        <v>67.849999999999994</v>
      </c>
      <c r="BQ3214" s="3" t="s">
        <v>89</v>
      </c>
      <c r="BR3214" s="3" t="s">
        <v>364</v>
      </c>
      <c r="BS3214" s="4">
        <v>44571</v>
      </c>
      <c r="BT3214" s="5">
        <v>0.5083333333333333</v>
      </c>
      <c r="BU3214" s="3" t="s">
        <v>2644</v>
      </c>
      <c r="BV3214" s="3" t="s">
        <v>87</v>
      </c>
      <c r="BW3214" s="3" t="s">
        <v>457</v>
      </c>
      <c r="BX3214" s="3" t="s">
        <v>2542</v>
      </c>
      <c r="BY3214" s="3">
        <v>9900</v>
      </c>
      <c r="BZ3214" s="3" t="s">
        <v>165</v>
      </c>
      <c r="CA3214" s="3" t="s">
        <v>553</v>
      </c>
      <c r="CC3214" s="3" t="s">
        <v>168</v>
      </c>
      <c r="CD3214" s="3">
        <v>6229</v>
      </c>
      <c r="CE3214" s="3" t="s">
        <v>86</v>
      </c>
      <c r="CF3214" s="4">
        <v>44572</v>
      </c>
      <c r="CI3214" s="3">
        <v>1</v>
      </c>
      <c r="CJ3214" s="3">
        <v>1</v>
      </c>
      <c r="CK3214" s="3">
        <v>21</v>
      </c>
      <c r="CL3214" s="3" t="s">
        <v>87</v>
      </c>
    </row>
    <row r="3215" spans="1:90" x14ac:dyDescent="0.2">
      <c r="A3215" s="3" t="s">
        <v>72</v>
      </c>
      <c r="B3215" s="3" t="s">
        <v>73</v>
      </c>
      <c r="C3215" s="3" t="s">
        <v>74</v>
      </c>
      <c r="E3215" s="3" t="str">
        <f>"FES1162844169"</f>
        <v>FES1162844169</v>
      </c>
      <c r="F3215" s="4">
        <v>44568</v>
      </c>
      <c r="G3215" s="3">
        <v>202207</v>
      </c>
      <c r="H3215" s="3" t="s">
        <v>75</v>
      </c>
      <c r="I3215" s="3" t="s">
        <v>76</v>
      </c>
      <c r="J3215" s="3" t="s">
        <v>77</v>
      </c>
      <c r="K3215" s="3" t="s">
        <v>78</v>
      </c>
      <c r="L3215" s="3" t="s">
        <v>110</v>
      </c>
      <c r="M3215" s="3" t="s">
        <v>110</v>
      </c>
      <c r="N3215" s="3" t="s">
        <v>764</v>
      </c>
      <c r="O3215" s="3" t="s">
        <v>82</v>
      </c>
      <c r="P3215" s="3" t="str">
        <f>"2170812434                    "</f>
        <v xml:space="preserve">2170812434                    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  <c r="AE3215" s="3">
        <v>0</v>
      </c>
      <c r="AF3215" s="3">
        <v>0</v>
      </c>
      <c r="AG3215" s="3">
        <v>0</v>
      </c>
      <c r="AH3215" s="3">
        <v>0</v>
      </c>
      <c r="AI3215" s="3">
        <v>0</v>
      </c>
      <c r="AJ3215" s="3">
        <v>0</v>
      </c>
      <c r="AK3215" s="3">
        <v>29.95</v>
      </c>
      <c r="AL3215" s="3">
        <v>0</v>
      </c>
      <c r="AM3215" s="3">
        <v>0</v>
      </c>
      <c r="AN3215" s="3">
        <v>0</v>
      </c>
      <c r="AO3215" s="3">
        <v>0</v>
      </c>
      <c r="AP3215" s="3">
        <v>0</v>
      </c>
      <c r="AQ3215" s="3">
        <v>0</v>
      </c>
      <c r="AR3215" s="3">
        <v>0</v>
      </c>
      <c r="AS3215" s="3">
        <v>0</v>
      </c>
      <c r="AT3215" s="3">
        <v>0</v>
      </c>
      <c r="AU3215" s="3">
        <v>0</v>
      </c>
      <c r="AV3215" s="3">
        <v>0</v>
      </c>
      <c r="AW3215" s="3">
        <v>0</v>
      </c>
      <c r="AX3215" s="3">
        <v>0</v>
      </c>
      <c r="AY3215" s="3">
        <v>0</v>
      </c>
      <c r="AZ3215" s="3">
        <v>0</v>
      </c>
      <c r="BA3215" s="3">
        <v>0</v>
      </c>
      <c r="BB3215" s="3">
        <v>0</v>
      </c>
      <c r="BC3215" s="3">
        <v>0</v>
      </c>
      <c r="BD3215" s="3">
        <v>0</v>
      </c>
      <c r="BE3215" s="3">
        <v>0</v>
      </c>
      <c r="BF3215" s="3">
        <v>0</v>
      </c>
      <c r="BG3215" s="3">
        <v>0</v>
      </c>
      <c r="BH3215" s="3">
        <v>1</v>
      </c>
      <c r="BI3215" s="3">
        <v>1</v>
      </c>
      <c r="BJ3215" s="3">
        <v>0.2</v>
      </c>
      <c r="BK3215" s="3">
        <v>1</v>
      </c>
      <c r="BL3215" s="3">
        <v>114.31</v>
      </c>
      <c r="BM3215" s="3">
        <v>17.149999999999999</v>
      </c>
      <c r="BN3215" s="3">
        <v>131.46</v>
      </c>
      <c r="BO3215" s="3">
        <v>131.46</v>
      </c>
      <c r="BQ3215" s="3" t="s">
        <v>83</v>
      </c>
      <c r="BR3215" s="3" t="s">
        <v>364</v>
      </c>
      <c r="BS3215" s="4">
        <v>44571</v>
      </c>
      <c r="BT3215" s="5">
        <v>0.48055555555555557</v>
      </c>
      <c r="BU3215" s="3" t="s">
        <v>2837</v>
      </c>
      <c r="BV3215" s="3" t="s">
        <v>105</v>
      </c>
      <c r="BY3215" s="3">
        <v>1200</v>
      </c>
      <c r="BZ3215" s="3" t="s">
        <v>165</v>
      </c>
      <c r="CA3215" s="3" t="s">
        <v>563</v>
      </c>
      <c r="CC3215" s="3" t="s">
        <v>110</v>
      </c>
      <c r="CD3215" s="3">
        <v>7646</v>
      </c>
      <c r="CE3215" s="3" t="s">
        <v>93</v>
      </c>
      <c r="CF3215" s="4">
        <v>44572</v>
      </c>
      <c r="CI3215" s="3">
        <v>1</v>
      </c>
      <c r="CJ3215" s="3">
        <v>1</v>
      </c>
      <c r="CK3215" s="3">
        <v>23</v>
      </c>
      <c r="CL3215" s="3" t="s">
        <v>87</v>
      </c>
    </row>
    <row r="3216" spans="1:90" x14ac:dyDescent="0.2">
      <c r="A3216" s="3" t="s">
        <v>72</v>
      </c>
      <c r="B3216" s="3" t="s">
        <v>73</v>
      </c>
      <c r="C3216" s="3" t="s">
        <v>74</v>
      </c>
      <c r="E3216" s="3" t="str">
        <f>"FES1162844145"</f>
        <v>FES1162844145</v>
      </c>
      <c r="F3216" s="4">
        <v>44568</v>
      </c>
      <c r="G3216" s="3">
        <v>202207</v>
      </c>
      <c r="H3216" s="3" t="s">
        <v>75</v>
      </c>
      <c r="I3216" s="3" t="s">
        <v>76</v>
      </c>
      <c r="J3216" s="3" t="s">
        <v>77</v>
      </c>
      <c r="K3216" s="3" t="s">
        <v>78</v>
      </c>
      <c r="L3216" s="3" t="s">
        <v>75</v>
      </c>
      <c r="M3216" s="3" t="s">
        <v>76</v>
      </c>
      <c r="N3216" s="3" t="s">
        <v>153</v>
      </c>
      <c r="O3216" s="3" t="s">
        <v>82</v>
      </c>
      <c r="P3216" s="3" t="str">
        <f>"2170814951                    "</f>
        <v xml:space="preserve">2170814951                    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  <c r="AE3216" s="3">
        <v>0</v>
      </c>
      <c r="AF3216" s="3">
        <v>0</v>
      </c>
      <c r="AG3216" s="3">
        <v>0</v>
      </c>
      <c r="AH3216" s="3">
        <v>0</v>
      </c>
      <c r="AI3216" s="3">
        <v>0</v>
      </c>
      <c r="AJ3216" s="3">
        <v>0</v>
      </c>
      <c r="AK3216" s="3">
        <v>12.07</v>
      </c>
      <c r="AL3216" s="3">
        <v>0</v>
      </c>
      <c r="AM3216" s="3">
        <v>0</v>
      </c>
      <c r="AN3216" s="3">
        <v>0</v>
      </c>
      <c r="AO3216" s="3">
        <v>0</v>
      </c>
      <c r="AP3216" s="3">
        <v>0</v>
      </c>
      <c r="AQ3216" s="3">
        <v>0</v>
      </c>
      <c r="AR3216" s="3">
        <v>0</v>
      </c>
      <c r="AS3216" s="3">
        <v>0</v>
      </c>
      <c r="AT3216" s="3">
        <v>0</v>
      </c>
      <c r="AU3216" s="3">
        <v>0</v>
      </c>
      <c r="AV3216" s="3">
        <v>0</v>
      </c>
      <c r="AW3216" s="3">
        <v>0</v>
      </c>
      <c r="AX3216" s="3">
        <v>0</v>
      </c>
      <c r="AY3216" s="3">
        <v>0</v>
      </c>
      <c r="AZ3216" s="3">
        <v>0</v>
      </c>
      <c r="BA3216" s="3">
        <v>0</v>
      </c>
      <c r="BB3216" s="3">
        <v>0</v>
      </c>
      <c r="BC3216" s="3">
        <v>0</v>
      </c>
      <c r="BD3216" s="3">
        <v>0</v>
      </c>
      <c r="BE3216" s="3">
        <v>0</v>
      </c>
      <c r="BF3216" s="3">
        <v>0</v>
      </c>
      <c r="BG3216" s="3">
        <v>0</v>
      </c>
      <c r="BH3216" s="3">
        <v>1</v>
      </c>
      <c r="BI3216" s="3">
        <v>1</v>
      </c>
      <c r="BJ3216" s="3">
        <v>0.2</v>
      </c>
      <c r="BK3216" s="3">
        <v>1</v>
      </c>
      <c r="BL3216" s="3">
        <v>46.08</v>
      </c>
      <c r="BM3216" s="3">
        <v>6.91</v>
      </c>
      <c r="BN3216" s="3">
        <v>52.99</v>
      </c>
      <c r="BO3216" s="3">
        <v>52.99</v>
      </c>
      <c r="BR3216" s="3" t="s">
        <v>364</v>
      </c>
      <c r="BS3216" s="4">
        <v>44571</v>
      </c>
      <c r="BT3216" s="5">
        <v>0.38958333333333334</v>
      </c>
      <c r="BU3216" s="3" t="s">
        <v>804</v>
      </c>
      <c r="BV3216" s="3" t="s">
        <v>105</v>
      </c>
      <c r="BY3216" s="3">
        <v>1200</v>
      </c>
      <c r="BZ3216" s="3" t="s">
        <v>165</v>
      </c>
      <c r="CA3216" s="3" t="s">
        <v>227</v>
      </c>
      <c r="CC3216" s="3" t="s">
        <v>76</v>
      </c>
      <c r="CD3216" s="3">
        <v>1600</v>
      </c>
      <c r="CE3216" s="3" t="s">
        <v>93</v>
      </c>
      <c r="CF3216" s="4">
        <v>44571</v>
      </c>
      <c r="CI3216" s="3">
        <v>1</v>
      </c>
      <c r="CJ3216" s="3">
        <v>1</v>
      </c>
      <c r="CK3216" s="3">
        <v>22</v>
      </c>
      <c r="CL3216" s="3" t="s">
        <v>87</v>
      </c>
    </row>
    <row r="3217" spans="1:90" x14ac:dyDescent="0.2">
      <c r="A3217" s="3" t="s">
        <v>72</v>
      </c>
      <c r="B3217" s="3" t="s">
        <v>73</v>
      </c>
      <c r="C3217" s="3" t="s">
        <v>74</v>
      </c>
      <c r="E3217" s="3" t="str">
        <f>"FES1162843919"</f>
        <v>FES1162843919</v>
      </c>
      <c r="F3217" s="4">
        <v>44568</v>
      </c>
      <c r="G3217" s="3">
        <v>202207</v>
      </c>
      <c r="H3217" s="3" t="s">
        <v>75</v>
      </c>
      <c r="I3217" s="3" t="s">
        <v>76</v>
      </c>
      <c r="J3217" s="3" t="s">
        <v>77</v>
      </c>
      <c r="K3217" s="3" t="s">
        <v>78</v>
      </c>
      <c r="L3217" s="3" t="s">
        <v>90</v>
      </c>
      <c r="M3217" s="3" t="s">
        <v>91</v>
      </c>
      <c r="N3217" s="3" t="s">
        <v>132</v>
      </c>
      <c r="O3217" s="3" t="s">
        <v>82</v>
      </c>
      <c r="P3217" s="3" t="str">
        <f>"2170813010                    "</f>
        <v xml:space="preserve">2170813010                    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0</v>
      </c>
      <c r="W3217" s="3">
        <v>0</v>
      </c>
      <c r="X3217" s="3">
        <v>0</v>
      </c>
      <c r="Y3217" s="3">
        <v>0</v>
      </c>
      <c r="Z3217" s="3">
        <v>0</v>
      </c>
      <c r="AA3217" s="3">
        <v>0</v>
      </c>
      <c r="AB3217" s="3">
        <v>0</v>
      </c>
      <c r="AC3217" s="3">
        <v>0</v>
      </c>
      <c r="AD3217" s="3">
        <v>0</v>
      </c>
      <c r="AE3217" s="3">
        <v>0</v>
      </c>
      <c r="AF3217" s="3">
        <v>0</v>
      </c>
      <c r="AG3217" s="3">
        <v>0</v>
      </c>
      <c r="AH3217" s="3">
        <v>0</v>
      </c>
      <c r="AI3217" s="3">
        <v>0</v>
      </c>
      <c r="AJ3217" s="3">
        <v>0</v>
      </c>
      <c r="AK3217" s="3">
        <v>15.46</v>
      </c>
      <c r="AL3217" s="3">
        <v>0</v>
      </c>
      <c r="AM3217" s="3">
        <v>0</v>
      </c>
      <c r="AN3217" s="3">
        <v>0</v>
      </c>
      <c r="AO3217" s="3">
        <v>0</v>
      </c>
      <c r="AP3217" s="3">
        <v>0</v>
      </c>
      <c r="AQ3217" s="3">
        <v>0</v>
      </c>
      <c r="AR3217" s="3">
        <v>0</v>
      </c>
      <c r="AS3217" s="3">
        <v>0</v>
      </c>
      <c r="AT3217" s="3">
        <v>0</v>
      </c>
      <c r="AU3217" s="3">
        <v>0</v>
      </c>
      <c r="AV3217" s="3">
        <v>0</v>
      </c>
      <c r="AW3217" s="3">
        <v>0</v>
      </c>
      <c r="AX3217" s="3">
        <v>0</v>
      </c>
      <c r="AY3217" s="3">
        <v>0</v>
      </c>
      <c r="AZ3217" s="3">
        <v>0</v>
      </c>
      <c r="BA3217" s="3">
        <v>0</v>
      </c>
      <c r="BB3217" s="3">
        <v>0</v>
      </c>
      <c r="BC3217" s="3">
        <v>0</v>
      </c>
      <c r="BD3217" s="3">
        <v>0</v>
      </c>
      <c r="BE3217" s="3">
        <v>0</v>
      </c>
      <c r="BF3217" s="3">
        <v>0</v>
      </c>
      <c r="BG3217" s="3">
        <v>0</v>
      </c>
      <c r="BH3217" s="3">
        <v>1</v>
      </c>
      <c r="BI3217" s="3">
        <v>1</v>
      </c>
      <c r="BJ3217" s="3">
        <v>0.2</v>
      </c>
      <c r="BK3217" s="3">
        <v>1</v>
      </c>
      <c r="BL3217" s="3">
        <v>59</v>
      </c>
      <c r="BM3217" s="3">
        <v>8.85</v>
      </c>
      <c r="BN3217" s="3">
        <v>67.849999999999994</v>
      </c>
      <c r="BO3217" s="3">
        <v>67.849999999999994</v>
      </c>
      <c r="BQ3217" s="3" t="s">
        <v>83</v>
      </c>
      <c r="BR3217" s="3" t="s">
        <v>364</v>
      </c>
      <c r="BS3217" s="4">
        <v>44571</v>
      </c>
      <c r="BT3217" s="5">
        <v>0.40208333333333335</v>
      </c>
      <c r="BU3217" s="3" t="s">
        <v>2108</v>
      </c>
      <c r="BV3217" s="3" t="s">
        <v>105</v>
      </c>
      <c r="BY3217" s="3">
        <v>1200</v>
      </c>
      <c r="BZ3217" s="3" t="s">
        <v>165</v>
      </c>
      <c r="CA3217" s="3" t="s">
        <v>641</v>
      </c>
      <c r="CC3217" s="3" t="s">
        <v>91</v>
      </c>
      <c r="CD3217" s="3">
        <v>7530</v>
      </c>
      <c r="CE3217" s="3" t="s">
        <v>93</v>
      </c>
      <c r="CF3217" s="4">
        <v>44572</v>
      </c>
      <c r="CI3217" s="3">
        <v>1</v>
      </c>
      <c r="CJ3217" s="3">
        <v>1</v>
      </c>
      <c r="CK3217" s="3">
        <v>21</v>
      </c>
      <c r="CL3217" s="3" t="s">
        <v>87</v>
      </c>
    </row>
    <row r="3218" spans="1:90" x14ac:dyDescent="0.2">
      <c r="A3218" s="3" t="s">
        <v>72</v>
      </c>
      <c r="B3218" s="3" t="s">
        <v>73</v>
      </c>
      <c r="C3218" s="3" t="s">
        <v>74</v>
      </c>
      <c r="E3218" s="3" t="str">
        <f>"FES1162844010"</f>
        <v>FES1162844010</v>
      </c>
      <c r="F3218" s="4">
        <v>44568</v>
      </c>
      <c r="G3218" s="3">
        <v>202207</v>
      </c>
      <c r="H3218" s="3" t="s">
        <v>75</v>
      </c>
      <c r="I3218" s="3" t="s">
        <v>76</v>
      </c>
      <c r="J3218" s="3" t="s">
        <v>77</v>
      </c>
      <c r="K3218" s="3" t="s">
        <v>78</v>
      </c>
      <c r="L3218" s="3" t="s">
        <v>184</v>
      </c>
      <c r="M3218" s="3" t="s">
        <v>185</v>
      </c>
      <c r="N3218" s="3" t="s">
        <v>793</v>
      </c>
      <c r="O3218" s="3" t="s">
        <v>82</v>
      </c>
      <c r="P3218" s="3" t="str">
        <f>"2170815819                    "</f>
        <v xml:space="preserve">2170815819                    </v>
      </c>
      <c r="Q3218" s="3">
        <v>0</v>
      </c>
      <c r="R3218" s="3">
        <v>0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  <c r="AE3218" s="3">
        <v>0</v>
      </c>
      <c r="AF3218" s="3">
        <v>0</v>
      </c>
      <c r="AG3218" s="3">
        <v>0</v>
      </c>
      <c r="AH3218" s="3">
        <v>0</v>
      </c>
      <c r="AI3218" s="3">
        <v>0</v>
      </c>
      <c r="AJ3218" s="3">
        <v>0</v>
      </c>
      <c r="AK3218" s="3">
        <v>15.46</v>
      </c>
      <c r="AL3218" s="3">
        <v>0</v>
      </c>
      <c r="AM3218" s="3">
        <v>0</v>
      </c>
      <c r="AN3218" s="3">
        <v>0</v>
      </c>
      <c r="AO3218" s="3">
        <v>0</v>
      </c>
      <c r="AP3218" s="3">
        <v>0</v>
      </c>
      <c r="AQ3218" s="3">
        <v>0</v>
      </c>
      <c r="AR3218" s="3">
        <v>0</v>
      </c>
      <c r="AS3218" s="3">
        <v>0</v>
      </c>
      <c r="AT3218" s="3">
        <v>0</v>
      </c>
      <c r="AU3218" s="3">
        <v>0</v>
      </c>
      <c r="AV3218" s="3">
        <v>0</v>
      </c>
      <c r="AW3218" s="3">
        <v>0</v>
      </c>
      <c r="AX3218" s="3">
        <v>0</v>
      </c>
      <c r="AY3218" s="3">
        <v>0</v>
      </c>
      <c r="AZ3218" s="3">
        <v>0</v>
      </c>
      <c r="BA3218" s="3">
        <v>0</v>
      </c>
      <c r="BB3218" s="3">
        <v>0</v>
      </c>
      <c r="BC3218" s="3">
        <v>0</v>
      </c>
      <c r="BD3218" s="3">
        <v>0</v>
      </c>
      <c r="BE3218" s="3">
        <v>0</v>
      </c>
      <c r="BF3218" s="3">
        <v>0</v>
      </c>
      <c r="BG3218" s="3">
        <v>0</v>
      </c>
      <c r="BH3218" s="3">
        <v>1</v>
      </c>
      <c r="BI3218" s="3">
        <v>1</v>
      </c>
      <c r="BJ3218" s="3">
        <v>1.1000000000000001</v>
      </c>
      <c r="BK3218" s="3">
        <v>1.5</v>
      </c>
      <c r="BL3218" s="3">
        <v>59</v>
      </c>
      <c r="BM3218" s="3">
        <v>8.85</v>
      </c>
      <c r="BN3218" s="3">
        <v>67.849999999999994</v>
      </c>
      <c r="BO3218" s="3">
        <v>67.849999999999994</v>
      </c>
      <c r="BQ3218" s="3" t="s">
        <v>89</v>
      </c>
      <c r="BR3218" s="3" t="s">
        <v>364</v>
      </c>
      <c r="BS3218" s="4">
        <v>44572</v>
      </c>
      <c r="BT3218" s="5">
        <v>0.36319444444444443</v>
      </c>
      <c r="BU3218" s="3" t="s">
        <v>323</v>
      </c>
      <c r="BV3218" s="3" t="s">
        <v>87</v>
      </c>
      <c r="BW3218" s="3" t="s">
        <v>617</v>
      </c>
      <c r="BX3218" s="3" t="s">
        <v>605</v>
      </c>
      <c r="BY3218" s="3">
        <v>5320</v>
      </c>
      <c r="BZ3218" s="3" t="s">
        <v>165</v>
      </c>
      <c r="CA3218" s="3" t="s">
        <v>324</v>
      </c>
      <c r="CC3218" s="3" t="s">
        <v>185</v>
      </c>
      <c r="CD3218" s="3">
        <v>5200</v>
      </c>
      <c r="CE3218" s="3" t="s">
        <v>86</v>
      </c>
      <c r="CF3218" s="4">
        <v>44572</v>
      </c>
      <c r="CI3218" s="3">
        <v>1</v>
      </c>
      <c r="CJ3218" s="3">
        <v>2</v>
      </c>
      <c r="CK3218" s="3">
        <v>21</v>
      </c>
      <c r="CL3218" s="3" t="s">
        <v>87</v>
      </c>
    </row>
    <row r="3219" spans="1:90" x14ac:dyDescent="0.2">
      <c r="A3219" s="3" t="s">
        <v>72</v>
      </c>
      <c r="B3219" s="3" t="s">
        <v>73</v>
      </c>
      <c r="C3219" s="3" t="s">
        <v>74</v>
      </c>
      <c r="E3219" s="3" t="str">
        <f>"FES1162844209"</f>
        <v>FES1162844209</v>
      </c>
      <c r="F3219" s="4">
        <v>44568</v>
      </c>
      <c r="G3219" s="3">
        <v>202207</v>
      </c>
      <c r="H3219" s="3" t="s">
        <v>75</v>
      </c>
      <c r="I3219" s="3" t="s">
        <v>76</v>
      </c>
      <c r="J3219" s="3" t="s">
        <v>77</v>
      </c>
      <c r="K3219" s="3" t="s">
        <v>78</v>
      </c>
      <c r="L3219" s="3" t="s">
        <v>90</v>
      </c>
      <c r="M3219" s="3" t="s">
        <v>91</v>
      </c>
      <c r="N3219" s="3" t="s">
        <v>735</v>
      </c>
      <c r="O3219" s="3" t="s">
        <v>82</v>
      </c>
      <c r="P3219" s="3" t="str">
        <f>"2170815965                    "</f>
        <v xml:space="preserve">2170815965                    </v>
      </c>
      <c r="Q3219" s="3">
        <v>0</v>
      </c>
      <c r="R3219" s="3">
        <v>0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  <c r="AE3219" s="3">
        <v>0</v>
      </c>
      <c r="AF3219" s="3">
        <v>0</v>
      </c>
      <c r="AG3219" s="3">
        <v>0</v>
      </c>
      <c r="AH3219" s="3">
        <v>0</v>
      </c>
      <c r="AI3219" s="3">
        <v>0</v>
      </c>
      <c r="AJ3219" s="3">
        <v>0</v>
      </c>
      <c r="AK3219" s="3">
        <v>15.46</v>
      </c>
      <c r="AL3219" s="3">
        <v>0</v>
      </c>
      <c r="AM3219" s="3">
        <v>0</v>
      </c>
      <c r="AN3219" s="3">
        <v>0</v>
      </c>
      <c r="AO3219" s="3">
        <v>0</v>
      </c>
      <c r="AP3219" s="3">
        <v>0</v>
      </c>
      <c r="AQ3219" s="3">
        <v>0</v>
      </c>
      <c r="AR3219" s="3">
        <v>0</v>
      </c>
      <c r="AS3219" s="3">
        <v>0</v>
      </c>
      <c r="AT3219" s="3">
        <v>0</v>
      </c>
      <c r="AU3219" s="3">
        <v>0</v>
      </c>
      <c r="AV3219" s="3">
        <v>0</v>
      </c>
      <c r="AW3219" s="3">
        <v>0</v>
      </c>
      <c r="AX3219" s="3">
        <v>0</v>
      </c>
      <c r="AY3219" s="3">
        <v>0</v>
      </c>
      <c r="AZ3219" s="3">
        <v>0</v>
      </c>
      <c r="BA3219" s="3">
        <v>0</v>
      </c>
      <c r="BB3219" s="3">
        <v>0</v>
      </c>
      <c r="BC3219" s="3">
        <v>0</v>
      </c>
      <c r="BD3219" s="3">
        <v>0</v>
      </c>
      <c r="BE3219" s="3">
        <v>0</v>
      </c>
      <c r="BF3219" s="3">
        <v>0</v>
      </c>
      <c r="BG3219" s="3">
        <v>0</v>
      </c>
      <c r="BH3219" s="3">
        <v>1</v>
      </c>
      <c r="BI3219" s="3">
        <v>1</v>
      </c>
      <c r="BJ3219" s="3">
        <v>0.2</v>
      </c>
      <c r="BK3219" s="3">
        <v>1</v>
      </c>
      <c r="BL3219" s="3">
        <v>59</v>
      </c>
      <c r="BM3219" s="3">
        <v>8.85</v>
      </c>
      <c r="BN3219" s="3">
        <v>67.849999999999994</v>
      </c>
      <c r="BO3219" s="3">
        <v>67.849999999999994</v>
      </c>
      <c r="BQ3219" s="3" t="s">
        <v>273</v>
      </c>
      <c r="BR3219" s="3" t="s">
        <v>364</v>
      </c>
      <c r="BS3219" s="4">
        <v>44571</v>
      </c>
      <c r="BT3219" s="5">
        <v>0.33402777777777781</v>
      </c>
      <c r="BU3219" s="3" t="s">
        <v>736</v>
      </c>
      <c r="BV3219" s="3" t="s">
        <v>105</v>
      </c>
      <c r="BY3219" s="3">
        <v>1200</v>
      </c>
      <c r="BZ3219" s="3" t="s">
        <v>165</v>
      </c>
      <c r="CA3219" s="3" t="s">
        <v>566</v>
      </c>
      <c r="CC3219" s="3" t="s">
        <v>91</v>
      </c>
      <c r="CD3219" s="3">
        <v>7460</v>
      </c>
      <c r="CE3219" s="3" t="s">
        <v>93</v>
      </c>
      <c r="CF3219" s="4">
        <v>44572</v>
      </c>
      <c r="CI3219" s="3">
        <v>1</v>
      </c>
      <c r="CJ3219" s="3">
        <v>1</v>
      </c>
      <c r="CK3219" s="3">
        <v>21</v>
      </c>
      <c r="CL3219" s="3" t="s">
        <v>87</v>
      </c>
    </row>
    <row r="3220" spans="1:90" x14ac:dyDescent="0.2">
      <c r="A3220" s="3" t="s">
        <v>72</v>
      </c>
      <c r="B3220" s="3" t="s">
        <v>73</v>
      </c>
      <c r="C3220" s="3" t="s">
        <v>74</v>
      </c>
      <c r="E3220" s="3" t="str">
        <f>"FES1162844080"</f>
        <v>FES1162844080</v>
      </c>
      <c r="F3220" s="4">
        <v>44568</v>
      </c>
      <c r="G3220" s="3">
        <v>202207</v>
      </c>
      <c r="H3220" s="3" t="s">
        <v>75</v>
      </c>
      <c r="I3220" s="3" t="s">
        <v>76</v>
      </c>
      <c r="J3220" s="3" t="s">
        <v>77</v>
      </c>
      <c r="K3220" s="3" t="s">
        <v>78</v>
      </c>
      <c r="L3220" s="3" t="s">
        <v>75</v>
      </c>
      <c r="M3220" s="3" t="s">
        <v>76</v>
      </c>
      <c r="N3220" s="3" t="s">
        <v>153</v>
      </c>
      <c r="O3220" s="3" t="s">
        <v>148</v>
      </c>
      <c r="P3220" s="3" t="str">
        <f>"2170813276                    "</f>
        <v xml:space="preserve">2170813276                    </v>
      </c>
      <c r="Q3220" s="3">
        <v>0</v>
      </c>
      <c r="R3220" s="3">
        <v>0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  <c r="AE3220" s="3">
        <v>0</v>
      </c>
      <c r="AF3220" s="3">
        <v>0</v>
      </c>
      <c r="AG3220" s="3">
        <v>0</v>
      </c>
      <c r="AH3220" s="3">
        <v>0</v>
      </c>
      <c r="AI3220" s="3">
        <v>0</v>
      </c>
      <c r="AJ3220" s="3">
        <v>0</v>
      </c>
      <c r="AK3220" s="3">
        <v>25.76</v>
      </c>
      <c r="AL3220" s="3">
        <v>0</v>
      </c>
      <c r="AM3220" s="3">
        <v>0</v>
      </c>
      <c r="AN3220" s="3">
        <v>0</v>
      </c>
      <c r="AO3220" s="3">
        <v>0</v>
      </c>
      <c r="AP3220" s="3">
        <v>0</v>
      </c>
      <c r="AQ3220" s="3">
        <v>0</v>
      </c>
      <c r="AR3220" s="3">
        <v>0</v>
      </c>
      <c r="AS3220" s="3">
        <v>0</v>
      </c>
      <c r="AT3220" s="3">
        <v>0</v>
      </c>
      <c r="AU3220" s="3">
        <v>0</v>
      </c>
      <c r="AV3220" s="3">
        <v>0</v>
      </c>
      <c r="AW3220" s="3">
        <v>0</v>
      </c>
      <c r="AX3220" s="3">
        <v>0</v>
      </c>
      <c r="AY3220" s="3">
        <v>0</v>
      </c>
      <c r="AZ3220" s="3">
        <v>0</v>
      </c>
      <c r="BA3220" s="3">
        <v>0</v>
      </c>
      <c r="BB3220" s="3">
        <v>0</v>
      </c>
      <c r="BC3220" s="3">
        <v>0</v>
      </c>
      <c r="BD3220" s="3">
        <v>0</v>
      </c>
      <c r="BE3220" s="3">
        <v>0</v>
      </c>
      <c r="BF3220" s="3">
        <v>0</v>
      </c>
      <c r="BG3220" s="3">
        <v>0</v>
      </c>
      <c r="BH3220" s="3">
        <v>1</v>
      </c>
      <c r="BI3220" s="3">
        <v>5</v>
      </c>
      <c r="BJ3220" s="3">
        <v>18.3</v>
      </c>
      <c r="BK3220" s="3">
        <v>19</v>
      </c>
      <c r="BL3220" s="3">
        <v>103.58</v>
      </c>
      <c r="BM3220" s="3">
        <v>15.54</v>
      </c>
      <c r="BN3220" s="3">
        <v>119.12</v>
      </c>
      <c r="BO3220" s="3">
        <v>119.12</v>
      </c>
      <c r="BR3220" s="3" t="s">
        <v>364</v>
      </c>
      <c r="BS3220" s="4">
        <v>44571</v>
      </c>
      <c r="BT3220" s="5">
        <v>0.38958333333333334</v>
      </c>
      <c r="BU3220" s="3" t="s">
        <v>804</v>
      </c>
      <c r="BV3220" s="3" t="s">
        <v>105</v>
      </c>
      <c r="BY3220" s="3">
        <v>91264</v>
      </c>
      <c r="BZ3220" s="3" t="s">
        <v>327</v>
      </c>
      <c r="CA3220" s="3" t="s">
        <v>227</v>
      </c>
      <c r="CC3220" s="3" t="s">
        <v>76</v>
      </c>
      <c r="CD3220" s="3">
        <v>1600</v>
      </c>
      <c r="CE3220" s="3" t="s">
        <v>86</v>
      </c>
      <c r="CF3220" s="4">
        <v>44571</v>
      </c>
      <c r="CI3220" s="3">
        <v>1</v>
      </c>
      <c r="CJ3220" s="3">
        <v>1</v>
      </c>
      <c r="CK3220" s="3">
        <v>42</v>
      </c>
      <c r="CL3220" s="3" t="s">
        <v>87</v>
      </c>
    </row>
    <row r="3221" spans="1:90" x14ac:dyDescent="0.2">
      <c r="A3221" s="3" t="s">
        <v>72</v>
      </c>
      <c r="B3221" s="3" t="s">
        <v>73</v>
      </c>
      <c r="C3221" s="3" t="s">
        <v>74</v>
      </c>
      <c r="E3221" s="3" t="str">
        <f>"FES1162843897"</f>
        <v>FES1162843897</v>
      </c>
      <c r="F3221" s="4">
        <v>44568</v>
      </c>
      <c r="G3221" s="3">
        <v>202207</v>
      </c>
      <c r="H3221" s="3" t="s">
        <v>75</v>
      </c>
      <c r="I3221" s="3" t="s">
        <v>76</v>
      </c>
      <c r="J3221" s="3" t="s">
        <v>77</v>
      </c>
      <c r="K3221" s="3" t="s">
        <v>78</v>
      </c>
      <c r="L3221" s="3" t="s">
        <v>90</v>
      </c>
      <c r="M3221" s="3" t="s">
        <v>91</v>
      </c>
      <c r="N3221" s="3" t="s">
        <v>2884</v>
      </c>
      <c r="O3221" s="3" t="s">
        <v>82</v>
      </c>
      <c r="P3221" s="3" t="str">
        <f>"2170804690                    "</f>
        <v xml:space="preserve">2170804690                    </v>
      </c>
      <c r="Q3221" s="3">
        <v>0</v>
      </c>
      <c r="R3221" s="3">
        <v>0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  <c r="AE3221" s="3">
        <v>0</v>
      </c>
      <c r="AF3221" s="3">
        <v>0</v>
      </c>
      <c r="AG3221" s="3">
        <v>0</v>
      </c>
      <c r="AH3221" s="3">
        <v>0</v>
      </c>
      <c r="AI3221" s="3">
        <v>0</v>
      </c>
      <c r="AJ3221" s="3">
        <v>0</v>
      </c>
      <c r="AK3221" s="3">
        <v>15.46</v>
      </c>
      <c r="AL3221" s="3">
        <v>0</v>
      </c>
      <c r="AM3221" s="3">
        <v>0</v>
      </c>
      <c r="AN3221" s="3">
        <v>0</v>
      </c>
      <c r="AO3221" s="3">
        <v>0</v>
      </c>
      <c r="AP3221" s="3">
        <v>0</v>
      </c>
      <c r="AQ3221" s="3">
        <v>0</v>
      </c>
      <c r="AR3221" s="3">
        <v>0</v>
      </c>
      <c r="AS3221" s="3">
        <v>0</v>
      </c>
      <c r="AT3221" s="3">
        <v>0</v>
      </c>
      <c r="AU3221" s="3">
        <v>0</v>
      </c>
      <c r="AV3221" s="3">
        <v>0</v>
      </c>
      <c r="AW3221" s="3">
        <v>0</v>
      </c>
      <c r="AX3221" s="3">
        <v>0</v>
      </c>
      <c r="AY3221" s="3">
        <v>0</v>
      </c>
      <c r="AZ3221" s="3">
        <v>0</v>
      </c>
      <c r="BA3221" s="3">
        <v>0</v>
      </c>
      <c r="BB3221" s="3">
        <v>0</v>
      </c>
      <c r="BC3221" s="3">
        <v>0</v>
      </c>
      <c r="BD3221" s="3">
        <v>0</v>
      </c>
      <c r="BE3221" s="3">
        <v>0</v>
      </c>
      <c r="BF3221" s="3">
        <v>0</v>
      </c>
      <c r="BG3221" s="3">
        <v>0</v>
      </c>
      <c r="BH3221" s="3">
        <v>1</v>
      </c>
      <c r="BI3221" s="3">
        <v>1</v>
      </c>
      <c r="BJ3221" s="3">
        <v>0.2</v>
      </c>
      <c r="BK3221" s="3">
        <v>1</v>
      </c>
      <c r="BL3221" s="3">
        <v>59</v>
      </c>
      <c r="BM3221" s="3">
        <v>8.85</v>
      </c>
      <c r="BN3221" s="3">
        <v>67.849999999999994</v>
      </c>
      <c r="BO3221" s="3">
        <v>67.849999999999994</v>
      </c>
      <c r="BQ3221" s="3" t="s">
        <v>83</v>
      </c>
      <c r="BR3221" s="3" t="s">
        <v>364</v>
      </c>
      <c r="BS3221" s="4">
        <v>44571</v>
      </c>
      <c r="BT3221" s="5">
        <v>0.4465277777777778</v>
      </c>
      <c r="BU3221" s="3" t="s">
        <v>2885</v>
      </c>
      <c r="BV3221" s="3" t="s">
        <v>105</v>
      </c>
      <c r="BY3221" s="3">
        <v>1200</v>
      </c>
      <c r="BZ3221" s="3" t="s">
        <v>165</v>
      </c>
      <c r="CA3221" s="3" t="s">
        <v>2141</v>
      </c>
      <c r="CC3221" s="3" t="s">
        <v>91</v>
      </c>
      <c r="CD3221" s="3">
        <v>7480</v>
      </c>
      <c r="CE3221" s="3" t="s">
        <v>93</v>
      </c>
      <c r="CF3221" s="4">
        <v>44572</v>
      </c>
      <c r="CI3221" s="3">
        <v>0</v>
      </c>
      <c r="CJ3221" s="3">
        <v>0</v>
      </c>
      <c r="CK3221" s="3">
        <v>21</v>
      </c>
      <c r="CL3221" s="3" t="s">
        <v>87</v>
      </c>
    </row>
    <row r="3222" spans="1:90" x14ac:dyDescent="0.2">
      <c r="A3222" s="3" t="s">
        <v>72</v>
      </c>
      <c r="B3222" s="3" t="s">
        <v>73</v>
      </c>
      <c r="C3222" s="3" t="s">
        <v>74</v>
      </c>
      <c r="E3222" s="3" t="str">
        <f>"FES1162843947"</f>
        <v>FES1162843947</v>
      </c>
      <c r="F3222" s="4">
        <v>44568</v>
      </c>
      <c r="G3222" s="3">
        <v>202207</v>
      </c>
      <c r="H3222" s="3" t="s">
        <v>75</v>
      </c>
      <c r="I3222" s="3" t="s">
        <v>76</v>
      </c>
      <c r="J3222" s="3" t="s">
        <v>77</v>
      </c>
      <c r="K3222" s="3" t="s">
        <v>78</v>
      </c>
      <c r="L3222" s="3" t="s">
        <v>948</v>
      </c>
      <c r="M3222" s="3" t="s">
        <v>949</v>
      </c>
      <c r="N3222" s="3" t="s">
        <v>1294</v>
      </c>
      <c r="O3222" s="3" t="s">
        <v>82</v>
      </c>
      <c r="P3222" s="3" t="str">
        <f>"2170813851                    "</f>
        <v xml:space="preserve">2170813851                    </v>
      </c>
      <c r="Q3222" s="3">
        <v>0</v>
      </c>
      <c r="R3222" s="3">
        <v>0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  <c r="AE3222" s="3">
        <v>0</v>
      </c>
      <c r="AF3222" s="3">
        <v>0</v>
      </c>
      <c r="AG3222" s="3">
        <v>0</v>
      </c>
      <c r="AH3222" s="3">
        <v>0</v>
      </c>
      <c r="AI3222" s="3">
        <v>0</v>
      </c>
      <c r="AJ3222" s="3">
        <v>0</v>
      </c>
      <c r="AK3222" s="3">
        <v>21.74</v>
      </c>
      <c r="AL3222" s="3">
        <v>0</v>
      </c>
      <c r="AM3222" s="3">
        <v>0</v>
      </c>
      <c r="AN3222" s="3">
        <v>0</v>
      </c>
      <c r="AO3222" s="3">
        <v>0</v>
      </c>
      <c r="AP3222" s="3">
        <v>0</v>
      </c>
      <c r="AQ3222" s="3">
        <v>0</v>
      </c>
      <c r="AR3222" s="3">
        <v>0</v>
      </c>
      <c r="AS3222" s="3">
        <v>0</v>
      </c>
      <c r="AT3222" s="3">
        <v>0</v>
      </c>
      <c r="AU3222" s="3">
        <v>0</v>
      </c>
      <c r="AV3222" s="3">
        <v>0</v>
      </c>
      <c r="AW3222" s="3">
        <v>0</v>
      </c>
      <c r="AX3222" s="3">
        <v>0</v>
      </c>
      <c r="AY3222" s="3">
        <v>0</v>
      </c>
      <c r="AZ3222" s="3">
        <v>0</v>
      </c>
      <c r="BA3222" s="3">
        <v>0</v>
      </c>
      <c r="BB3222" s="3">
        <v>0</v>
      </c>
      <c r="BC3222" s="3">
        <v>0</v>
      </c>
      <c r="BD3222" s="3">
        <v>0</v>
      </c>
      <c r="BE3222" s="3">
        <v>0</v>
      </c>
      <c r="BF3222" s="3">
        <v>0</v>
      </c>
      <c r="BG3222" s="3">
        <v>0</v>
      </c>
      <c r="BH3222" s="3">
        <v>1</v>
      </c>
      <c r="BI3222" s="3">
        <v>1</v>
      </c>
      <c r="BJ3222" s="3">
        <v>1.1000000000000001</v>
      </c>
      <c r="BK3222" s="3">
        <v>1.5</v>
      </c>
      <c r="BL3222" s="3">
        <v>82.98</v>
      </c>
      <c r="BM3222" s="3">
        <v>12.45</v>
      </c>
      <c r="BN3222" s="3">
        <v>95.43</v>
      </c>
      <c r="BO3222" s="3">
        <v>95.43</v>
      </c>
      <c r="BR3222" s="3" t="s">
        <v>364</v>
      </c>
      <c r="BS3222" s="4">
        <v>44571</v>
      </c>
      <c r="BT3222" s="5">
        <v>0.57638888888888895</v>
      </c>
      <c r="BU3222" s="3" t="s">
        <v>1186</v>
      </c>
      <c r="BV3222" s="3" t="s">
        <v>105</v>
      </c>
      <c r="BY3222" s="3">
        <v>5320</v>
      </c>
      <c r="BZ3222" s="3" t="s">
        <v>165</v>
      </c>
      <c r="CA3222" s="3" t="s">
        <v>952</v>
      </c>
      <c r="CC3222" s="3" t="s">
        <v>949</v>
      </c>
      <c r="CD3222" s="3">
        <v>1759</v>
      </c>
      <c r="CE3222" s="3" t="s">
        <v>86</v>
      </c>
      <c r="CF3222" s="4">
        <v>44572</v>
      </c>
      <c r="CI3222" s="3">
        <v>1</v>
      </c>
      <c r="CJ3222" s="3">
        <v>1</v>
      </c>
      <c r="CK3222" s="3">
        <v>24</v>
      </c>
      <c r="CL3222" s="3" t="s">
        <v>87</v>
      </c>
    </row>
    <row r="3223" spans="1:90" x14ac:dyDescent="0.2">
      <c r="A3223" s="3" t="s">
        <v>72</v>
      </c>
      <c r="B3223" s="3" t="s">
        <v>73</v>
      </c>
      <c r="C3223" s="3" t="s">
        <v>74</v>
      </c>
      <c r="E3223" s="3" t="str">
        <f>"FES1162844167"</f>
        <v>FES1162844167</v>
      </c>
      <c r="F3223" s="4">
        <v>44568</v>
      </c>
      <c r="G3223" s="3">
        <v>202207</v>
      </c>
      <c r="H3223" s="3" t="s">
        <v>75</v>
      </c>
      <c r="I3223" s="3" t="s">
        <v>76</v>
      </c>
      <c r="J3223" s="3" t="s">
        <v>77</v>
      </c>
      <c r="K3223" s="3" t="s">
        <v>78</v>
      </c>
      <c r="L3223" s="3" t="s">
        <v>190</v>
      </c>
      <c r="M3223" s="3" t="s">
        <v>191</v>
      </c>
      <c r="N3223" s="3" t="s">
        <v>2120</v>
      </c>
      <c r="O3223" s="3" t="s">
        <v>82</v>
      </c>
      <c r="P3223" s="3" t="str">
        <f>"2170811493                    "</f>
        <v xml:space="preserve">2170811493                    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  <c r="AE3223" s="3">
        <v>0</v>
      </c>
      <c r="AF3223" s="3">
        <v>0</v>
      </c>
      <c r="AG3223" s="3">
        <v>0</v>
      </c>
      <c r="AH3223" s="3">
        <v>0</v>
      </c>
      <c r="AI3223" s="3">
        <v>0</v>
      </c>
      <c r="AJ3223" s="3">
        <v>0</v>
      </c>
      <c r="AK3223" s="3">
        <v>29.95</v>
      </c>
      <c r="AL3223" s="3">
        <v>0</v>
      </c>
      <c r="AM3223" s="3">
        <v>0</v>
      </c>
      <c r="AN3223" s="3">
        <v>0</v>
      </c>
      <c r="AO3223" s="3">
        <v>0</v>
      </c>
      <c r="AP3223" s="3">
        <v>0</v>
      </c>
      <c r="AQ3223" s="3">
        <v>0</v>
      </c>
      <c r="AR3223" s="3">
        <v>0</v>
      </c>
      <c r="AS3223" s="3">
        <v>0</v>
      </c>
      <c r="AT3223" s="3">
        <v>0</v>
      </c>
      <c r="AU3223" s="3">
        <v>0</v>
      </c>
      <c r="AV3223" s="3">
        <v>0</v>
      </c>
      <c r="AW3223" s="3">
        <v>0</v>
      </c>
      <c r="AX3223" s="3">
        <v>0</v>
      </c>
      <c r="AY3223" s="3">
        <v>0</v>
      </c>
      <c r="AZ3223" s="3">
        <v>0</v>
      </c>
      <c r="BA3223" s="3">
        <v>0</v>
      </c>
      <c r="BB3223" s="3">
        <v>0</v>
      </c>
      <c r="BC3223" s="3">
        <v>0</v>
      </c>
      <c r="BD3223" s="3">
        <v>0</v>
      </c>
      <c r="BE3223" s="3">
        <v>0</v>
      </c>
      <c r="BF3223" s="3">
        <v>0</v>
      </c>
      <c r="BG3223" s="3">
        <v>0</v>
      </c>
      <c r="BH3223" s="3">
        <v>1</v>
      </c>
      <c r="BI3223" s="3">
        <v>1</v>
      </c>
      <c r="BJ3223" s="3">
        <v>0.2</v>
      </c>
      <c r="BK3223" s="3">
        <v>1</v>
      </c>
      <c r="BL3223" s="3">
        <v>114.31</v>
      </c>
      <c r="BM3223" s="3">
        <v>17.149999999999999</v>
      </c>
      <c r="BN3223" s="3">
        <v>131.46</v>
      </c>
      <c r="BO3223" s="3">
        <v>131.46</v>
      </c>
      <c r="BQ3223" s="3" t="s">
        <v>83</v>
      </c>
      <c r="BR3223" s="3" t="s">
        <v>364</v>
      </c>
      <c r="BS3223" s="4">
        <v>44571</v>
      </c>
      <c r="BT3223" s="5">
        <v>0.43055555555555558</v>
      </c>
      <c r="BU3223" s="3" t="s">
        <v>375</v>
      </c>
      <c r="BV3223" s="3" t="s">
        <v>105</v>
      </c>
      <c r="BY3223" s="3">
        <v>1200</v>
      </c>
      <c r="BZ3223" s="3" t="s">
        <v>165</v>
      </c>
      <c r="CA3223" s="3" t="s">
        <v>2121</v>
      </c>
      <c r="CC3223" s="3" t="s">
        <v>191</v>
      </c>
      <c r="CD3223" s="3">
        <v>1034</v>
      </c>
      <c r="CE3223" s="3" t="s">
        <v>93</v>
      </c>
      <c r="CF3223" s="4">
        <v>44571</v>
      </c>
      <c r="CI3223" s="3">
        <v>1</v>
      </c>
      <c r="CJ3223" s="3">
        <v>1</v>
      </c>
      <c r="CK3223" s="3">
        <v>23</v>
      </c>
      <c r="CL3223" s="3" t="s">
        <v>87</v>
      </c>
    </row>
    <row r="3224" spans="1:90" x14ac:dyDescent="0.2">
      <c r="A3224" s="3" t="s">
        <v>72</v>
      </c>
      <c r="B3224" s="3" t="s">
        <v>73</v>
      </c>
      <c r="C3224" s="3" t="s">
        <v>74</v>
      </c>
      <c r="E3224" s="3" t="str">
        <f>"FES1162843954"</f>
        <v>FES1162843954</v>
      </c>
      <c r="F3224" s="4">
        <v>44568</v>
      </c>
      <c r="G3224" s="3">
        <v>202207</v>
      </c>
      <c r="H3224" s="3" t="s">
        <v>75</v>
      </c>
      <c r="I3224" s="3" t="s">
        <v>76</v>
      </c>
      <c r="J3224" s="3" t="s">
        <v>77</v>
      </c>
      <c r="K3224" s="3" t="s">
        <v>78</v>
      </c>
      <c r="L3224" s="3" t="s">
        <v>258</v>
      </c>
      <c r="M3224" s="3" t="s">
        <v>259</v>
      </c>
      <c r="N3224" s="3" t="s">
        <v>412</v>
      </c>
      <c r="O3224" s="3" t="s">
        <v>82</v>
      </c>
      <c r="P3224" s="3" t="str">
        <f>"2170813977                    "</f>
        <v xml:space="preserve">2170813977                    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  <c r="AE3224" s="3">
        <v>0</v>
      </c>
      <c r="AF3224" s="3">
        <v>0</v>
      </c>
      <c r="AG3224" s="3">
        <v>0</v>
      </c>
      <c r="AH3224" s="3">
        <v>0</v>
      </c>
      <c r="AI3224" s="3">
        <v>0</v>
      </c>
      <c r="AJ3224" s="3">
        <v>0</v>
      </c>
      <c r="AK3224" s="3">
        <v>21.74</v>
      </c>
      <c r="AL3224" s="3">
        <v>0</v>
      </c>
      <c r="AM3224" s="3">
        <v>0</v>
      </c>
      <c r="AN3224" s="3">
        <v>0</v>
      </c>
      <c r="AO3224" s="3">
        <v>0</v>
      </c>
      <c r="AP3224" s="3">
        <v>0</v>
      </c>
      <c r="AQ3224" s="3">
        <v>0</v>
      </c>
      <c r="AR3224" s="3">
        <v>0</v>
      </c>
      <c r="AS3224" s="3">
        <v>0</v>
      </c>
      <c r="AT3224" s="3">
        <v>0</v>
      </c>
      <c r="AU3224" s="3">
        <v>0</v>
      </c>
      <c r="AV3224" s="3">
        <v>0</v>
      </c>
      <c r="AW3224" s="3">
        <v>0</v>
      </c>
      <c r="AX3224" s="3">
        <v>0</v>
      </c>
      <c r="AY3224" s="3">
        <v>0</v>
      </c>
      <c r="AZ3224" s="3">
        <v>0</v>
      </c>
      <c r="BA3224" s="3">
        <v>0</v>
      </c>
      <c r="BB3224" s="3">
        <v>0</v>
      </c>
      <c r="BC3224" s="3">
        <v>0</v>
      </c>
      <c r="BD3224" s="3">
        <v>0</v>
      </c>
      <c r="BE3224" s="3">
        <v>0</v>
      </c>
      <c r="BF3224" s="3">
        <v>0</v>
      </c>
      <c r="BG3224" s="3">
        <v>0</v>
      </c>
      <c r="BH3224" s="3">
        <v>1</v>
      </c>
      <c r="BI3224" s="3">
        <v>1</v>
      </c>
      <c r="BJ3224" s="3">
        <v>1.1000000000000001</v>
      </c>
      <c r="BK3224" s="3">
        <v>1.5</v>
      </c>
      <c r="BL3224" s="3">
        <v>82.98</v>
      </c>
      <c r="BM3224" s="3">
        <v>12.45</v>
      </c>
      <c r="BN3224" s="3">
        <v>95.43</v>
      </c>
      <c r="BO3224" s="3">
        <v>95.43</v>
      </c>
      <c r="BQ3224" s="3" t="s">
        <v>83</v>
      </c>
      <c r="BR3224" s="3" t="s">
        <v>364</v>
      </c>
      <c r="BS3224" s="4">
        <v>44580</v>
      </c>
      <c r="BT3224" s="5">
        <v>0.44236111111111115</v>
      </c>
      <c r="BU3224" s="3" t="s">
        <v>2890</v>
      </c>
      <c r="BV3224" s="3" t="s">
        <v>87</v>
      </c>
      <c r="BW3224" s="3" t="s">
        <v>353</v>
      </c>
      <c r="BX3224" s="3" t="s">
        <v>723</v>
      </c>
      <c r="BY3224" s="3">
        <v>5320</v>
      </c>
      <c r="BZ3224" s="3" t="s">
        <v>165</v>
      </c>
      <c r="CA3224" s="3" t="s">
        <v>779</v>
      </c>
      <c r="CC3224" s="3" t="s">
        <v>259</v>
      </c>
      <c r="CD3224" s="3">
        <v>2302</v>
      </c>
      <c r="CE3224" s="3" t="s">
        <v>86</v>
      </c>
      <c r="CF3224" s="4">
        <v>44581</v>
      </c>
      <c r="CI3224" s="3">
        <v>1</v>
      </c>
      <c r="CJ3224" s="3">
        <v>8</v>
      </c>
      <c r="CK3224" s="3">
        <v>24</v>
      </c>
      <c r="CL3224" s="3" t="s">
        <v>87</v>
      </c>
    </row>
    <row r="3225" spans="1:90" x14ac:dyDescent="0.2">
      <c r="A3225" s="3" t="s">
        <v>72</v>
      </c>
      <c r="B3225" s="3" t="s">
        <v>73</v>
      </c>
      <c r="C3225" s="3" t="s">
        <v>74</v>
      </c>
      <c r="E3225" s="3" t="str">
        <f>"FES1162844056"</f>
        <v>FES1162844056</v>
      </c>
      <c r="F3225" s="4">
        <v>44568</v>
      </c>
      <c r="G3225" s="3">
        <v>202207</v>
      </c>
      <c r="H3225" s="3" t="s">
        <v>75</v>
      </c>
      <c r="I3225" s="3" t="s">
        <v>76</v>
      </c>
      <c r="J3225" s="3" t="s">
        <v>77</v>
      </c>
      <c r="K3225" s="3" t="s">
        <v>78</v>
      </c>
      <c r="L3225" s="3" t="s">
        <v>184</v>
      </c>
      <c r="M3225" s="3" t="s">
        <v>185</v>
      </c>
      <c r="N3225" s="3" t="s">
        <v>503</v>
      </c>
      <c r="O3225" s="3" t="s">
        <v>82</v>
      </c>
      <c r="P3225" s="3" t="str">
        <f>"2170815871                    "</f>
        <v xml:space="preserve">2170815871                    </v>
      </c>
      <c r="Q3225" s="3">
        <v>0</v>
      </c>
      <c r="R3225" s="3">
        <v>0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  <c r="AE3225" s="3">
        <v>0</v>
      </c>
      <c r="AF3225" s="3">
        <v>0</v>
      </c>
      <c r="AG3225" s="3">
        <v>0</v>
      </c>
      <c r="AH3225" s="3">
        <v>0</v>
      </c>
      <c r="AI3225" s="3">
        <v>0</v>
      </c>
      <c r="AJ3225" s="3">
        <v>0</v>
      </c>
      <c r="AK3225" s="3">
        <v>23.18</v>
      </c>
      <c r="AL3225" s="3">
        <v>0</v>
      </c>
      <c r="AM3225" s="3">
        <v>0</v>
      </c>
      <c r="AN3225" s="3">
        <v>0</v>
      </c>
      <c r="AO3225" s="3">
        <v>0</v>
      </c>
      <c r="AP3225" s="3">
        <v>0</v>
      </c>
      <c r="AQ3225" s="3">
        <v>0</v>
      </c>
      <c r="AR3225" s="3">
        <v>0</v>
      </c>
      <c r="AS3225" s="3">
        <v>0</v>
      </c>
      <c r="AT3225" s="3">
        <v>0</v>
      </c>
      <c r="AU3225" s="3">
        <v>0</v>
      </c>
      <c r="AV3225" s="3">
        <v>0</v>
      </c>
      <c r="AW3225" s="3">
        <v>0</v>
      </c>
      <c r="AX3225" s="3">
        <v>0</v>
      </c>
      <c r="AY3225" s="3">
        <v>0</v>
      </c>
      <c r="AZ3225" s="3">
        <v>0</v>
      </c>
      <c r="BA3225" s="3">
        <v>0</v>
      </c>
      <c r="BB3225" s="3">
        <v>0</v>
      </c>
      <c r="BC3225" s="3">
        <v>0</v>
      </c>
      <c r="BD3225" s="3">
        <v>0</v>
      </c>
      <c r="BE3225" s="3">
        <v>0</v>
      </c>
      <c r="BF3225" s="3">
        <v>0</v>
      </c>
      <c r="BG3225" s="3">
        <v>0</v>
      </c>
      <c r="BH3225" s="3">
        <v>1</v>
      </c>
      <c r="BI3225" s="3">
        <v>3</v>
      </c>
      <c r="BJ3225" s="3">
        <v>1</v>
      </c>
      <c r="BK3225" s="3">
        <v>3</v>
      </c>
      <c r="BL3225" s="3">
        <v>88.48</v>
      </c>
      <c r="BM3225" s="3">
        <v>13.27</v>
      </c>
      <c r="BN3225" s="3">
        <v>101.75</v>
      </c>
      <c r="BO3225" s="3">
        <v>101.75</v>
      </c>
      <c r="BQ3225" s="3" t="s">
        <v>89</v>
      </c>
      <c r="BR3225" s="3" t="s">
        <v>364</v>
      </c>
      <c r="BS3225" s="4">
        <v>44571</v>
      </c>
      <c r="BT3225" s="5">
        <v>0.54861111111111105</v>
      </c>
      <c r="BU3225" s="3" t="s">
        <v>2891</v>
      </c>
      <c r="BV3225" s="3" t="s">
        <v>87</v>
      </c>
      <c r="BW3225" s="3" t="s">
        <v>617</v>
      </c>
      <c r="BX3225" s="3" t="s">
        <v>605</v>
      </c>
      <c r="BY3225" s="3">
        <v>4788</v>
      </c>
      <c r="BZ3225" s="3" t="s">
        <v>165</v>
      </c>
      <c r="CA3225" s="3" t="s">
        <v>2534</v>
      </c>
      <c r="CC3225" s="3" t="s">
        <v>185</v>
      </c>
      <c r="CD3225" s="3">
        <v>5201</v>
      </c>
      <c r="CE3225" s="3" t="s">
        <v>86</v>
      </c>
      <c r="CF3225" s="4">
        <v>44571</v>
      </c>
      <c r="CI3225" s="3">
        <v>1</v>
      </c>
      <c r="CJ3225" s="3">
        <v>1</v>
      </c>
      <c r="CK3225" s="3">
        <v>21</v>
      </c>
      <c r="CL3225" s="3" t="s">
        <v>87</v>
      </c>
    </row>
    <row r="3226" spans="1:90" x14ac:dyDescent="0.2">
      <c r="A3226" s="3" t="s">
        <v>72</v>
      </c>
      <c r="B3226" s="3" t="s">
        <v>73</v>
      </c>
      <c r="C3226" s="3" t="s">
        <v>74</v>
      </c>
      <c r="E3226" s="3" t="str">
        <f>"FES1162843917"</f>
        <v>FES1162843917</v>
      </c>
      <c r="F3226" s="4">
        <v>44568</v>
      </c>
      <c r="G3226" s="3">
        <v>202207</v>
      </c>
      <c r="H3226" s="3" t="s">
        <v>75</v>
      </c>
      <c r="I3226" s="3" t="s">
        <v>76</v>
      </c>
      <c r="J3226" s="3" t="s">
        <v>77</v>
      </c>
      <c r="K3226" s="3" t="s">
        <v>78</v>
      </c>
      <c r="L3226" s="3" t="s">
        <v>171</v>
      </c>
      <c r="M3226" s="3" t="s">
        <v>172</v>
      </c>
      <c r="N3226" s="3" t="s">
        <v>199</v>
      </c>
      <c r="O3226" s="3" t="s">
        <v>82</v>
      </c>
      <c r="P3226" s="3" t="str">
        <f>"2170812485                    "</f>
        <v xml:space="preserve">2170812485                    </v>
      </c>
      <c r="Q3226" s="3">
        <v>0</v>
      </c>
      <c r="R3226" s="3">
        <v>0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  <c r="AE3226" s="3">
        <v>0</v>
      </c>
      <c r="AF3226" s="3">
        <v>0</v>
      </c>
      <c r="AG3226" s="3">
        <v>0</v>
      </c>
      <c r="AH3226" s="3">
        <v>0</v>
      </c>
      <c r="AI3226" s="3">
        <v>0</v>
      </c>
      <c r="AJ3226" s="3">
        <v>0</v>
      </c>
      <c r="AK3226" s="3">
        <v>23.18</v>
      </c>
      <c r="AL3226" s="3">
        <v>0</v>
      </c>
      <c r="AM3226" s="3">
        <v>0</v>
      </c>
      <c r="AN3226" s="3">
        <v>0</v>
      </c>
      <c r="AO3226" s="3">
        <v>0</v>
      </c>
      <c r="AP3226" s="3">
        <v>0</v>
      </c>
      <c r="AQ3226" s="3">
        <v>0</v>
      </c>
      <c r="AR3226" s="3">
        <v>0</v>
      </c>
      <c r="AS3226" s="3">
        <v>0</v>
      </c>
      <c r="AT3226" s="3">
        <v>0</v>
      </c>
      <c r="AU3226" s="3">
        <v>0</v>
      </c>
      <c r="AV3226" s="3">
        <v>0</v>
      </c>
      <c r="AW3226" s="3">
        <v>0</v>
      </c>
      <c r="AX3226" s="3">
        <v>0</v>
      </c>
      <c r="AY3226" s="3">
        <v>0</v>
      </c>
      <c r="AZ3226" s="3">
        <v>0</v>
      </c>
      <c r="BA3226" s="3">
        <v>0</v>
      </c>
      <c r="BB3226" s="3">
        <v>0</v>
      </c>
      <c r="BC3226" s="3">
        <v>0</v>
      </c>
      <c r="BD3226" s="3">
        <v>0</v>
      </c>
      <c r="BE3226" s="3">
        <v>0</v>
      </c>
      <c r="BF3226" s="3">
        <v>0</v>
      </c>
      <c r="BG3226" s="3">
        <v>0</v>
      </c>
      <c r="BH3226" s="3">
        <v>1</v>
      </c>
      <c r="BI3226" s="3">
        <v>3</v>
      </c>
      <c r="BJ3226" s="3">
        <v>0.9</v>
      </c>
      <c r="BK3226" s="3">
        <v>3</v>
      </c>
      <c r="BL3226" s="3">
        <v>88.48</v>
      </c>
      <c r="BM3226" s="3">
        <v>13.27</v>
      </c>
      <c r="BN3226" s="3">
        <v>101.75</v>
      </c>
      <c r="BO3226" s="3">
        <v>101.75</v>
      </c>
      <c r="BR3226" s="3" t="s">
        <v>364</v>
      </c>
      <c r="BS3226" s="4">
        <v>44571</v>
      </c>
      <c r="BT3226" s="5">
        <v>0.6118055555555556</v>
      </c>
      <c r="BU3226" s="3" t="s">
        <v>2892</v>
      </c>
      <c r="BV3226" s="3" t="s">
        <v>87</v>
      </c>
      <c r="BW3226" s="3" t="s">
        <v>457</v>
      </c>
      <c r="BX3226" s="3" t="s">
        <v>279</v>
      </c>
      <c r="BY3226" s="3">
        <v>4275</v>
      </c>
      <c r="BZ3226" s="3" t="s">
        <v>165</v>
      </c>
      <c r="CA3226" s="3" t="s">
        <v>2855</v>
      </c>
      <c r="CC3226" s="3" t="s">
        <v>172</v>
      </c>
      <c r="CD3226" s="3">
        <v>6000</v>
      </c>
      <c r="CE3226" s="3" t="s">
        <v>86</v>
      </c>
      <c r="CF3226" s="4">
        <v>44572</v>
      </c>
      <c r="CI3226" s="3">
        <v>1</v>
      </c>
      <c r="CJ3226" s="3">
        <v>1</v>
      </c>
      <c r="CK3226" s="3">
        <v>21</v>
      </c>
      <c r="CL3226" s="3" t="s">
        <v>87</v>
      </c>
    </row>
    <row r="3227" spans="1:90" x14ac:dyDescent="0.2">
      <c r="A3227" s="3" t="s">
        <v>72</v>
      </c>
      <c r="B3227" s="3" t="s">
        <v>73</v>
      </c>
      <c r="C3227" s="3" t="s">
        <v>74</v>
      </c>
      <c r="E3227" s="3" t="str">
        <f>"FES1162844153"</f>
        <v>FES1162844153</v>
      </c>
      <c r="F3227" s="4">
        <v>44568</v>
      </c>
      <c r="G3227" s="3">
        <v>202207</v>
      </c>
      <c r="H3227" s="3" t="s">
        <v>75</v>
      </c>
      <c r="I3227" s="3" t="s">
        <v>76</v>
      </c>
      <c r="J3227" s="3" t="s">
        <v>77</v>
      </c>
      <c r="K3227" s="3" t="s">
        <v>78</v>
      </c>
      <c r="L3227" s="3" t="s">
        <v>79</v>
      </c>
      <c r="M3227" s="3" t="s">
        <v>80</v>
      </c>
      <c r="N3227" s="3" t="s">
        <v>363</v>
      </c>
      <c r="O3227" s="3" t="s">
        <v>82</v>
      </c>
      <c r="P3227" s="3" t="str">
        <f>"2170793560                    "</f>
        <v xml:space="preserve">2170793560                    </v>
      </c>
      <c r="Q3227" s="3">
        <v>0</v>
      </c>
      <c r="R3227" s="3">
        <v>0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  <c r="AE3227" s="3">
        <v>0</v>
      </c>
      <c r="AF3227" s="3">
        <v>0</v>
      </c>
      <c r="AG3227" s="3">
        <v>0</v>
      </c>
      <c r="AH3227" s="3">
        <v>0</v>
      </c>
      <c r="AI3227" s="3">
        <v>0</v>
      </c>
      <c r="AJ3227" s="3">
        <v>0</v>
      </c>
      <c r="AK3227" s="3">
        <v>15.46</v>
      </c>
      <c r="AL3227" s="3">
        <v>0</v>
      </c>
      <c r="AM3227" s="3">
        <v>0</v>
      </c>
      <c r="AN3227" s="3">
        <v>0</v>
      </c>
      <c r="AO3227" s="3">
        <v>0</v>
      </c>
      <c r="AP3227" s="3">
        <v>0</v>
      </c>
      <c r="AQ3227" s="3">
        <v>0</v>
      </c>
      <c r="AR3227" s="3">
        <v>0</v>
      </c>
      <c r="AS3227" s="3">
        <v>0</v>
      </c>
      <c r="AT3227" s="3">
        <v>0</v>
      </c>
      <c r="AU3227" s="3">
        <v>0</v>
      </c>
      <c r="AV3227" s="3">
        <v>0</v>
      </c>
      <c r="AW3227" s="3">
        <v>0</v>
      </c>
      <c r="AX3227" s="3">
        <v>0</v>
      </c>
      <c r="AY3227" s="3">
        <v>0</v>
      </c>
      <c r="AZ3227" s="3">
        <v>0</v>
      </c>
      <c r="BA3227" s="3">
        <v>0</v>
      </c>
      <c r="BB3227" s="3">
        <v>0</v>
      </c>
      <c r="BC3227" s="3">
        <v>0</v>
      </c>
      <c r="BD3227" s="3">
        <v>0</v>
      </c>
      <c r="BE3227" s="3">
        <v>0</v>
      </c>
      <c r="BF3227" s="3">
        <v>0</v>
      </c>
      <c r="BG3227" s="3">
        <v>0</v>
      </c>
      <c r="BH3227" s="3">
        <v>1</v>
      </c>
      <c r="BI3227" s="3">
        <v>1</v>
      </c>
      <c r="BJ3227" s="3">
        <v>1.5</v>
      </c>
      <c r="BK3227" s="3">
        <v>1.5</v>
      </c>
      <c r="BL3227" s="3">
        <v>59</v>
      </c>
      <c r="BM3227" s="3">
        <v>8.85</v>
      </c>
      <c r="BN3227" s="3">
        <v>67.849999999999994</v>
      </c>
      <c r="BO3227" s="3">
        <v>67.849999999999994</v>
      </c>
      <c r="BQ3227" s="3" t="s">
        <v>273</v>
      </c>
      <c r="BR3227" s="3" t="s">
        <v>364</v>
      </c>
      <c r="BS3227" s="4">
        <v>44571</v>
      </c>
      <c r="BT3227" s="5">
        <v>0.41666666666666669</v>
      </c>
      <c r="BU3227" s="3" t="s">
        <v>2893</v>
      </c>
      <c r="BV3227" s="3" t="s">
        <v>105</v>
      </c>
      <c r="BY3227" s="3">
        <v>7540</v>
      </c>
      <c r="BZ3227" s="3" t="s">
        <v>165</v>
      </c>
      <c r="CA3227" s="3" t="s">
        <v>366</v>
      </c>
      <c r="CC3227" s="3" t="s">
        <v>80</v>
      </c>
      <c r="CD3227" s="3">
        <v>200</v>
      </c>
      <c r="CE3227" s="3" t="s">
        <v>86</v>
      </c>
      <c r="CF3227" s="4">
        <v>44571</v>
      </c>
      <c r="CI3227" s="3">
        <v>1</v>
      </c>
      <c r="CJ3227" s="3">
        <v>1</v>
      </c>
      <c r="CK3227" s="3">
        <v>21</v>
      </c>
      <c r="CL3227" s="3" t="s">
        <v>87</v>
      </c>
    </row>
    <row r="3228" spans="1:90" x14ac:dyDescent="0.2">
      <c r="A3228" s="3" t="s">
        <v>72</v>
      </c>
      <c r="B3228" s="3" t="s">
        <v>73</v>
      </c>
      <c r="C3228" s="3" t="s">
        <v>74</v>
      </c>
      <c r="E3228" s="3" t="str">
        <f>"FES1162843953"</f>
        <v>FES1162843953</v>
      </c>
      <c r="F3228" s="4">
        <v>44568</v>
      </c>
      <c r="G3228" s="3">
        <v>202207</v>
      </c>
      <c r="H3228" s="3" t="s">
        <v>75</v>
      </c>
      <c r="I3228" s="3" t="s">
        <v>76</v>
      </c>
      <c r="J3228" s="3" t="s">
        <v>77</v>
      </c>
      <c r="K3228" s="3" t="s">
        <v>78</v>
      </c>
      <c r="L3228" s="3" t="s">
        <v>154</v>
      </c>
      <c r="M3228" s="3" t="s">
        <v>155</v>
      </c>
      <c r="N3228" s="3" t="s">
        <v>2894</v>
      </c>
      <c r="O3228" s="3" t="s">
        <v>82</v>
      </c>
      <c r="P3228" s="3" t="str">
        <f>"2170813964                    "</f>
        <v xml:space="preserve">2170813964                    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  <c r="AE3228" s="3">
        <v>0</v>
      </c>
      <c r="AF3228" s="3">
        <v>0</v>
      </c>
      <c r="AG3228" s="3">
        <v>0</v>
      </c>
      <c r="AH3228" s="3">
        <v>0</v>
      </c>
      <c r="AI3228" s="3">
        <v>0</v>
      </c>
      <c r="AJ3228" s="3">
        <v>0</v>
      </c>
      <c r="AK3228" s="3">
        <v>12.07</v>
      </c>
      <c r="AL3228" s="3">
        <v>0</v>
      </c>
      <c r="AM3228" s="3">
        <v>0</v>
      </c>
      <c r="AN3228" s="3">
        <v>0</v>
      </c>
      <c r="AO3228" s="3">
        <v>0</v>
      </c>
      <c r="AP3228" s="3">
        <v>0</v>
      </c>
      <c r="AQ3228" s="3">
        <v>0</v>
      </c>
      <c r="AR3228" s="3">
        <v>0</v>
      </c>
      <c r="AS3228" s="3">
        <v>0</v>
      </c>
      <c r="AT3228" s="3">
        <v>0</v>
      </c>
      <c r="AU3228" s="3">
        <v>0</v>
      </c>
      <c r="AV3228" s="3">
        <v>0</v>
      </c>
      <c r="AW3228" s="3">
        <v>0</v>
      </c>
      <c r="AX3228" s="3">
        <v>0</v>
      </c>
      <c r="AY3228" s="3">
        <v>0</v>
      </c>
      <c r="AZ3228" s="3">
        <v>0</v>
      </c>
      <c r="BA3228" s="3">
        <v>0</v>
      </c>
      <c r="BB3228" s="3">
        <v>0</v>
      </c>
      <c r="BC3228" s="3">
        <v>0</v>
      </c>
      <c r="BD3228" s="3">
        <v>0</v>
      </c>
      <c r="BE3228" s="3">
        <v>0</v>
      </c>
      <c r="BF3228" s="3">
        <v>0</v>
      </c>
      <c r="BG3228" s="3">
        <v>0</v>
      </c>
      <c r="BH3228" s="3">
        <v>1</v>
      </c>
      <c r="BI3228" s="3">
        <v>3</v>
      </c>
      <c r="BJ3228" s="3">
        <v>4.0999999999999996</v>
      </c>
      <c r="BK3228" s="3">
        <v>4.5</v>
      </c>
      <c r="BL3228" s="3">
        <v>46.08</v>
      </c>
      <c r="BM3228" s="3">
        <v>6.91</v>
      </c>
      <c r="BN3228" s="3">
        <v>52.99</v>
      </c>
      <c r="BO3228" s="3">
        <v>52.99</v>
      </c>
      <c r="BQ3228" s="3" t="s">
        <v>2895</v>
      </c>
      <c r="BR3228" s="3" t="s">
        <v>364</v>
      </c>
      <c r="BS3228" s="4">
        <v>44572</v>
      </c>
      <c r="BT3228" s="5">
        <v>0.3354166666666667</v>
      </c>
      <c r="BU3228" s="3" t="s">
        <v>2849</v>
      </c>
      <c r="BV3228" s="3" t="s">
        <v>87</v>
      </c>
      <c r="BW3228" s="3" t="s">
        <v>493</v>
      </c>
      <c r="BX3228" s="3" t="s">
        <v>723</v>
      </c>
      <c r="BY3228" s="3">
        <v>20358</v>
      </c>
      <c r="BZ3228" s="3" t="s">
        <v>165</v>
      </c>
      <c r="CA3228" s="3" t="s">
        <v>708</v>
      </c>
      <c r="CC3228" s="3" t="s">
        <v>155</v>
      </c>
      <c r="CD3228" s="3">
        <v>1685</v>
      </c>
      <c r="CE3228" s="3" t="s">
        <v>86</v>
      </c>
      <c r="CF3228" s="4">
        <v>44573</v>
      </c>
      <c r="CI3228" s="3">
        <v>1</v>
      </c>
      <c r="CJ3228" s="3">
        <v>2</v>
      </c>
      <c r="CK3228" s="3">
        <v>22</v>
      </c>
      <c r="CL3228" s="3" t="s">
        <v>87</v>
      </c>
    </row>
    <row r="3229" spans="1:90" x14ac:dyDescent="0.2">
      <c r="A3229" s="3" t="s">
        <v>72</v>
      </c>
      <c r="B3229" s="3" t="s">
        <v>73</v>
      </c>
      <c r="C3229" s="3" t="s">
        <v>74</v>
      </c>
      <c r="E3229" s="3" t="str">
        <f>"FES1162843979"</f>
        <v>FES1162843979</v>
      </c>
      <c r="F3229" s="4">
        <v>44568</v>
      </c>
      <c r="G3229" s="3">
        <v>202207</v>
      </c>
      <c r="H3229" s="3" t="s">
        <v>75</v>
      </c>
      <c r="I3229" s="3" t="s">
        <v>76</v>
      </c>
      <c r="J3229" s="3" t="s">
        <v>77</v>
      </c>
      <c r="K3229" s="3" t="s">
        <v>78</v>
      </c>
      <c r="L3229" s="3" t="s">
        <v>187</v>
      </c>
      <c r="M3229" s="3" t="s">
        <v>188</v>
      </c>
      <c r="N3229" s="3" t="s">
        <v>189</v>
      </c>
      <c r="O3229" s="3" t="s">
        <v>82</v>
      </c>
      <c r="P3229" s="3" t="str">
        <f>"2170815013                    "</f>
        <v xml:space="preserve">2170815013                    </v>
      </c>
      <c r="Q3229" s="3">
        <v>0</v>
      </c>
      <c r="R3229" s="3">
        <v>0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  <c r="AE3229" s="3">
        <v>0</v>
      </c>
      <c r="AF3229" s="3">
        <v>0</v>
      </c>
      <c r="AG3229" s="3">
        <v>0</v>
      </c>
      <c r="AH3229" s="3">
        <v>0</v>
      </c>
      <c r="AI3229" s="3">
        <v>0</v>
      </c>
      <c r="AJ3229" s="3">
        <v>0</v>
      </c>
      <c r="AK3229" s="3">
        <v>29.95</v>
      </c>
      <c r="AL3229" s="3">
        <v>0</v>
      </c>
      <c r="AM3229" s="3">
        <v>0</v>
      </c>
      <c r="AN3229" s="3">
        <v>0</v>
      </c>
      <c r="AO3229" s="3">
        <v>0</v>
      </c>
      <c r="AP3229" s="3">
        <v>0</v>
      </c>
      <c r="AQ3229" s="3">
        <v>0</v>
      </c>
      <c r="AR3229" s="3">
        <v>0</v>
      </c>
      <c r="AS3229" s="3">
        <v>0</v>
      </c>
      <c r="AT3229" s="3">
        <v>0</v>
      </c>
      <c r="AU3229" s="3">
        <v>0</v>
      </c>
      <c r="AV3229" s="3">
        <v>0</v>
      </c>
      <c r="AW3229" s="3">
        <v>0</v>
      </c>
      <c r="AX3229" s="3">
        <v>0</v>
      </c>
      <c r="AY3229" s="3">
        <v>0</v>
      </c>
      <c r="AZ3229" s="3">
        <v>0</v>
      </c>
      <c r="BA3229" s="3">
        <v>0</v>
      </c>
      <c r="BB3229" s="3">
        <v>0</v>
      </c>
      <c r="BC3229" s="3">
        <v>0</v>
      </c>
      <c r="BD3229" s="3">
        <v>0</v>
      </c>
      <c r="BE3229" s="3">
        <v>0</v>
      </c>
      <c r="BF3229" s="3">
        <v>0</v>
      </c>
      <c r="BG3229" s="3">
        <v>0</v>
      </c>
      <c r="BH3229" s="3">
        <v>1</v>
      </c>
      <c r="BI3229" s="3">
        <v>1</v>
      </c>
      <c r="BJ3229" s="3">
        <v>0.2</v>
      </c>
      <c r="BK3229" s="3">
        <v>1</v>
      </c>
      <c r="BL3229" s="3">
        <v>114.31</v>
      </c>
      <c r="BM3229" s="3">
        <v>17.149999999999999</v>
      </c>
      <c r="BN3229" s="3">
        <v>131.46</v>
      </c>
      <c r="BO3229" s="3">
        <v>131.46</v>
      </c>
      <c r="BQ3229" s="3" t="s">
        <v>83</v>
      </c>
      <c r="BR3229" s="3" t="s">
        <v>364</v>
      </c>
      <c r="BS3229" s="4">
        <v>44571</v>
      </c>
      <c r="BT3229" s="5">
        <v>0.53125</v>
      </c>
      <c r="BU3229" s="3" t="s">
        <v>955</v>
      </c>
      <c r="BV3229" s="3" t="s">
        <v>105</v>
      </c>
      <c r="BY3229" s="3">
        <v>1200</v>
      </c>
      <c r="BZ3229" s="3" t="s">
        <v>165</v>
      </c>
      <c r="CA3229" s="3" t="s">
        <v>268</v>
      </c>
      <c r="CC3229" s="3" t="s">
        <v>188</v>
      </c>
      <c r="CD3229" s="3">
        <v>7300</v>
      </c>
      <c r="CE3229" s="3" t="s">
        <v>93</v>
      </c>
      <c r="CF3229" s="4">
        <v>44572</v>
      </c>
      <c r="CI3229" s="3">
        <v>1</v>
      </c>
      <c r="CJ3229" s="3">
        <v>1</v>
      </c>
      <c r="CK3229" s="3">
        <v>23</v>
      </c>
      <c r="CL3229" s="3" t="s">
        <v>87</v>
      </c>
    </row>
    <row r="3230" spans="1:90" x14ac:dyDescent="0.2">
      <c r="A3230" s="3" t="s">
        <v>72</v>
      </c>
      <c r="B3230" s="3" t="s">
        <v>73</v>
      </c>
      <c r="C3230" s="3" t="s">
        <v>74</v>
      </c>
      <c r="E3230" s="3" t="str">
        <f>"FES1162843916"</f>
        <v>FES1162843916</v>
      </c>
      <c r="F3230" s="4">
        <v>44567</v>
      </c>
      <c r="G3230" s="3">
        <v>202207</v>
      </c>
      <c r="H3230" s="3" t="s">
        <v>75</v>
      </c>
      <c r="I3230" s="3" t="s">
        <v>76</v>
      </c>
      <c r="J3230" s="3" t="s">
        <v>77</v>
      </c>
      <c r="K3230" s="3" t="s">
        <v>78</v>
      </c>
      <c r="L3230" s="3" t="s">
        <v>1307</v>
      </c>
      <c r="M3230" s="3" t="s">
        <v>1307</v>
      </c>
      <c r="N3230" s="3" t="s">
        <v>1609</v>
      </c>
      <c r="O3230" s="3" t="s">
        <v>82</v>
      </c>
      <c r="P3230" s="3" t="str">
        <f>"2170812385                    "</f>
        <v xml:space="preserve">2170812385                    </v>
      </c>
      <c r="Q3230" s="3">
        <v>0</v>
      </c>
      <c r="R3230" s="3">
        <v>0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  <c r="AE3230" s="3">
        <v>0</v>
      </c>
      <c r="AF3230" s="3">
        <v>0</v>
      </c>
      <c r="AG3230" s="3">
        <v>0</v>
      </c>
      <c r="AH3230" s="3">
        <v>0</v>
      </c>
      <c r="AI3230" s="3">
        <v>0</v>
      </c>
      <c r="AJ3230" s="3">
        <v>0</v>
      </c>
      <c r="AK3230" s="3">
        <v>21.74</v>
      </c>
      <c r="AL3230" s="3">
        <v>0</v>
      </c>
      <c r="AM3230" s="3">
        <v>0</v>
      </c>
      <c r="AN3230" s="3">
        <v>0</v>
      </c>
      <c r="AO3230" s="3">
        <v>0</v>
      </c>
      <c r="AP3230" s="3">
        <v>0</v>
      </c>
      <c r="AQ3230" s="3">
        <v>0</v>
      </c>
      <c r="AR3230" s="3">
        <v>0</v>
      </c>
      <c r="AS3230" s="3">
        <v>0</v>
      </c>
      <c r="AT3230" s="3">
        <v>0</v>
      </c>
      <c r="AU3230" s="3">
        <v>0</v>
      </c>
      <c r="AV3230" s="3">
        <v>0</v>
      </c>
      <c r="AW3230" s="3">
        <v>0</v>
      </c>
      <c r="AX3230" s="3">
        <v>0</v>
      </c>
      <c r="AY3230" s="3">
        <v>0</v>
      </c>
      <c r="AZ3230" s="3">
        <v>0</v>
      </c>
      <c r="BA3230" s="3">
        <v>0</v>
      </c>
      <c r="BB3230" s="3">
        <v>0</v>
      </c>
      <c r="BC3230" s="3">
        <v>0</v>
      </c>
      <c r="BD3230" s="3">
        <v>0</v>
      </c>
      <c r="BE3230" s="3">
        <v>0</v>
      </c>
      <c r="BF3230" s="3">
        <v>0</v>
      </c>
      <c r="BG3230" s="3">
        <v>0</v>
      </c>
      <c r="BH3230" s="3">
        <v>1</v>
      </c>
      <c r="BI3230" s="3">
        <v>1</v>
      </c>
      <c r="BJ3230" s="3">
        <v>0.2</v>
      </c>
      <c r="BK3230" s="3">
        <v>1</v>
      </c>
      <c r="BL3230" s="3">
        <v>82.98</v>
      </c>
      <c r="BM3230" s="3">
        <v>12.45</v>
      </c>
      <c r="BN3230" s="3">
        <v>95.43</v>
      </c>
      <c r="BO3230" s="3">
        <v>95.43</v>
      </c>
      <c r="BQ3230" s="3" t="s">
        <v>273</v>
      </c>
      <c r="BR3230" s="3" t="s">
        <v>364</v>
      </c>
      <c r="BS3230" s="4">
        <v>44571</v>
      </c>
      <c r="BT3230" s="5">
        <v>0.3430555555555555</v>
      </c>
      <c r="BU3230" s="3" t="s">
        <v>2896</v>
      </c>
      <c r="BV3230" s="3" t="s">
        <v>87</v>
      </c>
      <c r="BW3230" s="3" t="s">
        <v>617</v>
      </c>
      <c r="BX3230" s="3" t="s">
        <v>2749</v>
      </c>
      <c r="BY3230" s="3">
        <v>1200</v>
      </c>
      <c r="BZ3230" s="3" t="s">
        <v>165</v>
      </c>
      <c r="CA3230" s="3" t="s">
        <v>1902</v>
      </c>
      <c r="CC3230" s="3" t="s">
        <v>1307</v>
      </c>
      <c r="CD3230" s="3">
        <v>1490</v>
      </c>
      <c r="CE3230" s="3" t="s">
        <v>93</v>
      </c>
      <c r="CF3230" s="4">
        <v>44571</v>
      </c>
      <c r="CI3230" s="3">
        <v>1</v>
      </c>
      <c r="CJ3230" s="3">
        <v>2</v>
      </c>
      <c r="CK3230" s="3">
        <v>24</v>
      </c>
      <c r="CL3230" s="3" t="s">
        <v>87</v>
      </c>
    </row>
    <row r="3231" spans="1:90" x14ac:dyDescent="0.2">
      <c r="A3231" s="3" t="s">
        <v>72</v>
      </c>
      <c r="B3231" s="3" t="s">
        <v>73</v>
      </c>
      <c r="C3231" s="3" t="s">
        <v>74</v>
      </c>
      <c r="E3231" s="3" t="str">
        <f>"FES1162843867"</f>
        <v>FES1162843867</v>
      </c>
      <c r="F3231" s="4">
        <v>44567</v>
      </c>
      <c r="G3231" s="3">
        <v>202207</v>
      </c>
      <c r="H3231" s="3" t="s">
        <v>75</v>
      </c>
      <c r="I3231" s="3" t="s">
        <v>76</v>
      </c>
      <c r="J3231" s="3" t="s">
        <v>77</v>
      </c>
      <c r="K3231" s="3" t="s">
        <v>78</v>
      </c>
      <c r="L3231" s="3" t="s">
        <v>94</v>
      </c>
      <c r="M3231" s="3" t="s">
        <v>95</v>
      </c>
      <c r="N3231" s="3" t="s">
        <v>2897</v>
      </c>
      <c r="O3231" s="3" t="s">
        <v>82</v>
      </c>
      <c r="P3231" s="3" t="str">
        <f>"2170815609                    "</f>
        <v xml:space="preserve">2170815609                    </v>
      </c>
      <c r="Q3231" s="3">
        <v>0</v>
      </c>
      <c r="R3231" s="3">
        <v>0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  <c r="AE3231" s="3">
        <v>0</v>
      </c>
      <c r="AF3231" s="3">
        <v>0</v>
      </c>
      <c r="AG3231" s="3">
        <v>0</v>
      </c>
      <c r="AH3231" s="3">
        <v>0</v>
      </c>
      <c r="AI3231" s="3">
        <v>0</v>
      </c>
      <c r="AJ3231" s="3">
        <v>0</v>
      </c>
      <c r="AK3231" s="3">
        <v>15.46</v>
      </c>
      <c r="AL3231" s="3">
        <v>0</v>
      </c>
      <c r="AM3231" s="3">
        <v>0</v>
      </c>
      <c r="AN3231" s="3">
        <v>0</v>
      </c>
      <c r="AO3231" s="3">
        <v>0</v>
      </c>
      <c r="AP3231" s="3">
        <v>0</v>
      </c>
      <c r="AQ3231" s="3">
        <v>15</v>
      </c>
      <c r="AR3231" s="3">
        <v>0</v>
      </c>
      <c r="AS3231" s="3">
        <v>0</v>
      </c>
      <c r="AT3231" s="3">
        <v>0</v>
      </c>
      <c r="AU3231" s="3">
        <v>0</v>
      </c>
      <c r="AV3231" s="3">
        <v>0</v>
      </c>
      <c r="AW3231" s="3">
        <v>0</v>
      </c>
      <c r="AX3231" s="3">
        <v>0</v>
      </c>
      <c r="AY3231" s="3">
        <v>0</v>
      </c>
      <c r="AZ3231" s="3">
        <v>0</v>
      </c>
      <c r="BA3231" s="3">
        <v>0</v>
      </c>
      <c r="BB3231" s="3">
        <v>0</v>
      </c>
      <c r="BC3231" s="3">
        <v>0</v>
      </c>
      <c r="BD3231" s="3">
        <v>0</v>
      </c>
      <c r="BE3231" s="3">
        <v>0</v>
      </c>
      <c r="BF3231" s="3">
        <v>0</v>
      </c>
      <c r="BG3231" s="3">
        <v>0</v>
      </c>
      <c r="BH3231" s="3">
        <v>1</v>
      </c>
      <c r="BI3231" s="3">
        <v>1</v>
      </c>
      <c r="BJ3231" s="3">
        <v>0.2</v>
      </c>
      <c r="BK3231" s="3">
        <v>1</v>
      </c>
      <c r="BL3231" s="3">
        <v>74</v>
      </c>
      <c r="BM3231" s="3">
        <v>11.1</v>
      </c>
      <c r="BN3231" s="3">
        <v>85.1</v>
      </c>
      <c r="BO3231" s="3">
        <v>85.1</v>
      </c>
      <c r="BQ3231" s="3" t="s">
        <v>2898</v>
      </c>
      <c r="BR3231" s="3" t="s">
        <v>364</v>
      </c>
      <c r="BS3231" s="4">
        <v>44571</v>
      </c>
      <c r="BT3231" s="5">
        <v>0.5180555555555556</v>
      </c>
      <c r="BU3231" s="3" t="s">
        <v>2589</v>
      </c>
      <c r="BV3231" s="3" t="s">
        <v>87</v>
      </c>
      <c r="BW3231" s="3" t="s">
        <v>453</v>
      </c>
      <c r="BX3231" s="3" t="s">
        <v>279</v>
      </c>
      <c r="BY3231" s="3">
        <v>1200</v>
      </c>
      <c r="BZ3231" s="3" t="s">
        <v>446</v>
      </c>
      <c r="CA3231" s="3" t="s">
        <v>328</v>
      </c>
      <c r="CC3231" s="3" t="s">
        <v>95</v>
      </c>
      <c r="CD3231" s="3">
        <v>3699</v>
      </c>
      <c r="CE3231" s="3" t="s">
        <v>93</v>
      </c>
      <c r="CF3231" s="4">
        <v>44572</v>
      </c>
      <c r="CI3231" s="3">
        <v>1</v>
      </c>
      <c r="CJ3231" s="3">
        <v>2</v>
      </c>
      <c r="CK3231" s="3">
        <v>21</v>
      </c>
      <c r="CL3231" s="3" t="s">
        <v>87</v>
      </c>
    </row>
    <row r="3232" spans="1:90" x14ac:dyDescent="0.2">
      <c r="A3232" s="3" t="s">
        <v>72</v>
      </c>
      <c r="B3232" s="3" t="s">
        <v>73</v>
      </c>
      <c r="C3232" s="3" t="s">
        <v>74</v>
      </c>
      <c r="E3232" s="3" t="str">
        <f>"FES1162843834"</f>
        <v>FES1162843834</v>
      </c>
      <c r="F3232" s="4">
        <v>44567</v>
      </c>
      <c r="G3232" s="3">
        <v>202207</v>
      </c>
      <c r="H3232" s="3" t="s">
        <v>75</v>
      </c>
      <c r="I3232" s="3" t="s">
        <v>76</v>
      </c>
      <c r="J3232" s="3" t="s">
        <v>77</v>
      </c>
      <c r="K3232" s="3" t="s">
        <v>78</v>
      </c>
      <c r="L3232" s="3" t="s">
        <v>101</v>
      </c>
      <c r="M3232" s="3" t="s">
        <v>102</v>
      </c>
      <c r="N3232" s="3" t="s">
        <v>1463</v>
      </c>
      <c r="O3232" s="3" t="s">
        <v>82</v>
      </c>
      <c r="P3232" s="3" t="str">
        <f>"2170813540                    "</f>
        <v xml:space="preserve">2170813540                    </v>
      </c>
      <c r="Q3232" s="3">
        <v>0</v>
      </c>
      <c r="R3232" s="3">
        <v>0</v>
      </c>
      <c r="S3232" s="3">
        <v>0</v>
      </c>
      <c r="T3232" s="3">
        <v>0</v>
      </c>
      <c r="U3232" s="3">
        <v>0</v>
      </c>
      <c r="V3232" s="3">
        <v>0</v>
      </c>
      <c r="W3232" s="3">
        <v>0</v>
      </c>
      <c r="X3232" s="3">
        <v>0</v>
      </c>
      <c r="Y3232" s="3">
        <v>0</v>
      </c>
      <c r="Z3232" s="3">
        <v>0</v>
      </c>
      <c r="AA3232" s="3">
        <v>0</v>
      </c>
      <c r="AB3232" s="3">
        <v>0</v>
      </c>
      <c r="AC3232" s="3">
        <v>0</v>
      </c>
      <c r="AD3232" s="3">
        <v>0</v>
      </c>
      <c r="AE3232" s="3">
        <v>0</v>
      </c>
      <c r="AF3232" s="3">
        <v>0</v>
      </c>
      <c r="AG3232" s="3">
        <v>0</v>
      </c>
      <c r="AH3232" s="3">
        <v>0</v>
      </c>
      <c r="AI3232" s="3">
        <v>0</v>
      </c>
      <c r="AJ3232" s="3">
        <v>0</v>
      </c>
      <c r="AK3232" s="3">
        <v>23.18</v>
      </c>
      <c r="AL3232" s="3">
        <v>0</v>
      </c>
      <c r="AM3232" s="3">
        <v>0</v>
      </c>
      <c r="AN3232" s="3">
        <v>0</v>
      </c>
      <c r="AO3232" s="3">
        <v>0</v>
      </c>
      <c r="AP3232" s="3">
        <v>0</v>
      </c>
      <c r="AQ3232" s="3">
        <v>0</v>
      </c>
      <c r="AR3232" s="3">
        <v>0</v>
      </c>
      <c r="AS3232" s="3">
        <v>0</v>
      </c>
      <c r="AT3232" s="3">
        <v>0</v>
      </c>
      <c r="AU3232" s="3">
        <v>0</v>
      </c>
      <c r="AV3232" s="3">
        <v>0</v>
      </c>
      <c r="AW3232" s="3">
        <v>0</v>
      </c>
      <c r="AX3232" s="3">
        <v>0</v>
      </c>
      <c r="AY3232" s="3">
        <v>0</v>
      </c>
      <c r="AZ3232" s="3">
        <v>0</v>
      </c>
      <c r="BA3232" s="3">
        <v>0</v>
      </c>
      <c r="BB3232" s="3">
        <v>0</v>
      </c>
      <c r="BC3232" s="3">
        <v>0</v>
      </c>
      <c r="BD3232" s="3">
        <v>0</v>
      </c>
      <c r="BE3232" s="3">
        <v>0</v>
      </c>
      <c r="BF3232" s="3">
        <v>0</v>
      </c>
      <c r="BG3232" s="3">
        <v>0</v>
      </c>
      <c r="BH3232" s="3">
        <v>1</v>
      </c>
      <c r="BI3232" s="3">
        <v>3</v>
      </c>
      <c r="BJ3232" s="3">
        <v>2</v>
      </c>
      <c r="BK3232" s="3">
        <v>3</v>
      </c>
      <c r="BL3232" s="3">
        <v>88.48</v>
      </c>
      <c r="BM3232" s="3">
        <v>13.27</v>
      </c>
      <c r="BN3232" s="3">
        <v>101.75</v>
      </c>
      <c r="BO3232" s="3">
        <v>101.75</v>
      </c>
      <c r="BQ3232" s="3" t="s">
        <v>1464</v>
      </c>
      <c r="BR3232" s="3" t="s">
        <v>364</v>
      </c>
      <c r="BS3232" s="4">
        <v>44571</v>
      </c>
      <c r="BT3232" s="5">
        <v>0.43472222222222223</v>
      </c>
      <c r="BU3232" s="3" t="s">
        <v>2899</v>
      </c>
      <c r="BV3232" s="3" t="s">
        <v>87</v>
      </c>
      <c r="BW3232" s="3" t="s">
        <v>278</v>
      </c>
      <c r="BX3232" s="3" t="s">
        <v>279</v>
      </c>
      <c r="BY3232" s="3">
        <v>9918</v>
      </c>
      <c r="BZ3232" s="3" t="s">
        <v>165</v>
      </c>
      <c r="CA3232" s="3" t="s">
        <v>343</v>
      </c>
      <c r="CC3232" s="3" t="s">
        <v>102</v>
      </c>
      <c r="CD3232" s="3">
        <v>4001</v>
      </c>
      <c r="CE3232" s="3" t="s">
        <v>86</v>
      </c>
      <c r="CF3232" s="4">
        <v>44571</v>
      </c>
      <c r="CI3232" s="3">
        <v>1</v>
      </c>
      <c r="CJ3232" s="3">
        <v>2</v>
      </c>
      <c r="CK3232" s="3">
        <v>21</v>
      </c>
      <c r="CL3232" s="3" t="s">
        <v>87</v>
      </c>
    </row>
    <row r="3233" spans="1:90" x14ac:dyDescent="0.2">
      <c r="A3233" s="3" t="s">
        <v>72</v>
      </c>
      <c r="B3233" s="3" t="s">
        <v>73</v>
      </c>
      <c r="C3233" s="3" t="s">
        <v>74</v>
      </c>
      <c r="E3233" s="3" t="str">
        <f>"FES1162843745"</f>
        <v>FES1162843745</v>
      </c>
      <c r="F3233" s="4">
        <v>44567</v>
      </c>
      <c r="G3233" s="3">
        <v>202207</v>
      </c>
      <c r="H3233" s="3" t="s">
        <v>75</v>
      </c>
      <c r="I3233" s="3" t="s">
        <v>76</v>
      </c>
      <c r="J3233" s="3" t="s">
        <v>77</v>
      </c>
      <c r="K3233" s="3" t="s">
        <v>78</v>
      </c>
      <c r="L3233" s="3" t="s">
        <v>187</v>
      </c>
      <c r="M3233" s="3" t="s">
        <v>188</v>
      </c>
      <c r="N3233" s="3" t="s">
        <v>189</v>
      </c>
      <c r="O3233" s="3" t="s">
        <v>82</v>
      </c>
      <c r="P3233" s="3" t="str">
        <f>"2170813889                    "</f>
        <v xml:space="preserve">2170813889                    </v>
      </c>
      <c r="Q3233" s="3">
        <v>0</v>
      </c>
      <c r="R3233" s="3">
        <v>0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  <c r="AE3233" s="3">
        <v>0</v>
      </c>
      <c r="AF3233" s="3">
        <v>0</v>
      </c>
      <c r="AG3233" s="3">
        <v>0</v>
      </c>
      <c r="AH3233" s="3">
        <v>0</v>
      </c>
      <c r="AI3233" s="3">
        <v>0</v>
      </c>
      <c r="AJ3233" s="3">
        <v>0</v>
      </c>
      <c r="AK3233" s="3">
        <v>29.95</v>
      </c>
      <c r="AL3233" s="3">
        <v>0</v>
      </c>
      <c r="AM3233" s="3">
        <v>0</v>
      </c>
      <c r="AN3233" s="3">
        <v>0</v>
      </c>
      <c r="AO3233" s="3">
        <v>0</v>
      </c>
      <c r="AP3233" s="3">
        <v>0</v>
      </c>
      <c r="AQ3233" s="3">
        <v>0</v>
      </c>
      <c r="AR3233" s="3">
        <v>0</v>
      </c>
      <c r="AS3233" s="3">
        <v>0</v>
      </c>
      <c r="AT3233" s="3">
        <v>0</v>
      </c>
      <c r="AU3233" s="3">
        <v>0</v>
      </c>
      <c r="AV3233" s="3">
        <v>0</v>
      </c>
      <c r="AW3233" s="3">
        <v>0</v>
      </c>
      <c r="AX3233" s="3">
        <v>0</v>
      </c>
      <c r="AY3233" s="3">
        <v>0</v>
      </c>
      <c r="AZ3233" s="3">
        <v>0</v>
      </c>
      <c r="BA3233" s="3">
        <v>0</v>
      </c>
      <c r="BB3233" s="3">
        <v>0</v>
      </c>
      <c r="BC3233" s="3">
        <v>0</v>
      </c>
      <c r="BD3233" s="3">
        <v>0</v>
      </c>
      <c r="BE3233" s="3">
        <v>0</v>
      </c>
      <c r="BF3233" s="3">
        <v>0</v>
      </c>
      <c r="BG3233" s="3">
        <v>0</v>
      </c>
      <c r="BH3233" s="3">
        <v>1</v>
      </c>
      <c r="BI3233" s="3">
        <v>1</v>
      </c>
      <c r="BJ3233" s="3">
        <v>0.2</v>
      </c>
      <c r="BK3233" s="3">
        <v>1</v>
      </c>
      <c r="BL3233" s="3">
        <v>114.31</v>
      </c>
      <c r="BM3233" s="3">
        <v>17.149999999999999</v>
      </c>
      <c r="BN3233" s="3">
        <v>131.46</v>
      </c>
      <c r="BO3233" s="3">
        <v>131.46</v>
      </c>
      <c r="BQ3233" s="3" t="s">
        <v>83</v>
      </c>
      <c r="BR3233" s="3" t="s">
        <v>364</v>
      </c>
      <c r="BS3233" s="4">
        <v>44568</v>
      </c>
      <c r="BT3233" s="5">
        <v>0.53194444444444444</v>
      </c>
      <c r="BU3233" s="3" t="s">
        <v>2900</v>
      </c>
      <c r="BV3233" s="3" t="s">
        <v>105</v>
      </c>
      <c r="BY3233" s="3">
        <v>1200</v>
      </c>
      <c r="BZ3233" s="3" t="s">
        <v>165</v>
      </c>
      <c r="CA3233" s="3" t="s">
        <v>268</v>
      </c>
      <c r="CC3233" s="3" t="s">
        <v>188</v>
      </c>
      <c r="CD3233" s="3">
        <v>7300</v>
      </c>
      <c r="CE3233" s="3" t="s">
        <v>93</v>
      </c>
      <c r="CF3233" s="4">
        <v>44571</v>
      </c>
      <c r="CI3233" s="3">
        <v>1</v>
      </c>
      <c r="CJ3233" s="3">
        <v>1</v>
      </c>
      <c r="CK3233" s="3">
        <v>23</v>
      </c>
      <c r="CL3233" s="3" t="s">
        <v>87</v>
      </c>
    </row>
    <row r="3234" spans="1:90" x14ac:dyDescent="0.2">
      <c r="A3234" s="3" t="s">
        <v>72</v>
      </c>
      <c r="B3234" s="3" t="s">
        <v>73</v>
      </c>
      <c r="C3234" s="3" t="s">
        <v>74</v>
      </c>
      <c r="E3234" s="3" t="str">
        <f>"FES1162843719"</f>
        <v>FES1162843719</v>
      </c>
      <c r="F3234" s="4">
        <v>44567</v>
      </c>
      <c r="G3234" s="3">
        <v>202207</v>
      </c>
      <c r="H3234" s="3" t="s">
        <v>75</v>
      </c>
      <c r="I3234" s="3" t="s">
        <v>76</v>
      </c>
      <c r="J3234" s="3" t="s">
        <v>77</v>
      </c>
      <c r="K3234" s="3" t="s">
        <v>78</v>
      </c>
      <c r="L3234" s="3" t="s">
        <v>94</v>
      </c>
      <c r="M3234" s="3" t="s">
        <v>95</v>
      </c>
      <c r="N3234" s="3" t="s">
        <v>2187</v>
      </c>
      <c r="O3234" s="3" t="s">
        <v>82</v>
      </c>
      <c r="P3234" s="3" t="str">
        <f>"2170811568                    "</f>
        <v xml:space="preserve">2170811568                    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  <c r="W3234" s="3">
        <v>0</v>
      </c>
      <c r="X3234" s="3">
        <v>0</v>
      </c>
      <c r="Y3234" s="3">
        <v>0</v>
      </c>
      <c r="Z3234" s="3">
        <v>0</v>
      </c>
      <c r="AA3234" s="3">
        <v>0</v>
      </c>
      <c r="AB3234" s="3">
        <v>0</v>
      </c>
      <c r="AC3234" s="3">
        <v>0</v>
      </c>
      <c r="AD3234" s="3">
        <v>0</v>
      </c>
      <c r="AE3234" s="3">
        <v>0</v>
      </c>
      <c r="AF3234" s="3">
        <v>0</v>
      </c>
      <c r="AG3234" s="3">
        <v>0</v>
      </c>
      <c r="AH3234" s="3">
        <v>0</v>
      </c>
      <c r="AI3234" s="3">
        <v>0</v>
      </c>
      <c r="AJ3234" s="3">
        <v>0</v>
      </c>
      <c r="AK3234" s="3">
        <v>15.46</v>
      </c>
      <c r="AL3234" s="3">
        <v>0</v>
      </c>
      <c r="AM3234" s="3">
        <v>0</v>
      </c>
      <c r="AN3234" s="3">
        <v>0</v>
      </c>
      <c r="AO3234" s="3">
        <v>0</v>
      </c>
      <c r="AP3234" s="3">
        <v>0</v>
      </c>
      <c r="AQ3234" s="3">
        <v>0</v>
      </c>
      <c r="AR3234" s="3">
        <v>0</v>
      </c>
      <c r="AS3234" s="3">
        <v>0</v>
      </c>
      <c r="AT3234" s="3">
        <v>0</v>
      </c>
      <c r="AU3234" s="3">
        <v>0</v>
      </c>
      <c r="AV3234" s="3">
        <v>0</v>
      </c>
      <c r="AW3234" s="3">
        <v>0</v>
      </c>
      <c r="AX3234" s="3">
        <v>0</v>
      </c>
      <c r="AY3234" s="3">
        <v>0</v>
      </c>
      <c r="AZ3234" s="3">
        <v>0</v>
      </c>
      <c r="BA3234" s="3">
        <v>0</v>
      </c>
      <c r="BB3234" s="3">
        <v>0</v>
      </c>
      <c r="BC3234" s="3">
        <v>0</v>
      </c>
      <c r="BD3234" s="3">
        <v>0</v>
      </c>
      <c r="BE3234" s="3">
        <v>0</v>
      </c>
      <c r="BF3234" s="3">
        <v>0</v>
      </c>
      <c r="BG3234" s="3">
        <v>0</v>
      </c>
      <c r="BH3234" s="3">
        <v>1</v>
      </c>
      <c r="BI3234" s="3">
        <v>1</v>
      </c>
      <c r="BJ3234" s="3">
        <v>0.2</v>
      </c>
      <c r="BK3234" s="3">
        <v>1</v>
      </c>
      <c r="BL3234" s="3">
        <v>59</v>
      </c>
      <c r="BM3234" s="3">
        <v>8.85</v>
      </c>
      <c r="BN3234" s="3">
        <v>67.849999999999994</v>
      </c>
      <c r="BO3234" s="3">
        <v>67.849999999999994</v>
      </c>
      <c r="BQ3234" s="3" t="s">
        <v>83</v>
      </c>
      <c r="BR3234" s="3" t="s">
        <v>364</v>
      </c>
      <c r="BS3234" s="4">
        <v>44568</v>
      </c>
      <c r="BT3234" s="5">
        <v>0.47222222222222227</v>
      </c>
      <c r="BU3234" s="3" t="s">
        <v>2901</v>
      </c>
      <c r="BV3234" s="3" t="s">
        <v>87</v>
      </c>
      <c r="BW3234" s="3" t="s">
        <v>453</v>
      </c>
      <c r="BX3234" s="3" t="s">
        <v>279</v>
      </c>
      <c r="BY3234" s="3">
        <v>1200</v>
      </c>
      <c r="BZ3234" s="3" t="s">
        <v>165</v>
      </c>
      <c r="CA3234" s="3" t="s">
        <v>328</v>
      </c>
      <c r="CC3234" s="3" t="s">
        <v>95</v>
      </c>
      <c r="CD3234" s="3">
        <v>3201</v>
      </c>
      <c r="CE3234" s="3" t="s">
        <v>93</v>
      </c>
      <c r="CF3234" s="4">
        <v>44572</v>
      </c>
      <c r="CI3234" s="3">
        <v>1</v>
      </c>
      <c r="CJ3234" s="3">
        <v>1</v>
      </c>
      <c r="CK3234" s="3">
        <v>21</v>
      </c>
      <c r="CL3234" s="3" t="s">
        <v>87</v>
      </c>
    </row>
    <row r="3235" spans="1:90" x14ac:dyDescent="0.2">
      <c r="A3235" s="3" t="s">
        <v>72</v>
      </c>
      <c r="B3235" s="3" t="s">
        <v>73</v>
      </c>
      <c r="C3235" s="3" t="s">
        <v>74</v>
      </c>
      <c r="E3235" s="3" t="str">
        <f>"FES1162843989"</f>
        <v>FES1162843989</v>
      </c>
      <c r="F3235" s="4">
        <v>44567</v>
      </c>
      <c r="G3235" s="3">
        <v>202207</v>
      </c>
      <c r="H3235" s="3" t="s">
        <v>75</v>
      </c>
      <c r="I3235" s="3" t="s">
        <v>76</v>
      </c>
      <c r="J3235" s="3" t="s">
        <v>77</v>
      </c>
      <c r="K3235" s="3" t="s">
        <v>78</v>
      </c>
      <c r="L3235" s="3" t="s">
        <v>90</v>
      </c>
      <c r="M3235" s="3" t="s">
        <v>91</v>
      </c>
      <c r="N3235" s="3" t="s">
        <v>157</v>
      </c>
      <c r="O3235" s="3" t="s">
        <v>82</v>
      </c>
      <c r="P3235" s="3" t="str">
        <f>"2170815396                    "</f>
        <v xml:space="preserve">2170815396                    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  <c r="AE3235" s="3">
        <v>0</v>
      </c>
      <c r="AF3235" s="3">
        <v>0</v>
      </c>
      <c r="AG3235" s="3">
        <v>0</v>
      </c>
      <c r="AH3235" s="3">
        <v>0</v>
      </c>
      <c r="AI3235" s="3">
        <v>0</v>
      </c>
      <c r="AJ3235" s="3">
        <v>0</v>
      </c>
      <c r="AK3235" s="3">
        <v>15.46</v>
      </c>
      <c r="AL3235" s="3">
        <v>0</v>
      </c>
      <c r="AM3235" s="3">
        <v>0</v>
      </c>
      <c r="AN3235" s="3">
        <v>0</v>
      </c>
      <c r="AO3235" s="3">
        <v>0</v>
      </c>
      <c r="AP3235" s="3">
        <v>0</v>
      </c>
      <c r="AQ3235" s="3">
        <v>0</v>
      </c>
      <c r="AR3235" s="3">
        <v>0</v>
      </c>
      <c r="AS3235" s="3">
        <v>0</v>
      </c>
      <c r="AT3235" s="3">
        <v>0</v>
      </c>
      <c r="AU3235" s="3">
        <v>0</v>
      </c>
      <c r="AV3235" s="3">
        <v>0</v>
      </c>
      <c r="AW3235" s="3">
        <v>0</v>
      </c>
      <c r="AX3235" s="3">
        <v>0</v>
      </c>
      <c r="AY3235" s="3">
        <v>0</v>
      </c>
      <c r="AZ3235" s="3">
        <v>0</v>
      </c>
      <c r="BA3235" s="3">
        <v>0</v>
      </c>
      <c r="BB3235" s="3">
        <v>0</v>
      </c>
      <c r="BC3235" s="3">
        <v>0</v>
      </c>
      <c r="BD3235" s="3">
        <v>0</v>
      </c>
      <c r="BE3235" s="3">
        <v>0</v>
      </c>
      <c r="BF3235" s="3">
        <v>0</v>
      </c>
      <c r="BG3235" s="3">
        <v>0</v>
      </c>
      <c r="BH3235" s="3">
        <v>1</v>
      </c>
      <c r="BI3235" s="3">
        <v>1</v>
      </c>
      <c r="BJ3235" s="3">
        <v>0.2</v>
      </c>
      <c r="BK3235" s="3">
        <v>1</v>
      </c>
      <c r="BL3235" s="3">
        <v>59</v>
      </c>
      <c r="BM3235" s="3">
        <v>8.85</v>
      </c>
      <c r="BN3235" s="3">
        <v>67.849999999999994</v>
      </c>
      <c r="BO3235" s="3">
        <v>67.849999999999994</v>
      </c>
      <c r="BQ3235" s="3" t="s">
        <v>89</v>
      </c>
      <c r="BR3235" s="3" t="s">
        <v>364</v>
      </c>
      <c r="BS3235" s="4">
        <v>44568</v>
      </c>
      <c r="BT3235" s="5">
        <v>0.33958333333333335</v>
      </c>
      <c r="BU3235" s="3" t="s">
        <v>1825</v>
      </c>
      <c r="BV3235" s="3" t="s">
        <v>105</v>
      </c>
      <c r="BY3235" s="3">
        <v>1200</v>
      </c>
      <c r="BZ3235" s="3" t="s">
        <v>165</v>
      </c>
      <c r="CA3235" s="3" t="s">
        <v>289</v>
      </c>
      <c r="CC3235" s="3" t="s">
        <v>91</v>
      </c>
      <c r="CD3235" s="3">
        <v>7441</v>
      </c>
      <c r="CE3235" s="3" t="s">
        <v>93</v>
      </c>
      <c r="CF3235" s="4">
        <v>44571</v>
      </c>
      <c r="CI3235" s="3">
        <v>1</v>
      </c>
      <c r="CJ3235" s="3">
        <v>1</v>
      </c>
      <c r="CK3235" s="3">
        <v>21</v>
      </c>
      <c r="CL3235" s="3" t="s">
        <v>87</v>
      </c>
    </row>
    <row r="3236" spans="1:90" x14ac:dyDescent="0.2">
      <c r="A3236" s="3" t="s">
        <v>72</v>
      </c>
      <c r="B3236" s="3" t="s">
        <v>73</v>
      </c>
      <c r="C3236" s="3" t="s">
        <v>74</v>
      </c>
      <c r="E3236" s="3" t="str">
        <f>"FES1162843877"</f>
        <v>FES1162843877</v>
      </c>
      <c r="F3236" s="4">
        <v>44567</v>
      </c>
      <c r="G3236" s="3">
        <v>202207</v>
      </c>
      <c r="H3236" s="3" t="s">
        <v>75</v>
      </c>
      <c r="I3236" s="3" t="s">
        <v>76</v>
      </c>
      <c r="J3236" s="3" t="s">
        <v>77</v>
      </c>
      <c r="K3236" s="3" t="s">
        <v>78</v>
      </c>
      <c r="L3236" s="3" t="s">
        <v>171</v>
      </c>
      <c r="M3236" s="3" t="s">
        <v>172</v>
      </c>
      <c r="N3236" s="3" t="s">
        <v>2902</v>
      </c>
      <c r="O3236" s="3" t="s">
        <v>82</v>
      </c>
      <c r="P3236" s="3" t="str">
        <f>"2170815653                    "</f>
        <v xml:space="preserve">2170815653                    </v>
      </c>
      <c r="Q3236" s="3">
        <v>0</v>
      </c>
      <c r="R3236" s="3">
        <v>0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  <c r="AE3236" s="3">
        <v>0</v>
      </c>
      <c r="AF3236" s="3">
        <v>0</v>
      </c>
      <c r="AG3236" s="3">
        <v>0</v>
      </c>
      <c r="AH3236" s="3">
        <v>0</v>
      </c>
      <c r="AI3236" s="3">
        <v>0</v>
      </c>
      <c r="AJ3236" s="3">
        <v>0</v>
      </c>
      <c r="AK3236" s="3">
        <v>15.46</v>
      </c>
      <c r="AL3236" s="3">
        <v>0</v>
      </c>
      <c r="AM3236" s="3">
        <v>0</v>
      </c>
      <c r="AN3236" s="3">
        <v>0</v>
      </c>
      <c r="AO3236" s="3">
        <v>0</v>
      </c>
      <c r="AP3236" s="3">
        <v>0</v>
      </c>
      <c r="AQ3236" s="3">
        <v>0</v>
      </c>
      <c r="AR3236" s="3">
        <v>0</v>
      </c>
      <c r="AS3236" s="3">
        <v>0</v>
      </c>
      <c r="AT3236" s="3">
        <v>0</v>
      </c>
      <c r="AU3236" s="3">
        <v>0</v>
      </c>
      <c r="AV3236" s="3">
        <v>0</v>
      </c>
      <c r="AW3236" s="3">
        <v>0</v>
      </c>
      <c r="AX3236" s="3">
        <v>0</v>
      </c>
      <c r="AY3236" s="3">
        <v>0</v>
      </c>
      <c r="AZ3236" s="3">
        <v>0</v>
      </c>
      <c r="BA3236" s="3">
        <v>0</v>
      </c>
      <c r="BB3236" s="3">
        <v>0</v>
      </c>
      <c r="BC3236" s="3">
        <v>0</v>
      </c>
      <c r="BD3236" s="3">
        <v>0</v>
      </c>
      <c r="BE3236" s="3">
        <v>0</v>
      </c>
      <c r="BF3236" s="3">
        <v>0</v>
      </c>
      <c r="BG3236" s="3">
        <v>0</v>
      </c>
      <c r="BH3236" s="3">
        <v>1</v>
      </c>
      <c r="BI3236" s="3">
        <v>2</v>
      </c>
      <c r="BJ3236" s="3">
        <v>2</v>
      </c>
      <c r="BK3236" s="3">
        <v>2</v>
      </c>
      <c r="BL3236" s="3">
        <v>59</v>
      </c>
      <c r="BM3236" s="3">
        <v>8.85</v>
      </c>
      <c r="BN3236" s="3">
        <v>67.849999999999994</v>
      </c>
      <c r="BO3236" s="3">
        <v>67.849999999999994</v>
      </c>
      <c r="BQ3236" s="3" t="s">
        <v>83</v>
      </c>
      <c r="BR3236" s="3" t="s">
        <v>364</v>
      </c>
      <c r="BS3236" s="4">
        <v>44568</v>
      </c>
      <c r="BT3236" s="5">
        <v>0.46458333333333335</v>
      </c>
      <c r="BU3236" s="3" t="s">
        <v>2903</v>
      </c>
      <c r="BV3236" s="3" t="s">
        <v>87</v>
      </c>
      <c r="BW3236" s="3" t="s">
        <v>457</v>
      </c>
      <c r="BX3236" s="3" t="s">
        <v>279</v>
      </c>
      <c r="BY3236" s="3">
        <v>9900</v>
      </c>
      <c r="BZ3236" s="3" t="s">
        <v>165</v>
      </c>
      <c r="CA3236" s="3" t="s">
        <v>509</v>
      </c>
      <c r="CC3236" s="3" t="s">
        <v>172</v>
      </c>
      <c r="CD3236" s="3">
        <v>6001</v>
      </c>
      <c r="CE3236" s="3" t="s">
        <v>86</v>
      </c>
      <c r="CF3236" s="4">
        <v>44571</v>
      </c>
      <c r="CI3236" s="3">
        <v>1</v>
      </c>
      <c r="CJ3236" s="3">
        <v>1</v>
      </c>
      <c r="CK3236" s="3">
        <v>21</v>
      </c>
      <c r="CL3236" s="3" t="s">
        <v>87</v>
      </c>
    </row>
    <row r="3237" spans="1:90" x14ac:dyDescent="0.2">
      <c r="A3237" s="3" t="s">
        <v>72</v>
      </c>
      <c r="B3237" s="3" t="s">
        <v>73</v>
      </c>
      <c r="C3237" s="3" t="s">
        <v>74</v>
      </c>
      <c r="E3237" s="3" t="str">
        <f>"FES1162843855"</f>
        <v>FES1162843855</v>
      </c>
      <c r="F3237" s="4">
        <v>44567</v>
      </c>
      <c r="G3237" s="3">
        <v>202207</v>
      </c>
      <c r="H3237" s="3" t="s">
        <v>75</v>
      </c>
      <c r="I3237" s="3" t="s">
        <v>76</v>
      </c>
      <c r="J3237" s="3" t="s">
        <v>77</v>
      </c>
      <c r="K3237" s="3" t="s">
        <v>78</v>
      </c>
      <c r="L3237" s="3" t="s">
        <v>211</v>
      </c>
      <c r="M3237" s="3" t="s">
        <v>212</v>
      </c>
      <c r="N3237" s="3" t="s">
        <v>2904</v>
      </c>
      <c r="O3237" s="3" t="s">
        <v>82</v>
      </c>
      <c r="P3237" s="3" t="str">
        <f>"2170815785                    "</f>
        <v xml:space="preserve">2170815785                    </v>
      </c>
      <c r="Q3237" s="3">
        <v>0</v>
      </c>
      <c r="R3237" s="3">
        <v>0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  <c r="AE3237" s="3">
        <v>0</v>
      </c>
      <c r="AF3237" s="3">
        <v>0</v>
      </c>
      <c r="AG3237" s="3">
        <v>0</v>
      </c>
      <c r="AH3237" s="3">
        <v>0</v>
      </c>
      <c r="AI3237" s="3">
        <v>0</v>
      </c>
      <c r="AJ3237" s="3">
        <v>0</v>
      </c>
      <c r="AK3237" s="3">
        <v>12.07</v>
      </c>
      <c r="AL3237" s="3">
        <v>0</v>
      </c>
      <c r="AM3237" s="3">
        <v>0</v>
      </c>
      <c r="AN3237" s="3">
        <v>0</v>
      </c>
      <c r="AO3237" s="3">
        <v>0</v>
      </c>
      <c r="AP3237" s="3">
        <v>0</v>
      </c>
      <c r="AQ3237" s="3">
        <v>0</v>
      </c>
      <c r="AR3237" s="3">
        <v>0</v>
      </c>
      <c r="AS3237" s="3">
        <v>0</v>
      </c>
      <c r="AT3237" s="3">
        <v>0</v>
      </c>
      <c r="AU3237" s="3">
        <v>0</v>
      </c>
      <c r="AV3237" s="3">
        <v>0</v>
      </c>
      <c r="AW3237" s="3">
        <v>0</v>
      </c>
      <c r="AX3237" s="3">
        <v>0</v>
      </c>
      <c r="AY3237" s="3">
        <v>0</v>
      </c>
      <c r="AZ3237" s="3">
        <v>0</v>
      </c>
      <c r="BA3237" s="3">
        <v>0</v>
      </c>
      <c r="BB3237" s="3">
        <v>0</v>
      </c>
      <c r="BC3237" s="3">
        <v>0</v>
      </c>
      <c r="BD3237" s="3">
        <v>0</v>
      </c>
      <c r="BE3237" s="3">
        <v>0</v>
      </c>
      <c r="BF3237" s="3">
        <v>0</v>
      </c>
      <c r="BG3237" s="3">
        <v>0</v>
      </c>
      <c r="BH3237" s="3">
        <v>1</v>
      </c>
      <c r="BI3237" s="3">
        <v>2</v>
      </c>
      <c r="BJ3237" s="3">
        <v>2.1</v>
      </c>
      <c r="BK3237" s="3">
        <v>2.5</v>
      </c>
      <c r="BL3237" s="3">
        <v>46.08</v>
      </c>
      <c r="BM3237" s="3">
        <v>6.91</v>
      </c>
      <c r="BN3237" s="3">
        <v>52.99</v>
      </c>
      <c r="BO3237" s="3">
        <v>52.99</v>
      </c>
      <c r="BQ3237" s="3" t="s">
        <v>83</v>
      </c>
      <c r="BR3237" s="3" t="s">
        <v>364</v>
      </c>
      <c r="BS3237" s="4">
        <v>44568</v>
      </c>
      <c r="BT3237" s="5">
        <v>0.38958333333333334</v>
      </c>
      <c r="BU3237" s="3" t="s">
        <v>2905</v>
      </c>
      <c r="BV3237" s="3" t="s">
        <v>105</v>
      </c>
      <c r="BY3237" s="3">
        <v>10388</v>
      </c>
      <c r="BZ3237" s="3" t="s">
        <v>165</v>
      </c>
      <c r="CA3237" s="3" t="s">
        <v>2906</v>
      </c>
      <c r="CC3237" s="3" t="s">
        <v>212</v>
      </c>
      <c r="CD3237" s="3">
        <v>2170</v>
      </c>
      <c r="CE3237" s="3" t="s">
        <v>86</v>
      </c>
      <c r="CF3237" s="4">
        <v>44569</v>
      </c>
      <c r="CI3237" s="3">
        <v>1</v>
      </c>
      <c r="CJ3237" s="3">
        <v>1</v>
      </c>
      <c r="CK3237" s="3">
        <v>22</v>
      </c>
      <c r="CL3237" s="3" t="s">
        <v>87</v>
      </c>
    </row>
    <row r="3238" spans="1:90" x14ac:dyDescent="0.2">
      <c r="A3238" s="3" t="s">
        <v>72</v>
      </c>
      <c r="B3238" s="3" t="s">
        <v>73</v>
      </c>
      <c r="C3238" s="3" t="s">
        <v>74</v>
      </c>
      <c r="E3238" s="3" t="str">
        <f>"FES1162843958"</f>
        <v>FES1162843958</v>
      </c>
      <c r="F3238" s="4">
        <v>44567</v>
      </c>
      <c r="G3238" s="3">
        <v>202207</v>
      </c>
      <c r="H3238" s="3" t="s">
        <v>75</v>
      </c>
      <c r="I3238" s="3" t="s">
        <v>76</v>
      </c>
      <c r="J3238" s="3" t="s">
        <v>77</v>
      </c>
      <c r="K3238" s="3" t="s">
        <v>78</v>
      </c>
      <c r="L3238" s="3" t="s">
        <v>281</v>
      </c>
      <c r="M3238" s="3" t="s">
        <v>282</v>
      </c>
      <c r="N3238" s="3" t="s">
        <v>927</v>
      </c>
      <c r="O3238" s="3" t="s">
        <v>148</v>
      </c>
      <c r="P3238" s="3" t="str">
        <f>"2170814057                    "</f>
        <v xml:space="preserve">2170814057                    </v>
      </c>
      <c r="Q3238" s="3">
        <v>0</v>
      </c>
      <c r="R3238" s="3">
        <v>0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  <c r="AE3238" s="3">
        <v>0</v>
      </c>
      <c r="AF3238" s="3">
        <v>0</v>
      </c>
      <c r="AG3238" s="3">
        <v>0</v>
      </c>
      <c r="AH3238" s="3">
        <v>0</v>
      </c>
      <c r="AI3238" s="3">
        <v>0</v>
      </c>
      <c r="AJ3238" s="3">
        <v>0</v>
      </c>
      <c r="AK3238" s="3">
        <v>42.16</v>
      </c>
      <c r="AL3238" s="3">
        <v>0</v>
      </c>
      <c r="AM3238" s="3">
        <v>0</v>
      </c>
      <c r="AN3238" s="3">
        <v>0</v>
      </c>
      <c r="AO3238" s="3">
        <v>0</v>
      </c>
      <c r="AP3238" s="3">
        <v>0</v>
      </c>
      <c r="AQ3238" s="3">
        <v>0</v>
      </c>
      <c r="AR3238" s="3">
        <v>0</v>
      </c>
      <c r="AS3238" s="3">
        <v>0</v>
      </c>
      <c r="AT3238" s="3">
        <v>0</v>
      </c>
      <c r="AU3238" s="3">
        <v>0</v>
      </c>
      <c r="AV3238" s="3">
        <v>0</v>
      </c>
      <c r="AW3238" s="3">
        <v>0</v>
      </c>
      <c r="AX3238" s="3">
        <v>0</v>
      </c>
      <c r="AY3238" s="3">
        <v>0</v>
      </c>
      <c r="AZ3238" s="3">
        <v>0</v>
      </c>
      <c r="BA3238" s="3">
        <v>0</v>
      </c>
      <c r="BB3238" s="3">
        <v>0</v>
      </c>
      <c r="BC3238" s="3">
        <v>0</v>
      </c>
      <c r="BD3238" s="3">
        <v>0</v>
      </c>
      <c r="BE3238" s="3">
        <v>0</v>
      </c>
      <c r="BF3238" s="3">
        <v>0</v>
      </c>
      <c r="BG3238" s="3">
        <v>0</v>
      </c>
      <c r="BH3238" s="3">
        <v>1</v>
      </c>
      <c r="BI3238" s="3">
        <v>7</v>
      </c>
      <c r="BJ3238" s="3">
        <v>3.4</v>
      </c>
      <c r="BK3238" s="3">
        <v>7</v>
      </c>
      <c r="BL3238" s="3">
        <v>166.16</v>
      </c>
      <c r="BM3238" s="3">
        <v>24.92</v>
      </c>
      <c r="BN3238" s="3">
        <v>191.08</v>
      </c>
      <c r="BO3238" s="3">
        <v>191.08</v>
      </c>
      <c r="BQ3238" s="3" t="s">
        <v>83</v>
      </c>
      <c r="BR3238" s="3" t="s">
        <v>364</v>
      </c>
      <c r="BS3238" s="4">
        <v>44571</v>
      </c>
      <c r="BT3238" s="5">
        <v>6.25E-2</v>
      </c>
      <c r="BU3238" s="3" t="s">
        <v>2907</v>
      </c>
      <c r="BV3238" s="3" t="s">
        <v>105</v>
      </c>
      <c r="BY3238" s="3">
        <v>16758</v>
      </c>
      <c r="BZ3238" s="3" t="s">
        <v>327</v>
      </c>
      <c r="CA3238" s="3" t="s">
        <v>328</v>
      </c>
      <c r="CC3238" s="3" t="s">
        <v>282</v>
      </c>
      <c r="CD3238" s="3">
        <v>3236</v>
      </c>
      <c r="CE3238" s="3" t="s">
        <v>86</v>
      </c>
      <c r="CF3238" s="4">
        <v>44572</v>
      </c>
      <c r="CI3238" s="3">
        <v>5</v>
      </c>
      <c r="CJ3238" s="3">
        <v>2</v>
      </c>
      <c r="CK3238" s="3">
        <v>43</v>
      </c>
      <c r="CL3238" s="3" t="s">
        <v>87</v>
      </c>
    </row>
    <row r="3239" spans="1:90" x14ac:dyDescent="0.2">
      <c r="A3239" s="3" t="s">
        <v>72</v>
      </c>
      <c r="B3239" s="3" t="s">
        <v>73</v>
      </c>
      <c r="C3239" s="3" t="s">
        <v>74</v>
      </c>
      <c r="E3239" s="3" t="str">
        <f>"FES1162843892"</f>
        <v>FES1162843892</v>
      </c>
      <c r="F3239" s="4">
        <v>44567</v>
      </c>
      <c r="G3239" s="3">
        <v>202207</v>
      </c>
      <c r="H3239" s="3" t="s">
        <v>75</v>
      </c>
      <c r="I3239" s="3" t="s">
        <v>76</v>
      </c>
      <c r="J3239" s="3" t="s">
        <v>77</v>
      </c>
      <c r="K3239" s="3" t="s">
        <v>78</v>
      </c>
      <c r="L3239" s="3" t="s">
        <v>254</v>
      </c>
      <c r="M3239" s="3" t="s">
        <v>255</v>
      </c>
      <c r="N3239" s="3" t="s">
        <v>256</v>
      </c>
      <c r="O3239" s="3" t="s">
        <v>82</v>
      </c>
      <c r="P3239" s="3" t="str">
        <f>"2170800674                    "</f>
        <v xml:space="preserve">2170800674                    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  <c r="AE3239" s="3">
        <v>0</v>
      </c>
      <c r="AF3239" s="3">
        <v>0</v>
      </c>
      <c r="AG3239" s="3">
        <v>0</v>
      </c>
      <c r="AH3239" s="3">
        <v>0</v>
      </c>
      <c r="AI3239" s="3">
        <v>0</v>
      </c>
      <c r="AJ3239" s="3">
        <v>0</v>
      </c>
      <c r="AK3239" s="3">
        <v>15.46</v>
      </c>
      <c r="AL3239" s="3">
        <v>0</v>
      </c>
      <c r="AM3239" s="3">
        <v>0</v>
      </c>
      <c r="AN3239" s="3">
        <v>0</v>
      </c>
      <c r="AO3239" s="3">
        <v>0</v>
      </c>
      <c r="AP3239" s="3">
        <v>0</v>
      </c>
      <c r="AQ3239" s="3">
        <v>0</v>
      </c>
      <c r="AR3239" s="3">
        <v>0</v>
      </c>
      <c r="AS3239" s="3">
        <v>0</v>
      </c>
      <c r="AT3239" s="3">
        <v>0</v>
      </c>
      <c r="AU3239" s="3">
        <v>0</v>
      </c>
      <c r="AV3239" s="3">
        <v>0</v>
      </c>
      <c r="AW3239" s="3">
        <v>0</v>
      </c>
      <c r="AX3239" s="3">
        <v>0</v>
      </c>
      <c r="AY3239" s="3">
        <v>0</v>
      </c>
      <c r="AZ3239" s="3">
        <v>0</v>
      </c>
      <c r="BA3239" s="3">
        <v>0</v>
      </c>
      <c r="BB3239" s="3">
        <v>0</v>
      </c>
      <c r="BC3239" s="3">
        <v>0</v>
      </c>
      <c r="BD3239" s="3">
        <v>0</v>
      </c>
      <c r="BE3239" s="3">
        <v>0</v>
      </c>
      <c r="BF3239" s="3">
        <v>0</v>
      </c>
      <c r="BG3239" s="3">
        <v>0</v>
      </c>
      <c r="BH3239" s="3">
        <v>1</v>
      </c>
      <c r="BI3239" s="3">
        <v>1</v>
      </c>
      <c r="BJ3239" s="3">
        <v>0.2</v>
      </c>
      <c r="BK3239" s="3">
        <v>1</v>
      </c>
      <c r="BL3239" s="3">
        <v>59</v>
      </c>
      <c r="BM3239" s="3">
        <v>8.85</v>
      </c>
      <c r="BN3239" s="3">
        <v>67.849999999999994</v>
      </c>
      <c r="BO3239" s="3">
        <v>67.849999999999994</v>
      </c>
      <c r="BQ3239" s="3" t="s">
        <v>89</v>
      </c>
      <c r="BR3239" s="3" t="s">
        <v>364</v>
      </c>
      <c r="BS3239" s="4">
        <v>44568</v>
      </c>
      <c r="BT3239" s="5">
        <v>0.4777777777777778</v>
      </c>
      <c r="BU3239" s="3" t="s">
        <v>657</v>
      </c>
      <c r="BV3239" s="3" t="s">
        <v>87</v>
      </c>
      <c r="BY3239" s="3">
        <v>1200</v>
      </c>
      <c r="BZ3239" s="3" t="s">
        <v>165</v>
      </c>
      <c r="CA3239" s="3" t="s">
        <v>328</v>
      </c>
      <c r="CC3239" s="3" t="s">
        <v>255</v>
      </c>
      <c r="CD3239" s="3">
        <v>6536</v>
      </c>
      <c r="CE3239" s="3" t="s">
        <v>93</v>
      </c>
      <c r="CF3239" s="4">
        <v>44568</v>
      </c>
      <c r="CI3239" s="3">
        <v>1</v>
      </c>
      <c r="CJ3239" s="3">
        <v>1</v>
      </c>
      <c r="CK3239" s="3">
        <v>21</v>
      </c>
      <c r="CL3239" s="3" t="s">
        <v>87</v>
      </c>
    </row>
    <row r="3240" spans="1:90" x14ac:dyDescent="0.2">
      <c r="A3240" s="3" t="s">
        <v>72</v>
      </c>
      <c r="B3240" s="3" t="s">
        <v>73</v>
      </c>
      <c r="C3240" s="3" t="s">
        <v>74</v>
      </c>
      <c r="E3240" s="3" t="str">
        <f>"FES1162844001"</f>
        <v>FES1162844001</v>
      </c>
      <c r="F3240" s="4">
        <v>44567</v>
      </c>
      <c r="G3240" s="3">
        <v>202207</v>
      </c>
      <c r="H3240" s="3" t="s">
        <v>75</v>
      </c>
      <c r="I3240" s="3" t="s">
        <v>76</v>
      </c>
      <c r="J3240" s="3" t="s">
        <v>77</v>
      </c>
      <c r="K3240" s="3" t="s">
        <v>78</v>
      </c>
      <c r="L3240" s="3" t="s">
        <v>138</v>
      </c>
      <c r="M3240" s="3" t="s">
        <v>139</v>
      </c>
      <c r="N3240" s="3" t="s">
        <v>621</v>
      </c>
      <c r="O3240" s="3" t="s">
        <v>82</v>
      </c>
      <c r="P3240" s="3" t="str">
        <f>"2170815810                    "</f>
        <v xml:space="preserve">2170815810                    </v>
      </c>
      <c r="Q3240" s="3">
        <v>0</v>
      </c>
      <c r="R3240" s="3">
        <v>0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  <c r="AE3240" s="3">
        <v>0</v>
      </c>
      <c r="AF3240" s="3">
        <v>0</v>
      </c>
      <c r="AG3240" s="3">
        <v>0</v>
      </c>
      <c r="AH3240" s="3">
        <v>0</v>
      </c>
      <c r="AI3240" s="3">
        <v>0</v>
      </c>
      <c r="AJ3240" s="3">
        <v>0</v>
      </c>
      <c r="AK3240" s="3">
        <v>38.630000000000003</v>
      </c>
      <c r="AL3240" s="3">
        <v>0</v>
      </c>
      <c r="AM3240" s="3">
        <v>0</v>
      </c>
      <c r="AN3240" s="3">
        <v>0</v>
      </c>
      <c r="AO3240" s="3">
        <v>0</v>
      </c>
      <c r="AP3240" s="3">
        <v>0</v>
      </c>
      <c r="AQ3240" s="3">
        <v>0</v>
      </c>
      <c r="AR3240" s="3">
        <v>0</v>
      </c>
      <c r="AS3240" s="3">
        <v>0</v>
      </c>
      <c r="AT3240" s="3">
        <v>0</v>
      </c>
      <c r="AU3240" s="3">
        <v>0</v>
      </c>
      <c r="AV3240" s="3">
        <v>0</v>
      </c>
      <c r="AW3240" s="3">
        <v>0</v>
      </c>
      <c r="AX3240" s="3">
        <v>0</v>
      </c>
      <c r="AY3240" s="3">
        <v>0</v>
      </c>
      <c r="AZ3240" s="3">
        <v>0</v>
      </c>
      <c r="BA3240" s="3">
        <v>0</v>
      </c>
      <c r="BB3240" s="3">
        <v>0</v>
      </c>
      <c r="BC3240" s="3">
        <v>0</v>
      </c>
      <c r="BD3240" s="3">
        <v>0</v>
      </c>
      <c r="BE3240" s="3">
        <v>0</v>
      </c>
      <c r="BF3240" s="3">
        <v>0</v>
      </c>
      <c r="BG3240" s="3">
        <v>0</v>
      </c>
      <c r="BH3240" s="3">
        <v>1</v>
      </c>
      <c r="BI3240" s="3">
        <v>4</v>
      </c>
      <c r="BJ3240" s="3">
        <v>5</v>
      </c>
      <c r="BK3240" s="3">
        <v>5</v>
      </c>
      <c r="BL3240" s="3">
        <v>147.44999999999999</v>
      </c>
      <c r="BM3240" s="3">
        <v>22.12</v>
      </c>
      <c r="BN3240" s="3">
        <v>169.57</v>
      </c>
      <c r="BO3240" s="3">
        <v>169.57</v>
      </c>
      <c r="BQ3240" s="3" t="s">
        <v>83</v>
      </c>
      <c r="BR3240" s="3" t="s">
        <v>364</v>
      </c>
      <c r="BS3240" s="4">
        <v>44568</v>
      </c>
      <c r="BT3240" s="5">
        <v>0.49444444444444446</v>
      </c>
      <c r="BU3240" s="3" t="s">
        <v>1172</v>
      </c>
      <c r="BV3240" s="3" t="s">
        <v>105</v>
      </c>
      <c r="BY3240" s="3">
        <v>25047</v>
      </c>
      <c r="BZ3240" s="3" t="s">
        <v>165</v>
      </c>
      <c r="CA3240" s="3" t="s">
        <v>303</v>
      </c>
      <c r="CC3240" s="3" t="s">
        <v>139</v>
      </c>
      <c r="CD3240" s="3">
        <v>3610</v>
      </c>
      <c r="CE3240" s="3" t="s">
        <v>86</v>
      </c>
      <c r="CF3240" s="4">
        <v>44568</v>
      </c>
      <c r="CI3240" s="3">
        <v>1</v>
      </c>
      <c r="CJ3240" s="3">
        <v>1</v>
      </c>
      <c r="CK3240" s="3">
        <v>21</v>
      </c>
      <c r="CL3240" s="3" t="s">
        <v>87</v>
      </c>
    </row>
    <row r="3241" spans="1:90" x14ac:dyDescent="0.2">
      <c r="A3241" s="3" t="s">
        <v>72</v>
      </c>
      <c r="B3241" s="3" t="s">
        <v>73</v>
      </c>
      <c r="C3241" s="3" t="s">
        <v>74</v>
      </c>
      <c r="E3241" s="3" t="str">
        <f>"FES1162843932"</f>
        <v>FES1162843932</v>
      </c>
      <c r="F3241" s="4">
        <v>44567</v>
      </c>
      <c r="G3241" s="3">
        <v>202207</v>
      </c>
      <c r="H3241" s="3" t="s">
        <v>75</v>
      </c>
      <c r="I3241" s="3" t="s">
        <v>76</v>
      </c>
      <c r="J3241" s="3" t="s">
        <v>77</v>
      </c>
      <c r="K3241" s="3" t="s">
        <v>78</v>
      </c>
      <c r="L3241" s="3" t="s">
        <v>799</v>
      </c>
      <c r="M3241" s="3" t="s">
        <v>800</v>
      </c>
      <c r="N3241" s="3" t="s">
        <v>801</v>
      </c>
      <c r="O3241" s="3" t="s">
        <v>82</v>
      </c>
      <c r="P3241" s="3" t="str">
        <f>"2170813621                    "</f>
        <v xml:space="preserve">2170813621                    </v>
      </c>
      <c r="Q3241" s="3">
        <v>0</v>
      </c>
      <c r="R3241" s="3">
        <v>0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  <c r="AE3241" s="3">
        <v>0</v>
      </c>
      <c r="AF3241" s="3">
        <v>0</v>
      </c>
      <c r="AG3241" s="3">
        <v>0</v>
      </c>
      <c r="AH3241" s="3">
        <v>0</v>
      </c>
      <c r="AI3241" s="3">
        <v>0</v>
      </c>
      <c r="AJ3241" s="3">
        <v>0</v>
      </c>
      <c r="AK3241" s="3">
        <v>21.74</v>
      </c>
      <c r="AL3241" s="3">
        <v>0</v>
      </c>
      <c r="AM3241" s="3">
        <v>0</v>
      </c>
      <c r="AN3241" s="3">
        <v>0</v>
      </c>
      <c r="AO3241" s="3">
        <v>0</v>
      </c>
      <c r="AP3241" s="3">
        <v>0</v>
      </c>
      <c r="AQ3241" s="3">
        <v>0</v>
      </c>
      <c r="AR3241" s="3">
        <v>0</v>
      </c>
      <c r="AS3241" s="3">
        <v>0</v>
      </c>
      <c r="AT3241" s="3">
        <v>0</v>
      </c>
      <c r="AU3241" s="3">
        <v>0</v>
      </c>
      <c r="AV3241" s="3">
        <v>0</v>
      </c>
      <c r="AW3241" s="3">
        <v>0</v>
      </c>
      <c r="AX3241" s="3">
        <v>0</v>
      </c>
      <c r="AY3241" s="3">
        <v>0</v>
      </c>
      <c r="AZ3241" s="3">
        <v>0</v>
      </c>
      <c r="BA3241" s="3">
        <v>0</v>
      </c>
      <c r="BB3241" s="3">
        <v>0</v>
      </c>
      <c r="BC3241" s="3">
        <v>0</v>
      </c>
      <c r="BD3241" s="3">
        <v>0</v>
      </c>
      <c r="BE3241" s="3">
        <v>0</v>
      </c>
      <c r="BF3241" s="3">
        <v>0</v>
      </c>
      <c r="BG3241" s="3">
        <v>0</v>
      </c>
      <c r="BH3241" s="3">
        <v>1</v>
      </c>
      <c r="BI3241" s="3">
        <v>1</v>
      </c>
      <c r="BJ3241" s="3">
        <v>0.2</v>
      </c>
      <c r="BK3241" s="3">
        <v>1</v>
      </c>
      <c r="BL3241" s="3">
        <v>82.98</v>
      </c>
      <c r="BM3241" s="3">
        <v>12.45</v>
      </c>
      <c r="BN3241" s="3">
        <v>95.43</v>
      </c>
      <c r="BO3241" s="3">
        <v>95.43</v>
      </c>
      <c r="BQ3241" s="3" t="s">
        <v>89</v>
      </c>
      <c r="BR3241" s="3" t="s">
        <v>364</v>
      </c>
      <c r="BS3241" s="4">
        <v>44568</v>
      </c>
      <c r="BT3241" s="5">
        <v>0.39374999999999999</v>
      </c>
      <c r="BU3241" s="3" t="s">
        <v>2826</v>
      </c>
      <c r="BV3241" s="3" t="s">
        <v>105</v>
      </c>
      <c r="BY3241" s="3">
        <v>1200</v>
      </c>
      <c r="BZ3241" s="3" t="s">
        <v>165</v>
      </c>
      <c r="CA3241" s="3" t="s">
        <v>803</v>
      </c>
      <c r="CC3241" s="3" t="s">
        <v>800</v>
      </c>
      <c r="CD3241" s="3">
        <v>2210</v>
      </c>
      <c r="CE3241" s="3" t="s">
        <v>93</v>
      </c>
      <c r="CF3241" s="4">
        <v>44569</v>
      </c>
      <c r="CI3241" s="3">
        <v>1</v>
      </c>
      <c r="CJ3241" s="3">
        <v>1</v>
      </c>
      <c r="CK3241" s="3">
        <v>24</v>
      </c>
      <c r="CL3241" s="3" t="s">
        <v>87</v>
      </c>
    </row>
    <row r="3242" spans="1:90" x14ac:dyDescent="0.2">
      <c r="A3242" s="3" t="s">
        <v>72</v>
      </c>
      <c r="B3242" s="3" t="s">
        <v>73</v>
      </c>
      <c r="C3242" s="3" t="s">
        <v>74</v>
      </c>
      <c r="E3242" s="3" t="str">
        <f>"FES1162843972"</f>
        <v>FES1162843972</v>
      </c>
      <c r="F3242" s="4">
        <v>44567</v>
      </c>
      <c r="G3242" s="3">
        <v>202207</v>
      </c>
      <c r="H3242" s="3" t="s">
        <v>75</v>
      </c>
      <c r="I3242" s="3" t="s">
        <v>76</v>
      </c>
      <c r="J3242" s="3" t="s">
        <v>77</v>
      </c>
      <c r="K3242" s="3" t="s">
        <v>78</v>
      </c>
      <c r="L3242" s="3" t="s">
        <v>184</v>
      </c>
      <c r="M3242" s="3" t="s">
        <v>185</v>
      </c>
      <c r="N3242" s="3" t="s">
        <v>2908</v>
      </c>
      <c r="O3242" s="3" t="s">
        <v>82</v>
      </c>
      <c r="P3242" s="3" t="str">
        <f>"2170814386                    "</f>
        <v xml:space="preserve">2170814386                    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  <c r="AE3242" s="3">
        <v>0</v>
      </c>
      <c r="AF3242" s="3">
        <v>0</v>
      </c>
      <c r="AG3242" s="3">
        <v>0</v>
      </c>
      <c r="AH3242" s="3">
        <v>0</v>
      </c>
      <c r="AI3242" s="3">
        <v>0</v>
      </c>
      <c r="AJ3242" s="3">
        <v>0</v>
      </c>
      <c r="AK3242" s="3">
        <v>15.46</v>
      </c>
      <c r="AL3242" s="3">
        <v>0</v>
      </c>
      <c r="AM3242" s="3">
        <v>0</v>
      </c>
      <c r="AN3242" s="3">
        <v>0</v>
      </c>
      <c r="AO3242" s="3">
        <v>0</v>
      </c>
      <c r="AP3242" s="3">
        <v>0</v>
      </c>
      <c r="AQ3242" s="3">
        <v>0</v>
      </c>
      <c r="AR3242" s="3">
        <v>0</v>
      </c>
      <c r="AS3242" s="3">
        <v>0</v>
      </c>
      <c r="AT3242" s="3">
        <v>0</v>
      </c>
      <c r="AU3242" s="3">
        <v>0</v>
      </c>
      <c r="AV3242" s="3">
        <v>0</v>
      </c>
      <c r="AW3242" s="3">
        <v>0</v>
      </c>
      <c r="AX3242" s="3">
        <v>0</v>
      </c>
      <c r="AY3242" s="3">
        <v>0</v>
      </c>
      <c r="AZ3242" s="3">
        <v>0</v>
      </c>
      <c r="BA3242" s="3">
        <v>0</v>
      </c>
      <c r="BB3242" s="3">
        <v>0</v>
      </c>
      <c r="BC3242" s="3">
        <v>0</v>
      </c>
      <c r="BD3242" s="3">
        <v>0</v>
      </c>
      <c r="BE3242" s="3">
        <v>0</v>
      </c>
      <c r="BF3242" s="3">
        <v>0</v>
      </c>
      <c r="BG3242" s="3">
        <v>0</v>
      </c>
      <c r="BH3242" s="3">
        <v>1</v>
      </c>
      <c r="BI3242" s="3">
        <v>1</v>
      </c>
      <c r="BJ3242" s="3">
        <v>0.2</v>
      </c>
      <c r="BK3242" s="3">
        <v>1</v>
      </c>
      <c r="BL3242" s="3">
        <v>59</v>
      </c>
      <c r="BM3242" s="3">
        <v>8.85</v>
      </c>
      <c r="BN3242" s="3">
        <v>67.849999999999994</v>
      </c>
      <c r="BO3242" s="3">
        <v>67.849999999999994</v>
      </c>
      <c r="BQ3242" s="3" t="s">
        <v>89</v>
      </c>
      <c r="BR3242" s="3" t="s">
        <v>364</v>
      </c>
      <c r="BS3242" s="4">
        <v>44568</v>
      </c>
      <c r="BT3242" s="5">
        <v>0.38263888888888892</v>
      </c>
      <c r="BU3242" s="3" t="s">
        <v>2909</v>
      </c>
      <c r="BV3242" s="3" t="s">
        <v>105</v>
      </c>
      <c r="BY3242" s="3">
        <v>1200</v>
      </c>
      <c r="BZ3242" s="3" t="s">
        <v>165</v>
      </c>
      <c r="CA3242" s="3" t="s">
        <v>612</v>
      </c>
      <c r="CC3242" s="3" t="s">
        <v>185</v>
      </c>
      <c r="CD3242" s="3">
        <v>5201</v>
      </c>
      <c r="CE3242" s="3" t="s">
        <v>93</v>
      </c>
      <c r="CF3242" s="4">
        <v>44568</v>
      </c>
      <c r="CI3242" s="3">
        <v>1</v>
      </c>
      <c r="CJ3242" s="3">
        <v>1</v>
      </c>
      <c r="CK3242" s="3">
        <v>21</v>
      </c>
      <c r="CL3242" s="3" t="s">
        <v>87</v>
      </c>
    </row>
    <row r="3243" spans="1:90" x14ac:dyDescent="0.2">
      <c r="A3243" s="3" t="s">
        <v>72</v>
      </c>
      <c r="B3243" s="3" t="s">
        <v>73</v>
      </c>
      <c r="C3243" s="3" t="s">
        <v>74</v>
      </c>
      <c r="E3243" s="3" t="str">
        <f>"FES1162843950"</f>
        <v>FES1162843950</v>
      </c>
      <c r="F3243" s="4">
        <v>44567</v>
      </c>
      <c r="G3243" s="3">
        <v>202207</v>
      </c>
      <c r="H3243" s="3" t="s">
        <v>75</v>
      </c>
      <c r="I3243" s="3" t="s">
        <v>76</v>
      </c>
      <c r="J3243" s="3" t="s">
        <v>77</v>
      </c>
      <c r="K3243" s="3" t="s">
        <v>78</v>
      </c>
      <c r="L3243" s="3" t="s">
        <v>180</v>
      </c>
      <c r="M3243" s="3" t="s">
        <v>181</v>
      </c>
      <c r="N3243" s="3" t="s">
        <v>2497</v>
      </c>
      <c r="O3243" s="3" t="s">
        <v>82</v>
      </c>
      <c r="P3243" s="3" t="str">
        <f>"2170813880                    "</f>
        <v xml:space="preserve">2170813880                    </v>
      </c>
      <c r="Q3243" s="3">
        <v>0</v>
      </c>
      <c r="R3243" s="3">
        <v>0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  <c r="AE3243" s="3">
        <v>0</v>
      </c>
      <c r="AF3243" s="3">
        <v>0</v>
      </c>
      <c r="AG3243" s="3">
        <v>0</v>
      </c>
      <c r="AH3243" s="3">
        <v>0</v>
      </c>
      <c r="AI3243" s="3">
        <v>0</v>
      </c>
      <c r="AJ3243" s="3">
        <v>0</v>
      </c>
      <c r="AK3243" s="3">
        <v>21.74</v>
      </c>
      <c r="AL3243" s="3">
        <v>0</v>
      </c>
      <c r="AM3243" s="3">
        <v>0</v>
      </c>
      <c r="AN3243" s="3">
        <v>0</v>
      </c>
      <c r="AO3243" s="3">
        <v>0</v>
      </c>
      <c r="AP3243" s="3">
        <v>0</v>
      </c>
      <c r="AQ3243" s="3">
        <v>0</v>
      </c>
      <c r="AR3243" s="3">
        <v>0</v>
      </c>
      <c r="AS3243" s="3">
        <v>0</v>
      </c>
      <c r="AT3243" s="3">
        <v>0</v>
      </c>
      <c r="AU3243" s="3">
        <v>0</v>
      </c>
      <c r="AV3243" s="3">
        <v>0</v>
      </c>
      <c r="AW3243" s="3">
        <v>0</v>
      </c>
      <c r="AX3243" s="3">
        <v>0</v>
      </c>
      <c r="AY3243" s="3">
        <v>0</v>
      </c>
      <c r="AZ3243" s="3">
        <v>0</v>
      </c>
      <c r="BA3243" s="3">
        <v>0</v>
      </c>
      <c r="BB3243" s="3">
        <v>0</v>
      </c>
      <c r="BC3243" s="3">
        <v>0</v>
      </c>
      <c r="BD3243" s="3">
        <v>0</v>
      </c>
      <c r="BE3243" s="3">
        <v>0</v>
      </c>
      <c r="BF3243" s="3">
        <v>0</v>
      </c>
      <c r="BG3243" s="3">
        <v>0</v>
      </c>
      <c r="BH3243" s="3">
        <v>1</v>
      </c>
      <c r="BI3243" s="3">
        <v>1</v>
      </c>
      <c r="BJ3243" s="3">
        <v>0.2</v>
      </c>
      <c r="BK3243" s="3">
        <v>1</v>
      </c>
      <c r="BL3243" s="3">
        <v>82.98</v>
      </c>
      <c r="BM3243" s="3">
        <v>12.45</v>
      </c>
      <c r="BN3243" s="3">
        <v>95.43</v>
      </c>
      <c r="BO3243" s="3">
        <v>95.43</v>
      </c>
      <c r="BQ3243" s="3" t="s">
        <v>89</v>
      </c>
      <c r="BR3243" s="3" t="s">
        <v>364</v>
      </c>
      <c r="BS3243" s="4">
        <v>44568</v>
      </c>
      <c r="BT3243" s="5">
        <v>0.4368055555555555</v>
      </c>
      <c r="BU3243" s="3" t="s">
        <v>2910</v>
      </c>
      <c r="BV3243" s="3" t="s">
        <v>105</v>
      </c>
      <c r="BY3243" s="3">
        <v>1200</v>
      </c>
      <c r="BZ3243" s="3" t="s">
        <v>165</v>
      </c>
      <c r="CA3243" s="3" t="s">
        <v>373</v>
      </c>
      <c r="CC3243" s="3" t="s">
        <v>181</v>
      </c>
      <c r="CD3243" s="3">
        <v>1871</v>
      </c>
      <c r="CE3243" s="3" t="s">
        <v>93</v>
      </c>
      <c r="CF3243" s="4">
        <v>44568</v>
      </c>
      <c r="CI3243" s="3">
        <v>1</v>
      </c>
      <c r="CJ3243" s="3">
        <v>1</v>
      </c>
      <c r="CK3243" s="3">
        <v>24</v>
      </c>
      <c r="CL3243" s="3" t="s">
        <v>87</v>
      </c>
    </row>
    <row r="3244" spans="1:90" x14ac:dyDescent="0.2">
      <c r="A3244" s="3" t="s">
        <v>72</v>
      </c>
      <c r="B3244" s="3" t="s">
        <v>73</v>
      </c>
      <c r="C3244" s="3" t="s">
        <v>74</v>
      </c>
      <c r="E3244" s="3" t="str">
        <f>"FES1162843647"</f>
        <v>FES1162843647</v>
      </c>
      <c r="F3244" s="4">
        <v>44567</v>
      </c>
      <c r="G3244" s="3">
        <v>202207</v>
      </c>
      <c r="H3244" s="3" t="s">
        <v>75</v>
      </c>
      <c r="I3244" s="3" t="s">
        <v>76</v>
      </c>
      <c r="J3244" s="3" t="s">
        <v>77</v>
      </c>
      <c r="K3244" s="3" t="s">
        <v>78</v>
      </c>
      <c r="L3244" s="3" t="s">
        <v>90</v>
      </c>
      <c r="M3244" s="3" t="s">
        <v>91</v>
      </c>
      <c r="N3244" s="3" t="s">
        <v>157</v>
      </c>
      <c r="O3244" s="3" t="s">
        <v>82</v>
      </c>
      <c r="P3244" s="3" t="str">
        <f>"2170811021                    "</f>
        <v xml:space="preserve">2170811021                    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  <c r="AE3244" s="3">
        <v>0</v>
      </c>
      <c r="AF3244" s="3">
        <v>0</v>
      </c>
      <c r="AG3244" s="3">
        <v>0</v>
      </c>
      <c r="AH3244" s="3">
        <v>0</v>
      </c>
      <c r="AI3244" s="3">
        <v>0</v>
      </c>
      <c r="AJ3244" s="3">
        <v>0</v>
      </c>
      <c r="AK3244" s="3">
        <v>15.46</v>
      </c>
      <c r="AL3244" s="3">
        <v>0</v>
      </c>
      <c r="AM3244" s="3">
        <v>0</v>
      </c>
      <c r="AN3244" s="3">
        <v>0</v>
      </c>
      <c r="AO3244" s="3">
        <v>0</v>
      </c>
      <c r="AP3244" s="3">
        <v>0</v>
      </c>
      <c r="AQ3244" s="3">
        <v>0</v>
      </c>
      <c r="AR3244" s="3">
        <v>0</v>
      </c>
      <c r="AS3244" s="3">
        <v>0</v>
      </c>
      <c r="AT3244" s="3">
        <v>0</v>
      </c>
      <c r="AU3244" s="3">
        <v>0</v>
      </c>
      <c r="AV3244" s="3">
        <v>0</v>
      </c>
      <c r="AW3244" s="3">
        <v>0</v>
      </c>
      <c r="AX3244" s="3">
        <v>0</v>
      </c>
      <c r="AY3244" s="3">
        <v>0</v>
      </c>
      <c r="AZ3244" s="3">
        <v>0</v>
      </c>
      <c r="BA3244" s="3">
        <v>0</v>
      </c>
      <c r="BB3244" s="3">
        <v>0</v>
      </c>
      <c r="BC3244" s="3">
        <v>0</v>
      </c>
      <c r="BD3244" s="3">
        <v>0</v>
      </c>
      <c r="BE3244" s="3">
        <v>0</v>
      </c>
      <c r="BF3244" s="3">
        <v>0</v>
      </c>
      <c r="BG3244" s="3">
        <v>0</v>
      </c>
      <c r="BH3244" s="3">
        <v>1</v>
      </c>
      <c r="BI3244" s="3">
        <v>1</v>
      </c>
      <c r="BJ3244" s="3">
        <v>0.2</v>
      </c>
      <c r="BK3244" s="3">
        <v>1</v>
      </c>
      <c r="BL3244" s="3">
        <v>59</v>
      </c>
      <c r="BM3244" s="3">
        <v>8.85</v>
      </c>
      <c r="BN3244" s="3">
        <v>67.849999999999994</v>
      </c>
      <c r="BO3244" s="3">
        <v>67.849999999999994</v>
      </c>
      <c r="BQ3244" s="3" t="s">
        <v>89</v>
      </c>
      <c r="BR3244" s="3" t="s">
        <v>364</v>
      </c>
      <c r="BS3244" s="4">
        <v>44568</v>
      </c>
      <c r="BT3244" s="5">
        <v>0.33958333333333335</v>
      </c>
      <c r="BU3244" s="3" t="s">
        <v>1825</v>
      </c>
      <c r="BV3244" s="3" t="s">
        <v>105</v>
      </c>
      <c r="BY3244" s="3">
        <v>1200</v>
      </c>
      <c r="BZ3244" s="3" t="s">
        <v>165</v>
      </c>
      <c r="CA3244" s="3" t="s">
        <v>289</v>
      </c>
      <c r="CC3244" s="3" t="s">
        <v>91</v>
      </c>
      <c r="CD3244" s="3">
        <v>7441</v>
      </c>
      <c r="CE3244" s="3" t="s">
        <v>93</v>
      </c>
      <c r="CF3244" s="4">
        <v>44571</v>
      </c>
      <c r="CI3244" s="3">
        <v>1</v>
      </c>
      <c r="CJ3244" s="3">
        <v>1</v>
      </c>
      <c r="CK3244" s="3">
        <v>21</v>
      </c>
      <c r="CL3244" s="3" t="s">
        <v>87</v>
      </c>
    </row>
    <row r="3245" spans="1:90" x14ac:dyDescent="0.2">
      <c r="A3245" s="3" t="s">
        <v>72</v>
      </c>
      <c r="B3245" s="3" t="s">
        <v>73</v>
      </c>
      <c r="C3245" s="3" t="s">
        <v>74</v>
      </c>
      <c r="E3245" s="3" t="str">
        <f>"FES1162843928"</f>
        <v>FES1162843928</v>
      </c>
      <c r="F3245" s="4">
        <v>44567</v>
      </c>
      <c r="G3245" s="3">
        <v>202207</v>
      </c>
      <c r="H3245" s="3" t="s">
        <v>75</v>
      </c>
      <c r="I3245" s="3" t="s">
        <v>76</v>
      </c>
      <c r="J3245" s="3" t="s">
        <v>77</v>
      </c>
      <c r="K3245" s="3" t="s">
        <v>78</v>
      </c>
      <c r="L3245" s="3" t="s">
        <v>101</v>
      </c>
      <c r="M3245" s="3" t="s">
        <v>102</v>
      </c>
      <c r="N3245" s="3" t="s">
        <v>524</v>
      </c>
      <c r="O3245" s="3" t="s">
        <v>82</v>
      </c>
      <c r="P3245" s="3" t="str">
        <f>"2170813540                    "</f>
        <v xml:space="preserve">2170813540                    </v>
      </c>
      <c r="Q3245" s="3">
        <v>0</v>
      </c>
      <c r="R3245" s="3">
        <v>0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  <c r="AE3245" s="3">
        <v>0</v>
      </c>
      <c r="AF3245" s="3">
        <v>0</v>
      </c>
      <c r="AG3245" s="3">
        <v>0</v>
      </c>
      <c r="AH3245" s="3">
        <v>0</v>
      </c>
      <c r="AI3245" s="3">
        <v>0</v>
      </c>
      <c r="AJ3245" s="3">
        <v>0</v>
      </c>
      <c r="AK3245" s="3">
        <v>15.46</v>
      </c>
      <c r="AL3245" s="3">
        <v>0</v>
      </c>
      <c r="AM3245" s="3">
        <v>0</v>
      </c>
      <c r="AN3245" s="3">
        <v>0</v>
      </c>
      <c r="AO3245" s="3">
        <v>0</v>
      </c>
      <c r="AP3245" s="3">
        <v>0</v>
      </c>
      <c r="AQ3245" s="3">
        <v>0</v>
      </c>
      <c r="AR3245" s="3">
        <v>0</v>
      </c>
      <c r="AS3245" s="3">
        <v>0</v>
      </c>
      <c r="AT3245" s="3">
        <v>0</v>
      </c>
      <c r="AU3245" s="3">
        <v>0</v>
      </c>
      <c r="AV3245" s="3">
        <v>0</v>
      </c>
      <c r="AW3245" s="3">
        <v>0</v>
      </c>
      <c r="AX3245" s="3">
        <v>0</v>
      </c>
      <c r="AY3245" s="3">
        <v>0</v>
      </c>
      <c r="AZ3245" s="3">
        <v>0</v>
      </c>
      <c r="BA3245" s="3">
        <v>0</v>
      </c>
      <c r="BB3245" s="3">
        <v>0</v>
      </c>
      <c r="BC3245" s="3">
        <v>0</v>
      </c>
      <c r="BD3245" s="3">
        <v>0</v>
      </c>
      <c r="BE3245" s="3">
        <v>0</v>
      </c>
      <c r="BF3245" s="3">
        <v>0</v>
      </c>
      <c r="BG3245" s="3">
        <v>0</v>
      </c>
      <c r="BH3245" s="3">
        <v>1</v>
      </c>
      <c r="BI3245" s="3">
        <v>1</v>
      </c>
      <c r="BJ3245" s="3">
        <v>0.2</v>
      </c>
      <c r="BK3245" s="3">
        <v>1</v>
      </c>
      <c r="BL3245" s="3">
        <v>59</v>
      </c>
      <c r="BM3245" s="3">
        <v>8.85</v>
      </c>
      <c r="BN3245" s="3">
        <v>67.849999999999994</v>
      </c>
      <c r="BO3245" s="3">
        <v>67.849999999999994</v>
      </c>
      <c r="BQ3245" s="3" t="s">
        <v>126</v>
      </c>
      <c r="BR3245" s="3" t="s">
        <v>364</v>
      </c>
      <c r="BS3245" s="4">
        <v>44568</v>
      </c>
      <c r="BT3245" s="5">
        <v>0.60972222222222217</v>
      </c>
      <c r="BU3245" s="3" t="s">
        <v>2911</v>
      </c>
      <c r="BV3245" s="3" t="s">
        <v>87</v>
      </c>
      <c r="BW3245" s="3" t="s">
        <v>579</v>
      </c>
      <c r="BX3245" s="3" t="s">
        <v>2578</v>
      </c>
      <c r="BY3245" s="3">
        <v>1200</v>
      </c>
      <c r="BZ3245" s="3" t="s">
        <v>165</v>
      </c>
      <c r="CA3245" s="3" t="s">
        <v>339</v>
      </c>
      <c r="CC3245" s="3" t="s">
        <v>102</v>
      </c>
      <c r="CD3245" s="3">
        <v>4017</v>
      </c>
      <c r="CE3245" s="3" t="s">
        <v>93</v>
      </c>
      <c r="CF3245" s="4">
        <v>44571</v>
      </c>
      <c r="CI3245" s="3">
        <v>1</v>
      </c>
      <c r="CJ3245" s="3">
        <v>1</v>
      </c>
      <c r="CK3245" s="3">
        <v>21</v>
      </c>
      <c r="CL3245" s="3" t="s">
        <v>87</v>
      </c>
    </row>
    <row r="3246" spans="1:90" x14ac:dyDescent="0.2">
      <c r="A3246" s="3" t="s">
        <v>72</v>
      </c>
      <c r="B3246" s="3" t="s">
        <v>73</v>
      </c>
      <c r="C3246" s="3" t="s">
        <v>74</v>
      </c>
      <c r="E3246" s="3" t="str">
        <f>"FES1162843955"</f>
        <v>FES1162843955</v>
      </c>
      <c r="F3246" s="4">
        <v>44567</v>
      </c>
      <c r="G3246" s="3">
        <v>202207</v>
      </c>
      <c r="H3246" s="3" t="s">
        <v>75</v>
      </c>
      <c r="I3246" s="3" t="s">
        <v>76</v>
      </c>
      <c r="J3246" s="3" t="s">
        <v>77</v>
      </c>
      <c r="K3246" s="3" t="s">
        <v>78</v>
      </c>
      <c r="L3246" s="3" t="s">
        <v>716</v>
      </c>
      <c r="M3246" s="3" t="s">
        <v>717</v>
      </c>
      <c r="N3246" s="3" t="s">
        <v>718</v>
      </c>
      <c r="O3246" s="3" t="s">
        <v>82</v>
      </c>
      <c r="P3246" s="3" t="str">
        <f>"2170813979                    "</f>
        <v xml:space="preserve">2170813979                    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0</v>
      </c>
      <c r="AC3246" s="3">
        <v>0</v>
      </c>
      <c r="AD3246" s="3">
        <v>0</v>
      </c>
      <c r="AE3246" s="3">
        <v>0</v>
      </c>
      <c r="AF3246" s="3">
        <v>0</v>
      </c>
      <c r="AG3246" s="3">
        <v>0</v>
      </c>
      <c r="AH3246" s="3">
        <v>0</v>
      </c>
      <c r="AI3246" s="3">
        <v>0</v>
      </c>
      <c r="AJ3246" s="3">
        <v>0</v>
      </c>
      <c r="AK3246" s="3">
        <v>29.95</v>
      </c>
      <c r="AL3246" s="3">
        <v>0</v>
      </c>
      <c r="AM3246" s="3">
        <v>0</v>
      </c>
      <c r="AN3246" s="3">
        <v>0</v>
      </c>
      <c r="AO3246" s="3">
        <v>0</v>
      </c>
      <c r="AP3246" s="3">
        <v>0</v>
      </c>
      <c r="AQ3246" s="3">
        <v>0</v>
      </c>
      <c r="AR3246" s="3">
        <v>0</v>
      </c>
      <c r="AS3246" s="3">
        <v>0</v>
      </c>
      <c r="AT3246" s="3">
        <v>0</v>
      </c>
      <c r="AU3246" s="3">
        <v>0</v>
      </c>
      <c r="AV3246" s="3">
        <v>0</v>
      </c>
      <c r="AW3246" s="3">
        <v>0</v>
      </c>
      <c r="AX3246" s="3">
        <v>0</v>
      </c>
      <c r="AY3246" s="3">
        <v>0</v>
      </c>
      <c r="AZ3246" s="3">
        <v>0</v>
      </c>
      <c r="BA3246" s="3">
        <v>0</v>
      </c>
      <c r="BB3246" s="3">
        <v>0</v>
      </c>
      <c r="BC3246" s="3">
        <v>0</v>
      </c>
      <c r="BD3246" s="3">
        <v>0</v>
      </c>
      <c r="BE3246" s="3">
        <v>0</v>
      </c>
      <c r="BF3246" s="3">
        <v>0</v>
      </c>
      <c r="BG3246" s="3">
        <v>0</v>
      </c>
      <c r="BH3246" s="3">
        <v>1</v>
      </c>
      <c r="BI3246" s="3">
        <v>1</v>
      </c>
      <c r="BJ3246" s="3">
        <v>0.2</v>
      </c>
      <c r="BK3246" s="3">
        <v>1</v>
      </c>
      <c r="BL3246" s="3">
        <v>114.31</v>
      </c>
      <c r="BM3246" s="3">
        <v>17.149999999999999</v>
      </c>
      <c r="BN3246" s="3">
        <v>131.46</v>
      </c>
      <c r="BO3246" s="3">
        <v>131.46</v>
      </c>
      <c r="BQ3246" s="3" t="s">
        <v>89</v>
      </c>
      <c r="BR3246" s="3" t="s">
        <v>364</v>
      </c>
      <c r="BS3246" s="4">
        <v>44573</v>
      </c>
      <c r="BT3246" s="5">
        <v>0.5</v>
      </c>
      <c r="BU3246" s="3" t="s">
        <v>2912</v>
      </c>
      <c r="BV3246" s="3" t="s">
        <v>87</v>
      </c>
      <c r="BW3246" s="3" t="s">
        <v>493</v>
      </c>
      <c r="BX3246" s="3" t="s">
        <v>758</v>
      </c>
      <c r="BY3246" s="3">
        <v>1200</v>
      </c>
      <c r="BZ3246" s="3" t="s">
        <v>165</v>
      </c>
      <c r="CA3246" s="3" t="s">
        <v>635</v>
      </c>
      <c r="CC3246" s="3" t="s">
        <v>717</v>
      </c>
      <c r="CD3246" s="3">
        <v>1028</v>
      </c>
      <c r="CE3246" s="3" t="s">
        <v>93</v>
      </c>
      <c r="CF3246" s="4">
        <v>44573</v>
      </c>
      <c r="CI3246" s="3">
        <v>1</v>
      </c>
      <c r="CJ3246" s="3">
        <v>4</v>
      </c>
      <c r="CK3246" s="3">
        <v>23</v>
      </c>
      <c r="CL3246" s="3" t="s">
        <v>87</v>
      </c>
    </row>
    <row r="3247" spans="1:90" x14ac:dyDescent="0.2">
      <c r="A3247" s="3" t="s">
        <v>72</v>
      </c>
      <c r="B3247" s="3" t="s">
        <v>73</v>
      </c>
      <c r="C3247" s="3" t="s">
        <v>74</v>
      </c>
      <c r="E3247" s="3" t="str">
        <f>"FES1162843674"</f>
        <v>FES1162843674</v>
      </c>
      <c r="F3247" s="4">
        <v>44567</v>
      </c>
      <c r="G3247" s="3">
        <v>202207</v>
      </c>
      <c r="H3247" s="3" t="s">
        <v>75</v>
      </c>
      <c r="I3247" s="3" t="s">
        <v>76</v>
      </c>
      <c r="J3247" s="3" t="s">
        <v>77</v>
      </c>
      <c r="K3247" s="3" t="s">
        <v>78</v>
      </c>
      <c r="L3247" s="3" t="s">
        <v>142</v>
      </c>
      <c r="M3247" s="3" t="s">
        <v>143</v>
      </c>
      <c r="N3247" s="3" t="s">
        <v>337</v>
      </c>
      <c r="O3247" s="3" t="s">
        <v>82</v>
      </c>
      <c r="P3247" s="3" t="str">
        <f>"2170814260                    "</f>
        <v xml:space="preserve">2170814260                    </v>
      </c>
      <c r="Q3247" s="3">
        <v>0</v>
      </c>
      <c r="R3247" s="3">
        <v>0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  <c r="AE3247" s="3">
        <v>0</v>
      </c>
      <c r="AF3247" s="3">
        <v>0</v>
      </c>
      <c r="AG3247" s="3">
        <v>0</v>
      </c>
      <c r="AH3247" s="3">
        <v>0</v>
      </c>
      <c r="AI3247" s="3">
        <v>0</v>
      </c>
      <c r="AJ3247" s="3">
        <v>0</v>
      </c>
      <c r="AK3247" s="3">
        <v>12.07</v>
      </c>
      <c r="AL3247" s="3">
        <v>0</v>
      </c>
      <c r="AM3247" s="3">
        <v>0</v>
      </c>
      <c r="AN3247" s="3">
        <v>0</v>
      </c>
      <c r="AO3247" s="3">
        <v>0</v>
      </c>
      <c r="AP3247" s="3">
        <v>0</v>
      </c>
      <c r="AQ3247" s="3">
        <v>0</v>
      </c>
      <c r="AR3247" s="3">
        <v>0</v>
      </c>
      <c r="AS3247" s="3">
        <v>0</v>
      </c>
      <c r="AT3247" s="3">
        <v>0</v>
      </c>
      <c r="AU3247" s="3">
        <v>0</v>
      </c>
      <c r="AV3247" s="3">
        <v>0</v>
      </c>
      <c r="AW3247" s="3">
        <v>0</v>
      </c>
      <c r="AX3247" s="3">
        <v>0</v>
      </c>
      <c r="AY3247" s="3">
        <v>0</v>
      </c>
      <c r="AZ3247" s="3">
        <v>0</v>
      </c>
      <c r="BA3247" s="3">
        <v>0</v>
      </c>
      <c r="BB3247" s="3">
        <v>0</v>
      </c>
      <c r="BC3247" s="3">
        <v>0</v>
      </c>
      <c r="BD3247" s="3">
        <v>0</v>
      </c>
      <c r="BE3247" s="3">
        <v>0</v>
      </c>
      <c r="BF3247" s="3">
        <v>0</v>
      </c>
      <c r="BG3247" s="3">
        <v>0</v>
      </c>
      <c r="BH3247" s="3">
        <v>1</v>
      </c>
      <c r="BI3247" s="3">
        <v>1</v>
      </c>
      <c r="BJ3247" s="3">
        <v>0.2</v>
      </c>
      <c r="BK3247" s="3">
        <v>1</v>
      </c>
      <c r="BL3247" s="3">
        <v>46.08</v>
      </c>
      <c r="BM3247" s="3">
        <v>6.91</v>
      </c>
      <c r="BN3247" s="3">
        <v>52.99</v>
      </c>
      <c r="BO3247" s="3">
        <v>52.99</v>
      </c>
      <c r="BQ3247" s="3" t="s">
        <v>89</v>
      </c>
      <c r="BR3247" s="3" t="s">
        <v>364</v>
      </c>
      <c r="BS3247" s="4">
        <v>44568</v>
      </c>
      <c r="BT3247" s="5">
        <v>0.36874999999999997</v>
      </c>
      <c r="BU3247" s="3" t="s">
        <v>2913</v>
      </c>
      <c r="BV3247" s="3" t="s">
        <v>105</v>
      </c>
      <c r="BY3247" s="3">
        <v>1200</v>
      </c>
      <c r="BZ3247" s="3" t="s">
        <v>165</v>
      </c>
      <c r="CA3247" s="3" t="s">
        <v>1624</v>
      </c>
      <c r="CC3247" s="3" t="s">
        <v>143</v>
      </c>
      <c r="CD3247" s="3">
        <v>1451</v>
      </c>
      <c r="CE3247" s="3" t="s">
        <v>93</v>
      </c>
      <c r="CF3247" s="4">
        <v>44568</v>
      </c>
      <c r="CI3247" s="3">
        <v>1</v>
      </c>
      <c r="CJ3247" s="3">
        <v>1</v>
      </c>
      <c r="CK3247" s="3">
        <v>22</v>
      </c>
      <c r="CL3247" s="3" t="s">
        <v>87</v>
      </c>
    </row>
    <row r="3248" spans="1:90" x14ac:dyDescent="0.2">
      <c r="A3248" s="3" t="s">
        <v>72</v>
      </c>
      <c r="B3248" s="3" t="s">
        <v>73</v>
      </c>
      <c r="C3248" s="3" t="s">
        <v>74</v>
      </c>
      <c r="E3248" s="3" t="str">
        <f>"FES1162843923"</f>
        <v>FES1162843923</v>
      </c>
      <c r="F3248" s="4">
        <v>44567</v>
      </c>
      <c r="G3248" s="3">
        <v>202207</v>
      </c>
      <c r="H3248" s="3" t="s">
        <v>75</v>
      </c>
      <c r="I3248" s="3" t="s">
        <v>76</v>
      </c>
      <c r="J3248" s="3" t="s">
        <v>77</v>
      </c>
      <c r="K3248" s="3" t="s">
        <v>78</v>
      </c>
      <c r="L3248" s="3" t="s">
        <v>154</v>
      </c>
      <c r="M3248" s="3" t="s">
        <v>155</v>
      </c>
      <c r="N3248" s="3" t="s">
        <v>156</v>
      </c>
      <c r="O3248" s="3" t="s">
        <v>82</v>
      </c>
      <c r="P3248" s="3" t="str">
        <f>"2170813201                    "</f>
        <v xml:space="preserve">2170813201                    </v>
      </c>
      <c r="Q3248" s="3">
        <v>0</v>
      </c>
      <c r="R3248" s="3">
        <v>0</v>
      </c>
      <c r="S3248" s="3">
        <v>0</v>
      </c>
      <c r="T3248" s="3">
        <v>0</v>
      </c>
      <c r="U3248" s="3">
        <v>0</v>
      </c>
      <c r="V3248" s="3">
        <v>0</v>
      </c>
      <c r="W3248" s="3">
        <v>0</v>
      </c>
      <c r="X3248" s="3">
        <v>0</v>
      </c>
      <c r="Y3248" s="3">
        <v>0</v>
      </c>
      <c r="Z3248" s="3">
        <v>0</v>
      </c>
      <c r="AA3248" s="3">
        <v>0</v>
      </c>
      <c r="AB3248" s="3">
        <v>0</v>
      </c>
      <c r="AC3248" s="3">
        <v>0</v>
      </c>
      <c r="AD3248" s="3">
        <v>0</v>
      </c>
      <c r="AE3248" s="3">
        <v>0</v>
      </c>
      <c r="AF3248" s="3">
        <v>0</v>
      </c>
      <c r="AG3248" s="3">
        <v>0</v>
      </c>
      <c r="AH3248" s="3">
        <v>0</v>
      </c>
      <c r="AI3248" s="3">
        <v>0</v>
      </c>
      <c r="AJ3248" s="3">
        <v>0</v>
      </c>
      <c r="AK3248" s="3">
        <v>12.07</v>
      </c>
      <c r="AL3248" s="3">
        <v>0</v>
      </c>
      <c r="AM3248" s="3">
        <v>0</v>
      </c>
      <c r="AN3248" s="3">
        <v>0</v>
      </c>
      <c r="AO3248" s="3">
        <v>0</v>
      </c>
      <c r="AP3248" s="3">
        <v>0</v>
      </c>
      <c r="AQ3248" s="3">
        <v>0</v>
      </c>
      <c r="AR3248" s="3">
        <v>0</v>
      </c>
      <c r="AS3248" s="3">
        <v>0</v>
      </c>
      <c r="AT3248" s="3">
        <v>0</v>
      </c>
      <c r="AU3248" s="3">
        <v>0</v>
      </c>
      <c r="AV3248" s="3">
        <v>0</v>
      </c>
      <c r="AW3248" s="3">
        <v>0</v>
      </c>
      <c r="AX3248" s="3">
        <v>0</v>
      </c>
      <c r="AY3248" s="3">
        <v>0</v>
      </c>
      <c r="AZ3248" s="3">
        <v>0</v>
      </c>
      <c r="BA3248" s="3">
        <v>0</v>
      </c>
      <c r="BB3248" s="3">
        <v>0</v>
      </c>
      <c r="BC3248" s="3">
        <v>0</v>
      </c>
      <c r="BD3248" s="3">
        <v>0</v>
      </c>
      <c r="BE3248" s="3">
        <v>0</v>
      </c>
      <c r="BF3248" s="3">
        <v>0</v>
      </c>
      <c r="BG3248" s="3">
        <v>0</v>
      </c>
      <c r="BH3248" s="3">
        <v>1</v>
      </c>
      <c r="BI3248" s="3">
        <v>1</v>
      </c>
      <c r="BJ3248" s="3">
        <v>0.2</v>
      </c>
      <c r="BK3248" s="3">
        <v>1</v>
      </c>
      <c r="BL3248" s="3">
        <v>46.08</v>
      </c>
      <c r="BM3248" s="3">
        <v>6.91</v>
      </c>
      <c r="BN3248" s="3">
        <v>52.99</v>
      </c>
      <c r="BO3248" s="3">
        <v>52.99</v>
      </c>
      <c r="BQ3248" s="3" t="s">
        <v>83</v>
      </c>
      <c r="BR3248" s="3" t="s">
        <v>364</v>
      </c>
      <c r="BS3248" s="4">
        <v>44571</v>
      </c>
      <c r="BT3248" s="5">
        <v>0.35625000000000001</v>
      </c>
      <c r="BU3248" s="3" t="s">
        <v>2914</v>
      </c>
      <c r="BV3248" s="3" t="s">
        <v>87</v>
      </c>
      <c r="BW3248" s="3" t="s">
        <v>493</v>
      </c>
      <c r="BX3248" s="3" t="s">
        <v>723</v>
      </c>
      <c r="BY3248" s="3">
        <v>1200</v>
      </c>
      <c r="BZ3248" s="3" t="s">
        <v>165</v>
      </c>
      <c r="CA3248" s="3" t="s">
        <v>708</v>
      </c>
      <c r="CC3248" s="3" t="s">
        <v>155</v>
      </c>
      <c r="CD3248" s="3">
        <v>1682</v>
      </c>
      <c r="CE3248" s="3" t="s">
        <v>93</v>
      </c>
      <c r="CF3248" s="4">
        <v>44572</v>
      </c>
      <c r="CI3248" s="3">
        <v>1</v>
      </c>
      <c r="CJ3248" s="3">
        <v>2</v>
      </c>
      <c r="CK3248" s="3">
        <v>22</v>
      </c>
      <c r="CL3248" s="3" t="s">
        <v>87</v>
      </c>
    </row>
    <row r="3249" spans="1:90" x14ac:dyDescent="0.2">
      <c r="A3249" s="3" t="s">
        <v>72</v>
      </c>
      <c r="B3249" s="3" t="s">
        <v>73</v>
      </c>
      <c r="C3249" s="3" t="s">
        <v>74</v>
      </c>
      <c r="E3249" s="3" t="str">
        <f>"FES1162843943"</f>
        <v>FES1162843943</v>
      </c>
      <c r="F3249" s="4">
        <v>44567</v>
      </c>
      <c r="G3249" s="3">
        <v>202207</v>
      </c>
      <c r="H3249" s="3" t="s">
        <v>75</v>
      </c>
      <c r="I3249" s="3" t="s">
        <v>76</v>
      </c>
      <c r="J3249" s="3" t="s">
        <v>77</v>
      </c>
      <c r="K3249" s="3" t="s">
        <v>78</v>
      </c>
      <c r="L3249" s="3" t="s">
        <v>298</v>
      </c>
      <c r="M3249" s="3" t="s">
        <v>299</v>
      </c>
      <c r="N3249" s="3" t="s">
        <v>300</v>
      </c>
      <c r="O3249" s="3" t="s">
        <v>82</v>
      </c>
      <c r="P3249" s="3" t="str">
        <f>"2170813795                    "</f>
        <v xml:space="preserve">2170813795                    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  <c r="AE3249" s="3">
        <v>0</v>
      </c>
      <c r="AF3249" s="3">
        <v>0</v>
      </c>
      <c r="AG3249" s="3">
        <v>0</v>
      </c>
      <c r="AH3249" s="3">
        <v>0</v>
      </c>
      <c r="AI3249" s="3">
        <v>0</v>
      </c>
      <c r="AJ3249" s="3">
        <v>0</v>
      </c>
      <c r="AK3249" s="3">
        <v>29.95</v>
      </c>
      <c r="AL3249" s="3">
        <v>0</v>
      </c>
      <c r="AM3249" s="3">
        <v>0</v>
      </c>
      <c r="AN3249" s="3">
        <v>0</v>
      </c>
      <c r="AO3249" s="3">
        <v>0</v>
      </c>
      <c r="AP3249" s="3">
        <v>0</v>
      </c>
      <c r="AQ3249" s="3">
        <v>0</v>
      </c>
      <c r="AR3249" s="3">
        <v>0</v>
      </c>
      <c r="AS3249" s="3">
        <v>0</v>
      </c>
      <c r="AT3249" s="3">
        <v>0</v>
      </c>
      <c r="AU3249" s="3">
        <v>0</v>
      </c>
      <c r="AV3249" s="3">
        <v>0</v>
      </c>
      <c r="AW3249" s="3">
        <v>0</v>
      </c>
      <c r="AX3249" s="3">
        <v>0</v>
      </c>
      <c r="AY3249" s="3">
        <v>0</v>
      </c>
      <c r="AZ3249" s="3">
        <v>0</v>
      </c>
      <c r="BA3249" s="3">
        <v>0</v>
      </c>
      <c r="BB3249" s="3">
        <v>0</v>
      </c>
      <c r="BC3249" s="3">
        <v>0</v>
      </c>
      <c r="BD3249" s="3">
        <v>0</v>
      </c>
      <c r="BE3249" s="3">
        <v>0</v>
      </c>
      <c r="BF3249" s="3">
        <v>0</v>
      </c>
      <c r="BG3249" s="3">
        <v>0</v>
      </c>
      <c r="BH3249" s="3">
        <v>1</v>
      </c>
      <c r="BI3249" s="3">
        <v>1</v>
      </c>
      <c r="BJ3249" s="3">
        <v>0.2</v>
      </c>
      <c r="BK3249" s="3">
        <v>1</v>
      </c>
      <c r="BL3249" s="3">
        <v>114.31</v>
      </c>
      <c r="BM3249" s="3">
        <v>17.149999999999999</v>
      </c>
      <c r="BN3249" s="3">
        <v>131.46</v>
      </c>
      <c r="BO3249" s="3">
        <v>131.46</v>
      </c>
      <c r="BR3249" s="3" t="s">
        <v>364</v>
      </c>
      <c r="BS3249" s="4">
        <v>44568</v>
      </c>
      <c r="BT3249" s="5">
        <v>0.42708333333333331</v>
      </c>
      <c r="BU3249" s="3" t="s">
        <v>2915</v>
      </c>
      <c r="BV3249" s="3" t="s">
        <v>105</v>
      </c>
      <c r="BY3249" s="3">
        <v>1200</v>
      </c>
      <c r="BZ3249" s="3" t="s">
        <v>165</v>
      </c>
      <c r="CA3249" s="3" t="s">
        <v>268</v>
      </c>
      <c r="CC3249" s="3" t="s">
        <v>299</v>
      </c>
      <c r="CD3249" s="3">
        <v>7349</v>
      </c>
      <c r="CE3249" s="3" t="s">
        <v>93</v>
      </c>
      <c r="CF3249" s="4">
        <v>44571</v>
      </c>
      <c r="CI3249" s="3">
        <v>1</v>
      </c>
      <c r="CJ3249" s="3">
        <v>1</v>
      </c>
      <c r="CK3249" s="3">
        <v>23</v>
      </c>
      <c r="CL3249" s="3" t="s">
        <v>87</v>
      </c>
    </row>
    <row r="3250" spans="1:90" x14ac:dyDescent="0.2">
      <c r="A3250" s="3" t="s">
        <v>72</v>
      </c>
      <c r="B3250" s="3" t="s">
        <v>73</v>
      </c>
      <c r="C3250" s="3" t="s">
        <v>74</v>
      </c>
      <c r="E3250" s="3" t="str">
        <f>"FES1162843871"</f>
        <v>FES1162843871</v>
      </c>
      <c r="F3250" s="4">
        <v>44567</v>
      </c>
      <c r="G3250" s="3">
        <v>202207</v>
      </c>
      <c r="H3250" s="3" t="s">
        <v>75</v>
      </c>
      <c r="I3250" s="3" t="s">
        <v>76</v>
      </c>
      <c r="J3250" s="3" t="s">
        <v>77</v>
      </c>
      <c r="K3250" s="3" t="s">
        <v>78</v>
      </c>
      <c r="L3250" s="3" t="s">
        <v>75</v>
      </c>
      <c r="M3250" s="3" t="s">
        <v>76</v>
      </c>
      <c r="N3250" s="3" t="s">
        <v>153</v>
      </c>
      <c r="O3250" s="3" t="s">
        <v>82</v>
      </c>
      <c r="P3250" s="3" t="str">
        <f>"2170815791                    "</f>
        <v xml:space="preserve">2170815791                    </v>
      </c>
      <c r="Q3250" s="3">
        <v>0</v>
      </c>
      <c r="R3250" s="3">
        <v>0</v>
      </c>
      <c r="S3250" s="3">
        <v>0</v>
      </c>
      <c r="T3250" s="3">
        <v>0</v>
      </c>
      <c r="U3250" s="3">
        <v>0</v>
      </c>
      <c r="V3250" s="3">
        <v>0</v>
      </c>
      <c r="W3250" s="3">
        <v>0</v>
      </c>
      <c r="X3250" s="3">
        <v>0</v>
      </c>
      <c r="Y3250" s="3">
        <v>0</v>
      </c>
      <c r="Z3250" s="3">
        <v>0</v>
      </c>
      <c r="AA3250" s="3">
        <v>0</v>
      </c>
      <c r="AB3250" s="3">
        <v>0</v>
      </c>
      <c r="AC3250" s="3">
        <v>0</v>
      </c>
      <c r="AD3250" s="3">
        <v>0</v>
      </c>
      <c r="AE3250" s="3">
        <v>0</v>
      </c>
      <c r="AF3250" s="3">
        <v>0</v>
      </c>
      <c r="AG3250" s="3">
        <v>0</v>
      </c>
      <c r="AH3250" s="3">
        <v>0</v>
      </c>
      <c r="AI3250" s="3">
        <v>0</v>
      </c>
      <c r="AJ3250" s="3">
        <v>0</v>
      </c>
      <c r="AK3250" s="3">
        <v>12.07</v>
      </c>
      <c r="AL3250" s="3">
        <v>0</v>
      </c>
      <c r="AM3250" s="3">
        <v>0</v>
      </c>
      <c r="AN3250" s="3">
        <v>0</v>
      </c>
      <c r="AO3250" s="3">
        <v>0</v>
      </c>
      <c r="AP3250" s="3">
        <v>0</v>
      </c>
      <c r="AQ3250" s="3">
        <v>0</v>
      </c>
      <c r="AR3250" s="3">
        <v>0</v>
      </c>
      <c r="AS3250" s="3">
        <v>0</v>
      </c>
      <c r="AT3250" s="3">
        <v>0</v>
      </c>
      <c r="AU3250" s="3">
        <v>0</v>
      </c>
      <c r="AV3250" s="3">
        <v>0</v>
      </c>
      <c r="AW3250" s="3">
        <v>0</v>
      </c>
      <c r="AX3250" s="3">
        <v>0</v>
      </c>
      <c r="AY3250" s="3">
        <v>0</v>
      </c>
      <c r="AZ3250" s="3">
        <v>0</v>
      </c>
      <c r="BA3250" s="3">
        <v>0</v>
      </c>
      <c r="BB3250" s="3">
        <v>0</v>
      </c>
      <c r="BC3250" s="3">
        <v>0</v>
      </c>
      <c r="BD3250" s="3">
        <v>0</v>
      </c>
      <c r="BE3250" s="3">
        <v>0</v>
      </c>
      <c r="BF3250" s="3">
        <v>0</v>
      </c>
      <c r="BG3250" s="3">
        <v>0</v>
      </c>
      <c r="BH3250" s="3">
        <v>1</v>
      </c>
      <c r="BI3250" s="3">
        <v>1</v>
      </c>
      <c r="BJ3250" s="3">
        <v>0.2</v>
      </c>
      <c r="BK3250" s="3">
        <v>1</v>
      </c>
      <c r="BL3250" s="3">
        <v>46.08</v>
      </c>
      <c r="BM3250" s="3">
        <v>6.91</v>
      </c>
      <c r="BN3250" s="3">
        <v>52.99</v>
      </c>
      <c r="BO3250" s="3">
        <v>52.99</v>
      </c>
      <c r="BR3250" s="3" t="s">
        <v>364</v>
      </c>
      <c r="BS3250" s="4">
        <v>44568</v>
      </c>
      <c r="BT3250" s="5">
        <v>0.37152777777777773</v>
      </c>
      <c r="BU3250" s="3" t="s">
        <v>2916</v>
      </c>
      <c r="BV3250" s="3" t="s">
        <v>105</v>
      </c>
      <c r="BY3250" s="3">
        <v>1200</v>
      </c>
      <c r="BZ3250" s="3" t="s">
        <v>165</v>
      </c>
      <c r="CA3250" s="3" t="s">
        <v>2917</v>
      </c>
      <c r="CC3250" s="3" t="s">
        <v>76</v>
      </c>
      <c r="CD3250" s="3">
        <v>1600</v>
      </c>
      <c r="CE3250" s="3" t="s">
        <v>93</v>
      </c>
      <c r="CF3250" s="4">
        <v>44568</v>
      </c>
      <c r="CI3250" s="3">
        <v>1</v>
      </c>
      <c r="CJ3250" s="3">
        <v>1</v>
      </c>
      <c r="CK3250" s="3">
        <v>22</v>
      </c>
      <c r="CL3250" s="3" t="s">
        <v>87</v>
      </c>
    </row>
    <row r="3251" spans="1:90" x14ac:dyDescent="0.2">
      <c r="A3251" s="3" t="s">
        <v>72</v>
      </c>
      <c r="B3251" s="3" t="s">
        <v>73</v>
      </c>
      <c r="C3251" s="3" t="s">
        <v>74</v>
      </c>
      <c r="E3251" s="3" t="str">
        <f>"FES1162843983"</f>
        <v>FES1162843983</v>
      </c>
      <c r="F3251" s="4">
        <v>44567</v>
      </c>
      <c r="G3251" s="3">
        <v>202207</v>
      </c>
      <c r="H3251" s="3" t="s">
        <v>75</v>
      </c>
      <c r="I3251" s="3" t="s">
        <v>76</v>
      </c>
      <c r="J3251" s="3" t="s">
        <v>77</v>
      </c>
      <c r="K3251" s="3" t="s">
        <v>78</v>
      </c>
      <c r="L3251" s="3" t="s">
        <v>94</v>
      </c>
      <c r="M3251" s="3" t="s">
        <v>95</v>
      </c>
      <c r="N3251" s="3" t="s">
        <v>2587</v>
      </c>
      <c r="O3251" s="3" t="s">
        <v>82</v>
      </c>
      <c r="P3251" s="3" t="str">
        <f>"2170815159                    "</f>
        <v xml:space="preserve">2170815159                    </v>
      </c>
      <c r="Q3251" s="3">
        <v>0</v>
      </c>
      <c r="R3251" s="3">
        <v>0</v>
      </c>
      <c r="S3251" s="3">
        <v>0</v>
      </c>
      <c r="T3251" s="3">
        <v>0</v>
      </c>
      <c r="U3251" s="3">
        <v>0</v>
      </c>
      <c r="V3251" s="3">
        <v>0</v>
      </c>
      <c r="W3251" s="3">
        <v>0</v>
      </c>
      <c r="X3251" s="3">
        <v>0</v>
      </c>
      <c r="Y3251" s="3">
        <v>0</v>
      </c>
      <c r="Z3251" s="3">
        <v>0</v>
      </c>
      <c r="AA3251" s="3">
        <v>0</v>
      </c>
      <c r="AB3251" s="3">
        <v>0</v>
      </c>
      <c r="AC3251" s="3">
        <v>0</v>
      </c>
      <c r="AD3251" s="3">
        <v>0</v>
      </c>
      <c r="AE3251" s="3">
        <v>0</v>
      </c>
      <c r="AF3251" s="3">
        <v>0</v>
      </c>
      <c r="AG3251" s="3">
        <v>0</v>
      </c>
      <c r="AH3251" s="3">
        <v>0</v>
      </c>
      <c r="AI3251" s="3">
        <v>0</v>
      </c>
      <c r="AJ3251" s="3">
        <v>0</v>
      </c>
      <c r="AK3251" s="3">
        <v>15.46</v>
      </c>
      <c r="AL3251" s="3">
        <v>0</v>
      </c>
      <c r="AM3251" s="3">
        <v>0</v>
      </c>
      <c r="AN3251" s="3">
        <v>0</v>
      </c>
      <c r="AO3251" s="3">
        <v>0</v>
      </c>
      <c r="AP3251" s="3">
        <v>0</v>
      </c>
      <c r="AQ3251" s="3">
        <v>0</v>
      </c>
      <c r="AR3251" s="3">
        <v>0</v>
      </c>
      <c r="AS3251" s="3">
        <v>0</v>
      </c>
      <c r="AT3251" s="3">
        <v>0</v>
      </c>
      <c r="AU3251" s="3">
        <v>0</v>
      </c>
      <c r="AV3251" s="3">
        <v>0</v>
      </c>
      <c r="AW3251" s="3">
        <v>0</v>
      </c>
      <c r="AX3251" s="3">
        <v>0</v>
      </c>
      <c r="AY3251" s="3">
        <v>0</v>
      </c>
      <c r="AZ3251" s="3">
        <v>0</v>
      </c>
      <c r="BA3251" s="3">
        <v>0</v>
      </c>
      <c r="BB3251" s="3">
        <v>0</v>
      </c>
      <c r="BC3251" s="3">
        <v>0</v>
      </c>
      <c r="BD3251" s="3">
        <v>0</v>
      </c>
      <c r="BE3251" s="3">
        <v>0</v>
      </c>
      <c r="BF3251" s="3">
        <v>0</v>
      </c>
      <c r="BG3251" s="3">
        <v>0</v>
      </c>
      <c r="BH3251" s="3">
        <v>1</v>
      </c>
      <c r="BI3251" s="3">
        <v>1</v>
      </c>
      <c r="BJ3251" s="3">
        <v>0.2</v>
      </c>
      <c r="BK3251" s="3">
        <v>1</v>
      </c>
      <c r="BL3251" s="3">
        <v>59</v>
      </c>
      <c r="BM3251" s="3">
        <v>8.85</v>
      </c>
      <c r="BN3251" s="3">
        <v>67.849999999999994</v>
      </c>
      <c r="BO3251" s="3">
        <v>67.849999999999994</v>
      </c>
      <c r="BQ3251" s="3" t="s">
        <v>750</v>
      </c>
      <c r="BR3251" s="3" t="s">
        <v>364</v>
      </c>
      <c r="BS3251" s="4">
        <v>44571</v>
      </c>
      <c r="BT3251" s="5">
        <v>0.66666666666666663</v>
      </c>
      <c r="BU3251" s="3" t="s">
        <v>2918</v>
      </c>
      <c r="BV3251" s="3" t="s">
        <v>87</v>
      </c>
      <c r="BW3251" s="3" t="s">
        <v>453</v>
      </c>
      <c r="BX3251" s="3" t="s">
        <v>279</v>
      </c>
      <c r="BY3251" s="3">
        <v>1200</v>
      </c>
      <c r="BZ3251" s="3" t="s">
        <v>165</v>
      </c>
      <c r="CA3251" s="3" t="s">
        <v>328</v>
      </c>
      <c r="CC3251" s="3" t="s">
        <v>95</v>
      </c>
      <c r="CD3251" s="3">
        <v>3201</v>
      </c>
      <c r="CE3251" s="3" t="s">
        <v>93</v>
      </c>
      <c r="CF3251" s="4">
        <v>44572</v>
      </c>
      <c r="CI3251" s="3">
        <v>1</v>
      </c>
      <c r="CJ3251" s="3">
        <v>2</v>
      </c>
      <c r="CK3251" s="3">
        <v>21</v>
      </c>
      <c r="CL3251" s="3" t="s">
        <v>87</v>
      </c>
    </row>
    <row r="3252" spans="1:90" x14ac:dyDescent="0.2">
      <c r="A3252" s="3" t="s">
        <v>72</v>
      </c>
      <c r="B3252" s="3" t="s">
        <v>73</v>
      </c>
      <c r="C3252" s="3" t="s">
        <v>74</v>
      </c>
      <c r="E3252" s="3" t="str">
        <f>"FES1162843637"</f>
        <v>FES1162843637</v>
      </c>
      <c r="F3252" s="4">
        <v>44567</v>
      </c>
      <c r="G3252" s="3">
        <v>202207</v>
      </c>
      <c r="H3252" s="3" t="s">
        <v>75</v>
      </c>
      <c r="I3252" s="3" t="s">
        <v>76</v>
      </c>
      <c r="J3252" s="3" t="s">
        <v>77</v>
      </c>
      <c r="K3252" s="3" t="s">
        <v>78</v>
      </c>
      <c r="L3252" s="3" t="s">
        <v>427</v>
      </c>
      <c r="M3252" s="3" t="s">
        <v>428</v>
      </c>
      <c r="N3252" s="3" t="s">
        <v>447</v>
      </c>
      <c r="O3252" s="3" t="s">
        <v>82</v>
      </c>
      <c r="P3252" s="3" t="str">
        <f>"2170804701                    "</f>
        <v xml:space="preserve">2170804701                    </v>
      </c>
      <c r="Q3252" s="3">
        <v>0</v>
      </c>
      <c r="R3252" s="3">
        <v>0</v>
      </c>
      <c r="S3252" s="3">
        <v>0</v>
      </c>
      <c r="T3252" s="3">
        <v>0</v>
      </c>
      <c r="U3252" s="3">
        <v>0</v>
      </c>
      <c r="V3252" s="3">
        <v>0</v>
      </c>
      <c r="W3252" s="3">
        <v>0</v>
      </c>
      <c r="X3252" s="3">
        <v>0</v>
      </c>
      <c r="Y3252" s="3">
        <v>0</v>
      </c>
      <c r="Z3252" s="3">
        <v>0</v>
      </c>
      <c r="AA3252" s="3">
        <v>0</v>
      </c>
      <c r="AB3252" s="3">
        <v>0</v>
      </c>
      <c r="AC3252" s="3">
        <v>0</v>
      </c>
      <c r="AD3252" s="3">
        <v>0</v>
      </c>
      <c r="AE3252" s="3">
        <v>0</v>
      </c>
      <c r="AF3252" s="3">
        <v>0</v>
      </c>
      <c r="AG3252" s="3">
        <v>0</v>
      </c>
      <c r="AH3252" s="3">
        <v>0</v>
      </c>
      <c r="AI3252" s="3">
        <v>0</v>
      </c>
      <c r="AJ3252" s="3">
        <v>0</v>
      </c>
      <c r="AK3252" s="3">
        <v>29.95</v>
      </c>
      <c r="AL3252" s="3">
        <v>0</v>
      </c>
      <c r="AM3252" s="3">
        <v>0</v>
      </c>
      <c r="AN3252" s="3">
        <v>0</v>
      </c>
      <c r="AO3252" s="3">
        <v>0</v>
      </c>
      <c r="AP3252" s="3">
        <v>0</v>
      </c>
      <c r="AQ3252" s="3">
        <v>0</v>
      </c>
      <c r="AR3252" s="3">
        <v>0</v>
      </c>
      <c r="AS3252" s="3">
        <v>0</v>
      </c>
      <c r="AT3252" s="3">
        <v>0</v>
      </c>
      <c r="AU3252" s="3">
        <v>0</v>
      </c>
      <c r="AV3252" s="3">
        <v>0</v>
      </c>
      <c r="AW3252" s="3">
        <v>0</v>
      </c>
      <c r="AX3252" s="3">
        <v>0</v>
      </c>
      <c r="AY3252" s="3">
        <v>0</v>
      </c>
      <c r="AZ3252" s="3">
        <v>0</v>
      </c>
      <c r="BA3252" s="3">
        <v>0</v>
      </c>
      <c r="BB3252" s="3">
        <v>0</v>
      </c>
      <c r="BC3252" s="3">
        <v>0</v>
      </c>
      <c r="BD3252" s="3">
        <v>0</v>
      </c>
      <c r="BE3252" s="3">
        <v>0</v>
      </c>
      <c r="BF3252" s="3">
        <v>0</v>
      </c>
      <c r="BG3252" s="3">
        <v>0</v>
      </c>
      <c r="BH3252" s="3">
        <v>1</v>
      </c>
      <c r="BI3252" s="3">
        <v>1</v>
      </c>
      <c r="BJ3252" s="3">
        <v>2</v>
      </c>
      <c r="BK3252" s="3">
        <v>2</v>
      </c>
      <c r="BL3252" s="3">
        <v>114.31</v>
      </c>
      <c r="BM3252" s="3">
        <v>17.149999999999999</v>
      </c>
      <c r="BN3252" s="3">
        <v>131.46</v>
      </c>
      <c r="BO3252" s="3">
        <v>131.46</v>
      </c>
      <c r="BQ3252" s="3" t="s">
        <v>89</v>
      </c>
      <c r="BR3252" s="3" t="s">
        <v>364</v>
      </c>
      <c r="BS3252" s="4">
        <v>44568</v>
      </c>
      <c r="BT3252" s="5">
        <v>0.51597222222222217</v>
      </c>
      <c r="BU3252" s="3" t="s">
        <v>1695</v>
      </c>
      <c r="BV3252" s="3" t="s">
        <v>105</v>
      </c>
      <c r="BY3252" s="3">
        <v>9918</v>
      </c>
      <c r="BZ3252" s="3" t="s">
        <v>165</v>
      </c>
      <c r="CA3252" s="3" t="s">
        <v>2516</v>
      </c>
      <c r="CC3252" s="3" t="s">
        <v>428</v>
      </c>
      <c r="CD3252" s="3">
        <v>7130</v>
      </c>
      <c r="CE3252" s="3" t="s">
        <v>86</v>
      </c>
      <c r="CF3252" s="4">
        <v>44571</v>
      </c>
      <c r="CI3252" s="3">
        <v>1</v>
      </c>
      <c r="CJ3252" s="3">
        <v>1</v>
      </c>
      <c r="CK3252" s="3">
        <v>23</v>
      </c>
      <c r="CL3252" s="3" t="s">
        <v>87</v>
      </c>
    </row>
    <row r="3253" spans="1:90" x14ac:dyDescent="0.2">
      <c r="A3253" s="3" t="s">
        <v>72</v>
      </c>
      <c r="B3253" s="3" t="s">
        <v>73</v>
      </c>
      <c r="C3253" s="3" t="s">
        <v>74</v>
      </c>
      <c r="E3253" s="3" t="str">
        <f>"FES1162843911"</f>
        <v>FES1162843911</v>
      </c>
      <c r="F3253" s="4">
        <v>44567</v>
      </c>
      <c r="G3253" s="3">
        <v>202207</v>
      </c>
      <c r="H3253" s="3" t="s">
        <v>75</v>
      </c>
      <c r="I3253" s="3" t="s">
        <v>76</v>
      </c>
      <c r="J3253" s="3" t="s">
        <v>77</v>
      </c>
      <c r="K3253" s="3" t="s">
        <v>78</v>
      </c>
      <c r="L3253" s="3" t="s">
        <v>158</v>
      </c>
      <c r="M3253" s="3" t="s">
        <v>159</v>
      </c>
      <c r="N3253" s="3" t="s">
        <v>417</v>
      </c>
      <c r="O3253" s="3" t="s">
        <v>82</v>
      </c>
      <c r="P3253" s="3" t="str">
        <f>"2170811318                    "</f>
        <v xml:space="preserve">2170811318                    </v>
      </c>
      <c r="Q3253" s="3">
        <v>0</v>
      </c>
      <c r="R3253" s="3">
        <v>0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  <c r="AE3253" s="3">
        <v>0</v>
      </c>
      <c r="AF3253" s="3">
        <v>0</v>
      </c>
      <c r="AG3253" s="3">
        <v>0</v>
      </c>
      <c r="AH3253" s="3">
        <v>0</v>
      </c>
      <c r="AI3253" s="3">
        <v>0</v>
      </c>
      <c r="AJ3253" s="3">
        <v>0</v>
      </c>
      <c r="AK3253" s="3">
        <v>12.07</v>
      </c>
      <c r="AL3253" s="3">
        <v>0</v>
      </c>
      <c r="AM3253" s="3">
        <v>0</v>
      </c>
      <c r="AN3253" s="3">
        <v>0</v>
      </c>
      <c r="AO3253" s="3">
        <v>0</v>
      </c>
      <c r="AP3253" s="3">
        <v>0</v>
      </c>
      <c r="AQ3253" s="3">
        <v>0</v>
      </c>
      <c r="AR3253" s="3">
        <v>0</v>
      </c>
      <c r="AS3253" s="3">
        <v>0</v>
      </c>
      <c r="AT3253" s="3">
        <v>0</v>
      </c>
      <c r="AU3253" s="3">
        <v>0</v>
      </c>
      <c r="AV3253" s="3">
        <v>0</v>
      </c>
      <c r="AW3253" s="3">
        <v>0</v>
      </c>
      <c r="AX3253" s="3">
        <v>0</v>
      </c>
      <c r="AY3253" s="3">
        <v>0</v>
      </c>
      <c r="AZ3253" s="3">
        <v>0</v>
      </c>
      <c r="BA3253" s="3">
        <v>0</v>
      </c>
      <c r="BB3253" s="3">
        <v>0</v>
      </c>
      <c r="BC3253" s="3">
        <v>0</v>
      </c>
      <c r="BD3253" s="3">
        <v>0</v>
      </c>
      <c r="BE3253" s="3">
        <v>0</v>
      </c>
      <c r="BF3253" s="3">
        <v>0</v>
      </c>
      <c r="BG3253" s="3">
        <v>0</v>
      </c>
      <c r="BH3253" s="3">
        <v>1</v>
      </c>
      <c r="BI3253" s="3">
        <v>1</v>
      </c>
      <c r="BJ3253" s="3">
        <v>0.2</v>
      </c>
      <c r="BK3253" s="3">
        <v>1</v>
      </c>
      <c r="BL3253" s="3">
        <v>46.08</v>
      </c>
      <c r="BM3253" s="3">
        <v>6.91</v>
      </c>
      <c r="BN3253" s="3">
        <v>52.99</v>
      </c>
      <c r="BO3253" s="3">
        <v>52.99</v>
      </c>
      <c r="BQ3253" s="3" t="s">
        <v>83</v>
      </c>
      <c r="BR3253" s="3" t="s">
        <v>364</v>
      </c>
      <c r="BS3253" s="4">
        <v>44568</v>
      </c>
      <c r="BT3253" s="5">
        <v>0.29375000000000001</v>
      </c>
      <c r="BU3253" s="3" t="s">
        <v>1257</v>
      </c>
      <c r="BV3253" s="3" t="s">
        <v>105</v>
      </c>
      <c r="BY3253" s="3">
        <v>1200</v>
      </c>
      <c r="BZ3253" s="3" t="s">
        <v>165</v>
      </c>
      <c r="CA3253" s="3" t="s">
        <v>763</v>
      </c>
      <c r="CC3253" s="3" t="s">
        <v>159</v>
      </c>
      <c r="CD3253" s="3">
        <v>1459</v>
      </c>
      <c r="CE3253" s="3" t="s">
        <v>93</v>
      </c>
      <c r="CF3253" s="4">
        <v>44568</v>
      </c>
      <c r="CI3253" s="3">
        <v>1</v>
      </c>
      <c r="CJ3253" s="3">
        <v>1</v>
      </c>
      <c r="CK3253" s="3">
        <v>22</v>
      </c>
      <c r="CL3253" s="3" t="s">
        <v>87</v>
      </c>
    </row>
    <row r="3254" spans="1:90" x14ac:dyDescent="0.2">
      <c r="A3254" s="3" t="s">
        <v>72</v>
      </c>
      <c r="B3254" s="3" t="s">
        <v>73</v>
      </c>
      <c r="C3254" s="3" t="s">
        <v>74</v>
      </c>
      <c r="E3254" s="3" t="str">
        <f>"FES1162843967"</f>
        <v>FES1162843967</v>
      </c>
      <c r="F3254" s="4">
        <v>44567</v>
      </c>
      <c r="G3254" s="3">
        <v>202207</v>
      </c>
      <c r="H3254" s="3" t="s">
        <v>75</v>
      </c>
      <c r="I3254" s="3" t="s">
        <v>76</v>
      </c>
      <c r="J3254" s="3" t="s">
        <v>77</v>
      </c>
      <c r="K3254" s="3" t="s">
        <v>78</v>
      </c>
      <c r="L3254" s="3" t="s">
        <v>171</v>
      </c>
      <c r="M3254" s="3" t="s">
        <v>172</v>
      </c>
      <c r="N3254" s="3" t="s">
        <v>539</v>
      </c>
      <c r="O3254" s="3" t="s">
        <v>82</v>
      </c>
      <c r="P3254" s="3" t="str">
        <f>"2170814304                    "</f>
        <v xml:space="preserve">2170814304                    </v>
      </c>
      <c r="Q3254" s="3">
        <v>0</v>
      </c>
      <c r="R3254" s="3">
        <v>0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  <c r="AE3254" s="3">
        <v>0</v>
      </c>
      <c r="AF3254" s="3">
        <v>0</v>
      </c>
      <c r="AG3254" s="3">
        <v>0</v>
      </c>
      <c r="AH3254" s="3">
        <v>0</v>
      </c>
      <c r="AI3254" s="3">
        <v>0</v>
      </c>
      <c r="AJ3254" s="3">
        <v>0</v>
      </c>
      <c r="AK3254" s="3">
        <v>15.46</v>
      </c>
      <c r="AL3254" s="3">
        <v>0</v>
      </c>
      <c r="AM3254" s="3">
        <v>0</v>
      </c>
      <c r="AN3254" s="3">
        <v>0</v>
      </c>
      <c r="AO3254" s="3">
        <v>0</v>
      </c>
      <c r="AP3254" s="3">
        <v>0</v>
      </c>
      <c r="AQ3254" s="3">
        <v>0</v>
      </c>
      <c r="AR3254" s="3">
        <v>0</v>
      </c>
      <c r="AS3254" s="3">
        <v>0</v>
      </c>
      <c r="AT3254" s="3">
        <v>0</v>
      </c>
      <c r="AU3254" s="3">
        <v>0</v>
      </c>
      <c r="AV3254" s="3">
        <v>0</v>
      </c>
      <c r="AW3254" s="3">
        <v>0</v>
      </c>
      <c r="AX3254" s="3">
        <v>0</v>
      </c>
      <c r="AY3254" s="3">
        <v>0</v>
      </c>
      <c r="AZ3254" s="3">
        <v>0</v>
      </c>
      <c r="BA3254" s="3">
        <v>0</v>
      </c>
      <c r="BB3254" s="3">
        <v>0</v>
      </c>
      <c r="BC3254" s="3">
        <v>0</v>
      </c>
      <c r="BD3254" s="3">
        <v>0</v>
      </c>
      <c r="BE3254" s="3">
        <v>0</v>
      </c>
      <c r="BF3254" s="3">
        <v>0</v>
      </c>
      <c r="BG3254" s="3">
        <v>0</v>
      </c>
      <c r="BH3254" s="3">
        <v>1</v>
      </c>
      <c r="BI3254" s="3">
        <v>1</v>
      </c>
      <c r="BJ3254" s="3">
        <v>0.2</v>
      </c>
      <c r="BK3254" s="3">
        <v>1</v>
      </c>
      <c r="BL3254" s="3">
        <v>59</v>
      </c>
      <c r="BM3254" s="3">
        <v>8.85</v>
      </c>
      <c r="BN3254" s="3">
        <v>67.849999999999994</v>
      </c>
      <c r="BO3254" s="3">
        <v>67.849999999999994</v>
      </c>
      <c r="BQ3254" s="3" t="s">
        <v>83</v>
      </c>
      <c r="BR3254" s="3" t="s">
        <v>364</v>
      </c>
      <c r="BS3254" s="4">
        <v>44568</v>
      </c>
      <c r="BT3254" s="5">
        <v>0.6020833333333333</v>
      </c>
      <c r="BU3254" s="3" t="s">
        <v>1193</v>
      </c>
      <c r="BV3254" s="3" t="s">
        <v>87</v>
      </c>
      <c r="BW3254" s="3" t="s">
        <v>457</v>
      </c>
      <c r="BX3254" s="3" t="s">
        <v>2542</v>
      </c>
      <c r="BY3254" s="3">
        <v>1200</v>
      </c>
      <c r="BZ3254" s="3" t="s">
        <v>165</v>
      </c>
      <c r="CA3254" s="3" t="s">
        <v>263</v>
      </c>
      <c r="CC3254" s="3" t="s">
        <v>172</v>
      </c>
      <c r="CD3254" s="3">
        <v>6012</v>
      </c>
      <c r="CE3254" s="3" t="s">
        <v>93</v>
      </c>
      <c r="CF3254" s="4">
        <v>44571</v>
      </c>
      <c r="CI3254" s="3">
        <v>1</v>
      </c>
      <c r="CJ3254" s="3">
        <v>1</v>
      </c>
      <c r="CK3254" s="3">
        <v>21</v>
      </c>
      <c r="CL3254" s="3" t="s">
        <v>87</v>
      </c>
    </row>
    <row r="3255" spans="1:90" x14ac:dyDescent="0.2">
      <c r="A3255" s="3" t="s">
        <v>72</v>
      </c>
      <c r="B3255" s="3" t="s">
        <v>73</v>
      </c>
      <c r="C3255" s="3" t="s">
        <v>74</v>
      </c>
      <c r="E3255" s="3" t="str">
        <f>"FES1162843873"</f>
        <v>FES1162843873</v>
      </c>
      <c r="F3255" s="4">
        <v>44567</v>
      </c>
      <c r="G3255" s="3">
        <v>202207</v>
      </c>
      <c r="H3255" s="3" t="s">
        <v>75</v>
      </c>
      <c r="I3255" s="3" t="s">
        <v>76</v>
      </c>
      <c r="J3255" s="3" t="s">
        <v>77</v>
      </c>
      <c r="K3255" s="3" t="s">
        <v>78</v>
      </c>
      <c r="L3255" s="3" t="s">
        <v>195</v>
      </c>
      <c r="M3255" s="3" t="s">
        <v>196</v>
      </c>
      <c r="N3255" s="3" t="s">
        <v>1501</v>
      </c>
      <c r="O3255" s="3" t="s">
        <v>82</v>
      </c>
      <c r="P3255" s="3" t="str">
        <f>"2170815792                    "</f>
        <v xml:space="preserve">2170815792                    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  <c r="AE3255" s="3">
        <v>0</v>
      </c>
      <c r="AF3255" s="3">
        <v>0</v>
      </c>
      <c r="AG3255" s="3">
        <v>0</v>
      </c>
      <c r="AH3255" s="3">
        <v>0</v>
      </c>
      <c r="AI3255" s="3">
        <v>0</v>
      </c>
      <c r="AJ3255" s="3">
        <v>0</v>
      </c>
      <c r="AK3255" s="3">
        <v>15.46</v>
      </c>
      <c r="AL3255" s="3">
        <v>0</v>
      </c>
      <c r="AM3255" s="3">
        <v>0</v>
      </c>
      <c r="AN3255" s="3">
        <v>0</v>
      </c>
      <c r="AO3255" s="3">
        <v>0</v>
      </c>
      <c r="AP3255" s="3">
        <v>0</v>
      </c>
      <c r="AQ3255" s="3">
        <v>0</v>
      </c>
      <c r="AR3255" s="3">
        <v>0</v>
      </c>
      <c r="AS3255" s="3">
        <v>0</v>
      </c>
      <c r="AT3255" s="3">
        <v>0</v>
      </c>
      <c r="AU3255" s="3">
        <v>0</v>
      </c>
      <c r="AV3255" s="3">
        <v>0</v>
      </c>
      <c r="AW3255" s="3">
        <v>0</v>
      </c>
      <c r="AX3255" s="3">
        <v>0</v>
      </c>
      <c r="AY3255" s="3">
        <v>0</v>
      </c>
      <c r="AZ3255" s="3">
        <v>0</v>
      </c>
      <c r="BA3255" s="3">
        <v>0</v>
      </c>
      <c r="BB3255" s="3">
        <v>0</v>
      </c>
      <c r="BC3255" s="3">
        <v>0</v>
      </c>
      <c r="BD3255" s="3">
        <v>0</v>
      </c>
      <c r="BE3255" s="3">
        <v>0</v>
      </c>
      <c r="BF3255" s="3">
        <v>0</v>
      </c>
      <c r="BG3255" s="3">
        <v>0</v>
      </c>
      <c r="BH3255" s="3">
        <v>1</v>
      </c>
      <c r="BI3255" s="3">
        <v>1</v>
      </c>
      <c r="BJ3255" s="3">
        <v>1.1000000000000001</v>
      </c>
      <c r="BK3255" s="3">
        <v>1.5</v>
      </c>
      <c r="BL3255" s="3">
        <v>59</v>
      </c>
      <c r="BM3255" s="3">
        <v>8.85</v>
      </c>
      <c r="BN3255" s="3">
        <v>67.849999999999994</v>
      </c>
      <c r="BO3255" s="3">
        <v>67.849999999999994</v>
      </c>
      <c r="BR3255" s="3" t="s">
        <v>364</v>
      </c>
      <c r="BS3255" s="4">
        <v>44568</v>
      </c>
      <c r="BT3255" s="5">
        <v>0.53611111111111109</v>
      </c>
      <c r="BU3255" s="3" t="s">
        <v>2822</v>
      </c>
      <c r="BV3255" s="3" t="s">
        <v>105</v>
      </c>
      <c r="BY3255" s="3">
        <v>5320</v>
      </c>
      <c r="BZ3255" s="3" t="s">
        <v>165</v>
      </c>
      <c r="CA3255" s="3" t="s">
        <v>1503</v>
      </c>
      <c r="CC3255" s="3" t="s">
        <v>196</v>
      </c>
      <c r="CD3255" s="3">
        <v>4156</v>
      </c>
      <c r="CE3255" s="3" t="s">
        <v>86</v>
      </c>
      <c r="CF3255" s="4">
        <v>44568</v>
      </c>
      <c r="CI3255" s="3">
        <v>1</v>
      </c>
      <c r="CJ3255" s="3">
        <v>1</v>
      </c>
      <c r="CK3255" s="3">
        <v>21</v>
      </c>
      <c r="CL3255" s="3" t="s">
        <v>87</v>
      </c>
    </row>
    <row r="3256" spans="1:90" x14ac:dyDescent="0.2">
      <c r="A3256" s="3" t="s">
        <v>72</v>
      </c>
      <c r="B3256" s="3" t="s">
        <v>73</v>
      </c>
      <c r="C3256" s="3" t="s">
        <v>74</v>
      </c>
      <c r="E3256" s="3" t="str">
        <f>"FES1162843807"</f>
        <v>FES1162843807</v>
      </c>
      <c r="F3256" s="4">
        <v>44567</v>
      </c>
      <c r="G3256" s="3">
        <v>202207</v>
      </c>
      <c r="H3256" s="3" t="s">
        <v>75</v>
      </c>
      <c r="I3256" s="3" t="s">
        <v>76</v>
      </c>
      <c r="J3256" s="3" t="s">
        <v>77</v>
      </c>
      <c r="K3256" s="3" t="s">
        <v>78</v>
      </c>
      <c r="L3256" s="3" t="s">
        <v>142</v>
      </c>
      <c r="M3256" s="3" t="s">
        <v>143</v>
      </c>
      <c r="N3256" s="3" t="s">
        <v>2919</v>
      </c>
      <c r="O3256" s="3" t="s">
        <v>82</v>
      </c>
      <c r="P3256" s="3" t="str">
        <f>"2170810773                    "</f>
        <v xml:space="preserve">2170810773                    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  <c r="AE3256" s="3">
        <v>0</v>
      </c>
      <c r="AF3256" s="3">
        <v>0</v>
      </c>
      <c r="AG3256" s="3">
        <v>0</v>
      </c>
      <c r="AH3256" s="3">
        <v>0</v>
      </c>
      <c r="AI3256" s="3">
        <v>0</v>
      </c>
      <c r="AJ3256" s="3">
        <v>0</v>
      </c>
      <c r="AK3256" s="3">
        <v>12.07</v>
      </c>
      <c r="AL3256" s="3">
        <v>0</v>
      </c>
      <c r="AM3256" s="3">
        <v>0</v>
      </c>
      <c r="AN3256" s="3">
        <v>0</v>
      </c>
      <c r="AO3256" s="3">
        <v>0</v>
      </c>
      <c r="AP3256" s="3">
        <v>0</v>
      </c>
      <c r="AQ3256" s="3">
        <v>0</v>
      </c>
      <c r="AR3256" s="3">
        <v>0</v>
      </c>
      <c r="AS3256" s="3">
        <v>0</v>
      </c>
      <c r="AT3256" s="3">
        <v>0</v>
      </c>
      <c r="AU3256" s="3">
        <v>0</v>
      </c>
      <c r="AV3256" s="3">
        <v>0</v>
      </c>
      <c r="AW3256" s="3">
        <v>0</v>
      </c>
      <c r="AX3256" s="3">
        <v>0</v>
      </c>
      <c r="AY3256" s="3">
        <v>0</v>
      </c>
      <c r="AZ3256" s="3">
        <v>0</v>
      </c>
      <c r="BA3256" s="3">
        <v>0</v>
      </c>
      <c r="BB3256" s="3">
        <v>0</v>
      </c>
      <c r="BC3256" s="3">
        <v>0</v>
      </c>
      <c r="BD3256" s="3">
        <v>0</v>
      </c>
      <c r="BE3256" s="3">
        <v>0</v>
      </c>
      <c r="BF3256" s="3">
        <v>0</v>
      </c>
      <c r="BG3256" s="3">
        <v>0</v>
      </c>
      <c r="BH3256" s="3">
        <v>1</v>
      </c>
      <c r="BI3256" s="3">
        <v>3</v>
      </c>
      <c r="BJ3256" s="3">
        <v>1</v>
      </c>
      <c r="BK3256" s="3">
        <v>3</v>
      </c>
      <c r="BL3256" s="3">
        <v>46.08</v>
      </c>
      <c r="BM3256" s="3">
        <v>6.91</v>
      </c>
      <c r="BN3256" s="3">
        <v>52.99</v>
      </c>
      <c r="BO3256" s="3">
        <v>52.99</v>
      </c>
      <c r="BQ3256" s="3" t="s">
        <v>89</v>
      </c>
      <c r="BR3256" s="3" t="s">
        <v>364</v>
      </c>
      <c r="BS3256" s="4">
        <v>44568</v>
      </c>
      <c r="BT3256" s="5">
        <v>0.38472222222222219</v>
      </c>
      <c r="BU3256" s="3" t="s">
        <v>2920</v>
      </c>
      <c r="BV3256" s="3" t="s">
        <v>105</v>
      </c>
      <c r="BY3256" s="3">
        <v>5040</v>
      </c>
      <c r="BZ3256" s="3" t="s">
        <v>165</v>
      </c>
      <c r="CA3256" s="3" t="s">
        <v>1624</v>
      </c>
      <c r="CC3256" s="3" t="s">
        <v>143</v>
      </c>
      <c r="CD3256" s="3">
        <v>1451</v>
      </c>
      <c r="CE3256" s="3" t="s">
        <v>86</v>
      </c>
      <c r="CF3256" s="4">
        <v>44568</v>
      </c>
      <c r="CI3256" s="3">
        <v>1</v>
      </c>
      <c r="CJ3256" s="3">
        <v>1</v>
      </c>
      <c r="CK3256" s="3">
        <v>22</v>
      </c>
      <c r="CL3256" s="3" t="s">
        <v>87</v>
      </c>
    </row>
    <row r="3257" spans="1:90" x14ac:dyDescent="0.2">
      <c r="A3257" s="3" t="s">
        <v>72</v>
      </c>
      <c r="B3257" s="3" t="s">
        <v>73</v>
      </c>
      <c r="C3257" s="3" t="s">
        <v>74</v>
      </c>
      <c r="E3257" s="3" t="str">
        <f>"FES1162841430"</f>
        <v>FES1162841430</v>
      </c>
      <c r="F3257" s="4">
        <v>44567</v>
      </c>
      <c r="G3257" s="3">
        <v>202207</v>
      </c>
      <c r="H3257" s="3" t="s">
        <v>75</v>
      </c>
      <c r="I3257" s="3" t="s">
        <v>76</v>
      </c>
      <c r="J3257" s="3" t="s">
        <v>77</v>
      </c>
      <c r="K3257" s="3" t="s">
        <v>78</v>
      </c>
      <c r="L3257" s="3" t="s">
        <v>162</v>
      </c>
      <c r="M3257" s="3" t="s">
        <v>163</v>
      </c>
      <c r="N3257" s="3" t="s">
        <v>2797</v>
      </c>
      <c r="O3257" s="3" t="s">
        <v>82</v>
      </c>
      <c r="P3257" s="3" t="str">
        <f>"21708913175                   "</f>
        <v xml:space="preserve">21708913175                   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0</v>
      </c>
      <c r="W3257" s="3">
        <v>0</v>
      </c>
      <c r="X3257" s="3">
        <v>0</v>
      </c>
      <c r="Y3257" s="3">
        <v>0</v>
      </c>
      <c r="Z3257" s="3">
        <v>0</v>
      </c>
      <c r="AA3257" s="3">
        <v>0</v>
      </c>
      <c r="AB3257" s="3">
        <v>0</v>
      </c>
      <c r="AC3257" s="3">
        <v>0</v>
      </c>
      <c r="AD3257" s="3">
        <v>0</v>
      </c>
      <c r="AE3257" s="3">
        <v>0</v>
      </c>
      <c r="AF3257" s="3">
        <v>0</v>
      </c>
      <c r="AG3257" s="3">
        <v>0</v>
      </c>
      <c r="AH3257" s="3">
        <v>0</v>
      </c>
      <c r="AI3257" s="3">
        <v>0</v>
      </c>
      <c r="AJ3257" s="3">
        <v>0</v>
      </c>
      <c r="AK3257" s="3">
        <v>12.07</v>
      </c>
      <c r="AL3257" s="3">
        <v>0</v>
      </c>
      <c r="AM3257" s="3">
        <v>0</v>
      </c>
      <c r="AN3257" s="3">
        <v>0</v>
      </c>
      <c r="AO3257" s="3">
        <v>0</v>
      </c>
      <c r="AP3257" s="3">
        <v>0</v>
      </c>
      <c r="AQ3257" s="3">
        <v>0</v>
      </c>
      <c r="AR3257" s="3">
        <v>0</v>
      </c>
      <c r="AS3257" s="3">
        <v>0</v>
      </c>
      <c r="AT3257" s="3">
        <v>0</v>
      </c>
      <c r="AU3257" s="3">
        <v>0</v>
      </c>
      <c r="AV3257" s="3">
        <v>0</v>
      </c>
      <c r="AW3257" s="3">
        <v>0</v>
      </c>
      <c r="AX3257" s="3">
        <v>0</v>
      </c>
      <c r="AY3257" s="3">
        <v>0</v>
      </c>
      <c r="AZ3257" s="3">
        <v>0</v>
      </c>
      <c r="BA3257" s="3">
        <v>0</v>
      </c>
      <c r="BB3257" s="3">
        <v>0</v>
      </c>
      <c r="BC3257" s="3">
        <v>0</v>
      </c>
      <c r="BD3257" s="3">
        <v>0</v>
      </c>
      <c r="BE3257" s="3">
        <v>0</v>
      </c>
      <c r="BF3257" s="3">
        <v>0</v>
      </c>
      <c r="BG3257" s="3">
        <v>0</v>
      </c>
      <c r="BH3257" s="3">
        <v>1</v>
      </c>
      <c r="BI3257" s="3">
        <v>1</v>
      </c>
      <c r="BJ3257" s="3">
        <v>0.2</v>
      </c>
      <c r="BK3257" s="3">
        <v>1</v>
      </c>
      <c r="BL3257" s="3">
        <v>46.08</v>
      </c>
      <c r="BM3257" s="3">
        <v>6.91</v>
      </c>
      <c r="BN3257" s="3">
        <v>52.99</v>
      </c>
      <c r="BO3257" s="3">
        <v>52.99</v>
      </c>
      <c r="BQ3257" s="3" t="s">
        <v>2798</v>
      </c>
      <c r="BR3257" s="3" t="s">
        <v>364</v>
      </c>
      <c r="BS3257" s="4">
        <v>44568</v>
      </c>
      <c r="BT3257" s="5">
        <v>0.38958333333333334</v>
      </c>
      <c r="BU3257" s="3" t="s">
        <v>2799</v>
      </c>
      <c r="BV3257" s="3" t="s">
        <v>105</v>
      </c>
      <c r="BY3257" s="3">
        <v>1200</v>
      </c>
      <c r="BZ3257" s="3" t="s">
        <v>165</v>
      </c>
      <c r="CA3257" s="3" t="s">
        <v>2671</v>
      </c>
      <c r="CC3257" s="3" t="s">
        <v>163</v>
      </c>
      <c r="CD3257" s="3">
        <v>1419</v>
      </c>
      <c r="CE3257" s="3" t="s">
        <v>93</v>
      </c>
      <c r="CF3257" s="4">
        <v>44568</v>
      </c>
      <c r="CI3257" s="3">
        <v>1</v>
      </c>
      <c r="CJ3257" s="3">
        <v>1</v>
      </c>
      <c r="CK3257" s="3">
        <v>22</v>
      </c>
      <c r="CL3257" s="3" t="s">
        <v>87</v>
      </c>
    </row>
    <row r="3258" spans="1:90" x14ac:dyDescent="0.2">
      <c r="A3258" s="3" t="s">
        <v>72</v>
      </c>
      <c r="B3258" s="3" t="s">
        <v>73</v>
      </c>
      <c r="C3258" s="3" t="s">
        <v>74</v>
      </c>
      <c r="E3258" s="3" t="str">
        <f>"FES1162843428"</f>
        <v>FES1162843428</v>
      </c>
      <c r="F3258" s="4">
        <v>44567</v>
      </c>
      <c r="G3258" s="3">
        <v>202207</v>
      </c>
      <c r="H3258" s="3" t="s">
        <v>75</v>
      </c>
      <c r="I3258" s="3" t="s">
        <v>76</v>
      </c>
      <c r="J3258" s="3" t="s">
        <v>77</v>
      </c>
      <c r="K3258" s="3" t="s">
        <v>78</v>
      </c>
      <c r="L3258" s="3" t="s">
        <v>162</v>
      </c>
      <c r="M3258" s="3" t="s">
        <v>163</v>
      </c>
      <c r="N3258" s="3" t="s">
        <v>2797</v>
      </c>
      <c r="O3258" s="3" t="s">
        <v>82</v>
      </c>
      <c r="P3258" s="3" t="str">
        <f>"2170813175                    "</f>
        <v xml:space="preserve">2170813175                    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  <c r="AE3258" s="3">
        <v>0</v>
      </c>
      <c r="AF3258" s="3">
        <v>0</v>
      </c>
      <c r="AG3258" s="3">
        <v>0</v>
      </c>
      <c r="AH3258" s="3">
        <v>0</v>
      </c>
      <c r="AI3258" s="3">
        <v>0</v>
      </c>
      <c r="AJ3258" s="3">
        <v>0</v>
      </c>
      <c r="AK3258" s="3">
        <v>12.07</v>
      </c>
      <c r="AL3258" s="3">
        <v>0</v>
      </c>
      <c r="AM3258" s="3">
        <v>0</v>
      </c>
      <c r="AN3258" s="3">
        <v>0</v>
      </c>
      <c r="AO3258" s="3">
        <v>0</v>
      </c>
      <c r="AP3258" s="3">
        <v>0</v>
      </c>
      <c r="AQ3258" s="3">
        <v>0</v>
      </c>
      <c r="AR3258" s="3">
        <v>0</v>
      </c>
      <c r="AS3258" s="3">
        <v>0</v>
      </c>
      <c r="AT3258" s="3">
        <v>0</v>
      </c>
      <c r="AU3258" s="3">
        <v>0</v>
      </c>
      <c r="AV3258" s="3">
        <v>0</v>
      </c>
      <c r="AW3258" s="3">
        <v>0</v>
      </c>
      <c r="AX3258" s="3">
        <v>0</v>
      </c>
      <c r="AY3258" s="3">
        <v>0</v>
      </c>
      <c r="AZ3258" s="3">
        <v>0</v>
      </c>
      <c r="BA3258" s="3">
        <v>0</v>
      </c>
      <c r="BB3258" s="3">
        <v>0</v>
      </c>
      <c r="BC3258" s="3">
        <v>0</v>
      </c>
      <c r="BD3258" s="3">
        <v>0</v>
      </c>
      <c r="BE3258" s="3">
        <v>0</v>
      </c>
      <c r="BF3258" s="3">
        <v>0</v>
      </c>
      <c r="BG3258" s="3">
        <v>0</v>
      </c>
      <c r="BH3258" s="3">
        <v>1</v>
      </c>
      <c r="BI3258" s="3">
        <v>1</v>
      </c>
      <c r="BJ3258" s="3">
        <v>0.2</v>
      </c>
      <c r="BK3258" s="3">
        <v>1</v>
      </c>
      <c r="BL3258" s="3">
        <v>46.08</v>
      </c>
      <c r="BM3258" s="3">
        <v>6.91</v>
      </c>
      <c r="BN3258" s="3">
        <v>52.99</v>
      </c>
      <c r="BO3258" s="3">
        <v>52.99</v>
      </c>
      <c r="BQ3258" s="3" t="s">
        <v>2798</v>
      </c>
      <c r="BR3258" s="3" t="s">
        <v>364</v>
      </c>
      <c r="BS3258" s="4">
        <v>44568</v>
      </c>
      <c r="BT3258" s="5">
        <v>0.39305555555555555</v>
      </c>
      <c r="BU3258" s="3" t="s">
        <v>2921</v>
      </c>
      <c r="BV3258" s="3" t="s">
        <v>105</v>
      </c>
      <c r="BY3258" s="3">
        <v>1200</v>
      </c>
      <c r="BZ3258" s="3" t="s">
        <v>165</v>
      </c>
      <c r="CA3258" s="3" t="s">
        <v>2671</v>
      </c>
      <c r="CC3258" s="3" t="s">
        <v>163</v>
      </c>
      <c r="CD3258" s="3">
        <v>1419</v>
      </c>
      <c r="CE3258" s="3" t="s">
        <v>93</v>
      </c>
      <c r="CF3258" s="4">
        <v>44568</v>
      </c>
      <c r="CI3258" s="3">
        <v>1</v>
      </c>
      <c r="CJ3258" s="3">
        <v>1</v>
      </c>
      <c r="CK3258" s="3">
        <v>22</v>
      </c>
      <c r="CL3258" s="3" t="s">
        <v>87</v>
      </c>
    </row>
    <row r="3259" spans="1:90" x14ac:dyDescent="0.2">
      <c r="A3259" s="3" t="s">
        <v>72</v>
      </c>
      <c r="B3259" s="3" t="s">
        <v>73</v>
      </c>
      <c r="C3259" s="3" t="s">
        <v>74</v>
      </c>
      <c r="E3259" s="3" t="str">
        <f>"FES1162843856"</f>
        <v>FES1162843856</v>
      </c>
      <c r="F3259" s="4">
        <v>44567</v>
      </c>
      <c r="G3259" s="3">
        <v>202207</v>
      </c>
      <c r="H3259" s="3" t="s">
        <v>75</v>
      </c>
      <c r="I3259" s="3" t="s">
        <v>76</v>
      </c>
      <c r="J3259" s="3" t="s">
        <v>77</v>
      </c>
      <c r="K3259" s="3" t="s">
        <v>78</v>
      </c>
      <c r="L3259" s="3" t="s">
        <v>190</v>
      </c>
      <c r="M3259" s="3" t="s">
        <v>191</v>
      </c>
      <c r="N3259" s="3" t="s">
        <v>2120</v>
      </c>
      <c r="O3259" s="3" t="s">
        <v>82</v>
      </c>
      <c r="P3259" s="3" t="str">
        <f>"2170815787                    "</f>
        <v xml:space="preserve">2170815787                    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  <c r="AE3259" s="3">
        <v>0</v>
      </c>
      <c r="AF3259" s="3">
        <v>0</v>
      </c>
      <c r="AG3259" s="3">
        <v>0</v>
      </c>
      <c r="AH3259" s="3">
        <v>0</v>
      </c>
      <c r="AI3259" s="3">
        <v>0</v>
      </c>
      <c r="AJ3259" s="3">
        <v>0</v>
      </c>
      <c r="AK3259" s="3">
        <v>29.95</v>
      </c>
      <c r="AL3259" s="3">
        <v>0</v>
      </c>
      <c r="AM3259" s="3">
        <v>0</v>
      </c>
      <c r="AN3259" s="3">
        <v>0</v>
      </c>
      <c r="AO3259" s="3">
        <v>0</v>
      </c>
      <c r="AP3259" s="3">
        <v>0</v>
      </c>
      <c r="AQ3259" s="3">
        <v>0</v>
      </c>
      <c r="AR3259" s="3">
        <v>0</v>
      </c>
      <c r="AS3259" s="3">
        <v>0</v>
      </c>
      <c r="AT3259" s="3">
        <v>0</v>
      </c>
      <c r="AU3259" s="3">
        <v>0</v>
      </c>
      <c r="AV3259" s="3">
        <v>0</v>
      </c>
      <c r="AW3259" s="3">
        <v>0</v>
      </c>
      <c r="AX3259" s="3">
        <v>0</v>
      </c>
      <c r="AY3259" s="3">
        <v>0</v>
      </c>
      <c r="AZ3259" s="3">
        <v>0</v>
      </c>
      <c r="BA3259" s="3">
        <v>0</v>
      </c>
      <c r="BB3259" s="3">
        <v>0</v>
      </c>
      <c r="BC3259" s="3">
        <v>0</v>
      </c>
      <c r="BD3259" s="3">
        <v>0</v>
      </c>
      <c r="BE3259" s="3">
        <v>0</v>
      </c>
      <c r="BF3259" s="3">
        <v>0</v>
      </c>
      <c r="BG3259" s="3">
        <v>0</v>
      </c>
      <c r="BH3259" s="3">
        <v>1</v>
      </c>
      <c r="BI3259" s="3">
        <v>1</v>
      </c>
      <c r="BJ3259" s="3">
        <v>0.2</v>
      </c>
      <c r="BK3259" s="3">
        <v>1</v>
      </c>
      <c r="BL3259" s="3">
        <v>114.31</v>
      </c>
      <c r="BM3259" s="3">
        <v>17.149999999999999</v>
      </c>
      <c r="BN3259" s="3">
        <v>131.46</v>
      </c>
      <c r="BO3259" s="3">
        <v>131.46</v>
      </c>
      <c r="BQ3259" s="3" t="s">
        <v>83</v>
      </c>
      <c r="BR3259" s="3" t="s">
        <v>364</v>
      </c>
      <c r="BS3259" s="4">
        <v>44568</v>
      </c>
      <c r="BT3259" s="5">
        <v>0.39513888888888887</v>
      </c>
      <c r="BU3259" s="3" t="s">
        <v>652</v>
      </c>
      <c r="BV3259" s="3" t="s">
        <v>105</v>
      </c>
      <c r="BY3259" s="3">
        <v>1200</v>
      </c>
      <c r="BZ3259" s="3" t="s">
        <v>165</v>
      </c>
      <c r="CA3259" s="3" t="s">
        <v>2121</v>
      </c>
      <c r="CC3259" s="3" t="s">
        <v>191</v>
      </c>
      <c r="CD3259" s="3">
        <v>1034</v>
      </c>
      <c r="CE3259" s="3" t="s">
        <v>93</v>
      </c>
      <c r="CF3259" s="4">
        <v>44568</v>
      </c>
      <c r="CI3259" s="3">
        <v>1</v>
      </c>
      <c r="CJ3259" s="3">
        <v>1</v>
      </c>
      <c r="CK3259" s="3">
        <v>23</v>
      </c>
      <c r="CL3259" s="3" t="s">
        <v>87</v>
      </c>
    </row>
    <row r="3260" spans="1:90" x14ac:dyDescent="0.2">
      <c r="A3260" s="3" t="s">
        <v>72</v>
      </c>
      <c r="B3260" s="3" t="s">
        <v>73</v>
      </c>
      <c r="C3260" s="3" t="s">
        <v>74</v>
      </c>
      <c r="E3260" s="3" t="str">
        <f>"009942045058"</f>
        <v>009942045058</v>
      </c>
      <c r="F3260" s="4">
        <v>44567</v>
      </c>
      <c r="G3260" s="3">
        <v>202207</v>
      </c>
      <c r="H3260" s="3" t="s">
        <v>75</v>
      </c>
      <c r="I3260" s="3" t="s">
        <v>76</v>
      </c>
      <c r="J3260" s="3" t="s">
        <v>77</v>
      </c>
      <c r="K3260" s="3" t="s">
        <v>78</v>
      </c>
      <c r="L3260" s="3" t="s">
        <v>162</v>
      </c>
      <c r="M3260" s="3" t="s">
        <v>163</v>
      </c>
      <c r="N3260" s="3" t="s">
        <v>2797</v>
      </c>
      <c r="O3260" s="3" t="s">
        <v>82</v>
      </c>
      <c r="P3260" s="3" t="str">
        <f>"1162839935                    "</f>
        <v xml:space="preserve">1162839935                    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  <c r="AE3260" s="3">
        <v>0</v>
      </c>
      <c r="AF3260" s="3">
        <v>0</v>
      </c>
      <c r="AG3260" s="3">
        <v>0</v>
      </c>
      <c r="AH3260" s="3">
        <v>0</v>
      </c>
      <c r="AI3260" s="3">
        <v>0</v>
      </c>
      <c r="AJ3260" s="3">
        <v>0</v>
      </c>
      <c r="AK3260" s="3">
        <v>12.07</v>
      </c>
      <c r="AL3260" s="3">
        <v>0</v>
      </c>
      <c r="AM3260" s="3">
        <v>0</v>
      </c>
      <c r="AN3260" s="3">
        <v>0</v>
      </c>
      <c r="AO3260" s="3">
        <v>0</v>
      </c>
      <c r="AP3260" s="3">
        <v>0</v>
      </c>
      <c r="AQ3260" s="3">
        <v>0</v>
      </c>
      <c r="AR3260" s="3">
        <v>0</v>
      </c>
      <c r="AS3260" s="3">
        <v>0</v>
      </c>
      <c r="AT3260" s="3">
        <v>0</v>
      </c>
      <c r="AU3260" s="3">
        <v>0</v>
      </c>
      <c r="AV3260" s="3">
        <v>0</v>
      </c>
      <c r="AW3260" s="3">
        <v>0</v>
      </c>
      <c r="AX3260" s="3">
        <v>0</v>
      </c>
      <c r="AY3260" s="3">
        <v>0</v>
      </c>
      <c r="AZ3260" s="3">
        <v>0</v>
      </c>
      <c r="BA3260" s="3">
        <v>0</v>
      </c>
      <c r="BB3260" s="3">
        <v>0</v>
      </c>
      <c r="BC3260" s="3">
        <v>0</v>
      </c>
      <c r="BD3260" s="3">
        <v>0</v>
      </c>
      <c r="BE3260" s="3">
        <v>0</v>
      </c>
      <c r="BF3260" s="3">
        <v>0</v>
      </c>
      <c r="BG3260" s="3">
        <v>0</v>
      </c>
      <c r="BH3260" s="3">
        <v>1</v>
      </c>
      <c r="BI3260" s="3">
        <v>3</v>
      </c>
      <c r="BJ3260" s="3">
        <v>1.5</v>
      </c>
      <c r="BK3260" s="3">
        <v>3</v>
      </c>
      <c r="BL3260" s="3">
        <v>46.08</v>
      </c>
      <c r="BM3260" s="3">
        <v>6.91</v>
      </c>
      <c r="BN3260" s="3">
        <v>52.99</v>
      </c>
      <c r="BO3260" s="3">
        <v>52.99</v>
      </c>
      <c r="BQ3260" s="3" t="s">
        <v>2798</v>
      </c>
      <c r="BR3260" s="3" t="s">
        <v>364</v>
      </c>
      <c r="BS3260" s="4">
        <v>44568</v>
      </c>
      <c r="BT3260" s="5">
        <v>0.3923611111111111</v>
      </c>
      <c r="BU3260" s="3" t="s">
        <v>2799</v>
      </c>
      <c r="BV3260" s="3" t="s">
        <v>105</v>
      </c>
      <c r="BY3260" s="3">
        <v>7540</v>
      </c>
      <c r="BZ3260" s="3" t="s">
        <v>165</v>
      </c>
      <c r="CA3260" s="3" t="s">
        <v>2671</v>
      </c>
      <c r="CC3260" s="3" t="s">
        <v>163</v>
      </c>
      <c r="CD3260" s="3">
        <v>1419</v>
      </c>
      <c r="CE3260" s="3" t="s">
        <v>86</v>
      </c>
      <c r="CF3260" s="4">
        <v>44568</v>
      </c>
      <c r="CI3260" s="3">
        <v>1</v>
      </c>
      <c r="CJ3260" s="3">
        <v>1</v>
      </c>
      <c r="CK3260" s="3">
        <v>22</v>
      </c>
      <c r="CL3260" s="3" t="s">
        <v>87</v>
      </c>
    </row>
    <row r="3261" spans="1:90" x14ac:dyDescent="0.2">
      <c r="A3261" s="3" t="s">
        <v>72</v>
      </c>
      <c r="B3261" s="3" t="s">
        <v>73</v>
      </c>
      <c r="C3261" s="3" t="s">
        <v>74</v>
      </c>
      <c r="E3261" s="3" t="str">
        <f>"FES1162843670"</f>
        <v>FES1162843670</v>
      </c>
      <c r="F3261" s="4">
        <v>44567</v>
      </c>
      <c r="G3261" s="3">
        <v>202207</v>
      </c>
      <c r="H3261" s="3" t="s">
        <v>75</v>
      </c>
      <c r="I3261" s="3" t="s">
        <v>76</v>
      </c>
      <c r="J3261" s="3" t="s">
        <v>77</v>
      </c>
      <c r="K3261" s="3" t="s">
        <v>78</v>
      </c>
      <c r="L3261" s="3" t="s">
        <v>176</v>
      </c>
      <c r="M3261" s="3" t="s">
        <v>177</v>
      </c>
      <c r="N3261" s="3" t="s">
        <v>178</v>
      </c>
      <c r="O3261" s="3" t="s">
        <v>82</v>
      </c>
      <c r="P3261" s="3" t="str">
        <f>"2170814197                    "</f>
        <v xml:space="preserve">2170814197                    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  <c r="AE3261" s="3">
        <v>0</v>
      </c>
      <c r="AF3261" s="3">
        <v>0</v>
      </c>
      <c r="AG3261" s="3">
        <v>0</v>
      </c>
      <c r="AH3261" s="3">
        <v>0</v>
      </c>
      <c r="AI3261" s="3">
        <v>0</v>
      </c>
      <c r="AJ3261" s="3">
        <v>0</v>
      </c>
      <c r="AK3261" s="3">
        <v>15.46</v>
      </c>
      <c r="AL3261" s="3">
        <v>0</v>
      </c>
      <c r="AM3261" s="3">
        <v>0</v>
      </c>
      <c r="AN3261" s="3">
        <v>0</v>
      </c>
      <c r="AO3261" s="3">
        <v>0</v>
      </c>
      <c r="AP3261" s="3">
        <v>0</v>
      </c>
      <c r="AQ3261" s="3">
        <v>0</v>
      </c>
      <c r="AR3261" s="3">
        <v>0</v>
      </c>
      <c r="AS3261" s="3">
        <v>0</v>
      </c>
      <c r="AT3261" s="3">
        <v>0</v>
      </c>
      <c r="AU3261" s="3">
        <v>0</v>
      </c>
      <c r="AV3261" s="3">
        <v>0</v>
      </c>
      <c r="AW3261" s="3">
        <v>0</v>
      </c>
      <c r="AX3261" s="3">
        <v>0</v>
      </c>
      <c r="AY3261" s="3">
        <v>0</v>
      </c>
      <c r="AZ3261" s="3">
        <v>0</v>
      </c>
      <c r="BA3261" s="3">
        <v>0</v>
      </c>
      <c r="BB3261" s="3">
        <v>0</v>
      </c>
      <c r="BC3261" s="3">
        <v>0</v>
      </c>
      <c r="BD3261" s="3">
        <v>0</v>
      </c>
      <c r="BE3261" s="3">
        <v>0</v>
      </c>
      <c r="BF3261" s="3">
        <v>0</v>
      </c>
      <c r="BG3261" s="3">
        <v>0</v>
      </c>
      <c r="BH3261" s="3">
        <v>1</v>
      </c>
      <c r="BI3261" s="3">
        <v>1</v>
      </c>
      <c r="BJ3261" s="3">
        <v>0.2</v>
      </c>
      <c r="BK3261" s="3">
        <v>1</v>
      </c>
      <c r="BL3261" s="3">
        <v>59</v>
      </c>
      <c r="BM3261" s="3">
        <v>8.85</v>
      </c>
      <c r="BN3261" s="3">
        <v>67.849999999999994</v>
      </c>
      <c r="BO3261" s="3">
        <v>67.849999999999994</v>
      </c>
      <c r="BQ3261" s="3" t="s">
        <v>83</v>
      </c>
      <c r="BR3261" s="3" t="s">
        <v>364</v>
      </c>
      <c r="BS3261" s="4">
        <v>44568</v>
      </c>
      <c r="BT3261" s="5">
        <v>0.43194444444444446</v>
      </c>
      <c r="BU3261" s="3" t="s">
        <v>1504</v>
      </c>
      <c r="BV3261" s="3" t="s">
        <v>105</v>
      </c>
      <c r="BY3261" s="3">
        <v>1200</v>
      </c>
      <c r="BZ3261" s="3" t="s">
        <v>165</v>
      </c>
      <c r="CA3261" s="3" t="s">
        <v>615</v>
      </c>
      <c r="CC3261" s="3" t="s">
        <v>177</v>
      </c>
      <c r="CD3261" s="3">
        <v>4026</v>
      </c>
      <c r="CE3261" s="3" t="s">
        <v>93</v>
      </c>
      <c r="CF3261" s="4">
        <v>44568</v>
      </c>
      <c r="CI3261" s="3">
        <v>1</v>
      </c>
      <c r="CJ3261" s="3">
        <v>1</v>
      </c>
      <c r="CK3261" s="3">
        <v>21</v>
      </c>
      <c r="CL3261" s="3" t="s">
        <v>87</v>
      </c>
    </row>
    <row r="3262" spans="1:90" x14ac:dyDescent="0.2">
      <c r="A3262" s="3" t="s">
        <v>72</v>
      </c>
      <c r="B3262" s="3" t="s">
        <v>73</v>
      </c>
      <c r="C3262" s="3" t="s">
        <v>74</v>
      </c>
      <c r="E3262" s="3" t="str">
        <f>"FES1162843677"</f>
        <v>FES1162843677</v>
      </c>
      <c r="F3262" s="4">
        <v>44567</v>
      </c>
      <c r="G3262" s="3">
        <v>202207</v>
      </c>
      <c r="H3262" s="3" t="s">
        <v>75</v>
      </c>
      <c r="I3262" s="3" t="s">
        <v>76</v>
      </c>
      <c r="J3262" s="3" t="s">
        <v>77</v>
      </c>
      <c r="K3262" s="3" t="s">
        <v>78</v>
      </c>
      <c r="L3262" s="3" t="s">
        <v>187</v>
      </c>
      <c r="M3262" s="3" t="s">
        <v>188</v>
      </c>
      <c r="N3262" s="3" t="s">
        <v>189</v>
      </c>
      <c r="O3262" s="3" t="s">
        <v>82</v>
      </c>
      <c r="P3262" s="3" t="str">
        <f>"2170814292                    "</f>
        <v xml:space="preserve">2170814292                    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  <c r="W3262" s="3">
        <v>0</v>
      </c>
      <c r="X3262" s="3">
        <v>0</v>
      </c>
      <c r="Y3262" s="3">
        <v>0</v>
      </c>
      <c r="Z3262" s="3">
        <v>0</v>
      </c>
      <c r="AA3262" s="3">
        <v>0</v>
      </c>
      <c r="AB3262" s="3">
        <v>0</v>
      </c>
      <c r="AC3262" s="3">
        <v>0</v>
      </c>
      <c r="AD3262" s="3">
        <v>0</v>
      </c>
      <c r="AE3262" s="3">
        <v>0</v>
      </c>
      <c r="AF3262" s="3">
        <v>0</v>
      </c>
      <c r="AG3262" s="3">
        <v>0</v>
      </c>
      <c r="AH3262" s="3">
        <v>0</v>
      </c>
      <c r="AI3262" s="3">
        <v>0</v>
      </c>
      <c r="AJ3262" s="3">
        <v>0</v>
      </c>
      <c r="AK3262" s="3">
        <v>29.95</v>
      </c>
      <c r="AL3262" s="3">
        <v>0</v>
      </c>
      <c r="AM3262" s="3">
        <v>0</v>
      </c>
      <c r="AN3262" s="3">
        <v>0</v>
      </c>
      <c r="AO3262" s="3">
        <v>0</v>
      </c>
      <c r="AP3262" s="3">
        <v>0</v>
      </c>
      <c r="AQ3262" s="3">
        <v>0</v>
      </c>
      <c r="AR3262" s="3">
        <v>0</v>
      </c>
      <c r="AS3262" s="3">
        <v>0</v>
      </c>
      <c r="AT3262" s="3">
        <v>0</v>
      </c>
      <c r="AU3262" s="3">
        <v>0</v>
      </c>
      <c r="AV3262" s="3">
        <v>0</v>
      </c>
      <c r="AW3262" s="3">
        <v>0</v>
      </c>
      <c r="AX3262" s="3">
        <v>0</v>
      </c>
      <c r="AY3262" s="3">
        <v>0</v>
      </c>
      <c r="AZ3262" s="3">
        <v>0</v>
      </c>
      <c r="BA3262" s="3">
        <v>0</v>
      </c>
      <c r="BB3262" s="3">
        <v>0</v>
      </c>
      <c r="BC3262" s="3">
        <v>0</v>
      </c>
      <c r="BD3262" s="3">
        <v>0</v>
      </c>
      <c r="BE3262" s="3">
        <v>0</v>
      </c>
      <c r="BF3262" s="3">
        <v>0</v>
      </c>
      <c r="BG3262" s="3">
        <v>0</v>
      </c>
      <c r="BH3262" s="3">
        <v>1</v>
      </c>
      <c r="BI3262" s="3">
        <v>1</v>
      </c>
      <c r="BJ3262" s="3">
        <v>0.2</v>
      </c>
      <c r="BK3262" s="3">
        <v>1</v>
      </c>
      <c r="BL3262" s="3">
        <v>114.31</v>
      </c>
      <c r="BM3262" s="3">
        <v>17.149999999999999</v>
      </c>
      <c r="BN3262" s="3">
        <v>131.46</v>
      </c>
      <c r="BO3262" s="3">
        <v>131.46</v>
      </c>
      <c r="BQ3262" s="3" t="s">
        <v>83</v>
      </c>
      <c r="BR3262" s="3" t="s">
        <v>364</v>
      </c>
      <c r="BS3262" s="4">
        <v>44568</v>
      </c>
      <c r="BT3262" s="5">
        <v>0.53263888888888888</v>
      </c>
      <c r="BU3262" s="3" t="s">
        <v>2900</v>
      </c>
      <c r="BV3262" s="3" t="s">
        <v>105</v>
      </c>
      <c r="BY3262" s="3">
        <v>1200</v>
      </c>
      <c r="BZ3262" s="3" t="s">
        <v>165</v>
      </c>
      <c r="CA3262" s="3" t="s">
        <v>268</v>
      </c>
      <c r="CC3262" s="3" t="s">
        <v>188</v>
      </c>
      <c r="CD3262" s="3">
        <v>7300</v>
      </c>
      <c r="CE3262" s="3" t="s">
        <v>93</v>
      </c>
      <c r="CF3262" s="4">
        <v>44571</v>
      </c>
      <c r="CI3262" s="3">
        <v>1</v>
      </c>
      <c r="CJ3262" s="3">
        <v>1</v>
      </c>
      <c r="CK3262" s="3">
        <v>23</v>
      </c>
      <c r="CL3262" s="3" t="s">
        <v>87</v>
      </c>
    </row>
    <row r="3263" spans="1:90" x14ac:dyDescent="0.2">
      <c r="A3263" s="3" t="s">
        <v>72</v>
      </c>
      <c r="B3263" s="3" t="s">
        <v>73</v>
      </c>
      <c r="C3263" s="3" t="s">
        <v>74</v>
      </c>
      <c r="E3263" s="3" t="str">
        <f>"FES1162843766"</f>
        <v>FES1162843766</v>
      </c>
      <c r="F3263" s="4">
        <v>44567</v>
      </c>
      <c r="G3263" s="3">
        <v>202207</v>
      </c>
      <c r="H3263" s="3" t="s">
        <v>75</v>
      </c>
      <c r="I3263" s="3" t="s">
        <v>76</v>
      </c>
      <c r="J3263" s="3" t="s">
        <v>77</v>
      </c>
      <c r="K3263" s="3" t="s">
        <v>78</v>
      </c>
      <c r="L3263" s="3" t="s">
        <v>472</v>
      </c>
      <c r="M3263" s="3" t="s">
        <v>473</v>
      </c>
      <c r="N3263" s="3" t="s">
        <v>474</v>
      </c>
      <c r="O3263" s="3" t="s">
        <v>82</v>
      </c>
      <c r="P3263" s="3" t="str">
        <f>"2170814670                    "</f>
        <v xml:space="preserve">2170814670                    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  <c r="AE3263" s="3">
        <v>0</v>
      </c>
      <c r="AF3263" s="3">
        <v>0</v>
      </c>
      <c r="AG3263" s="3">
        <v>0</v>
      </c>
      <c r="AH3263" s="3">
        <v>0</v>
      </c>
      <c r="AI3263" s="3">
        <v>0</v>
      </c>
      <c r="AJ3263" s="3">
        <v>0</v>
      </c>
      <c r="AK3263" s="3">
        <v>29.95</v>
      </c>
      <c r="AL3263" s="3">
        <v>0</v>
      </c>
      <c r="AM3263" s="3">
        <v>0</v>
      </c>
      <c r="AN3263" s="3">
        <v>0</v>
      </c>
      <c r="AO3263" s="3">
        <v>0</v>
      </c>
      <c r="AP3263" s="3">
        <v>0</v>
      </c>
      <c r="AQ3263" s="3">
        <v>0</v>
      </c>
      <c r="AR3263" s="3">
        <v>0</v>
      </c>
      <c r="AS3263" s="3">
        <v>0</v>
      </c>
      <c r="AT3263" s="3">
        <v>0</v>
      </c>
      <c r="AU3263" s="3">
        <v>0</v>
      </c>
      <c r="AV3263" s="3">
        <v>0</v>
      </c>
      <c r="AW3263" s="3">
        <v>0</v>
      </c>
      <c r="AX3263" s="3">
        <v>0</v>
      </c>
      <c r="AY3263" s="3">
        <v>0</v>
      </c>
      <c r="AZ3263" s="3">
        <v>0</v>
      </c>
      <c r="BA3263" s="3">
        <v>0</v>
      </c>
      <c r="BB3263" s="3">
        <v>0</v>
      </c>
      <c r="BC3263" s="3">
        <v>0</v>
      </c>
      <c r="BD3263" s="3">
        <v>0</v>
      </c>
      <c r="BE3263" s="3">
        <v>0</v>
      </c>
      <c r="BF3263" s="3">
        <v>0</v>
      </c>
      <c r="BG3263" s="3">
        <v>0</v>
      </c>
      <c r="BH3263" s="3">
        <v>1</v>
      </c>
      <c r="BI3263" s="3">
        <v>1</v>
      </c>
      <c r="BJ3263" s="3">
        <v>0.2</v>
      </c>
      <c r="BK3263" s="3">
        <v>1</v>
      </c>
      <c r="BL3263" s="3">
        <v>114.31</v>
      </c>
      <c r="BM3263" s="3">
        <v>17.149999999999999</v>
      </c>
      <c r="BN3263" s="3">
        <v>131.46</v>
      </c>
      <c r="BO3263" s="3">
        <v>131.46</v>
      </c>
      <c r="BQ3263" s="3" t="s">
        <v>83</v>
      </c>
      <c r="BR3263" s="3" t="s">
        <v>364</v>
      </c>
      <c r="BS3263" s="4">
        <v>44568</v>
      </c>
      <c r="BT3263" s="5">
        <v>0.38750000000000001</v>
      </c>
      <c r="BU3263" s="3" t="s">
        <v>475</v>
      </c>
      <c r="BV3263" s="3" t="s">
        <v>105</v>
      </c>
      <c r="BY3263" s="3">
        <v>1200</v>
      </c>
      <c r="BZ3263" s="3" t="s">
        <v>165</v>
      </c>
      <c r="CA3263" s="3" t="s">
        <v>324</v>
      </c>
      <c r="CC3263" s="3" t="s">
        <v>473</v>
      </c>
      <c r="CD3263" s="3">
        <v>5257</v>
      </c>
      <c r="CE3263" s="3" t="s">
        <v>93</v>
      </c>
      <c r="CF3263" s="4">
        <v>44568</v>
      </c>
      <c r="CI3263" s="3">
        <v>1</v>
      </c>
      <c r="CJ3263" s="3">
        <v>1</v>
      </c>
      <c r="CK3263" s="3">
        <v>23</v>
      </c>
      <c r="CL3263" s="3" t="s">
        <v>87</v>
      </c>
    </row>
    <row r="3264" spans="1:90" x14ac:dyDescent="0.2">
      <c r="A3264" s="3" t="s">
        <v>72</v>
      </c>
      <c r="B3264" s="3" t="s">
        <v>73</v>
      </c>
      <c r="C3264" s="3" t="s">
        <v>74</v>
      </c>
      <c r="E3264" s="3" t="str">
        <f>"FES1162843962"</f>
        <v>FES1162843962</v>
      </c>
      <c r="F3264" s="4">
        <v>44567</v>
      </c>
      <c r="G3264" s="3">
        <v>202207</v>
      </c>
      <c r="H3264" s="3" t="s">
        <v>75</v>
      </c>
      <c r="I3264" s="3" t="s">
        <v>76</v>
      </c>
      <c r="J3264" s="3" t="s">
        <v>77</v>
      </c>
      <c r="K3264" s="3" t="s">
        <v>78</v>
      </c>
      <c r="L3264" s="3" t="s">
        <v>79</v>
      </c>
      <c r="M3264" s="3" t="s">
        <v>80</v>
      </c>
      <c r="N3264" s="3" t="s">
        <v>2922</v>
      </c>
      <c r="O3264" s="3" t="s">
        <v>82</v>
      </c>
      <c r="P3264" s="3" t="str">
        <f>"2170814179                    "</f>
        <v xml:space="preserve">2170814179                    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  <c r="AE3264" s="3">
        <v>0</v>
      </c>
      <c r="AF3264" s="3">
        <v>0</v>
      </c>
      <c r="AG3264" s="3">
        <v>0</v>
      </c>
      <c r="AH3264" s="3">
        <v>0</v>
      </c>
      <c r="AI3264" s="3">
        <v>0</v>
      </c>
      <c r="AJ3264" s="3">
        <v>0</v>
      </c>
      <c r="AK3264" s="3">
        <v>15.46</v>
      </c>
      <c r="AL3264" s="3">
        <v>0</v>
      </c>
      <c r="AM3264" s="3">
        <v>0</v>
      </c>
      <c r="AN3264" s="3">
        <v>0</v>
      </c>
      <c r="AO3264" s="3">
        <v>0</v>
      </c>
      <c r="AP3264" s="3">
        <v>0</v>
      </c>
      <c r="AQ3264" s="3">
        <v>0</v>
      </c>
      <c r="AR3264" s="3">
        <v>0</v>
      </c>
      <c r="AS3264" s="3">
        <v>0</v>
      </c>
      <c r="AT3264" s="3">
        <v>0</v>
      </c>
      <c r="AU3264" s="3">
        <v>0</v>
      </c>
      <c r="AV3264" s="3">
        <v>0</v>
      </c>
      <c r="AW3264" s="3">
        <v>0</v>
      </c>
      <c r="AX3264" s="3">
        <v>0</v>
      </c>
      <c r="AY3264" s="3">
        <v>0</v>
      </c>
      <c r="AZ3264" s="3">
        <v>0</v>
      </c>
      <c r="BA3264" s="3">
        <v>0</v>
      </c>
      <c r="BB3264" s="3">
        <v>0</v>
      </c>
      <c r="BC3264" s="3">
        <v>0</v>
      </c>
      <c r="BD3264" s="3">
        <v>0</v>
      </c>
      <c r="BE3264" s="3">
        <v>0</v>
      </c>
      <c r="BF3264" s="3">
        <v>0</v>
      </c>
      <c r="BG3264" s="3">
        <v>0</v>
      </c>
      <c r="BH3264" s="3">
        <v>1</v>
      </c>
      <c r="BI3264" s="3">
        <v>1</v>
      </c>
      <c r="BJ3264" s="3">
        <v>0.2</v>
      </c>
      <c r="BK3264" s="3">
        <v>1</v>
      </c>
      <c r="BL3264" s="3">
        <v>59</v>
      </c>
      <c r="BM3264" s="3">
        <v>8.85</v>
      </c>
      <c r="BN3264" s="3">
        <v>67.849999999999994</v>
      </c>
      <c r="BO3264" s="3">
        <v>67.849999999999994</v>
      </c>
      <c r="BQ3264" s="3" t="s">
        <v>89</v>
      </c>
      <c r="BR3264" s="3" t="s">
        <v>364</v>
      </c>
      <c r="BS3264" s="4">
        <v>44568</v>
      </c>
      <c r="BT3264" s="5">
        <v>0.4381944444444445</v>
      </c>
      <c r="BU3264" s="3" t="s">
        <v>2923</v>
      </c>
      <c r="BV3264" s="3" t="s">
        <v>87</v>
      </c>
      <c r="BY3264" s="3">
        <v>1200</v>
      </c>
      <c r="BZ3264" s="3" t="s">
        <v>165</v>
      </c>
      <c r="CA3264" s="3" t="s">
        <v>1622</v>
      </c>
      <c r="CC3264" s="3" t="s">
        <v>80</v>
      </c>
      <c r="CD3264" s="3">
        <v>200</v>
      </c>
      <c r="CE3264" s="3" t="s">
        <v>93</v>
      </c>
      <c r="CF3264" s="4">
        <v>44568</v>
      </c>
      <c r="CI3264" s="3">
        <v>1</v>
      </c>
      <c r="CJ3264" s="3">
        <v>1</v>
      </c>
      <c r="CK3264" s="3">
        <v>21</v>
      </c>
      <c r="CL3264" s="3" t="s">
        <v>87</v>
      </c>
    </row>
    <row r="3265" spans="1:90" x14ac:dyDescent="0.2">
      <c r="A3265" s="3" t="s">
        <v>72</v>
      </c>
      <c r="B3265" s="3" t="s">
        <v>73</v>
      </c>
      <c r="C3265" s="3" t="s">
        <v>74</v>
      </c>
      <c r="E3265" s="3" t="str">
        <f>"FES1162843684"</f>
        <v>FES1162843684</v>
      </c>
      <c r="F3265" s="4">
        <v>44567</v>
      </c>
      <c r="G3265" s="3">
        <v>202207</v>
      </c>
      <c r="H3265" s="3" t="s">
        <v>75</v>
      </c>
      <c r="I3265" s="3" t="s">
        <v>76</v>
      </c>
      <c r="J3265" s="3" t="s">
        <v>77</v>
      </c>
      <c r="K3265" s="3" t="s">
        <v>78</v>
      </c>
      <c r="L3265" s="3" t="s">
        <v>167</v>
      </c>
      <c r="M3265" s="3" t="s">
        <v>168</v>
      </c>
      <c r="N3265" s="3" t="s">
        <v>169</v>
      </c>
      <c r="O3265" s="3" t="s">
        <v>82</v>
      </c>
      <c r="P3265" s="3" t="str">
        <f>"217081484376                  "</f>
        <v xml:space="preserve">217081484376                  </v>
      </c>
      <c r="Q3265" s="3">
        <v>0</v>
      </c>
      <c r="R3265" s="3">
        <v>0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  <c r="AE3265" s="3">
        <v>0</v>
      </c>
      <c r="AF3265" s="3">
        <v>0</v>
      </c>
      <c r="AG3265" s="3">
        <v>0</v>
      </c>
      <c r="AH3265" s="3">
        <v>0</v>
      </c>
      <c r="AI3265" s="3">
        <v>0</v>
      </c>
      <c r="AJ3265" s="3">
        <v>0</v>
      </c>
      <c r="AK3265" s="3">
        <v>15.46</v>
      </c>
      <c r="AL3265" s="3">
        <v>0</v>
      </c>
      <c r="AM3265" s="3">
        <v>0</v>
      </c>
      <c r="AN3265" s="3">
        <v>0</v>
      </c>
      <c r="AO3265" s="3">
        <v>0</v>
      </c>
      <c r="AP3265" s="3">
        <v>0</v>
      </c>
      <c r="AQ3265" s="3">
        <v>0</v>
      </c>
      <c r="AR3265" s="3">
        <v>0</v>
      </c>
      <c r="AS3265" s="3">
        <v>0</v>
      </c>
      <c r="AT3265" s="3">
        <v>0</v>
      </c>
      <c r="AU3265" s="3">
        <v>0</v>
      </c>
      <c r="AV3265" s="3">
        <v>0</v>
      </c>
      <c r="AW3265" s="3">
        <v>0</v>
      </c>
      <c r="AX3265" s="3">
        <v>0</v>
      </c>
      <c r="AY3265" s="3">
        <v>0</v>
      </c>
      <c r="AZ3265" s="3">
        <v>0</v>
      </c>
      <c r="BA3265" s="3">
        <v>0</v>
      </c>
      <c r="BB3265" s="3">
        <v>0</v>
      </c>
      <c r="BC3265" s="3">
        <v>0</v>
      </c>
      <c r="BD3265" s="3">
        <v>0</v>
      </c>
      <c r="BE3265" s="3">
        <v>0</v>
      </c>
      <c r="BF3265" s="3">
        <v>0</v>
      </c>
      <c r="BG3265" s="3">
        <v>0</v>
      </c>
      <c r="BH3265" s="3">
        <v>1</v>
      </c>
      <c r="BI3265" s="3">
        <v>1</v>
      </c>
      <c r="BJ3265" s="3">
        <v>0.2</v>
      </c>
      <c r="BK3265" s="3">
        <v>1</v>
      </c>
      <c r="BL3265" s="3">
        <v>59</v>
      </c>
      <c r="BM3265" s="3">
        <v>8.85</v>
      </c>
      <c r="BN3265" s="3">
        <v>67.849999999999994</v>
      </c>
      <c r="BO3265" s="3">
        <v>67.849999999999994</v>
      </c>
      <c r="BQ3265" s="3" t="s">
        <v>83</v>
      </c>
      <c r="BR3265" s="3" t="s">
        <v>364</v>
      </c>
      <c r="BS3265" s="4">
        <v>44568</v>
      </c>
      <c r="BT3265" s="5">
        <v>0.52847222222222223</v>
      </c>
      <c r="BU3265" s="3" t="s">
        <v>2924</v>
      </c>
      <c r="BV3265" s="3" t="s">
        <v>87</v>
      </c>
      <c r="BW3265" s="3" t="s">
        <v>457</v>
      </c>
      <c r="BX3265" s="3" t="s">
        <v>2542</v>
      </c>
      <c r="BY3265" s="3">
        <v>1200</v>
      </c>
      <c r="BZ3265" s="3" t="s">
        <v>165</v>
      </c>
      <c r="CA3265" s="3" t="s">
        <v>263</v>
      </c>
      <c r="CC3265" s="3" t="s">
        <v>168</v>
      </c>
      <c r="CD3265" s="3">
        <v>6220</v>
      </c>
      <c r="CE3265" s="3" t="s">
        <v>93</v>
      </c>
      <c r="CF3265" s="4">
        <v>44571</v>
      </c>
      <c r="CI3265" s="3">
        <v>1</v>
      </c>
      <c r="CJ3265" s="3">
        <v>1</v>
      </c>
      <c r="CK3265" s="3">
        <v>21</v>
      </c>
      <c r="CL3265" s="3" t="s">
        <v>87</v>
      </c>
    </row>
    <row r="3266" spans="1:90" x14ac:dyDescent="0.2">
      <c r="A3266" s="3" t="s">
        <v>72</v>
      </c>
      <c r="B3266" s="3" t="s">
        <v>73</v>
      </c>
      <c r="C3266" s="3" t="s">
        <v>74</v>
      </c>
      <c r="E3266" s="3" t="str">
        <f>"FES1162843680"</f>
        <v>FES1162843680</v>
      </c>
      <c r="F3266" s="4">
        <v>44567</v>
      </c>
      <c r="G3266" s="3">
        <v>202207</v>
      </c>
      <c r="H3266" s="3" t="s">
        <v>75</v>
      </c>
      <c r="I3266" s="3" t="s">
        <v>76</v>
      </c>
      <c r="J3266" s="3" t="s">
        <v>77</v>
      </c>
      <c r="K3266" s="3" t="s">
        <v>78</v>
      </c>
      <c r="L3266" s="3" t="s">
        <v>171</v>
      </c>
      <c r="M3266" s="3" t="s">
        <v>172</v>
      </c>
      <c r="N3266" s="3" t="s">
        <v>199</v>
      </c>
      <c r="O3266" s="3" t="s">
        <v>82</v>
      </c>
      <c r="P3266" s="3" t="str">
        <f>"2170814344                    "</f>
        <v xml:space="preserve">2170814344                    </v>
      </c>
      <c r="Q3266" s="3">
        <v>0</v>
      </c>
      <c r="R3266" s="3">
        <v>0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  <c r="AE3266" s="3">
        <v>0</v>
      </c>
      <c r="AF3266" s="3">
        <v>0</v>
      </c>
      <c r="AG3266" s="3">
        <v>0</v>
      </c>
      <c r="AH3266" s="3">
        <v>0</v>
      </c>
      <c r="AI3266" s="3">
        <v>0</v>
      </c>
      <c r="AJ3266" s="3">
        <v>0</v>
      </c>
      <c r="AK3266" s="3">
        <v>15.46</v>
      </c>
      <c r="AL3266" s="3">
        <v>0</v>
      </c>
      <c r="AM3266" s="3">
        <v>0</v>
      </c>
      <c r="AN3266" s="3">
        <v>0</v>
      </c>
      <c r="AO3266" s="3">
        <v>0</v>
      </c>
      <c r="AP3266" s="3">
        <v>0</v>
      </c>
      <c r="AQ3266" s="3">
        <v>0</v>
      </c>
      <c r="AR3266" s="3">
        <v>0</v>
      </c>
      <c r="AS3266" s="3">
        <v>0</v>
      </c>
      <c r="AT3266" s="3">
        <v>0</v>
      </c>
      <c r="AU3266" s="3">
        <v>0</v>
      </c>
      <c r="AV3266" s="3">
        <v>0</v>
      </c>
      <c r="AW3266" s="3">
        <v>0</v>
      </c>
      <c r="AX3266" s="3">
        <v>0</v>
      </c>
      <c r="AY3266" s="3">
        <v>0</v>
      </c>
      <c r="AZ3266" s="3">
        <v>0</v>
      </c>
      <c r="BA3266" s="3">
        <v>0</v>
      </c>
      <c r="BB3266" s="3">
        <v>0</v>
      </c>
      <c r="BC3266" s="3">
        <v>0</v>
      </c>
      <c r="BD3266" s="3">
        <v>0</v>
      </c>
      <c r="BE3266" s="3">
        <v>0</v>
      </c>
      <c r="BF3266" s="3">
        <v>0</v>
      </c>
      <c r="BG3266" s="3">
        <v>0</v>
      </c>
      <c r="BH3266" s="3">
        <v>1</v>
      </c>
      <c r="BI3266" s="3">
        <v>1</v>
      </c>
      <c r="BJ3266" s="3">
        <v>0.2</v>
      </c>
      <c r="BK3266" s="3">
        <v>1</v>
      </c>
      <c r="BL3266" s="3">
        <v>59</v>
      </c>
      <c r="BM3266" s="3">
        <v>8.85</v>
      </c>
      <c r="BN3266" s="3">
        <v>67.849999999999994</v>
      </c>
      <c r="BO3266" s="3">
        <v>67.849999999999994</v>
      </c>
      <c r="BR3266" s="3" t="s">
        <v>364</v>
      </c>
      <c r="BS3266" s="4">
        <v>44568</v>
      </c>
      <c r="BT3266" s="5">
        <v>0.31458333333333333</v>
      </c>
      <c r="BU3266" s="3" t="s">
        <v>407</v>
      </c>
      <c r="BV3266" s="3" t="s">
        <v>105</v>
      </c>
      <c r="BY3266" s="3">
        <v>1200</v>
      </c>
      <c r="BZ3266" s="3" t="s">
        <v>165</v>
      </c>
      <c r="CA3266" s="3" t="s">
        <v>408</v>
      </c>
      <c r="CC3266" s="3" t="s">
        <v>172</v>
      </c>
      <c r="CD3266" s="3">
        <v>6000</v>
      </c>
      <c r="CE3266" s="3" t="s">
        <v>93</v>
      </c>
      <c r="CF3266" s="4">
        <v>44571</v>
      </c>
      <c r="CI3266" s="3">
        <v>1</v>
      </c>
      <c r="CJ3266" s="3">
        <v>1</v>
      </c>
      <c r="CK3266" s="3">
        <v>21</v>
      </c>
      <c r="CL3266" s="3" t="s">
        <v>87</v>
      </c>
    </row>
    <row r="3267" spans="1:90" x14ac:dyDescent="0.2">
      <c r="A3267" s="3" t="s">
        <v>72</v>
      </c>
      <c r="B3267" s="3" t="s">
        <v>73</v>
      </c>
      <c r="C3267" s="3" t="s">
        <v>74</v>
      </c>
      <c r="E3267" s="3" t="str">
        <f>"FES1162843976"</f>
        <v>FES1162843976</v>
      </c>
      <c r="F3267" s="4">
        <v>44567</v>
      </c>
      <c r="G3267" s="3">
        <v>202207</v>
      </c>
      <c r="H3267" s="3" t="s">
        <v>75</v>
      </c>
      <c r="I3267" s="3" t="s">
        <v>76</v>
      </c>
      <c r="J3267" s="3" t="s">
        <v>77</v>
      </c>
      <c r="K3267" s="3" t="s">
        <v>78</v>
      </c>
      <c r="L3267" s="3" t="s">
        <v>75</v>
      </c>
      <c r="M3267" s="3" t="s">
        <v>76</v>
      </c>
      <c r="N3267" s="3" t="s">
        <v>224</v>
      </c>
      <c r="O3267" s="3" t="s">
        <v>82</v>
      </c>
      <c r="P3267" s="3" t="str">
        <f>"2170814790                    "</f>
        <v xml:space="preserve">2170814790                    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  <c r="AE3267" s="3">
        <v>0</v>
      </c>
      <c r="AF3267" s="3">
        <v>0</v>
      </c>
      <c r="AG3267" s="3">
        <v>0</v>
      </c>
      <c r="AH3267" s="3">
        <v>0</v>
      </c>
      <c r="AI3267" s="3">
        <v>0</v>
      </c>
      <c r="AJ3267" s="3">
        <v>0</v>
      </c>
      <c r="AK3267" s="3">
        <v>12.07</v>
      </c>
      <c r="AL3267" s="3">
        <v>0</v>
      </c>
      <c r="AM3267" s="3">
        <v>0</v>
      </c>
      <c r="AN3267" s="3">
        <v>0</v>
      </c>
      <c r="AO3267" s="3">
        <v>0</v>
      </c>
      <c r="AP3267" s="3">
        <v>0</v>
      </c>
      <c r="AQ3267" s="3">
        <v>0</v>
      </c>
      <c r="AR3267" s="3">
        <v>0</v>
      </c>
      <c r="AS3267" s="3">
        <v>0</v>
      </c>
      <c r="AT3267" s="3">
        <v>0</v>
      </c>
      <c r="AU3267" s="3">
        <v>0</v>
      </c>
      <c r="AV3267" s="3">
        <v>0</v>
      </c>
      <c r="AW3267" s="3">
        <v>0</v>
      </c>
      <c r="AX3267" s="3">
        <v>0</v>
      </c>
      <c r="AY3267" s="3">
        <v>0</v>
      </c>
      <c r="AZ3267" s="3">
        <v>0</v>
      </c>
      <c r="BA3267" s="3">
        <v>0</v>
      </c>
      <c r="BB3267" s="3">
        <v>0</v>
      </c>
      <c r="BC3267" s="3">
        <v>0</v>
      </c>
      <c r="BD3267" s="3">
        <v>0</v>
      </c>
      <c r="BE3267" s="3">
        <v>0</v>
      </c>
      <c r="BF3267" s="3">
        <v>0</v>
      </c>
      <c r="BG3267" s="3">
        <v>0</v>
      </c>
      <c r="BH3267" s="3">
        <v>1</v>
      </c>
      <c r="BI3267" s="3">
        <v>1</v>
      </c>
      <c r="BJ3267" s="3">
        <v>0.2</v>
      </c>
      <c r="BK3267" s="3">
        <v>1</v>
      </c>
      <c r="BL3267" s="3">
        <v>46.08</v>
      </c>
      <c r="BM3267" s="3">
        <v>6.91</v>
      </c>
      <c r="BN3267" s="3">
        <v>52.99</v>
      </c>
      <c r="BO3267" s="3">
        <v>52.99</v>
      </c>
      <c r="BQ3267" s="3" t="s">
        <v>83</v>
      </c>
      <c r="BR3267" s="3" t="s">
        <v>364</v>
      </c>
      <c r="BS3267" s="4">
        <v>44568</v>
      </c>
      <c r="BT3267" s="5">
        <v>0.35902777777777778</v>
      </c>
      <c r="BU3267" s="3" t="s">
        <v>2925</v>
      </c>
      <c r="BV3267" s="3" t="s">
        <v>105</v>
      </c>
      <c r="BY3267" s="3">
        <v>1200</v>
      </c>
      <c r="BZ3267" s="3" t="s">
        <v>165</v>
      </c>
      <c r="CA3267" s="3" t="s">
        <v>2917</v>
      </c>
      <c r="CC3267" s="3" t="s">
        <v>76</v>
      </c>
      <c r="CD3267" s="3">
        <v>1600</v>
      </c>
      <c r="CE3267" s="3" t="s">
        <v>93</v>
      </c>
      <c r="CF3267" s="4">
        <v>44568</v>
      </c>
      <c r="CI3267" s="3">
        <v>1</v>
      </c>
      <c r="CJ3267" s="3">
        <v>1</v>
      </c>
      <c r="CK3267" s="3">
        <v>22</v>
      </c>
      <c r="CL3267" s="3" t="s">
        <v>87</v>
      </c>
    </row>
    <row r="3268" spans="1:90" x14ac:dyDescent="0.2">
      <c r="A3268" s="3" t="s">
        <v>72</v>
      </c>
      <c r="B3268" s="3" t="s">
        <v>73</v>
      </c>
      <c r="C3268" s="3" t="s">
        <v>74</v>
      </c>
      <c r="E3268" s="3" t="str">
        <f>"FES1162843713"</f>
        <v>FES1162843713</v>
      </c>
      <c r="F3268" s="4">
        <v>44567</v>
      </c>
      <c r="G3268" s="3">
        <v>202207</v>
      </c>
      <c r="H3268" s="3" t="s">
        <v>75</v>
      </c>
      <c r="I3268" s="3" t="s">
        <v>76</v>
      </c>
      <c r="J3268" s="3" t="s">
        <v>77</v>
      </c>
      <c r="K3268" s="3" t="s">
        <v>78</v>
      </c>
      <c r="L3268" s="3" t="s">
        <v>171</v>
      </c>
      <c r="M3268" s="3" t="s">
        <v>172</v>
      </c>
      <c r="N3268" s="3" t="s">
        <v>249</v>
      </c>
      <c r="O3268" s="3" t="s">
        <v>82</v>
      </c>
      <c r="P3268" s="3" t="str">
        <f>"2170815706                    "</f>
        <v xml:space="preserve">2170815706                    </v>
      </c>
      <c r="Q3268" s="3">
        <v>0</v>
      </c>
      <c r="R3268" s="3">
        <v>0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  <c r="AE3268" s="3">
        <v>0</v>
      </c>
      <c r="AF3268" s="3">
        <v>0</v>
      </c>
      <c r="AG3268" s="3">
        <v>0</v>
      </c>
      <c r="AH3268" s="3">
        <v>0</v>
      </c>
      <c r="AI3268" s="3">
        <v>0</v>
      </c>
      <c r="AJ3268" s="3">
        <v>0</v>
      </c>
      <c r="AK3268" s="3">
        <v>15.46</v>
      </c>
      <c r="AL3268" s="3">
        <v>0</v>
      </c>
      <c r="AM3268" s="3">
        <v>0</v>
      </c>
      <c r="AN3268" s="3">
        <v>0</v>
      </c>
      <c r="AO3268" s="3">
        <v>0</v>
      </c>
      <c r="AP3268" s="3">
        <v>0</v>
      </c>
      <c r="AQ3268" s="3">
        <v>0</v>
      </c>
      <c r="AR3268" s="3">
        <v>0</v>
      </c>
      <c r="AS3268" s="3">
        <v>0</v>
      </c>
      <c r="AT3268" s="3">
        <v>0</v>
      </c>
      <c r="AU3268" s="3">
        <v>0</v>
      </c>
      <c r="AV3268" s="3">
        <v>0</v>
      </c>
      <c r="AW3268" s="3">
        <v>0</v>
      </c>
      <c r="AX3268" s="3">
        <v>0</v>
      </c>
      <c r="AY3268" s="3">
        <v>0</v>
      </c>
      <c r="AZ3268" s="3">
        <v>0</v>
      </c>
      <c r="BA3268" s="3">
        <v>0</v>
      </c>
      <c r="BB3268" s="3">
        <v>0</v>
      </c>
      <c r="BC3268" s="3">
        <v>0</v>
      </c>
      <c r="BD3268" s="3">
        <v>0</v>
      </c>
      <c r="BE3268" s="3">
        <v>0</v>
      </c>
      <c r="BF3268" s="3">
        <v>0</v>
      </c>
      <c r="BG3268" s="3">
        <v>0</v>
      </c>
      <c r="BH3268" s="3">
        <v>1</v>
      </c>
      <c r="BI3268" s="3">
        <v>1</v>
      </c>
      <c r="BJ3268" s="3">
        <v>0.2</v>
      </c>
      <c r="BK3268" s="3">
        <v>1</v>
      </c>
      <c r="BL3268" s="3">
        <v>59</v>
      </c>
      <c r="BM3268" s="3">
        <v>8.85</v>
      </c>
      <c r="BN3268" s="3">
        <v>67.849999999999994</v>
      </c>
      <c r="BO3268" s="3">
        <v>67.849999999999994</v>
      </c>
      <c r="BQ3268" s="3" t="s">
        <v>89</v>
      </c>
      <c r="BR3268" s="3" t="s">
        <v>364</v>
      </c>
      <c r="BS3268" s="4">
        <v>44568</v>
      </c>
      <c r="BT3268" s="5">
        <v>0.51388888888888895</v>
      </c>
      <c r="BU3268" s="3" t="s">
        <v>2926</v>
      </c>
      <c r="BV3268" s="3" t="s">
        <v>87</v>
      </c>
      <c r="BW3268" s="3" t="s">
        <v>457</v>
      </c>
      <c r="BX3268" s="3" t="s">
        <v>279</v>
      </c>
      <c r="BY3268" s="3">
        <v>1200</v>
      </c>
      <c r="BZ3268" s="3" t="s">
        <v>165</v>
      </c>
      <c r="CA3268" s="3" t="s">
        <v>509</v>
      </c>
      <c r="CC3268" s="3" t="s">
        <v>172</v>
      </c>
      <c r="CD3268" s="3">
        <v>6001</v>
      </c>
      <c r="CE3268" s="3" t="s">
        <v>93</v>
      </c>
      <c r="CF3268" s="4">
        <v>44571</v>
      </c>
      <c r="CI3268" s="3">
        <v>1</v>
      </c>
      <c r="CJ3268" s="3">
        <v>1</v>
      </c>
      <c r="CK3268" s="3">
        <v>21</v>
      </c>
      <c r="CL3268" s="3" t="s">
        <v>87</v>
      </c>
    </row>
    <row r="3269" spans="1:90" x14ac:dyDescent="0.2">
      <c r="A3269" s="3" t="s">
        <v>72</v>
      </c>
      <c r="B3269" s="3" t="s">
        <v>73</v>
      </c>
      <c r="C3269" s="3" t="s">
        <v>74</v>
      </c>
      <c r="E3269" s="3" t="str">
        <f>"FES1162843736"</f>
        <v>FES1162843736</v>
      </c>
      <c r="F3269" s="4">
        <v>44567</v>
      </c>
      <c r="G3269" s="3">
        <v>202207</v>
      </c>
      <c r="H3269" s="3" t="s">
        <v>75</v>
      </c>
      <c r="I3269" s="3" t="s">
        <v>76</v>
      </c>
      <c r="J3269" s="3" t="s">
        <v>77</v>
      </c>
      <c r="K3269" s="3" t="s">
        <v>78</v>
      </c>
      <c r="L3269" s="3" t="s">
        <v>90</v>
      </c>
      <c r="M3269" s="3" t="s">
        <v>91</v>
      </c>
      <c r="N3269" s="3" t="s">
        <v>584</v>
      </c>
      <c r="O3269" s="3" t="s">
        <v>82</v>
      </c>
      <c r="P3269" s="3" t="str">
        <f>"2170813681                    "</f>
        <v xml:space="preserve">2170813681                    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0</v>
      </c>
      <c r="W3269" s="3">
        <v>0</v>
      </c>
      <c r="X3269" s="3">
        <v>0</v>
      </c>
      <c r="Y3269" s="3">
        <v>0</v>
      </c>
      <c r="Z3269" s="3">
        <v>0</v>
      </c>
      <c r="AA3269" s="3">
        <v>0</v>
      </c>
      <c r="AB3269" s="3">
        <v>0</v>
      </c>
      <c r="AC3269" s="3">
        <v>0</v>
      </c>
      <c r="AD3269" s="3">
        <v>0</v>
      </c>
      <c r="AE3269" s="3">
        <v>0</v>
      </c>
      <c r="AF3269" s="3">
        <v>0</v>
      </c>
      <c r="AG3269" s="3">
        <v>0</v>
      </c>
      <c r="AH3269" s="3">
        <v>0</v>
      </c>
      <c r="AI3269" s="3">
        <v>0</v>
      </c>
      <c r="AJ3269" s="3">
        <v>0</v>
      </c>
      <c r="AK3269" s="3">
        <v>15.46</v>
      </c>
      <c r="AL3269" s="3">
        <v>0</v>
      </c>
      <c r="AM3269" s="3">
        <v>0</v>
      </c>
      <c r="AN3269" s="3">
        <v>0</v>
      </c>
      <c r="AO3269" s="3">
        <v>0</v>
      </c>
      <c r="AP3269" s="3">
        <v>0</v>
      </c>
      <c r="AQ3269" s="3">
        <v>0</v>
      </c>
      <c r="AR3269" s="3">
        <v>0</v>
      </c>
      <c r="AS3269" s="3">
        <v>0</v>
      </c>
      <c r="AT3269" s="3">
        <v>0</v>
      </c>
      <c r="AU3269" s="3">
        <v>0</v>
      </c>
      <c r="AV3269" s="3">
        <v>0</v>
      </c>
      <c r="AW3269" s="3">
        <v>0</v>
      </c>
      <c r="AX3269" s="3">
        <v>0</v>
      </c>
      <c r="AY3269" s="3">
        <v>0</v>
      </c>
      <c r="AZ3269" s="3">
        <v>0</v>
      </c>
      <c r="BA3269" s="3">
        <v>0</v>
      </c>
      <c r="BB3269" s="3">
        <v>0</v>
      </c>
      <c r="BC3269" s="3">
        <v>0</v>
      </c>
      <c r="BD3269" s="3">
        <v>0</v>
      </c>
      <c r="BE3269" s="3">
        <v>0</v>
      </c>
      <c r="BF3269" s="3">
        <v>0</v>
      </c>
      <c r="BG3269" s="3">
        <v>0</v>
      </c>
      <c r="BH3269" s="3">
        <v>1</v>
      </c>
      <c r="BI3269" s="3">
        <v>1</v>
      </c>
      <c r="BJ3269" s="3">
        <v>0.2</v>
      </c>
      <c r="BK3269" s="3">
        <v>1</v>
      </c>
      <c r="BL3269" s="3">
        <v>59</v>
      </c>
      <c r="BM3269" s="3">
        <v>8.85</v>
      </c>
      <c r="BN3269" s="3">
        <v>67.849999999999994</v>
      </c>
      <c r="BO3269" s="3">
        <v>67.849999999999994</v>
      </c>
      <c r="BQ3269" s="3" t="s">
        <v>83</v>
      </c>
      <c r="BR3269" s="3" t="s">
        <v>364</v>
      </c>
      <c r="BS3269" s="4">
        <v>44568</v>
      </c>
      <c r="BT3269" s="5">
        <v>0.34513888888888888</v>
      </c>
      <c r="BU3269" s="3" t="s">
        <v>959</v>
      </c>
      <c r="BV3269" s="3" t="s">
        <v>105</v>
      </c>
      <c r="BY3269" s="3">
        <v>1200</v>
      </c>
      <c r="BZ3269" s="3" t="s">
        <v>165</v>
      </c>
      <c r="CA3269" s="3" t="s">
        <v>543</v>
      </c>
      <c r="CC3269" s="3" t="s">
        <v>91</v>
      </c>
      <c r="CD3269" s="3">
        <v>7530</v>
      </c>
      <c r="CE3269" s="3" t="s">
        <v>93</v>
      </c>
      <c r="CF3269" s="4">
        <v>44571</v>
      </c>
      <c r="CI3269" s="3">
        <v>1</v>
      </c>
      <c r="CJ3269" s="3">
        <v>1</v>
      </c>
      <c r="CK3269" s="3">
        <v>21</v>
      </c>
      <c r="CL3269" s="3" t="s">
        <v>87</v>
      </c>
    </row>
    <row r="3270" spans="1:90" x14ac:dyDescent="0.2">
      <c r="A3270" s="3" t="s">
        <v>72</v>
      </c>
      <c r="B3270" s="3" t="s">
        <v>73</v>
      </c>
      <c r="C3270" s="3" t="s">
        <v>74</v>
      </c>
      <c r="E3270" s="3" t="str">
        <f>"FES1162843852"</f>
        <v>FES1162843852</v>
      </c>
      <c r="F3270" s="4">
        <v>44567</v>
      </c>
      <c r="G3270" s="3">
        <v>202207</v>
      </c>
      <c r="H3270" s="3" t="s">
        <v>75</v>
      </c>
      <c r="I3270" s="3" t="s">
        <v>76</v>
      </c>
      <c r="J3270" s="3" t="s">
        <v>77</v>
      </c>
      <c r="K3270" s="3" t="s">
        <v>78</v>
      </c>
      <c r="L3270" s="3" t="s">
        <v>142</v>
      </c>
      <c r="M3270" s="3" t="s">
        <v>143</v>
      </c>
      <c r="N3270" s="3" t="s">
        <v>337</v>
      </c>
      <c r="O3270" s="3" t="s">
        <v>82</v>
      </c>
      <c r="P3270" s="3" t="str">
        <f>"2170815779                    "</f>
        <v xml:space="preserve">2170815779                    </v>
      </c>
      <c r="Q3270" s="3">
        <v>0</v>
      </c>
      <c r="R3270" s="3">
        <v>0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  <c r="AE3270" s="3">
        <v>0</v>
      </c>
      <c r="AF3270" s="3">
        <v>0</v>
      </c>
      <c r="AG3270" s="3">
        <v>0</v>
      </c>
      <c r="AH3270" s="3">
        <v>0</v>
      </c>
      <c r="AI3270" s="3">
        <v>0</v>
      </c>
      <c r="AJ3270" s="3">
        <v>0</v>
      </c>
      <c r="AK3270" s="3">
        <v>12.07</v>
      </c>
      <c r="AL3270" s="3">
        <v>0</v>
      </c>
      <c r="AM3270" s="3">
        <v>0</v>
      </c>
      <c r="AN3270" s="3">
        <v>0</v>
      </c>
      <c r="AO3270" s="3">
        <v>0</v>
      </c>
      <c r="AP3270" s="3">
        <v>0</v>
      </c>
      <c r="AQ3270" s="3">
        <v>0</v>
      </c>
      <c r="AR3270" s="3">
        <v>0</v>
      </c>
      <c r="AS3270" s="3">
        <v>0</v>
      </c>
      <c r="AT3270" s="3">
        <v>0</v>
      </c>
      <c r="AU3270" s="3">
        <v>0</v>
      </c>
      <c r="AV3270" s="3">
        <v>0</v>
      </c>
      <c r="AW3270" s="3">
        <v>0</v>
      </c>
      <c r="AX3270" s="3">
        <v>0</v>
      </c>
      <c r="AY3270" s="3">
        <v>0</v>
      </c>
      <c r="AZ3270" s="3">
        <v>0</v>
      </c>
      <c r="BA3270" s="3">
        <v>0</v>
      </c>
      <c r="BB3270" s="3">
        <v>0</v>
      </c>
      <c r="BC3270" s="3">
        <v>0</v>
      </c>
      <c r="BD3270" s="3">
        <v>0</v>
      </c>
      <c r="BE3270" s="3">
        <v>0</v>
      </c>
      <c r="BF3270" s="3">
        <v>0</v>
      </c>
      <c r="BG3270" s="3">
        <v>0</v>
      </c>
      <c r="BH3270" s="3">
        <v>1</v>
      </c>
      <c r="BI3270" s="3">
        <v>1</v>
      </c>
      <c r="BJ3270" s="3">
        <v>0.6</v>
      </c>
      <c r="BK3270" s="3">
        <v>1</v>
      </c>
      <c r="BL3270" s="3">
        <v>46.08</v>
      </c>
      <c r="BM3270" s="3">
        <v>6.91</v>
      </c>
      <c r="BN3270" s="3">
        <v>52.99</v>
      </c>
      <c r="BO3270" s="3">
        <v>52.99</v>
      </c>
      <c r="BQ3270" s="3" t="s">
        <v>89</v>
      </c>
      <c r="BR3270" s="3" t="s">
        <v>364</v>
      </c>
      <c r="BS3270" s="4">
        <v>44568</v>
      </c>
      <c r="BT3270" s="5">
        <v>0.36944444444444446</v>
      </c>
      <c r="BU3270" s="3" t="s">
        <v>2913</v>
      </c>
      <c r="BV3270" s="3" t="s">
        <v>105</v>
      </c>
      <c r="BY3270" s="3">
        <v>2900</v>
      </c>
      <c r="BZ3270" s="3" t="s">
        <v>165</v>
      </c>
      <c r="CA3270" s="3" t="s">
        <v>1624</v>
      </c>
      <c r="CC3270" s="3" t="s">
        <v>143</v>
      </c>
      <c r="CD3270" s="3">
        <v>1451</v>
      </c>
      <c r="CE3270" s="3" t="s">
        <v>86</v>
      </c>
      <c r="CF3270" s="4">
        <v>44568</v>
      </c>
      <c r="CI3270" s="3">
        <v>1</v>
      </c>
      <c r="CJ3270" s="3">
        <v>1</v>
      </c>
      <c r="CK3270" s="3">
        <v>22</v>
      </c>
      <c r="CL3270" s="3" t="s">
        <v>87</v>
      </c>
    </row>
    <row r="3271" spans="1:90" x14ac:dyDescent="0.2">
      <c r="A3271" s="3" t="s">
        <v>72</v>
      </c>
      <c r="B3271" s="3" t="s">
        <v>73</v>
      </c>
      <c r="C3271" s="3" t="s">
        <v>74</v>
      </c>
      <c r="E3271" s="3" t="str">
        <f>"FES1162843686"</f>
        <v>FES1162843686</v>
      </c>
      <c r="F3271" s="4">
        <v>44567</v>
      </c>
      <c r="G3271" s="3">
        <v>202207</v>
      </c>
      <c r="H3271" s="3" t="s">
        <v>75</v>
      </c>
      <c r="I3271" s="3" t="s">
        <v>76</v>
      </c>
      <c r="J3271" s="3" t="s">
        <v>77</v>
      </c>
      <c r="K3271" s="3" t="s">
        <v>78</v>
      </c>
      <c r="L3271" s="3" t="s">
        <v>110</v>
      </c>
      <c r="M3271" s="3" t="s">
        <v>110</v>
      </c>
      <c r="N3271" s="3" t="s">
        <v>2927</v>
      </c>
      <c r="O3271" s="3" t="s">
        <v>82</v>
      </c>
      <c r="P3271" s="3" t="str">
        <f>"2170854389                    "</f>
        <v xml:space="preserve">2170854389                    </v>
      </c>
      <c r="Q3271" s="3">
        <v>0</v>
      </c>
      <c r="R3271" s="3">
        <v>0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  <c r="AE3271" s="3">
        <v>0</v>
      </c>
      <c r="AF3271" s="3">
        <v>0</v>
      </c>
      <c r="AG3271" s="3">
        <v>0</v>
      </c>
      <c r="AH3271" s="3">
        <v>0</v>
      </c>
      <c r="AI3271" s="3">
        <v>0</v>
      </c>
      <c r="AJ3271" s="3">
        <v>0</v>
      </c>
      <c r="AK3271" s="3">
        <v>29.95</v>
      </c>
      <c r="AL3271" s="3">
        <v>0</v>
      </c>
      <c r="AM3271" s="3">
        <v>0</v>
      </c>
      <c r="AN3271" s="3">
        <v>0</v>
      </c>
      <c r="AO3271" s="3">
        <v>0</v>
      </c>
      <c r="AP3271" s="3">
        <v>0</v>
      </c>
      <c r="AQ3271" s="3">
        <v>0</v>
      </c>
      <c r="AR3271" s="3">
        <v>0</v>
      </c>
      <c r="AS3271" s="3">
        <v>0</v>
      </c>
      <c r="AT3271" s="3">
        <v>0</v>
      </c>
      <c r="AU3271" s="3">
        <v>0</v>
      </c>
      <c r="AV3271" s="3">
        <v>0</v>
      </c>
      <c r="AW3271" s="3">
        <v>0</v>
      </c>
      <c r="AX3271" s="3">
        <v>0</v>
      </c>
      <c r="AY3271" s="3">
        <v>0</v>
      </c>
      <c r="AZ3271" s="3">
        <v>0</v>
      </c>
      <c r="BA3271" s="3">
        <v>0</v>
      </c>
      <c r="BB3271" s="3">
        <v>0</v>
      </c>
      <c r="BC3271" s="3">
        <v>0</v>
      </c>
      <c r="BD3271" s="3">
        <v>0</v>
      </c>
      <c r="BE3271" s="3">
        <v>0</v>
      </c>
      <c r="BF3271" s="3">
        <v>0</v>
      </c>
      <c r="BG3271" s="3">
        <v>0</v>
      </c>
      <c r="BH3271" s="3">
        <v>1</v>
      </c>
      <c r="BI3271" s="3">
        <v>1</v>
      </c>
      <c r="BJ3271" s="3">
        <v>0.2</v>
      </c>
      <c r="BK3271" s="3">
        <v>1</v>
      </c>
      <c r="BL3271" s="3">
        <v>114.31</v>
      </c>
      <c r="BM3271" s="3">
        <v>17.149999999999999</v>
      </c>
      <c r="BN3271" s="3">
        <v>131.46</v>
      </c>
      <c r="BO3271" s="3">
        <v>131.46</v>
      </c>
      <c r="BQ3271" s="3" t="s">
        <v>89</v>
      </c>
      <c r="BR3271" s="3" t="s">
        <v>364</v>
      </c>
      <c r="BS3271" s="4">
        <v>44568</v>
      </c>
      <c r="BT3271" s="5">
        <v>0.47361111111111115</v>
      </c>
      <c r="BU3271" s="3" t="s">
        <v>889</v>
      </c>
      <c r="BV3271" s="3" t="s">
        <v>105</v>
      </c>
      <c r="BY3271" s="3">
        <v>1200</v>
      </c>
      <c r="BZ3271" s="3" t="s">
        <v>165</v>
      </c>
      <c r="CA3271" s="3" t="s">
        <v>360</v>
      </c>
      <c r="CC3271" s="3" t="s">
        <v>110</v>
      </c>
      <c r="CD3271" s="3">
        <v>7646</v>
      </c>
      <c r="CE3271" s="3" t="s">
        <v>93</v>
      </c>
      <c r="CF3271" s="4">
        <v>44571</v>
      </c>
      <c r="CI3271" s="3">
        <v>1</v>
      </c>
      <c r="CJ3271" s="3">
        <v>1</v>
      </c>
      <c r="CK3271" s="3">
        <v>23</v>
      </c>
      <c r="CL3271" s="3" t="s">
        <v>87</v>
      </c>
    </row>
    <row r="3272" spans="1:90" x14ac:dyDescent="0.2">
      <c r="A3272" s="3" t="s">
        <v>72</v>
      </c>
      <c r="B3272" s="3" t="s">
        <v>73</v>
      </c>
      <c r="C3272" s="3" t="s">
        <v>74</v>
      </c>
      <c r="E3272" s="3" t="str">
        <f>"FES1162843676"</f>
        <v>FES1162843676</v>
      </c>
      <c r="F3272" s="4">
        <v>44567</v>
      </c>
      <c r="G3272" s="3">
        <v>202207</v>
      </c>
      <c r="H3272" s="3" t="s">
        <v>75</v>
      </c>
      <c r="I3272" s="3" t="s">
        <v>76</v>
      </c>
      <c r="J3272" s="3" t="s">
        <v>77</v>
      </c>
      <c r="K3272" s="3" t="s">
        <v>78</v>
      </c>
      <c r="L3272" s="3" t="s">
        <v>529</v>
      </c>
      <c r="M3272" s="3" t="s">
        <v>530</v>
      </c>
      <c r="N3272" s="3" t="s">
        <v>531</v>
      </c>
      <c r="O3272" s="3" t="s">
        <v>82</v>
      </c>
      <c r="P3272" s="3" t="str">
        <f>"21708142588                   "</f>
        <v xml:space="preserve">21708142588                   </v>
      </c>
      <c r="Q3272" s="3">
        <v>0</v>
      </c>
      <c r="R3272" s="3">
        <v>0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  <c r="AE3272" s="3">
        <v>0</v>
      </c>
      <c r="AF3272" s="3">
        <v>0</v>
      </c>
      <c r="AG3272" s="3">
        <v>0</v>
      </c>
      <c r="AH3272" s="3">
        <v>0</v>
      </c>
      <c r="AI3272" s="3">
        <v>0</v>
      </c>
      <c r="AJ3272" s="3">
        <v>0</v>
      </c>
      <c r="AK3272" s="3">
        <v>29.95</v>
      </c>
      <c r="AL3272" s="3">
        <v>0</v>
      </c>
      <c r="AM3272" s="3">
        <v>0</v>
      </c>
      <c r="AN3272" s="3">
        <v>0</v>
      </c>
      <c r="AO3272" s="3">
        <v>0</v>
      </c>
      <c r="AP3272" s="3">
        <v>0</v>
      </c>
      <c r="AQ3272" s="3">
        <v>0</v>
      </c>
      <c r="AR3272" s="3">
        <v>0</v>
      </c>
      <c r="AS3272" s="3">
        <v>0</v>
      </c>
      <c r="AT3272" s="3">
        <v>0</v>
      </c>
      <c r="AU3272" s="3">
        <v>0</v>
      </c>
      <c r="AV3272" s="3">
        <v>0</v>
      </c>
      <c r="AW3272" s="3">
        <v>0</v>
      </c>
      <c r="AX3272" s="3">
        <v>0</v>
      </c>
      <c r="AY3272" s="3">
        <v>0</v>
      </c>
      <c r="AZ3272" s="3">
        <v>0</v>
      </c>
      <c r="BA3272" s="3">
        <v>0</v>
      </c>
      <c r="BB3272" s="3">
        <v>0</v>
      </c>
      <c r="BC3272" s="3">
        <v>0</v>
      </c>
      <c r="BD3272" s="3">
        <v>0</v>
      </c>
      <c r="BE3272" s="3">
        <v>0</v>
      </c>
      <c r="BF3272" s="3">
        <v>0</v>
      </c>
      <c r="BG3272" s="3">
        <v>0</v>
      </c>
      <c r="BH3272" s="3">
        <v>1</v>
      </c>
      <c r="BI3272" s="3">
        <v>1</v>
      </c>
      <c r="BJ3272" s="3">
        <v>0.2</v>
      </c>
      <c r="BK3272" s="3">
        <v>1</v>
      </c>
      <c r="BL3272" s="3">
        <v>114.31</v>
      </c>
      <c r="BM3272" s="3">
        <v>17.149999999999999</v>
      </c>
      <c r="BN3272" s="3">
        <v>131.46</v>
      </c>
      <c r="BO3272" s="3">
        <v>131.46</v>
      </c>
      <c r="BQ3272" s="3" t="s">
        <v>83</v>
      </c>
      <c r="BR3272" s="3" t="s">
        <v>364</v>
      </c>
      <c r="BS3272" s="4">
        <v>44568</v>
      </c>
      <c r="BT3272" s="5">
        <v>0.56527777777777777</v>
      </c>
      <c r="BU3272" s="3" t="s">
        <v>826</v>
      </c>
      <c r="BV3272" s="3" t="s">
        <v>105</v>
      </c>
      <c r="BY3272" s="3">
        <v>1200</v>
      </c>
      <c r="BZ3272" s="3" t="s">
        <v>165</v>
      </c>
      <c r="CA3272" s="3" t="s">
        <v>328</v>
      </c>
      <c r="CC3272" s="3" t="s">
        <v>530</v>
      </c>
      <c r="CD3272" s="3">
        <v>6500</v>
      </c>
      <c r="CE3272" s="3" t="s">
        <v>93</v>
      </c>
      <c r="CF3272" s="4">
        <v>44568</v>
      </c>
      <c r="CI3272" s="3">
        <v>1</v>
      </c>
      <c r="CJ3272" s="3">
        <v>1</v>
      </c>
      <c r="CK3272" s="3">
        <v>23</v>
      </c>
      <c r="CL3272" s="3" t="s">
        <v>87</v>
      </c>
    </row>
    <row r="3273" spans="1:90" x14ac:dyDescent="0.2">
      <c r="A3273" s="3" t="s">
        <v>72</v>
      </c>
      <c r="B3273" s="3" t="s">
        <v>73</v>
      </c>
      <c r="C3273" s="3" t="s">
        <v>74</v>
      </c>
      <c r="E3273" s="3" t="str">
        <f>"FES1162843720"</f>
        <v>FES1162843720</v>
      </c>
      <c r="F3273" s="4">
        <v>44567</v>
      </c>
      <c r="G3273" s="3">
        <v>202207</v>
      </c>
      <c r="H3273" s="3" t="s">
        <v>75</v>
      </c>
      <c r="I3273" s="3" t="s">
        <v>76</v>
      </c>
      <c r="J3273" s="3" t="s">
        <v>77</v>
      </c>
      <c r="K3273" s="3" t="s">
        <v>78</v>
      </c>
      <c r="L3273" s="3" t="s">
        <v>171</v>
      </c>
      <c r="M3273" s="3" t="s">
        <v>172</v>
      </c>
      <c r="N3273" s="3" t="s">
        <v>235</v>
      </c>
      <c r="O3273" s="3" t="s">
        <v>82</v>
      </c>
      <c r="P3273" s="3" t="str">
        <f>"2170811964                    "</f>
        <v xml:space="preserve">2170811964                    </v>
      </c>
      <c r="Q3273" s="3">
        <v>0</v>
      </c>
      <c r="R3273" s="3">
        <v>0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  <c r="AE3273" s="3">
        <v>0</v>
      </c>
      <c r="AF3273" s="3">
        <v>0</v>
      </c>
      <c r="AG3273" s="3">
        <v>0</v>
      </c>
      <c r="AH3273" s="3">
        <v>0</v>
      </c>
      <c r="AI3273" s="3">
        <v>0</v>
      </c>
      <c r="AJ3273" s="3">
        <v>0</v>
      </c>
      <c r="AK3273" s="3">
        <v>15.46</v>
      </c>
      <c r="AL3273" s="3">
        <v>0</v>
      </c>
      <c r="AM3273" s="3">
        <v>0</v>
      </c>
      <c r="AN3273" s="3">
        <v>0</v>
      </c>
      <c r="AO3273" s="3">
        <v>0</v>
      </c>
      <c r="AP3273" s="3">
        <v>0</v>
      </c>
      <c r="AQ3273" s="3">
        <v>0</v>
      </c>
      <c r="AR3273" s="3">
        <v>0</v>
      </c>
      <c r="AS3273" s="3">
        <v>0</v>
      </c>
      <c r="AT3273" s="3">
        <v>0</v>
      </c>
      <c r="AU3273" s="3">
        <v>0</v>
      </c>
      <c r="AV3273" s="3">
        <v>0</v>
      </c>
      <c r="AW3273" s="3">
        <v>0</v>
      </c>
      <c r="AX3273" s="3">
        <v>0</v>
      </c>
      <c r="AY3273" s="3">
        <v>0</v>
      </c>
      <c r="AZ3273" s="3">
        <v>0</v>
      </c>
      <c r="BA3273" s="3">
        <v>0</v>
      </c>
      <c r="BB3273" s="3">
        <v>0</v>
      </c>
      <c r="BC3273" s="3">
        <v>0</v>
      </c>
      <c r="BD3273" s="3">
        <v>0</v>
      </c>
      <c r="BE3273" s="3">
        <v>0</v>
      </c>
      <c r="BF3273" s="3">
        <v>0</v>
      </c>
      <c r="BG3273" s="3">
        <v>0</v>
      </c>
      <c r="BH3273" s="3">
        <v>1</v>
      </c>
      <c r="BI3273" s="3">
        <v>1</v>
      </c>
      <c r="BJ3273" s="3">
        <v>0.2</v>
      </c>
      <c r="BK3273" s="3">
        <v>1</v>
      </c>
      <c r="BL3273" s="3">
        <v>59</v>
      </c>
      <c r="BM3273" s="3">
        <v>8.85</v>
      </c>
      <c r="BN3273" s="3">
        <v>67.849999999999994</v>
      </c>
      <c r="BO3273" s="3">
        <v>67.849999999999994</v>
      </c>
      <c r="BQ3273" s="3" t="s">
        <v>83</v>
      </c>
      <c r="BR3273" s="3" t="s">
        <v>364</v>
      </c>
      <c r="BS3273" s="4">
        <v>44568</v>
      </c>
      <c r="BT3273" s="5">
        <v>0.41805555555555557</v>
      </c>
      <c r="BU3273" s="3" t="s">
        <v>1488</v>
      </c>
      <c r="BV3273" s="3" t="s">
        <v>105</v>
      </c>
      <c r="BY3273" s="3">
        <v>1200</v>
      </c>
      <c r="BZ3273" s="3" t="s">
        <v>165</v>
      </c>
      <c r="CA3273" s="3" t="s">
        <v>263</v>
      </c>
      <c r="CC3273" s="3" t="s">
        <v>172</v>
      </c>
      <c r="CD3273" s="3">
        <v>6001</v>
      </c>
      <c r="CE3273" s="3" t="s">
        <v>93</v>
      </c>
      <c r="CF3273" s="4">
        <v>44571</v>
      </c>
      <c r="CI3273" s="3">
        <v>1</v>
      </c>
      <c r="CJ3273" s="3">
        <v>1</v>
      </c>
      <c r="CK3273" s="3">
        <v>21</v>
      </c>
      <c r="CL3273" s="3" t="s">
        <v>87</v>
      </c>
    </row>
    <row r="3274" spans="1:90" x14ac:dyDescent="0.2">
      <c r="A3274" s="3" t="s">
        <v>72</v>
      </c>
      <c r="B3274" s="3" t="s">
        <v>73</v>
      </c>
      <c r="C3274" s="3" t="s">
        <v>74</v>
      </c>
      <c r="E3274" s="3" t="str">
        <f>"FES1162843723"</f>
        <v>FES1162843723</v>
      </c>
      <c r="F3274" s="4">
        <v>44567</v>
      </c>
      <c r="G3274" s="3">
        <v>202207</v>
      </c>
      <c r="H3274" s="3" t="s">
        <v>75</v>
      </c>
      <c r="I3274" s="3" t="s">
        <v>76</v>
      </c>
      <c r="J3274" s="3" t="s">
        <v>77</v>
      </c>
      <c r="K3274" s="3" t="s">
        <v>78</v>
      </c>
      <c r="L3274" s="3" t="s">
        <v>101</v>
      </c>
      <c r="M3274" s="3" t="s">
        <v>102</v>
      </c>
      <c r="N3274" s="3" t="s">
        <v>272</v>
      </c>
      <c r="O3274" s="3" t="s">
        <v>82</v>
      </c>
      <c r="P3274" s="3" t="str">
        <f>"2170813066                    "</f>
        <v xml:space="preserve">2170813066                    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  <c r="AE3274" s="3">
        <v>0</v>
      </c>
      <c r="AF3274" s="3">
        <v>0</v>
      </c>
      <c r="AG3274" s="3">
        <v>0</v>
      </c>
      <c r="AH3274" s="3">
        <v>0</v>
      </c>
      <c r="AI3274" s="3">
        <v>0</v>
      </c>
      <c r="AJ3274" s="3">
        <v>0</v>
      </c>
      <c r="AK3274" s="3">
        <v>15.46</v>
      </c>
      <c r="AL3274" s="3">
        <v>0</v>
      </c>
      <c r="AM3274" s="3">
        <v>0</v>
      </c>
      <c r="AN3274" s="3">
        <v>0</v>
      </c>
      <c r="AO3274" s="3">
        <v>0</v>
      </c>
      <c r="AP3274" s="3">
        <v>0</v>
      </c>
      <c r="AQ3274" s="3">
        <v>0</v>
      </c>
      <c r="AR3274" s="3">
        <v>0</v>
      </c>
      <c r="AS3274" s="3">
        <v>0</v>
      </c>
      <c r="AT3274" s="3">
        <v>0</v>
      </c>
      <c r="AU3274" s="3">
        <v>0</v>
      </c>
      <c r="AV3274" s="3">
        <v>0</v>
      </c>
      <c r="AW3274" s="3">
        <v>0</v>
      </c>
      <c r="AX3274" s="3">
        <v>0</v>
      </c>
      <c r="AY3274" s="3">
        <v>0</v>
      </c>
      <c r="AZ3274" s="3">
        <v>0</v>
      </c>
      <c r="BA3274" s="3">
        <v>0</v>
      </c>
      <c r="BB3274" s="3">
        <v>0</v>
      </c>
      <c r="BC3274" s="3">
        <v>0</v>
      </c>
      <c r="BD3274" s="3">
        <v>0</v>
      </c>
      <c r="BE3274" s="3">
        <v>0</v>
      </c>
      <c r="BF3274" s="3">
        <v>0</v>
      </c>
      <c r="BG3274" s="3">
        <v>0</v>
      </c>
      <c r="BH3274" s="3">
        <v>1</v>
      </c>
      <c r="BI3274" s="3">
        <v>1</v>
      </c>
      <c r="BJ3274" s="3">
        <v>0.2</v>
      </c>
      <c r="BK3274" s="3">
        <v>1</v>
      </c>
      <c r="BL3274" s="3">
        <v>59</v>
      </c>
      <c r="BM3274" s="3">
        <v>8.85</v>
      </c>
      <c r="BN3274" s="3">
        <v>67.849999999999994</v>
      </c>
      <c r="BO3274" s="3">
        <v>67.849999999999994</v>
      </c>
      <c r="BQ3274" s="3" t="s">
        <v>273</v>
      </c>
      <c r="BR3274" s="3" t="s">
        <v>364</v>
      </c>
      <c r="BS3274" s="4">
        <v>44568</v>
      </c>
      <c r="BT3274" s="5">
        <v>0.42499999999999999</v>
      </c>
      <c r="BU3274" s="3" t="s">
        <v>2147</v>
      </c>
      <c r="BV3274" s="3" t="s">
        <v>105</v>
      </c>
      <c r="BY3274" s="3">
        <v>1200</v>
      </c>
      <c r="BZ3274" s="3" t="s">
        <v>165</v>
      </c>
      <c r="CA3274" s="3" t="s">
        <v>2148</v>
      </c>
      <c r="CC3274" s="3" t="s">
        <v>102</v>
      </c>
      <c r="CD3274" s="3">
        <v>4000</v>
      </c>
      <c r="CE3274" s="3" t="s">
        <v>93</v>
      </c>
      <c r="CF3274" s="4">
        <v>44568</v>
      </c>
      <c r="CI3274" s="3">
        <v>1</v>
      </c>
      <c r="CJ3274" s="3">
        <v>1</v>
      </c>
      <c r="CK3274" s="3">
        <v>21</v>
      </c>
      <c r="CL3274" s="3" t="s">
        <v>87</v>
      </c>
    </row>
    <row r="3275" spans="1:90" x14ac:dyDescent="0.2">
      <c r="A3275" s="3" t="s">
        <v>72</v>
      </c>
      <c r="B3275" s="3" t="s">
        <v>73</v>
      </c>
      <c r="C3275" s="3" t="s">
        <v>74</v>
      </c>
      <c r="E3275" s="3" t="str">
        <f>"FES1162843641"</f>
        <v>FES1162843641</v>
      </c>
      <c r="F3275" s="4">
        <v>44567</v>
      </c>
      <c r="G3275" s="3">
        <v>202207</v>
      </c>
      <c r="H3275" s="3" t="s">
        <v>75</v>
      </c>
      <c r="I3275" s="3" t="s">
        <v>76</v>
      </c>
      <c r="J3275" s="3" t="s">
        <v>77</v>
      </c>
      <c r="K3275" s="3" t="s">
        <v>78</v>
      </c>
      <c r="L3275" s="3" t="s">
        <v>176</v>
      </c>
      <c r="M3275" s="3" t="s">
        <v>177</v>
      </c>
      <c r="N3275" s="3" t="s">
        <v>714</v>
      </c>
      <c r="O3275" s="3" t="s">
        <v>82</v>
      </c>
      <c r="P3275" s="3" t="str">
        <f>"2170808748                    "</f>
        <v xml:space="preserve">2170808748                    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  <c r="AE3275" s="3">
        <v>0</v>
      </c>
      <c r="AF3275" s="3">
        <v>0</v>
      </c>
      <c r="AG3275" s="3">
        <v>0</v>
      </c>
      <c r="AH3275" s="3">
        <v>0</v>
      </c>
      <c r="AI3275" s="3">
        <v>0</v>
      </c>
      <c r="AJ3275" s="3">
        <v>0</v>
      </c>
      <c r="AK3275" s="3">
        <v>15.46</v>
      </c>
      <c r="AL3275" s="3">
        <v>0</v>
      </c>
      <c r="AM3275" s="3">
        <v>0</v>
      </c>
      <c r="AN3275" s="3">
        <v>0</v>
      </c>
      <c r="AO3275" s="3">
        <v>0</v>
      </c>
      <c r="AP3275" s="3">
        <v>0</v>
      </c>
      <c r="AQ3275" s="3">
        <v>0</v>
      </c>
      <c r="AR3275" s="3">
        <v>0</v>
      </c>
      <c r="AS3275" s="3">
        <v>0</v>
      </c>
      <c r="AT3275" s="3">
        <v>0</v>
      </c>
      <c r="AU3275" s="3">
        <v>0</v>
      </c>
      <c r="AV3275" s="3">
        <v>0</v>
      </c>
      <c r="AW3275" s="3">
        <v>0</v>
      </c>
      <c r="AX3275" s="3">
        <v>0</v>
      </c>
      <c r="AY3275" s="3">
        <v>0</v>
      </c>
      <c r="AZ3275" s="3">
        <v>0</v>
      </c>
      <c r="BA3275" s="3">
        <v>0</v>
      </c>
      <c r="BB3275" s="3">
        <v>0</v>
      </c>
      <c r="BC3275" s="3">
        <v>0</v>
      </c>
      <c r="BD3275" s="3">
        <v>0</v>
      </c>
      <c r="BE3275" s="3">
        <v>0</v>
      </c>
      <c r="BF3275" s="3">
        <v>0</v>
      </c>
      <c r="BG3275" s="3">
        <v>0</v>
      </c>
      <c r="BH3275" s="3">
        <v>1</v>
      </c>
      <c r="BI3275" s="3">
        <v>1</v>
      </c>
      <c r="BJ3275" s="3">
        <v>0.2</v>
      </c>
      <c r="BK3275" s="3">
        <v>1</v>
      </c>
      <c r="BL3275" s="3">
        <v>59</v>
      </c>
      <c r="BM3275" s="3">
        <v>8.85</v>
      </c>
      <c r="BN3275" s="3">
        <v>67.849999999999994</v>
      </c>
      <c r="BO3275" s="3">
        <v>67.849999999999994</v>
      </c>
      <c r="BQ3275" s="3" t="s">
        <v>83</v>
      </c>
      <c r="BR3275" s="3" t="s">
        <v>364</v>
      </c>
      <c r="BS3275" s="4">
        <v>44568</v>
      </c>
      <c r="BT3275" s="5">
        <v>0.4604166666666667</v>
      </c>
      <c r="BU3275" s="3" t="s">
        <v>2928</v>
      </c>
      <c r="BV3275" s="3" t="s">
        <v>87</v>
      </c>
      <c r="BW3275" s="3" t="s">
        <v>579</v>
      </c>
      <c r="BX3275" s="3" t="s">
        <v>2578</v>
      </c>
      <c r="BY3275" s="3">
        <v>1200</v>
      </c>
      <c r="BZ3275" s="3" t="s">
        <v>165</v>
      </c>
      <c r="CA3275" s="3" t="s">
        <v>339</v>
      </c>
      <c r="CC3275" s="3" t="s">
        <v>177</v>
      </c>
      <c r="CD3275" s="3">
        <v>4026</v>
      </c>
      <c r="CE3275" s="3" t="s">
        <v>93</v>
      </c>
      <c r="CF3275" s="4">
        <v>44571</v>
      </c>
      <c r="CI3275" s="3">
        <v>1</v>
      </c>
      <c r="CJ3275" s="3">
        <v>1</v>
      </c>
      <c r="CK3275" s="3">
        <v>21</v>
      </c>
      <c r="CL3275" s="3" t="s">
        <v>87</v>
      </c>
    </row>
    <row r="3276" spans="1:90" x14ac:dyDescent="0.2">
      <c r="A3276" s="3" t="s">
        <v>72</v>
      </c>
      <c r="B3276" s="3" t="s">
        <v>73</v>
      </c>
      <c r="C3276" s="3" t="s">
        <v>74</v>
      </c>
      <c r="E3276" s="3" t="str">
        <f>"FES1162843771"</f>
        <v>FES1162843771</v>
      </c>
      <c r="F3276" s="4">
        <v>44567</v>
      </c>
      <c r="G3276" s="3">
        <v>202207</v>
      </c>
      <c r="H3276" s="3" t="s">
        <v>75</v>
      </c>
      <c r="I3276" s="3" t="s">
        <v>76</v>
      </c>
      <c r="J3276" s="3" t="s">
        <v>77</v>
      </c>
      <c r="K3276" s="3" t="s">
        <v>78</v>
      </c>
      <c r="L3276" s="3" t="s">
        <v>101</v>
      </c>
      <c r="M3276" s="3" t="s">
        <v>102</v>
      </c>
      <c r="N3276" s="3" t="s">
        <v>272</v>
      </c>
      <c r="O3276" s="3" t="s">
        <v>82</v>
      </c>
      <c r="P3276" s="3" t="str">
        <f>"2170815049                    "</f>
        <v xml:space="preserve">2170815049                    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  <c r="AE3276" s="3">
        <v>0</v>
      </c>
      <c r="AF3276" s="3">
        <v>0</v>
      </c>
      <c r="AG3276" s="3">
        <v>0</v>
      </c>
      <c r="AH3276" s="3">
        <v>0</v>
      </c>
      <c r="AI3276" s="3">
        <v>0</v>
      </c>
      <c r="AJ3276" s="3">
        <v>0</v>
      </c>
      <c r="AK3276" s="3">
        <v>15.46</v>
      </c>
      <c r="AL3276" s="3">
        <v>0</v>
      </c>
      <c r="AM3276" s="3">
        <v>0</v>
      </c>
      <c r="AN3276" s="3">
        <v>0</v>
      </c>
      <c r="AO3276" s="3">
        <v>0</v>
      </c>
      <c r="AP3276" s="3">
        <v>0</v>
      </c>
      <c r="AQ3276" s="3">
        <v>0</v>
      </c>
      <c r="AR3276" s="3">
        <v>0</v>
      </c>
      <c r="AS3276" s="3">
        <v>0</v>
      </c>
      <c r="AT3276" s="3">
        <v>0</v>
      </c>
      <c r="AU3276" s="3">
        <v>0</v>
      </c>
      <c r="AV3276" s="3">
        <v>0</v>
      </c>
      <c r="AW3276" s="3">
        <v>0</v>
      </c>
      <c r="AX3276" s="3">
        <v>0</v>
      </c>
      <c r="AY3276" s="3">
        <v>0</v>
      </c>
      <c r="AZ3276" s="3">
        <v>0</v>
      </c>
      <c r="BA3276" s="3">
        <v>0</v>
      </c>
      <c r="BB3276" s="3">
        <v>0</v>
      </c>
      <c r="BC3276" s="3">
        <v>0</v>
      </c>
      <c r="BD3276" s="3">
        <v>0</v>
      </c>
      <c r="BE3276" s="3">
        <v>0</v>
      </c>
      <c r="BF3276" s="3">
        <v>0</v>
      </c>
      <c r="BG3276" s="3">
        <v>0</v>
      </c>
      <c r="BH3276" s="3">
        <v>1</v>
      </c>
      <c r="BI3276" s="3">
        <v>1</v>
      </c>
      <c r="BJ3276" s="3">
        <v>0.2</v>
      </c>
      <c r="BK3276" s="3">
        <v>1</v>
      </c>
      <c r="BL3276" s="3">
        <v>59</v>
      </c>
      <c r="BM3276" s="3">
        <v>8.85</v>
      </c>
      <c r="BN3276" s="3">
        <v>67.849999999999994</v>
      </c>
      <c r="BO3276" s="3">
        <v>67.849999999999994</v>
      </c>
      <c r="BQ3276" s="3" t="s">
        <v>273</v>
      </c>
      <c r="BR3276" s="3" t="s">
        <v>364</v>
      </c>
      <c r="BS3276" s="4">
        <v>44568</v>
      </c>
      <c r="BT3276" s="5">
        <v>0.42499999999999999</v>
      </c>
      <c r="BU3276" s="3" t="s">
        <v>2147</v>
      </c>
      <c r="BV3276" s="3" t="s">
        <v>105</v>
      </c>
      <c r="BY3276" s="3">
        <v>1200</v>
      </c>
      <c r="BZ3276" s="3" t="s">
        <v>165</v>
      </c>
      <c r="CA3276" s="3" t="s">
        <v>2148</v>
      </c>
      <c r="CC3276" s="3" t="s">
        <v>102</v>
      </c>
      <c r="CD3276" s="3">
        <v>4000</v>
      </c>
      <c r="CE3276" s="3" t="s">
        <v>93</v>
      </c>
      <c r="CF3276" s="4">
        <v>44568</v>
      </c>
      <c r="CI3276" s="3">
        <v>1</v>
      </c>
      <c r="CJ3276" s="3">
        <v>1</v>
      </c>
      <c r="CK3276" s="3">
        <v>21</v>
      </c>
      <c r="CL3276" s="3" t="s">
        <v>87</v>
      </c>
    </row>
    <row r="3277" spans="1:90" x14ac:dyDescent="0.2">
      <c r="A3277" s="3" t="s">
        <v>72</v>
      </c>
      <c r="B3277" s="3" t="s">
        <v>73</v>
      </c>
      <c r="C3277" s="3" t="s">
        <v>74</v>
      </c>
      <c r="E3277" s="3" t="str">
        <f>"FES1162843863"</f>
        <v>FES1162843863</v>
      </c>
      <c r="F3277" s="4">
        <v>44567</v>
      </c>
      <c r="G3277" s="3">
        <v>202207</v>
      </c>
      <c r="H3277" s="3" t="s">
        <v>75</v>
      </c>
      <c r="I3277" s="3" t="s">
        <v>76</v>
      </c>
      <c r="J3277" s="3" t="s">
        <v>77</v>
      </c>
      <c r="K3277" s="3" t="s">
        <v>78</v>
      </c>
      <c r="L3277" s="3" t="s">
        <v>1179</v>
      </c>
      <c r="M3277" s="3" t="s">
        <v>1180</v>
      </c>
      <c r="N3277" s="3" t="s">
        <v>1497</v>
      </c>
      <c r="O3277" s="3" t="s">
        <v>82</v>
      </c>
      <c r="P3277" s="3" t="str">
        <f>"2170815453                    "</f>
        <v xml:space="preserve">2170815453                    </v>
      </c>
      <c r="Q3277" s="3">
        <v>0</v>
      </c>
      <c r="R3277" s="3">
        <v>0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  <c r="AE3277" s="3">
        <v>0</v>
      </c>
      <c r="AF3277" s="3">
        <v>0</v>
      </c>
      <c r="AG3277" s="3">
        <v>0</v>
      </c>
      <c r="AH3277" s="3">
        <v>0</v>
      </c>
      <c r="AI3277" s="3">
        <v>0</v>
      </c>
      <c r="AJ3277" s="3">
        <v>0</v>
      </c>
      <c r="AK3277" s="3">
        <v>29.95</v>
      </c>
      <c r="AL3277" s="3">
        <v>0</v>
      </c>
      <c r="AM3277" s="3">
        <v>0</v>
      </c>
      <c r="AN3277" s="3">
        <v>0</v>
      </c>
      <c r="AO3277" s="3">
        <v>0</v>
      </c>
      <c r="AP3277" s="3">
        <v>0</v>
      </c>
      <c r="AQ3277" s="3">
        <v>15</v>
      </c>
      <c r="AR3277" s="3">
        <v>0</v>
      </c>
      <c r="AS3277" s="3">
        <v>0</v>
      </c>
      <c r="AT3277" s="3">
        <v>0</v>
      </c>
      <c r="AU3277" s="3">
        <v>0</v>
      </c>
      <c r="AV3277" s="3">
        <v>0</v>
      </c>
      <c r="AW3277" s="3">
        <v>0</v>
      </c>
      <c r="AX3277" s="3">
        <v>0</v>
      </c>
      <c r="AY3277" s="3">
        <v>0</v>
      </c>
      <c r="AZ3277" s="3">
        <v>0</v>
      </c>
      <c r="BA3277" s="3">
        <v>0</v>
      </c>
      <c r="BB3277" s="3">
        <v>0</v>
      </c>
      <c r="BC3277" s="3">
        <v>0</v>
      </c>
      <c r="BD3277" s="3">
        <v>0</v>
      </c>
      <c r="BE3277" s="3">
        <v>0</v>
      </c>
      <c r="BF3277" s="3">
        <v>0</v>
      </c>
      <c r="BG3277" s="3">
        <v>0</v>
      </c>
      <c r="BH3277" s="3">
        <v>1</v>
      </c>
      <c r="BI3277" s="3">
        <v>1</v>
      </c>
      <c r="BJ3277" s="3">
        <v>0.2</v>
      </c>
      <c r="BK3277" s="3">
        <v>1</v>
      </c>
      <c r="BL3277" s="3">
        <v>129.31</v>
      </c>
      <c r="BM3277" s="3">
        <v>19.399999999999999</v>
      </c>
      <c r="BN3277" s="3">
        <v>148.71</v>
      </c>
      <c r="BO3277" s="3">
        <v>148.71</v>
      </c>
      <c r="BQ3277" s="3" t="s">
        <v>89</v>
      </c>
      <c r="BR3277" s="3" t="s">
        <v>364</v>
      </c>
      <c r="BS3277" s="4">
        <v>44568</v>
      </c>
      <c r="BT3277" s="5">
        <v>0.53472222222222221</v>
      </c>
      <c r="BU3277" s="3" t="s">
        <v>2929</v>
      </c>
      <c r="BV3277" s="3" t="s">
        <v>105</v>
      </c>
      <c r="BY3277" s="3">
        <v>1200</v>
      </c>
      <c r="BZ3277" s="3" t="s">
        <v>446</v>
      </c>
      <c r="CA3277" s="3" t="s">
        <v>2427</v>
      </c>
      <c r="CC3277" s="3" t="s">
        <v>1180</v>
      </c>
      <c r="CD3277" s="3">
        <v>407</v>
      </c>
      <c r="CE3277" s="3" t="s">
        <v>93</v>
      </c>
      <c r="CF3277" s="4">
        <v>44568</v>
      </c>
      <c r="CI3277" s="3">
        <v>1</v>
      </c>
      <c r="CJ3277" s="3">
        <v>1</v>
      </c>
      <c r="CK3277" s="3">
        <v>23</v>
      </c>
      <c r="CL3277" s="3" t="s">
        <v>87</v>
      </c>
    </row>
    <row r="3278" spans="1:90" x14ac:dyDescent="0.2">
      <c r="A3278" s="3" t="s">
        <v>72</v>
      </c>
      <c r="B3278" s="3" t="s">
        <v>73</v>
      </c>
      <c r="C3278" s="3" t="s">
        <v>74</v>
      </c>
      <c r="E3278" s="3" t="str">
        <f>"FES1162843918"</f>
        <v>FES1162843918</v>
      </c>
      <c r="F3278" s="4">
        <v>44567</v>
      </c>
      <c r="G3278" s="3">
        <v>202207</v>
      </c>
      <c r="H3278" s="3" t="s">
        <v>75</v>
      </c>
      <c r="I3278" s="3" t="s">
        <v>76</v>
      </c>
      <c r="J3278" s="3" t="s">
        <v>77</v>
      </c>
      <c r="K3278" s="3" t="s">
        <v>78</v>
      </c>
      <c r="L3278" s="3" t="s">
        <v>694</v>
      </c>
      <c r="M3278" s="3" t="s">
        <v>695</v>
      </c>
      <c r="N3278" s="3" t="s">
        <v>2930</v>
      </c>
      <c r="O3278" s="3" t="s">
        <v>82</v>
      </c>
      <c r="P3278" s="3" t="str">
        <f>"2170812613                    "</f>
        <v xml:space="preserve">2170812613                    </v>
      </c>
      <c r="Q3278" s="3">
        <v>0</v>
      </c>
      <c r="R3278" s="3">
        <v>0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  <c r="AE3278" s="3">
        <v>0</v>
      </c>
      <c r="AF3278" s="3">
        <v>0</v>
      </c>
      <c r="AG3278" s="3">
        <v>0</v>
      </c>
      <c r="AH3278" s="3">
        <v>0</v>
      </c>
      <c r="AI3278" s="3">
        <v>0</v>
      </c>
      <c r="AJ3278" s="3">
        <v>0</v>
      </c>
      <c r="AK3278" s="3">
        <v>29.95</v>
      </c>
      <c r="AL3278" s="3">
        <v>0</v>
      </c>
      <c r="AM3278" s="3">
        <v>0</v>
      </c>
      <c r="AN3278" s="3">
        <v>0</v>
      </c>
      <c r="AO3278" s="3">
        <v>0</v>
      </c>
      <c r="AP3278" s="3">
        <v>0</v>
      </c>
      <c r="AQ3278" s="3">
        <v>0</v>
      </c>
      <c r="AR3278" s="3">
        <v>0</v>
      </c>
      <c r="AS3278" s="3">
        <v>0</v>
      </c>
      <c r="AT3278" s="3">
        <v>0</v>
      </c>
      <c r="AU3278" s="3">
        <v>0</v>
      </c>
      <c r="AV3278" s="3">
        <v>0</v>
      </c>
      <c r="AW3278" s="3">
        <v>0</v>
      </c>
      <c r="AX3278" s="3">
        <v>0</v>
      </c>
      <c r="AY3278" s="3">
        <v>0</v>
      </c>
      <c r="AZ3278" s="3">
        <v>0</v>
      </c>
      <c r="BA3278" s="3">
        <v>0</v>
      </c>
      <c r="BB3278" s="3">
        <v>0</v>
      </c>
      <c r="BC3278" s="3">
        <v>0</v>
      </c>
      <c r="BD3278" s="3">
        <v>0</v>
      </c>
      <c r="BE3278" s="3">
        <v>0</v>
      </c>
      <c r="BF3278" s="3">
        <v>0</v>
      </c>
      <c r="BG3278" s="3">
        <v>0</v>
      </c>
      <c r="BH3278" s="3">
        <v>1</v>
      </c>
      <c r="BI3278" s="3">
        <v>1</v>
      </c>
      <c r="BJ3278" s="3">
        <v>0.2</v>
      </c>
      <c r="BK3278" s="3">
        <v>1</v>
      </c>
      <c r="BL3278" s="3">
        <v>114.31</v>
      </c>
      <c r="BM3278" s="3">
        <v>17.149999999999999</v>
      </c>
      <c r="BN3278" s="3">
        <v>131.46</v>
      </c>
      <c r="BO3278" s="3">
        <v>131.46</v>
      </c>
      <c r="BQ3278" s="3" t="s">
        <v>83</v>
      </c>
      <c r="BR3278" s="3" t="s">
        <v>364</v>
      </c>
      <c r="BS3278" s="4">
        <v>44568</v>
      </c>
      <c r="BT3278" s="5">
        <v>0.66249999999999998</v>
      </c>
      <c r="BU3278" s="3" t="s">
        <v>2804</v>
      </c>
      <c r="BV3278" s="3" t="s">
        <v>105</v>
      </c>
      <c r="BY3278" s="3">
        <v>1200</v>
      </c>
      <c r="BZ3278" s="3" t="s">
        <v>165</v>
      </c>
      <c r="CA3278" s="3" t="s">
        <v>2805</v>
      </c>
      <c r="CC3278" s="3" t="s">
        <v>695</v>
      </c>
      <c r="CD3278" s="3">
        <v>4449</v>
      </c>
      <c r="CE3278" s="3" t="s">
        <v>93</v>
      </c>
      <c r="CF3278" s="4">
        <v>44568</v>
      </c>
      <c r="CI3278" s="3">
        <v>1</v>
      </c>
      <c r="CJ3278" s="3">
        <v>1</v>
      </c>
      <c r="CK3278" s="3">
        <v>23</v>
      </c>
      <c r="CL3278" s="3" t="s">
        <v>87</v>
      </c>
    </row>
    <row r="3279" spans="1:90" x14ac:dyDescent="0.2">
      <c r="A3279" s="3" t="s">
        <v>72</v>
      </c>
      <c r="B3279" s="3" t="s">
        <v>73</v>
      </c>
      <c r="C3279" s="3" t="s">
        <v>74</v>
      </c>
      <c r="E3279" s="3" t="str">
        <f>"FES1162843920"</f>
        <v>FES1162843920</v>
      </c>
      <c r="F3279" s="4">
        <v>44567</v>
      </c>
      <c r="G3279" s="3">
        <v>202207</v>
      </c>
      <c r="H3279" s="3" t="s">
        <v>75</v>
      </c>
      <c r="I3279" s="3" t="s">
        <v>76</v>
      </c>
      <c r="J3279" s="3" t="s">
        <v>77</v>
      </c>
      <c r="K3279" s="3" t="s">
        <v>78</v>
      </c>
      <c r="L3279" s="3" t="s">
        <v>90</v>
      </c>
      <c r="M3279" s="3" t="s">
        <v>91</v>
      </c>
      <c r="N3279" s="3" t="s">
        <v>735</v>
      </c>
      <c r="O3279" s="3" t="s">
        <v>82</v>
      </c>
      <c r="P3279" s="3" t="str">
        <f>"2170813011                    "</f>
        <v xml:space="preserve">2170813011                    </v>
      </c>
      <c r="Q3279" s="3">
        <v>0</v>
      </c>
      <c r="R3279" s="3">
        <v>0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  <c r="AE3279" s="3">
        <v>0</v>
      </c>
      <c r="AF3279" s="3">
        <v>0</v>
      </c>
      <c r="AG3279" s="3">
        <v>0</v>
      </c>
      <c r="AH3279" s="3">
        <v>0</v>
      </c>
      <c r="AI3279" s="3">
        <v>0</v>
      </c>
      <c r="AJ3279" s="3">
        <v>0</v>
      </c>
      <c r="AK3279" s="3">
        <v>15.46</v>
      </c>
      <c r="AL3279" s="3">
        <v>0</v>
      </c>
      <c r="AM3279" s="3">
        <v>0</v>
      </c>
      <c r="AN3279" s="3">
        <v>0</v>
      </c>
      <c r="AO3279" s="3">
        <v>0</v>
      </c>
      <c r="AP3279" s="3">
        <v>0</v>
      </c>
      <c r="AQ3279" s="3">
        <v>0</v>
      </c>
      <c r="AR3279" s="3">
        <v>0</v>
      </c>
      <c r="AS3279" s="3">
        <v>0</v>
      </c>
      <c r="AT3279" s="3">
        <v>0</v>
      </c>
      <c r="AU3279" s="3">
        <v>0</v>
      </c>
      <c r="AV3279" s="3">
        <v>0</v>
      </c>
      <c r="AW3279" s="3">
        <v>0</v>
      </c>
      <c r="AX3279" s="3">
        <v>0</v>
      </c>
      <c r="AY3279" s="3">
        <v>0</v>
      </c>
      <c r="AZ3279" s="3">
        <v>0</v>
      </c>
      <c r="BA3279" s="3">
        <v>0</v>
      </c>
      <c r="BB3279" s="3">
        <v>0</v>
      </c>
      <c r="BC3279" s="3">
        <v>0</v>
      </c>
      <c r="BD3279" s="3">
        <v>0</v>
      </c>
      <c r="BE3279" s="3">
        <v>0</v>
      </c>
      <c r="BF3279" s="3">
        <v>0</v>
      </c>
      <c r="BG3279" s="3">
        <v>0</v>
      </c>
      <c r="BH3279" s="3">
        <v>1</v>
      </c>
      <c r="BI3279" s="3">
        <v>1</v>
      </c>
      <c r="BJ3279" s="3">
        <v>0.2</v>
      </c>
      <c r="BK3279" s="3">
        <v>1</v>
      </c>
      <c r="BL3279" s="3">
        <v>59</v>
      </c>
      <c r="BM3279" s="3">
        <v>8.85</v>
      </c>
      <c r="BN3279" s="3">
        <v>67.849999999999994</v>
      </c>
      <c r="BO3279" s="3">
        <v>67.849999999999994</v>
      </c>
      <c r="BQ3279" s="3" t="s">
        <v>273</v>
      </c>
      <c r="BR3279" s="3" t="s">
        <v>364</v>
      </c>
      <c r="BS3279" s="4">
        <v>44568</v>
      </c>
      <c r="BT3279" s="5">
        <v>0.34791666666666665</v>
      </c>
      <c r="BU3279" s="3" t="s">
        <v>2793</v>
      </c>
      <c r="BV3279" s="3" t="s">
        <v>105</v>
      </c>
      <c r="BY3279" s="3">
        <v>1200</v>
      </c>
      <c r="BZ3279" s="3" t="s">
        <v>165</v>
      </c>
      <c r="CA3279" s="3" t="s">
        <v>566</v>
      </c>
      <c r="CC3279" s="3" t="s">
        <v>91</v>
      </c>
      <c r="CD3279" s="3">
        <v>7460</v>
      </c>
      <c r="CE3279" s="3" t="s">
        <v>93</v>
      </c>
      <c r="CF3279" s="4">
        <v>44571</v>
      </c>
      <c r="CI3279" s="3">
        <v>1</v>
      </c>
      <c r="CJ3279" s="3">
        <v>1</v>
      </c>
      <c r="CK3279" s="3">
        <v>21</v>
      </c>
      <c r="CL3279" s="3" t="s">
        <v>87</v>
      </c>
    </row>
    <row r="3280" spans="1:90" x14ac:dyDescent="0.2">
      <c r="A3280" s="3" t="s">
        <v>72</v>
      </c>
      <c r="B3280" s="3" t="s">
        <v>73</v>
      </c>
      <c r="C3280" s="3" t="s">
        <v>74</v>
      </c>
      <c r="E3280" s="3" t="str">
        <f>"FES1162843682"</f>
        <v>FES1162843682</v>
      </c>
      <c r="F3280" s="4">
        <v>44567</v>
      </c>
      <c r="G3280" s="3">
        <v>202207</v>
      </c>
      <c r="H3280" s="3" t="s">
        <v>75</v>
      </c>
      <c r="I3280" s="3" t="s">
        <v>76</v>
      </c>
      <c r="J3280" s="3" t="s">
        <v>77</v>
      </c>
      <c r="K3280" s="3" t="s">
        <v>78</v>
      </c>
      <c r="L3280" s="3" t="s">
        <v>171</v>
      </c>
      <c r="M3280" s="3" t="s">
        <v>172</v>
      </c>
      <c r="N3280" s="3" t="s">
        <v>725</v>
      </c>
      <c r="O3280" s="3" t="s">
        <v>82</v>
      </c>
      <c r="P3280" s="3" t="str">
        <f>"2170814364                    "</f>
        <v xml:space="preserve">2170814364                    </v>
      </c>
      <c r="Q3280" s="3">
        <v>0</v>
      </c>
      <c r="R3280" s="3">
        <v>0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  <c r="AE3280" s="3">
        <v>0</v>
      </c>
      <c r="AF3280" s="3">
        <v>0</v>
      </c>
      <c r="AG3280" s="3">
        <v>0</v>
      </c>
      <c r="AH3280" s="3">
        <v>0</v>
      </c>
      <c r="AI3280" s="3">
        <v>0</v>
      </c>
      <c r="AJ3280" s="3">
        <v>0</v>
      </c>
      <c r="AK3280" s="3">
        <v>73.39</v>
      </c>
      <c r="AL3280" s="3">
        <v>0</v>
      </c>
      <c r="AM3280" s="3">
        <v>0</v>
      </c>
      <c r="AN3280" s="3">
        <v>0</v>
      </c>
      <c r="AO3280" s="3">
        <v>0</v>
      </c>
      <c r="AP3280" s="3">
        <v>0</v>
      </c>
      <c r="AQ3280" s="3">
        <v>0</v>
      </c>
      <c r="AR3280" s="3">
        <v>0</v>
      </c>
      <c r="AS3280" s="3">
        <v>0</v>
      </c>
      <c r="AT3280" s="3">
        <v>0</v>
      </c>
      <c r="AU3280" s="3">
        <v>0</v>
      </c>
      <c r="AV3280" s="3">
        <v>0</v>
      </c>
      <c r="AW3280" s="3">
        <v>0</v>
      </c>
      <c r="AX3280" s="3">
        <v>0</v>
      </c>
      <c r="AY3280" s="3">
        <v>0</v>
      </c>
      <c r="AZ3280" s="3">
        <v>0</v>
      </c>
      <c r="BA3280" s="3">
        <v>0</v>
      </c>
      <c r="BB3280" s="3">
        <v>0</v>
      </c>
      <c r="BC3280" s="3">
        <v>0</v>
      </c>
      <c r="BD3280" s="3">
        <v>0</v>
      </c>
      <c r="BE3280" s="3">
        <v>0</v>
      </c>
      <c r="BF3280" s="3">
        <v>0</v>
      </c>
      <c r="BG3280" s="3">
        <v>0</v>
      </c>
      <c r="BH3280" s="3">
        <v>1</v>
      </c>
      <c r="BI3280" s="3">
        <v>3</v>
      </c>
      <c r="BJ3280" s="3">
        <v>9.1</v>
      </c>
      <c r="BK3280" s="3">
        <v>9.5</v>
      </c>
      <c r="BL3280" s="3">
        <v>280.13</v>
      </c>
      <c r="BM3280" s="3">
        <v>42.02</v>
      </c>
      <c r="BN3280" s="3">
        <v>322.14999999999998</v>
      </c>
      <c r="BO3280" s="3">
        <v>322.14999999999998</v>
      </c>
      <c r="BQ3280" s="3" t="s">
        <v>83</v>
      </c>
      <c r="BR3280" s="3" t="s">
        <v>364</v>
      </c>
      <c r="BS3280" s="4">
        <v>44568</v>
      </c>
      <c r="BT3280" s="5">
        <v>0.34652777777777777</v>
      </c>
      <c r="BU3280" s="3" t="s">
        <v>2803</v>
      </c>
      <c r="BV3280" s="3" t="s">
        <v>105</v>
      </c>
      <c r="BY3280" s="3">
        <v>45632</v>
      </c>
      <c r="BZ3280" s="3" t="s">
        <v>165</v>
      </c>
      <c r="CA3280" s="3" t="s">
        <v>408</v>
      </c>
      <c r="CC3280" s="3" t="s">
        <v>172</v>
      </c>
      <c r="CD3280" s="3">
        <v>6001</v>
      </c>
      <c r="CE3280" s="3" t="s">
        <v>86</v>
      </c>
      <c r="CF3280" s="4">
        <v>44571</v>
      </c>
      <c r="CI3280" s="3">
        <v>1</v>
      </c>
      <c r="CJ3280" s="3">
        <v>1</v>
      </c>
      <c r="CK3280" s="3">
        <v>21</v>
      </c>
      <c r="CL3280" s="3" t="s">
        <v>87</v>
      </c>
    </row>
    <row r="3281" spans="1:90" x14ac:dyDescent="0.2">
      <c r="A3281" s="3" t="s">
        <v>72</v>
      </c>
      <c r="B3281" s="3" t="s">
        <v>73</v>
      </c>
      <c r="C3281" s="3" t="s">
        <v>74</v>
      </c>
      <c r="E3281" s="3" t="str">
        <f>"FES1162843809"</f>
        <v>FES1162843809</v>
      </c>
      <c r="F3281" s="4">
        <v>44567</v>
      </c>
      <c r="G3281" s="3">
        <v>202207</v>
      </c>
      <c r="H3281" s="3" t="s">
        <v>75</v>
      </c>
      <c r="I3281" s="3" t="s">
        <v>76</v>
      </c>
      <c r="J3281" s="3" t="s">
        <v>77</v>
      </c>
      <c r="K3281" s="3" t="s">
        <v>78</v>
      </c>
      <c r="L3281" s="3" t="s">
        <v>138</v>
      </c>
      <c r="M3281" s="3" t="s">
        <v>139</v>
      </c>
      <c r="N3281" s="3" t="s">
        <v>2402</v>
      </c>
      <c r="O3281" s="3" t="s">
        <v>82</v>
      </c>
      <c r="P3281" s="3" t="str">
        <f>"2170813890                    "</f>
        <v xml:space="preserve">2170813890                    </v>
      </c>
      <c r="Q3281" s="3">
        <v>0</v>
      </c>
      <c r="R3281" s="3">
        <v>0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  <c r="AE3281" s="3">
        <v>0</v>
      </c>
      <c r="AF3281" s="3">
        <v>0</v>
      </c>
      <c r="AG3281" s="3">
        <v>0</v>
      </c>
      <c r="AH3281" s="3">
        <v>0</v>
      </c>
      <c r="AI3281" s="3">
        <v>0</v>
      </c>
      <c r="AJ3281" s="3">
        <v>0</v>
      </c>
      <c r="AK3281" s="3">
        <v>15.46</v>
      </c>
      <c r="AL3281" s="3">
        <v>0</v>
      </c>
      <c r="AM3281" s="3">
        <v>0</v>
      </c>
      <c r="AN3281" s="3">
        <v>0</v>
      </c>
      <c r="AO3281" s="3">
        <v>0</v>
      </c>
      <c r="AP3281" s="3">
        <v>0</v>
      </c>
      <c r="AQ3281" s="3">
        <v>0</v>
      </c>
      <c r="AR3281" s="3">
        <v>0</v>
      </c>
      <c r="AS3281" s="3">
        <v>0</v>
      </c>
      <c r="AT3281" s="3">
        <v>0</v>
      </c>
      <c r="AU3281" s="3">
        <v>0</v>
      </c>
      <c r="AV3281" s="3">
        <v>0</v>
      </c>
      <c r="AW3281" s="3">
        <v>0</v>
      </c>
      <c r="AX3281" s="3">
        <v>0</v>
      </c>
      <c r="AY3281" s="3">
        <v>0</v>
      </c>
      <c r="AZ3281" s="3">
        <v>0</v>
      </c>
      <c r="BA3281" s="3">
        <v>0</v>
      </c>
      <c r="BB3281" s="3">
        <v>0</v>
      </c>
      <c r="BC3281" s="3">
        <v>0</v>
      </c>
      <c r="BD3281" s="3">
        <v>0</v>
      </c>
      <c r="BE3281" s="3">
        <v>0</v>
      </c>
      <c r="BF3281" s="3">
        <v>0</v>
      </c>
      <c r="BG3281" s="3">
        <v>0</v>
      </c>
      <c r="BH3281" s="3">
        <v>1</v>
      </c>
      <c r="BI3281" s="3">
        <v>2</v>
      </c>
      <c r="BJ3281" s="3">
        <v>1.1000000000000001</v>
      </c>
      <c r="BK3281" s="3">
        <v>2</v>
      </c>
      <c r="BL3281" s="3">
        <v>59</v>
      </c>
      <c r="BM3281" s="3">
        <v>8.85</v>
      </c>
      <c r="BN3281" s="3">
        <v>67.849999999999994</v>
      </c>
      <c r="BO3281" s="3">
        <v>67.849999999999994</v>
      </c>
      <c r="BQ3281" s="3" t="s">
        <v>83</v>
      </c>
      <c r="BR3281" s="3" t="s">
        <v>364</v>
      </c>
      <c r="BS3281" s="4">
        <v>44568</v>
      </c>
      <c r="BT3281" s="5">
        <v>0.47083333333333338</v>
      </c>
      <c r="BU3281" s="3" t="s">
        <v>2931</v>
      </c>
      <c r="BV3281" s="3" t="s">
        <v>105</v>
      </c>
      <c r="BY3281" s="3">
        <v>5320</v>
      </c>
      <c r="BZ3281" s="3" t="s">
        <v>165</v>
      </c>
      <c r="CA3281" s="3" t="s">
        <v>303</v>
      </c>
      <c r="CC3281" s="3" t="s">
        <v>139</v>
      </c>
      <c r="CD3281" s="3">
        <v>3610</v>
      </c>
      <c r="CE3281" s="3" t="s">
        <v>86</v>
      </c>
      <c r="CF3281" s="4">
        <v>44568</v>
      </c>
      <c r="CI3281" s="3">
        <v>1</v>
      </c>
      <c r="CJ3281" s="3">
        <v>1</v>
      </c>
      <c r="CK3281" s="3">
        <v>21</v>
      </c>
      <c r="CL3281" s="3" t="s">
        <v>87</v>
      </c>
    </row>
    <row r="3282" spans="1:90" x14ac:dyDescent="0.2">
      <c r="A3282" s="3" t="s">
        <v>72</v>
      </c>
      <c r="B3282" s="3" t="s">
        <v>73</v>
      </c>
      <c r="C3282" s="3" t="s">
        <v>74</v>
      </c>
      <c r="E3282" s="3" t="str">
        <f>"FES1162843946"</f>
        <v>FES1162843946</v>
      </c>
      <c r="F3282" s="4">
        <v>44567</v>
      </c>
      <c r="G3282" s="3">
        <v>202207</v>
      </c>
      <c r="H3282" s="3" t="s">
        <v>75</v>
      </c>
      <c r="I3282" s="3" t="s">
        <v>76</v>
      </c>
      <c r="J3282" s="3" t="s">
        <v>77</v>
      </c>
      <c r="K3282" s="3" t="s">
        <v>78</v>
      </c>
      <c r="L3282" s="3" t="s">
        <v>90</v>
      </c>
      <c r="M3282" s="3" t="s">
        <v>91</v>
      </c>
      <c r="N3282" s="3" t="s">
        <v>887</v>
      </c>
      <c r="O3282" s="3" t="s">
        <v>82</v>
      </c>
      <c r="P3282" s="3" t="str">
        <f>"2170813845                    "</f>
        <v xml:space="preserve">2170813845                    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0</v>
      </c>
      <c r="W3282" s="3">
        <v>0</v>
      </c>
      <c r="X3282" s="3">
        <v>0</v>
      </c>
      <c r="Y3282" s="3">
        <v>0</v>
      </c>
      <c r="Z3282" s="3">
        <v>0</v>
      </c>
      <c r="AA3282" s="3">
        <v>0</v>
      </c>
      <c r="AB3282" s="3">
        <v>0</v>
      </c>
      <c r="AC3282" s="3">
        <v>0</v>
      </c>
      <c r="AD3282" s="3">
        <v>0</v>
      </c>
      <c r="AE3282" s="3">
        <v>0</v>
      </c>
      <c r="AF3282" s="3">
        <v>0</v>
      </c>
      <c r="AG3282" s="3">
        <v>0</v>
      </c>
      <c r="AH3282" s="3">
        <v>0</v>
      </c>
      <c r="AI3282" s="3">
        <v>0</v>
      </c>
      <c r="AJ3282" s="3">
        <v>0</v>
      </c>
      <c r="AK3282" s="3">
        <v>15.46</v>
      </c>
      <c r="AL3282" s="3">
        <v>0</v>
      </c>
      <c r="AM3282" s="3">
        <v>0</v>
      </c>
      <c r="AN3282" s="3">
        <v>0</v>
      </c>
      <c r="AO3282" s="3">
        <v>0</v>
      </c>
      <c r="AP3282" s="3">
        <v>0</v>
      </c>
      <c r="AQ3282" s="3">
        <v>0</v>
      </c>
      <c r="AR3282" s="3">
        <v>0</v>
      </c>
      <c r="AS3282" s="3">
        <v>0</v>
      </c>
      <c r="AT3282" s="3">
        <v>0</v>
      </c>
      <c r="AU3282" s="3">
        <v>0</v>
      </c>
      <c r="AV3282" s="3">
        <v>0</v>
      </c>
      <c r="AW3282" s="3">
        <v>0</v>
      </c>
      <c r="AX3282" s="3">
        <v>0</v>
      </c>
      <c r="AY3282" s="3">
        <v>0</v>
      </c>
      <c r="AZ3282" s="3">
        <v>0</v>
      </c>
      <c r="BA3282" s="3">
        <v>0</v>
      </c>
      <c r="BB3282" s="3">
        <v>0</v>
      </c>
      <c r="BC3282" s="3">
        <v>0</v>
      </c>
      <c r="BD3282" s="3">
        <v>0</v>
      </c>
      <c r="BE3282" s="3">
        <v>0</v>
      </c>
      <c r="BF3282" s="3">
        <v>0</v>
      </c>
      <c r="BG3282" s="3">
        <v>0</v>
      </c>
      <c r="BH3282" s="3">
        <v>1</v>
      </c>
      <c r="BI3282" s="3">
        <v>1</v>
      </c>
      <c r="BJ3282" s="3">
        <v>0.2</v>
      </c>
      <c r="BK3282" s="3">
        <v>1</v>
      </c>
      <c r="BL3282" s="3">
        <v>59</v>
      </c>
      <c r="BM3282" s="3">
        <v>8.85</v>
      </c>
      <c r="BN3282" s="3">
        <v>67.849999999999994</v>
      </c>
      <c r="BO3282" s="3">
        <v>67.849999999999994</v>
      </c>
      <c r="BQ3282" s="3" t="s">
        <v>888</v>
      </c>
      <c r="BR3282" s="3" t="s">
        <v>364</v>
      </c>
      <c r="BS3282" s="4">
        <v>44571</v>
      </c>
      <c r="BT3282" s="5">
        <v>0.34513888888888888</v>
      </c>
      <c r="BU3282" s="3" t="s">
        <v>2932</v>
      </c>
      <c r="BV3282" s="3" t="s">
        <v>87</v>
      </c>
      <c r="BW3282" s="3" t="s">
        <v>493</v>
      </c>
      <c r="BX3282" s="3" t="s">
        <v>354</v>
      </c>
      <c r="BY3282" s="3">
        <v>1200</v>
      </c>
      <c r="BZ3282" s="3" t="s">
        <v>165</v>
      </c>
      <c r="CA3282" s="3" t="s">
        <v>566</v>
      </c>
      <c r="CC3282" s="3" t="s">
        <v>91</v>
      </c>
      <c r="CD3282" s="3">
        <v>7460</v>
      </c>
      <c r="CE3282" s="3" t="s">
        <v>93</v>
      </c>
      <c r="CF3282" s="4">
        <v>44572</v>
      </c>
      <c r="CI3282" s="3">
        <v>1</v>
      </c>
      <c r="CJ3282" s="3">
        <v>2</v>
      </c>
      <c r="CK3282" s="3">
        <v>21</v>
      </c>
      <c r="CL3282" s="3" t="s">
        <v>87</v>
      </c>
    </row>
    <row r="3283" spans="1:90" x14ac:dyDescent="0.2">
      <c r="A3283" s="3" t="s">
        <v>72</v>
      </c>
      <c r="B3283" s="3" t="s">
        <v>73</v>
      </c>
      <c r="C3283" s="3" t="s">
        <v>74</v>
      </c>
      <c r="E3283" s="3" t="str">
        <f>"FES1162843731"</f>
        <v>FES1162843731</v>
      </c>
      <c r="F3283" s="4">
        <v>44567</v>
      </c>
      <c r="G3283" s="3">
        <v>202207</v>
      </c>
      <c r="H3283" s="3" t="s">
        <v>75</v>
      </c>
      <c r="I3283" s="3" t="s">
        <v>76</v>
      </c>
      <c r="J3283" s="3" t="s">
        <v>77</v>
      </c>
      <c r="K3283" s="3" t="s">
        <v>78</v>
      </c>
      <c r="L3283" s="3" t="s">
        <v>1818</v>
      </c>
      <c r="M3283" s="3" t="s">
        <v>1819</v>
      </c>
      <c r="N3283" s="3" t="s">
        <v>1820</v>
      </c>
      <c r="O3283" s="3" t="s">
        <v>82</v>
      </c>
      <c r="P3283" s="3" t="str">
        <f>"2170813499                    "</f>
        <v xml:space="preserve">2170813499                    </v>
      </c>
      <c r="Q3283" s="3">
        <v>0</v>
      </c>
      <c r="R3283" s="3">
        <v>0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  <c r="AE3283" s="3">
        <v>0</v>
      </c>
      <c r="AF3283" s="3">
        <v>0</v>
      </c>
      <c r="AG3283" s="3">
        <v>0</v>
      </c>
      <c r="AH3283" s="3">
        <v>0</v>
      </c>
      <c r="AI3283" s="3">
        <v>0</v>
      </c>
      <c r="AJ3283" s="3">
        <v>0</v>
      </c>
      <c r="AK3283" s="3">
        <v>29.95</v>
      </c>
      <c r="AL3283" s="3">
        <v>0</v>
      </c>
      <c r="AM3283" s="3">
        <v>0</v>
      </c>
      <c r="AN3283" s="3">
        <v>0</v>
      </c>
      <c r="AO3283" s="3">
        <v>0</v>
      </c>
      <c r="AP3283" s="3">
        <v>0</v>
      </c>
      <c r="AQ3283" s="3">
        <v>0</v>
      </c>
      <c r="AR3283" s="3">
        <v>0</v>
      </c>
      <c r="AS3283" s="3">
        <v>0</v>
      </c>
      <c r="AT3283" s="3">
        <v>0</v>
      </c>
      <c r="AU3283" s="3">
        <v>0</v>
      </c>
      <c r="AV3283" s="3">
        <v>0</v>
      </c>
      <c r="AW3283" s="3">
        <v>0</v>
      </c>
      <c r="AX3283" s="3">
        <v>0</v>
      </c>
      <c r="AY3283" s="3">
        <v>0</v>
      </c>
      <c r="AZ3283" s="3">
        <v>0</v>
      </c>
      <c r="BA3283" s="3">
        <v>0</v>
      </c>
      <c r="BB3283" s="3">
        <v>0</v>
      </c>
      <c r="BC3283" s="3">
        <v>0</v>
      </c>
      <c r="BD3283" s="3">
        <v>0</v>
      </c>
      <c r="BE3283" s="3">
        <v>0</v>
      </c>
      <c r="BF3283" s="3">
        <v>0</v>
      </c>
      <c r="BG3283" s="3">
        <v>0</v>
      </c>
      <c r="BH3283" s="3">
        <v>1</v>
      </c>
      <c r="BI3283" s="3">
        <v>1</v>
      </c>
      <c r="BJ3283" s="3">
        <v>0.2</v>
      </c>
      <c r="BK3283" s="3">
        <v>1</v>
      </c>
      <c r="BL3283" s="3">
        <v>114.31</v>
      </c>
      <c r="BM3283" s="3">
        <v>17.149999999999999</v>
      </c>
      <c r="BN3283" s="3">
        <v>131.46</v>
      </c>
      <c r="BO3283" s="3">
        <v>131.46</v>
      </c>
      <c r="BQ3283" s="3" t="s">
        <v>83</v>
      </c>
      <c r="BR3283" s="3" t="s">
        <v>364</v>
      </c>
      <c r="BS3283" s="4">
        <v>44568</v>
      </c>
      <c r="BT3283" s="5">
        <v>0.46319444444444446</v>
      </c>
      <c r="BU3283" s="3" t="s">
        <v>1066</v>
      </c>
      <c r="BV3283" s="3" t="s">
        <v>105</v>
      </c>
      <c r="BY3283" s="3">
        <v>1200</v>
      </c>
      <c r="BZ3283" s="3" t="s">
        <v>165</v>
      </c>
      <c r="CA3283" s="3" t="s">
        <v>2933</v>
      </c>
      <c r="CC3283" s="3" t="s">
        <v>1819</v>
      </c>
      <c r="CD3283" s="3">
        <v>2370</v>
      </c>
      <c r="CE3283" s="3" t="s">
        <v>93</v>
      </c>
      <c r="CF3283" s="4">
        <v>44569</v>
      </c>
      <c r="CI3283" s="3">
        <v>5</v>
      </c>
      <c r="CJ3283" s="3">
        <v>1</v>
      </c>
      <c r="CK3283" s="3">
        <v>23</v>
      </c>
      <c r="CL3283" s="3" t="s">
        <v>87</v>
      </c>
    </row>
    <row r="3284" spans="1:90" x14ac:dyDescent="0.2">
      <c r="A3284" s="3" t="s">
        <v>72</v>
      </c>
      <c r="B3284" s="3" t="s">
        <v>73</v>
      </c>
      <c r="C3284" s="3" t="s">
        <v>74</v>
      </c>
      <c r="E3284" s="3" t="str">
        <f>"FES1162843722"</f>
        <v>FES1162843722</v>
      </c>
      <c r="F3284" s="4">
        <v>44567</v>
      </c>
      <c r="G3284" s="3">
        <v>202207</v>
      </c>
      <c r="H3284" s="3" t="s">
        <v>75</v>
      </c>
      <c r="I3284" s="3" t="s">
        <v>76</v>
      </c>
      <c r="J3284" s="3" t="s">
        <v>77</v>
      </c>
      <c r="K3284" s="3" t="s">
        <v>78</v>
      </c>
      <c r="L3284" s="3" t="s">
        <v>107</v>
      </c>
      <c r="M3284" s="3" t="s">
        <v>108</v>
      </c>
      <c r="N3284" s="3" t="s">
        <v>392</v>
      </c>
      <c r="O3284" s="3" t="s">
        <v>82</v>
      </c>
      <c r="P3284" s="3" t="str">
        <f>"2170812797                    "</f>
        <v xml:space="preserve">2170812797                    </v>
      </c>
      <c r="Q3284" s="3">
        <v>0</v>
      </c>
      <c r="R3284" s="3">
        <v>0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  <c r="AE3284" s="3">
        <v>0</v>
      </c>
      <c r="AF3284" s="3">
        <v>0</v>
      </c>
      <c r="AG3284" s="3">
        <v>0</v>
      </c>
      <c r="AH3284" s="3">
        <v>0</v>
      </c>
      <c r="AI3284" s="3">
        <v>0</v>
      </c>
      <c r="AJ3284" s="3">
        <v>0</v>
      </c>
      <c r="AK3284" s="3">
        <v>29.95</v>
      </c>
      <c r="AL3284" s="3">
        <v>0</v>
      </c>
      <c r="AM3284" s="3">
        <v>0</v>
      </c>
      <c r="AN3284" s="3">
        <v>0</v>
      </c>
      <c r="AO3284" s="3">
        <v>0</v>
      </c>
      <c r="AP3284" s="3">
        <v>0</v>
      </c>
      <c r="AQ3284" s="3">
        <v>0</v>
      </c>
      <c r="AR3284" s="3">
        <v>0</v>
      </c>
      <c r="AS3284" s="3">
        <v>0</v>
      </c>
      <c r="AT3284" s="3">
        <v>0</v>
      </c>
      <c r="AU3284" s="3">
        <v>0</v>
      </c>
      <c r="AV3284" s="3">
        <v>0</v>
      </c>
      <c r="AW3284" s="3">
        <v>0</v>
      </c>
      <c r="AX3284" s="3">
        <v>0</v>
      </c>
      <c r="AY3284" s="3">
        <v>0</v>
      </c>
      <c r="AZ3284" s="3">
        <v>0</v>
      </c>
      <c r="BA3284" s="3">
        <v>0</v>
      </c>
      <c r="BB3284" s="3">
        <v>0</v>
      </c>
      <c r="BC3284" s="3">
        <v>0</v>
      </c>
      <c r="BD3284" s="3">
        <v>0</v>
      </c>
      <c r="BE3284" s="3">
        <v>0</v>
      </c>
      <c r="BF3284" s="3">
        <v>0</v>
      </c>
      <c r="BG3284" s="3">
        <v>0</v>
      </c>
      <c r="BH3284" s="3">
        <v>1</v>
      </c>
      <c r="BI3284" s="3">
        <v>1</v>
      </c>
      <c r="BJ3284" s="3">
        <v>0.2</v>
      </c>
      <c r="BK3284" s="3">
        <v>1</v>
      </c>
      <c r="BL3284" s="3">
        <v>114.31</v>
      </c>
      <c r="BM3284" s="3">
        <v>17.149999999999999</v>
      </c>
      <c r="BN3284" s="3">
        <v>131.46</v>
      </c>
      <c r="BO3284" s="3">
        <v>131.46</v>
      </c>
      <c r="BQ3284" s="3" t="s">
        <v>83</v>
      </c>
      <c r="BR3284" s="3" t="s">
        <v>364</v>
      </c>
      <c r="BS3284" s="4">
        <v>44571</v>
      </c>
      <c r="BT3284" s="5">
        <v>0.41666666666666669</v>
      </c>
      <c r="BU3284" s="3" t="s">
        <v>2334</v>
      </c>
      <c r="BV3284" s="3" t="s">
        <v>105</v>
      </c>
      <c r="BY3284" s="3">
        <v>1200</v>
      </c>
      <c r="BZ3284" s="3" t="s">
        <v>165</v>
      </c>
      <c r="CC3284" s="3" t="s">
        <v>108</v>
      </c>
      <c r="CD3284" s="3">
        <v>6849</v>
      </c>
      <c r="CE3284" s="3" t="s">
        <v>93</v>
      </c>
      <c r="CF3284" s="4">
        <v>44572</v>
      </c>
      <c r="CI3284" s="3">
        <v>2</v>
      </c>
      <c r="CJ3284" s="3">
        <v>2</v>
      </c>
      <c r="CK3284" s="3">
        <v>23</v>
      </c>
      <c r="CL3284" s="3" t="s">
        <v>87</v>
      </c>
    </row>
    <row r="3285" spans="1:90" x14ac:dyDescent="0.2">
      <c r="A3285" s="3" t="s">
        <v>72</v>
      </c>
      <c r="B3285" s="3" t="s">
        <v>73</v>
      </c>
      <c r="C3285" s="3" t="s">
        <v>74</v>
      </c>
      <c r="E3285" s="3" t="str">
        <f>"FES1162843885"</f>
        <v>FES1162843885</v>
      </c>
      <c r="F3285" s="4">
        <v>44567</v>
      </c>
      <c r="G3285" s="3">
        <v>202207</v>
      </c>
      <c r="H3285" s="3" t="s">
        <v>75</v>
      </c>
      <c r="I3285" s="3" t="s">
        <v>76</v>
      </c>
      <c r="J3285" s="3" t="s">
        <v>77</v>
      </c>
      <c r="K3285" s="3" t="s">
        <v>78</v>
      </c>
      <c r="L3285" s="3" t="s">
        <v>115</v>
      </c>
      <c r="M3285" s="3" t="s">
        <v>116</v>
      </c>
      <c r="N3285" s="3" t="s">
        <v>419</v>
      </c>
      <c r="O3285" s="3" t="s">
        <v>82</v>
      </c>
      <c r="P3285" s="3" t="str">
        <f>"2170815804                    "</f>
        <v xml:space="preserve">2170815804                    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  <c r="AE3285" s="3">
        <v>0</v>
      </c>
      <c r="AF3285" s="3">
        <v>0</v>
      </c>
      <c r="AG3285" s="3">
        <v>0</v>
      </c>
      <c r="AH3285" s="3">
        <v>0</v>
      </c>
      <c r="AI3285" s="3">
        <v>0</v>
      </c>
      <c r="AJ3285" s="3">
        <v>0</v>
      </c>
      <c r="AK3285" s="3">
        <v>12.07</v>
      </c>
      <c r="AL3285" s="3">
        <v>0</v>
      </c>
      <c r="AM3285" s="3">
        <v>0</v>
      </c>
      <c r="AN3285" s="3">
        <v>0</v>
      </c>
      <c r="AO3285" s="3">
        <v>0</v>
      </c>
      <c r="AP3285" s="3">
        <v>0</v>
      </c>
      <c r="AQ3285" s="3">
        <v>0</v>
      </c>
      <c r="AR3285" s="3">
        <v>0</v>
      </c>
      <c r="AS3285" s="3">
        <v>0</v>
      </c>
      <c r="AT3285" s="3">
        <v>0</v>
      </c>
      <c r="AU3285" s="3">
        <v>0</v>
      </c>
      <c r="AV3285" s="3">
        <v>0</v>
      </c>
      <c r="AW3285" s="3">
        <v>0</v>
      </c>
      <c r="AX3285" s="3">
        <v>0</v>
      </c>
      <c r="AY3285" s="3">
        <v>0</v>
      </c>
      <c r="AZ3285" s="3">
        <v>0</v>
      </c>
      <c r="BA3285" s="3">
        <v>0</v>
      </c>
      <c r="BB3285" s="3">
        <v>0</v>
      </c>
      <c r="BC3285" s="3">
        <v>0</v>
      </c>
      <c r="BD3285" s="3">
        <v>0</v>
      </c>
      <c r="BE3285" s="3">
        <v>0</v>
      </c>
      <c r="BF3285" s="3">
        <v>0</v>
      </c>
      <c r="BG3285" s="3">
        <v>0</v>
      </c>
      <c r="BH3285" s="3">
        <v>1</v>
      </c>
      <c r="BI3285" s="3">
        <v>1</v>
      </c>
      <c r="BJ3285" s="3">
        <v>0.2</v>
      </c>
      <c r="BK3285" s="3">
        <v>1</v>
      </c>
      <c r="BL3285" s="3">
        <v>46.08</v>
      </c>
      <c r="BM3285" s="3">
        <v>6.91</v>
      </c>
      <c r="BN3285" s="3">
        <v>52.99</v>
      </c>
      <c r="BO3285" s="3">
        <v>52.99</v>
      </c>
      <c r="BQ3285" s="3" t="s">
        <v>89</v>
      </c>
      <c r="BR3285" s="3" t="s">
        <v>364</v>
      </c>
      <c r="BS3285" s="4">
        <v>44568</v>
      </c>
      <c r="BT3285" s="5">
        <v>0.42499999999999999</v>
      </c>
      <c r="BU3285" s="3" t="s">
        <v>836</v>
      </c>
      <c r="BV3285" s="3" t="s">
        <v>105</v>
      </c>
      <c r="BY3285" s="3">
        <v>1200</v>
      </c>
      <c r="BZ3285" s="3" t="s">
        <v>165</v>
      </c>
      <c r="CA3285" s="3" t="s">
        <v>119</v>
      </c>
      <c r="CC3285" s="3" t="s">
        <v>116</v>
      </c>
      <c r="CD3285" s="3">
        <v>1559</v>
      </c>
      <c r="CE3285" s="3" t="s">
        <v>93</v>
      </c>
      <c r="CF3285" s="4">
        <v>44568</v>
      </c>
      <c r="CI3285" s="3">
        <v>1</v>
      </c>
      <c r="CJ3285" s="3">
        <v>1</v>
      </c>
      <c r="CK3285" s="3">
        <v>22</v>
      </c>
      <c r="CL3285" s="3" t="s">
        <v>87</v>
      </c>
    </row>
    <row r="3286" spans="1:90" x14ac:dyDescent="0.2">
      <c r="A3286" s="3" t="s">
        <v>72</v>
      </c>
      <c r="B3286" s="3" t="s">
        <v>73</v>
      </c>
      <c r="C3286" s="3" t="s">
        <v>74</v>
      </c>
      <c r="E3286" s="3" t="str">
        <f>"FES1162843765"</f>
        <v>FES1162843765</v>
      </c>
      <c r="F3286" s="4">
        <v>44567</v>
      </c>
      <c r="G3286" s="3">
        <v>202207</v>
      </c>
      <c r="H3286" s="3" t="s">
        <v>75</v>
      </c>
      <c r="I3286" s="3" t="s">
        <v>76</v>
      </c>
      <c r="J3286" s="3" t="s">
        <v>77</v>
      </c>
      <c r="K3286" s="3" t="s">
        <v>78</v>
      </c>
      <c r="L3286" s="3" t="s">
        <v>107</v>
      </c>
      <c r="M3286" s="3" t="s">
        <v>108</v>
      </c>
      <c r="N3286" s="3" t="s">
        <v>392</v>
      </c>
      <c r="O3286" s="3" t="s">
        <v>82</v>
      </c>
      <c r="P3286" s="3" t="str">
        <f>"2170816467                    "</f>
        <v xml:space="preserve">2170816467                    </v>
      </c>
      <c r="Q3286" s="3">
        <v>0</v>
      </c>
      <c r="R3286" s="3">
        <v>0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  <c r="AE3286" s="3">
        <v>0</v>
      </c>
      <c r="AF3286" s="3">
        <v>0</v>
      </c>
      <c r="AG3286" s="3">
        <v>0</v>
      </c>
      <c r="AH3286" s="3">
        <v>0</v>
      </c>
      <c r="AI3286" s="3">
        <v>0</v>
      </c>
      <c r="AJ3286" s="3">
        <v>0</v>
      </c>
      <c r="AK3286" s="3">
        <v>29.95</v>
      </c>
      <c r="AL3286" s="3">
        <v>0</v>
      </c>
      <c r="AM3286" s="3">
        <v>0</v>
      </c>
      <c r="AN3286" s="3">
        <v>0</v>
      </c>
      <c r="AO3286" s="3">
        <v>0</v>
      </c>
      <c r="AP3286" s="3">
        <v>0</v>
      </c>
      <c r="AQ3286" s="3">
        <v>0</v>
      </c>
      <c r="AR3286" s="3">
        <v>0</v>
      </c>
      <c r="AS3286" s="3">
        <v>0</v>
      </c>
      <c r="AT3286" s="3">
        <v>0</v>
      </c>
      <c r="AU3286" s="3">
        <v>0</v>
      </c>
      <c r="AV3286" s="3">
        <v>0</v>
      </c>
      <c r="AW3286" s="3">
        <v>0</v>
      </c>
      <c r="AX3286" s="3">
        <v>0</v>
      </c>
      <c r="AY3286" s="3">
        <v>0</v>
      </c>
      <c r="AZ3286" s="3">
        <v>0</v>
      </c>
      <c r="BA3286" s="3">
        <v>0</v>
      </c>
      <c r="BB3286" s="3">
        <v>0</v>
      </c>
      <c r="BC3286" s="3">
        <v>0</v>
      </c>
      <c r="BD3286" s="3">
        <v>0</v>
      </c>
      <c r="BE3286" s="3">
        <v>0</v>
      </c>
      <c r="BF3286" s="3">
        <v>0</v>
      </c>
      <c r="BG3286" s="3">
        <v>0</v>
      </c>
      <c r="BH3286" s="3">
        <v>1</v>
      </c>
      <c r="BI3286" s="3">
        <v>1</v>
      </c>
      <c r="BJ3286" s="3">
        <v>0.2</v>
      </c>
      <c r="BK3286" s="3">
        <v>1</v>
      </c>
      <c r="BL3286" s="3">
        <v>114.31</v>
      </c>
      <c r="BM3286" s="3">
        <v>17.149999999999999</v>
      </c>
      <c r="BN3286" s="3">
        <v>131.46</v>
      </c>
      <c r="BO3286" s="3">
        <v>131.46</v>
      </c>
      <c r="BQ3286" s="3" t="s">
        <v>83</v>
      </c>
      <c r="BR3286" s="3" t="s">
        <v>364</v>
      </c>
      <c r="BS3286" s="4">
        <v>44571</v>
      </c>
      <c r="BT3286" s="5">
        <v>0.41666666666666669</v>
      </c>
      <c r="BU3286" s="3" t="s">
        <v>2334</v>
      </c>
      <c r="BV3286" s="3" t="s">
        <v>105</v>
      </c>
      <c r="BY3286" s="3">
        <v>1200</v>
      </c>
      <c r="BZ3286" s="3" t="s">
        <v>165</v>
      </c>
      <c r="CC3286" s="3" t="s">
        <v>108</v>
      </c>
      <c r="CD3286" s="3">
        <v>6849</v>
      </c>
      <c r="CE3286" s="3" t="s">
        <v>93</v>
      </c>
      <c r="CF3286" s="4">
        <v>44572</v>
      </c>
      <c r="CI3286" s="3">
        <v>2</v>
      </c>
      <c r="CJ3286" s="3">
        <v>2</v>
      </c>
      <c r="CK3286" s="3">
        <v>23</v>
      </c>
      <c r="CL3286" s="3" t="s">
        <v>87</v>
      </c>
    </row>
    <row r="3287" spans="1:90" x14ac:dyDescent="0.2">
      <c r="A3287" s="3" t="s">
        <v>72</v>
      </c>
      <c r="B3287" s="3" t="s">
        <v>73</v>
      </c>
      <c r="C3287" s="3" t="s">
        <v>74</v>
      </c>
      <c r="E3287" s="3" t="str">
        <f>"FES1162843905"</f>
        <v>FES1162843905</v>
      </c>
      <c r="F3287" s="4">
        <v>44567</v>
      </c>
      <c r="G3287" s="3">
        <v>202207</v>
      </c>
      <c r="H3287" s="3" t="s">
        <v>75</v>
      </c>
      <c r="I3287" s="3" t="s">
        <v>76</v>
      </c>
      <c r="J3287" s="3" t="s">
        <v>77</v>
      </c>
      <c r="K3287" s="3" t="s">
        <v>78</v>
      </c>
      <c r="L3287" s="3" t="s">
        <v>158</v>
      </c>
      <c r="M3287" s="3" t="s">
        <v>159</v>
      </c>
      <c r="N3287" s="3" t="s">
        <v>768</v>
      </c>
      <c r="O3287" s="3" t="s">
        <v>82</v>
      </c>
      <c r="P3287" s="3" t="str">
        <f>"2170808765                    "</f>
        <v xml:space="preserve">2170808765                    </v>
      </c>
      <c r="Q3287" s="3">
        <v>0</v>
      </c>
      <c r="R3287" s="3">
        <v>0</v>
      </c>
      <c r="S3287" s="3">
        <v>0</v>
      </c>
      <c r="T3287" s="3">
        <v>0</v>
      </c>
      <c r="U3287" s="3">
        <v>0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0</v>
      </c>
      <c r="AC3287" s="3">
        <v>0</v>
      </c>
      <c r="AD3287" s="3">
        <v>0</v>
      </c>
      <c r="AE3287" s="3">
        <v>0</v>
      </c>
      <c r="AF3287" s="3">
        <v>0</v>
      </c>
      <c r="AG3287" s="3">
        <v>0</v>
      </c>
      <c r="AH3287" s="3">
        <v>0</v>
      </c>
      <c r="AI3287" s="3">
        <v>0</v>
      </c>
      <c r="AJ3287" s="3">
        <v>0</v>
      </c>
      <c r="AK3287" s="3">
        <v>12.07</v>
      </c>
      <c r="AL3287" s="3">
        <v>0</v>
      </c>
      <c r="AM3287" s="3">
        <v>0</v>
      </c>
      <c r="AN3287" s="3">
        <v>0</v>
      </c>
      <c r="AO3287" s="3">
        <v>0</v>
      </c>
      <c r="AP3287" s="3">
        <v>0</v>
      </c>
      <c r="AQ3287" s="3">
        <v>0</v>
      </c>
      <c r="AR3287" s="3">
        <v>0</v>
      </c>
      <c r="AS3287" s="3">
        <v>0</v>
      </c>
      <c r="AT3287" s="3">
        <v>0</v>
      </c>
      <c r="AU3287" s="3">
        <v>0</v>
      </c>
      <c r="AV3287" s="3">
        <v>0</v>
      </c>
      <c r="AW3287" s="3">
        <v>0</v>
      </c>
      <c r="AX3287" s="3">
        <v>0</v>
      </c>
      <c r="AY3287" s="3">
        <v>0</v>
      </c>
      <c r="AZ3287" s="3">
        <v>0</v>
      </c>
      <c r="BA3287" s="3">
        <v>0</v>
      </c>
      <c r="BB3287" s="3">
        <v>0</v>
      </c>
      <c r="BC3287" s="3">
        <v>0</v>
      </c>
      <c r="BD3287" s="3">
        <v>0</v>
      </c>
      <c r="BE3287" s="3">
        <v>0</v>
      </c>
      <c r="BF3287" s="3">
        <v>0</v>
      </c>
      <c r="BG3287" s="3">
        <v>0</v>
      </c>
      <c r="BH3287" s="3">
        <v>1</v>
      </c>
      <c r="BI3287" s="3">
        <v>1</v>
      </c>
      <c r="BJ3287" s="3">
        <v>0.2</v>
      </c>
      <c r="BK3287" s="3">
        <v>1</v>
      </c>
      <c r="BL3287" s="3">
        <v>46.08</v>
      </c>
      <c r="BM3287" s="3">
        <v>6.91</v>
      </c>
      <c r="BN3287" s="3">
        <v>52.99</v>
      </c>
      <c r="BO3287" s="3">
        <v>52.99</v>
      </c>
      <c r="BQ3287" s="3" t="s">
        <v>83</v>
      </c>
      <c r="BR3287" s="3" t="s">
        <v>364</v>
      </c>
      <c r="BS3287" s="4">
        <v>44568</v>
      </c>
      <c r="BT3287" s="5">
        <v>0.3520833333333333</v>
      </c>
      <c r="BU3287" s="3" t="s">
        <v>1795</v>
      </c>
      <c r="BV3287" s="3" t="s">
        <v>105</v>
      </c>
      <c r="BY3287" s="3">
        <v>1200</v>
      </c>
      <c r="BZ3287" s="3" t="s">
        <v>165</v>
      </c>
      <c r="CA3287" s="3" t="s">
        <v>825</v>
      </c>
      <c r="CC3287" s="3" t="s">
        <v>159</v>
      </c>
      <c r="CD3287" s="3">
        <v>1459</v>
      </c>
      <c r="CE3287" s="3" t="s">
        <v>93</v>
      </c>
      <c r="CF3287" s="4">
        <v>44568</v>
      </c>
      <c r="CI3287" s="3">
        <v>1</v>
      </c>
      <c r="CJ3287" s="3">
        <v>1</v>
      </c>
      <c r="CK3287" s="3">
        <v>22</v>
      </c>
      <c r="CL3287" s="3" t="s">
        <v>87</v>
      </c>
    </row>
    <row r="3288" spans="1:90" x14ac:dyDescent="0.2">
      <c r="A3288" s="3" t="s">
        <v>72</v>
      </c>
      <c r="B3288" s="3" t="s">
        <v>73</v>
      </c>
      <c r="C3288" s="3" t="s">
        <v>74</v>
      </c>
      <c r="E3288" s="3" t="str">
        <f>"009942045057"</f>
        <v>009942045057</v>
      </c>
      <c r="F3288" s="4">
        <v>44567</v>
      </c>
      <c r="G3288" s="3">
        <v>202207</v>
      </c>
      <c r="H3288" s="3" t="s">
        <v>75</v>
      </c>
      <c r="I3288" s="3" t="s">
        <v>76</v>
      </c>
      <c r="J3288" s="3" t="s">
        <v>77</v>
      </c>
      <c r="K3288" s="3" t="s">
        <v>78</v>
      </c>
      <c r="L3288" s="3" t="s">
        <v>335</v>
      </c>
      <c r="M3288" s="3" t="s">
        <v>336</v>
      </c>
      <c r="N3288" s="3" t="s">
        <v>337</v>
      </c>
      <c r="O3288" s="3" t="s">
        <v>82</v>
      </c>
      <c r="P3288" s="3" t="str">
        <f>"1162842033                    "</f>
        <v xml:space="preserve">1162842033                    </v>
      </c>
      <c r="Q3288" s="3">
        <v>0</v>
      </c>
      <c r="R3288" s="3">
        <v>0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  <c r="AE3288" s="3">
        <v>0</v>
      </c>
      <c r="AF3288" s="3">
        <v>0</v>
      </c>
      <c r="AG3288" s="3">
        <v>0</v>
      </c>
      <c r="AH3288" s="3">
        <v>0</v>
      </c>
      <c r="AI3288" s="3">
        <v>0</v>
      </c>
      <c r="AJ3288" s="3">
        <v>0</v>
      </c>
      <c r="AK3288" s="3">
        <v>15.46</v>
      </c>
      <c r="AL3288" s="3">
        <v>0</v>
      </c>
      <c r="AM3288" s="3">
        <v>0</v>
      </c>
      <c r="AN3288" s="3">
        <v>0</v>
      </c>
      <c r="AO3288" s="3">
        <v>0</v>
      </c>
      <c r="AP3288" s="3">
        <v>0</v>
      </c>
      <c r="AQ3288" s="3">
        <v>0</v>
      </c>
      <c r="AR3288" s="3">
        <v>0</v>
      </c>
      <c r="AS3288" s="3">
        <v>0</v>
      </c>
      <c r="AT3288" s="3">
        <v>0</v>
      </c>
      <c r="AU3288" s="3">
        <v>0</v>
      </c>
      <c r="AV3288" s="3">
        <v>0</v>
      </c>
      <c r="AW3288" s="3">
        <v>0</v>
      </c>
      <c r="AX3288" s="3">
        <v>0</v>
      </c>
      <c r="AY3288" s="3">
        <v>0</v>
      </c>
      <c r="AZ3288" s="3">
        <v>0</v>
      </c>
      <c r="BA3288" s="3">
        <v>0</v>
      </c>
      <c r="BB3288" s="3">
        <v>0</v>
      </c>
      <c r="BC3288" s="3">
        <v>0</v>
      </c>
      <c r="BD3288" s="3">
        <v>0</v>
      </c>
      <c r="BE3288" s="3">
        <v>0</v>
      </c>
      <c r="BF3288" s="3">
        <v>0</v>
      </c>
      <c r="BG3288" s="3">
        <v>0</v>
      </c>
      <c r="BH3288" s="3">
        <v>1</v>
      </c>
      <c r="BI3288" s="3">
        <v>1</v>
      </c>
      <c r="BJ3288" s="3">
        <v>0.2</v>
      </c>
      <c r="BK3288" s="3">
        <v>1</v>
      </c>
      <c r="BL3288" s="3">
        <v>59</v>
      </c>
      <c r="BM3288" s="3">
        <v>8.85</v>
      </c>
      <c r="BN3288" s="3">
        <v>67.849999999999994</v>
      </c>
      <c r="BO3288" s="3">
        <v>67.849999999999994</v>
      </c>
      <c r="BQ3288" s="3" t="s">
        <v>89</v>
      </c>
      <c r="BR3288" s="3" t="s">
        <v>364</v>
      </c>
      <c r="BS3288" s="4">
        <v>44568</v>
      </c>
      <c r="BT3288" s="5">
        <v>0.41666666666666669</v>
      </c>
      <c r="BU3288" s="3" t="s">
        <v>2934</v>
      </c>
      <c r="BV3288" s="3" t="s">
        <v>105</v>
      </c>
      <c r="BY3288" s="3">
        <v>1200</v>
      </c>
      <c r="BZ3288" s="3" t="s">
        <v>165</v>
      </c>
      <c r="CC3288" s="3" t="s">
        <v>336</v>
      </c>
      <c r="CD3288" s="3">
        <v>4133</v>
      </c>
      <c r="CE3288" s="3" t="s">
        <v>93</v>
      </c>
      <c r="CF3288" s="4">
        <v>44571</v>
      </c>
      <c r="CI3288" s="3">
        <v>1</v>
      </c>
      <c r="CJ3288" s="3">
        <v>1</v>
      </c>
      <c r="CK3288" s="3">
        <v>21</v>
      </c>
      <c r="CL3288" s="3" t="s">
        <v>87</v>
      </c>
    </row>
    <row r="3289" spans="1:90" x14ac:dyDescent="0.2">
      <c r="A3289" s="3" t="s">
        <v>72</v>
      </c>
      <c r="B3289" s="3" t="s">
        <v>73</v>
      </c>
      <c r="C3289" s="3" t="s">
        <v>74</v>
      </c>
      <c r="E3289" s="3" t="str">
        <f>"FES1162844023"</f>
        <v>FES1162844023</v>
      </c>
      <c r="F3289" s="4">
        <v>44567</v>
      </c>
      <c r="G3289" s="3">
        <v>202207</v>
      </c>
      <c r="H3289" s="3" t="s">
        <v>75</v>
      </c>
      <c r="I3289" s="3" t="s">
        <v>76</v>
      </c>
      <c r="J3289" s="3" t="s">
        <v>77</v>
      </c>
      <c r="K3289" s="3" t="s">
        <v>78</v>
      </c>
      <c r="L3289" s="3" t="s">
        <v>115</v>
      </c>
      <c r="M3289" s="3" t="s">
        <v>116</v>
      </c>
      <c r="N3289" s="3" t="s">
        <v>117</v>
      </c>
      <c r="O3289" s="3" t="s">
        <v>82</v>
      </c>
      <c r="P3289" s="3" t="str">
        <f>"2170815832                    "</f>
        <v xml:space="preserve">2170815832                    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0</v>
      </c>
      <c r="W3289" s="3">
        <v>0</v>
      </c>
      <c r="X3289" s="3">
        <v>0</v>
      </c>
      <c r="Y3289" s="3">
        <v>0</v>
      </c>
      <c r="Z3289" s="3">
        <v>0</v>
      </c>
      <c r="AA3289" s="3">
        <v>0</v>
      </c>
      <c r="AB3289" s="3">
        <v>0</v>
      </c>
      <c r="AC3289" s="3">
        <v>0</v>
      </c>
      <c r="AD3289" s="3">
        <v>0</v>
      </c>
      <c r="AE3289" s="3">
        <v>0</v>
      </c>
      <c r="AF3289" s="3">
        <v>0</v>
      </c>
      <c r="AG3289" s="3">
        <v>0</v>
      </c>
      <c r="AH3289" s="3">
        <v>0</v>
      </c>
      <c r="AI3289" s="3">
        <v>0</v>
      </c>
      <c r="AJ3289" s="3">
        <v>0</v>
      </c>
      <c r="AK3289" s="3">
        <v>12.07</v>
      </c>
      <c r="AL3289" s="3">
        <v>0</v>
      </c>
      <c r="AM3289" s="3">
        <v>0</v>
      </c>
      <c r="AN3289" s="3">
        <v>0</v>
      </c>
      <c r="AO3289" s="3">
        <v>0</v>
      </c>
      <c r="AP3289" s="3">
        <v>0</v>
      </c>
      <c r="AQ3289" s="3">
        <v>0</v>
      </c>
      <c r="AR3289" s="3">
        <v>0</v>
      </c>
      <c r="AS3289" s="3">
        <v>0</v>
      </c>
      <c r="AT3289" s="3">
        <v>0</v>
      </c>
      <c r="AU3289" s="3">
        <v>0</v>
      </c>
      <c r="AV3289" s="3">
        <v>0</v>
      </c>
      <c r="AW3289" s="3">
        <v>0</v>
      </c>
      <c r="AX3289" s="3">
        <v>0</v>
      </c>
      <c r="AY3289" s="3">
        <v>0</v>
      </c>
      <c r="AZ3289" s="3">
        <v>0</v>
      </c>
      <c r="BA3289" s="3">
        <v>0</v>
      </c>
      <c r="BB3289" s="3">
        <v>0</v>
      </c>
      <c r="BC3289" s="3">
        <v>0</v>
      </c>
      <c r="BD3289" s="3">
        <v>0</v>
      </c>
      <c r="BE3289" s="3">
        <v>0</v>
      </c>
      <c r="BF3289" s="3">
        <v>0</v>
      </c>
      <c r="BG3289" s="3">
        <v>0</v>
      </c>
      <c r="BH3289" s="3">
        <v>1</v>
      </c>
      <c r="BI3289" s="3">
        <v>2</v>
      </c>
      <c r="BJ3289" s="3">
        <v>2.7</v>
      </c>
      <c r="BK3289" s="3">
        <v>3</v>
      </c>
      <c r="BL3289" s="3">
        <v>46.08</v>
      </c>
      <c r="BM3289" s="3">
        <v>6.91</v>
      </c>
      <c r="BN3289" s="3">
        <v>52.99</v>
      </c>
      <c r="BO3289" s="3">
        <v>52.99</v>
      </c>
      <c r="BQ3289" s="3" t="s">
        <v>89</v>
      </c>
      <c r="BR3289" s="3" t="s">
        <v>364</v>
      </c>
      <c r="BS3289" s="4">
        <v>44568</v>
      </c>
      <c r="BT3289" s="5">
        <v>0.33888888888888885</v>
      </c>
      <c r="BU3289" s="3" t="s">
        <v>2935</v>
      </c>
      <c r="BV3289" s="3" t="s">
        <v>105</v>
      </c>
      <c r="BY3289" s="3">
        <v>13312</v>
      </c>
      <c r="BZ3289" s="3" t="s">
        <v>165</v>
      </c>
      <c r="CA3289" s="3" t="s">
        <v>119</v>
      </c>
      <c r="CC3289" s="3" t="s">
        <v>116</v>
      </c>
      <c r="CD3289" s="3">
        <v>1559</v>
      </c>
      <c r="CE3289" s="3" t="s">
        <v>86</v>
      </c>
      <c r="CF3289" s="4">
        <v>44568</v>
      </c>
      <c r="CI3289" s="3">
        <v>1</v>
      </c>
      <c r="CJ3289" s="3">
        <v>1</v>
      </c>
      <c r="CK3289" s="3">
        <v>22</v>
      </c>
      <c r="CL3289" s="3" t="s">
        <v>87</v>
      </c>
    </row>
    <row r="3290" spans="1:90" x14ac:dyDescent="0.2">
      <c r="A3290" s="3" t="s">
        <v>72</v>
      </c>
      <c r="B3290" s="3" t="s">
        <v>73</v>
      </c>
      <c r="C3290" s="3" t="s">
        <v>74</v>
      </c>
      <c r="E3290" s="3" t="str">
        <f>"FES1162843860"</f>
        <v>FES1162843860</v>
      </c>
      <c r="F3290" s="4">
        <v>44567</v>
      </c>
      <c r="G3290" s="3">
        <v>202207</v>
      </c>
      <c r="H3290" s="3" t="s">
        <v>75</v>
      </c>
      <c r="I3290" s="3" t="s">
        <v>76</v>
      </c>
      <c r="J3290" s="3" t="s">
        <v>77</v>
      </c>
      <c r="K3290" s="3" t="s">
        <v>78</v>
      </c>
      <c r="L3290" s="3" t="s">
        <v>427</v>
      </c>
      <c r="M3290" s="3" t="s">
        <v>428</v>
      </c>
      <c r="N3290" s="3" t="s">
        <v>447</v>
      </c>
      <c r="O3290" s="3" t="s">
        <v>82</v>
      </c>
      <c r="P3290" s="3" t="str">
        <f>"2170813240                    "</f>
        <v xml:space="preserve">2170813240                    </v>
      </c>
      <c r="Q3290" s="3">
        <v>0</v>
      </c>
      <c r="R3290" s="3">
        <v>0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  <c r="AE3290" s="3">
        <v>0</v>
      </c>
      <c r="AF3290" s="3">
        <v>0</v>
      </c>
      <c r="AG3290" s="3">
        <v>0</v>
      </c>
      <c r="AH3290" s="3">
        <v>0</v>
      </c>
      <c r="AI3290" s="3">
        <v>0</v>
      </c>
      <c r="AJ3290" s="3">
        <v>0</v>
      </c>
      <c r="AK3290" s="3">
        <v>151.68</v>
      </c>
      <c r="AL3290" s="3">
        <v>0</v>
      </c>
      <c r="AM3290" s="3">
        <v>0</v>
      </c>
      <c r="AN3290" s="3">
        <v>0</v>
      </c>
      <c r="AO3290" s="3">
        <v>0</v>
      </c>
      <c r="AP3290" s="3">
        <v>0</v>
      </c>
      <c r="AQ3290" s="3">
        <v>0</v>
      </c>
      <c r="AR3290" s="3">
        <v>0</v>
      </c>
      <c r="AS3290" s="3">
        <v>0</v>
      </c>
      <c r="AT3290" s="3">
        <v>0</v>
      </c>
      <c r="AU3290" s="3">
        <v>0</v>
      </c>
      <c r="AV3290" s="3">
        <v>0</v>
      </c>
      <c r="AW3290" s="3">
        <v>0</v>
      </c>
      <c r="AX3290" s="3">
        <v>0</v>
      </c>
      <c r="AY3290" s="3">
        <v>0</v>
      </c>
      <c r="AZ3290" s="3">
        <v>0</v>
      </c>
      <c r="BA3290" s="3">
        <v>0</v>
      </c>
      <c r="BB3290" s="3">
        <v>0</v>
      </c>
      <c r="BC3290" s="3">
        <v>0</v>
      </c>
      <c r="BD3290" s="3">
        <v>0</v>
      </c>
      <c r="BE3290" s="3">
        <v>0</v>
      </c>
      <c r="BF3290" s="3">
        <v>0</v>
      </c>
      <c r="BG3290" s="3">
        <v>0</v>
      </c>
      <c r="BH3290" s="3">
        <v>1</v>
      </c>
      <c r="BI3290" s="3">
        <v>11</v>
      </c>
      <c r="BJ3290" s="3">
        <v>4.0999999999999996</v>
      </c>
      <c r="BK3290" s="3">
        <v>11</v>
      </c>
      <c r="BL3290" s="3">
        <v>578.94000000000005</v>
      </c>
      <c r="BM3290" s="3">
        <v>86.84</v>
      </c>
      <c r="BN3290" s="3">
        <v>665.78</v>
      </c>
      <c r="BO3290" s="3">
        <v>665.78</v>
      </c>
      <c r="BQ3290" s="3" t="s">
        <v>89</v>
      </c>
      <c r="BR3290" s="3" t="s">
        <v>364</v>
      </c>
      <c r="BS3290" s="4">
        <v>44568</v>
      </c>
      <c r="BT3290" s="5">
        <v>0.51597222222222217</v>
      </c>
      <c r="BU3290" s="3" t="s">
        <v>1695</v>
      </c>
      <c r="BV3290" s="3" t="s">
        <v>105</v>
      </c>
      <c r="BY3290" s="3">
        <v>20358</v>
      </c>
      <c r="BZ3290" s="3" t="s">
        <v>165</v>
      </c>
      <c r="CA3290" s="3" t="s">
        <v>2516</v>
      </c>
      <c r="CC3290" s="3" t="s">
        <v>428</v>
      </c>
      <c r="CD3290" s="3">
        <v>7130</v>
      </c>
      <c r="CE3290" s="3" t="s">
        <v>86</v>
      </c>
      <c r="CF3290" s="4">
        <v>44571</v>
      </c>
      <c r="CI3290" s="3">
        <v>1</v>
      </c>
      <c r="CJ3290" s="3">
        <v>1</v>
      </c>
      <c r="CK3290" s="3">
        <v>23</v>
      </c>
      <c r="CL3290" s="3" t="s">
        <v>87</v>
      </c>
    </row>
    <row r="3291" spans="1:90" x14ac:dyDescent="0.2">
      <c r="A3291" s="3" t="s">
        <v>72</v>
      </c>
      <c r="B3291" s="3" t="s">
        <v>73</v>
      </c>
      <c r="C3291" s="3" t="s">
        <v>74</v>
      </c>
      <c r="E3291" s="3" t="str">
        <f>"FES1162844066"</f>
        <v>FES1162844066</v>
      </c>
      <c r="F3291" s="4">
        <v>44567</v>
      </c>
      <c r="G3291" s="3">
        <v>202207</v>
      </c>
      <c r="H3291" s="3" t="s">
        <v>75</v>
      </c>
      <c r="I3291" s="3" t="s">
        <v>76</v>
      </c>
      <c r="J3291" s="3" t="s">
        <v>77</v>
      </c>
      <c r="K3291" s="3" t="s">
        <v>78</v>
      </c>
      <c r="L3291" s="3" t="s">
        <v>90</v>
      </c>
      <c r="M3291" s="3" t="s">
        <v>91</v>
      </c>
      <c r="N3291" s="3" t="s">
        <v>735</v>
      </c>
      <c r="O3291" s="3" t="s">
        <v>82</v>
      </c>
      <c r="P3291" s="3" t="str">
        <f>"2170809903                    "</f>
        <v xml:space="preserve">2170809903                    </v>
      </c>
      <c r="Q3291" s="3">
        <v>0</v>
      </c>
      <c r="R3291" s="3">
        <v>0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  <c r="AE3291" s="3">
        <v>0</v>
      </c>
      <c r="AF3291" s="3">
        <v>0</v>
      </c>
      <c r="AG3291" s="3">
        <v>0</v>
      </c>
      <c r="AH3291" s="3">
        <v>0</v>
      </c>
      <c r="AI3291" s="3">
        <v>0</v>
      </c>
      <c r="AJ3291" s="3">
        <v>0</v>
      </c>
      <c r="AK3291" s="3">
        <v>15.46</v>
      </c>
      <c r="AL3291" s="3">
        <v>0</v>
      </c>
      <c r="AM3291" s="3">
        <v>0</v>
      </c>
      <c r="AN3291" s="3">
        <v>0</v>
      </c>
      <c r="AO3291" s="3">
        <v>0</v>
      </c>
      <c r="AP3291" s="3">
        <v>0</v>
      </c>
      <c r="AQ3291" s="3">
        <v>0</v>
      </c>
      <c r="AR3291" s="3">
        <v>0</v>
      </c>
      <c r="AS3291" s="3">
        <v>0</v>
      </c>
      <c r="AT3291" s="3">
        <v>0</v>
      </c>
      <c r="AU3291" s="3">
        <v>0</v>
      </c>
      <c r="AV3291" s="3">
        <v>0</v>
      </c>
      <c r="AW3291" s="3">
        <v>0</v>
      </c>
      <c r="AX3291" s="3">
        <v>0</v>
      </c>
      <c r="AY3291" s="3">
        <v>0</v>
      </c>
      <c r="AZ3291" s="3">
        <v>0</v>
      </c>
      <c r="BA3291" s="3">
        <v>0</v>
      </c>
      <c r="BB3291" s="3">
        <v>0</v>
      </c>
      <c r="BC3291" s="3">
        <v>0</v>
      </c>
      <c r="BD3291" s="3">
        <v>0</v>
      </c>
      <c r="BE3291" s="3">
        <v>0</v>
      </c>
      <c r="BF3291" s="3">
        <v>0</v>
      </c>
      <c r="BG3291" s="3">
        <v>0</v>
      </c>
      <c r="BH3291" s="3">
        <v>1</v>
      </c>
      <c r="BI3291" s="3">
        <v>1</v>
      </c>
      <c r="BJ3291" s="3">
        <v>1.1000000000000001</v>
      </c>
      <c r="BK3291" s="3">
        <v>1.5</v>
      </c>
      <c r="BL3291" s="3">
        <v>59</v>
      </c>
      <c r="BM3291" s="3">
        <v>8.85</v>
      </c>
      <c r="BN3291" s="3">
        <v>67.849999999999994</v>
      </c>
      <c r="BO3291" s="3">
        <v>67.849999999999994</v>
      </c>
      <c r="BQ3291" s="3" t="s">
        <v>273</v>
      </c>
      <c r="BR3291" s="3" t="s">
        <v>364</v>
      </c>
      <c r="BS3291" s="4">
        <v>44568</v>
      </c>
      <c r="BT3291" s="5">
        <v>0.34791666666666665</v>
      </c>
      <c r="BU3291" s="3" t="s">
        <v>2793</v>
      </c>
      <c r="BV3291" s="3" t="s">
        <v>105</v>
      </c>
      <c r="BY3291" s="3">
        <v>5320</v>
      </c>
      <c r="BZ3291" s="3" t="s">
        <v>165</v>
      </c>
      <c r="CA3291" s="3" t="s">
        <v>566</v>
      </c>
      <c r="CC3291" s="3" t="s">
        <v>91</v>
      </c>
      <c r="CD3291" s="3">
        <v>7460</v>
      </c>
      <c r="CE3291" s="3" t="s">
        <v>86</v>
      </c>
      <c r="CF3291" s="4">
        <v>44571</v>
      </c>
      <c r="CI3291" s="3">
        <v>1</v>
      </c>
      <c r="CJ3291" s="3">
        <v>1</v>
      </c>
      <c r="CK3291" s="3">
        <v>21</v>
      </c>
      <c r="CL3291" s="3" t="s">
        <v>87</v>
      </c>
    </row>
    <row r="3292" spans="1:90" x14ac:dyDescent="0.2">
      <c r="A3292" s="3" t="s">
        <v>72</v>
      </c>
      <c r="B3292" s="3" t="s">
        <v>73</v>
      </c>
      <c r="C3292" s="3" t="s">
        <v>74</v>
      </c>
      <c r="E3292" s="3" t="str">
        <f>"FES1162844018"</f>
        <v>FES1162844018</v>
      </c>
      <c r="F3292" s="4">
        <v>44567</v>
      </c>
      <c r="G3292" s="3">
        <v>202207</v>
      </c>
      <c r="H3292" s="3" t="s">
        <v>75</v>
      </c>
      <c r="I3292" s="3" t="s">
        <v>76</v>
      </c>
      <c r="J3292" s="3" t="s">
        <v>77</v>
      </c>
      <c r="K3292" s="3" t="s">
        <v>78</v>
      </c>
      <c r="L3292" s="3" t="s">
        <v>75</v>
      </c>
      <c r="M3292" s="3" t="s">
        <v>76</v>
      </c>
      <c r="N3292" s="3" t="s">
        <v>147</v>
      </c>
      <c r="O3292" s="3" t="s">
        <v>148</v>
      </c>
      <c r="P3292" s="3" t="str">
        <f>"2170815828                    "</f>
        <v xml:space="preserve">2170815828                    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  <c r="AE3292" s="3">
        <v>0</v>
      </c>
      <c r="AF3292" s="3">
        <v>0</v>
      </c>
      <c r="AG3292" s="3">
        <v>0</v>
      </c>
      <c r="AH3292" s="3">
        <v>0</v>
      </c>
      <c r="AI3292" s="3">
        <v>0</v>
      </c>
      <c r="AJ3292" s="3">
        <v>0</v>
      </c>
      <c r="AK3292" s="3">
        <v>25.76</v>
      </c>
      <c r="AL3292" s="3">
        <v>0</v>
      </c>
      <c r="AM3292" s="3">
        <v>0</v>
      </c>
      <c r="AN3292" s="3">
        <v>0</v>
      </c>
      <c r="AO3292" s="3">
        <v>0</v>
      </c>
      <c r="AP3292" s="3">
        <v>0</v>
      </c>
      <c r="AQ3292" s="3">
        <v>0</v>
      </c>
      <c r="AR3292" s="3">
        <v>0</v>
      </c>
      <c r="AS3292" s="3">
        <v>0</v>
      </c>
      <c r="AT3292" s="3">
        <v>0</v>
      </c>
      <c r="AU3292" s="3">
        <v>0</v>
      </c>
      <c r="AV3292" s="3">
        <v>0</v>
      </c>
      <c r="AW3292" s="3">
        <v>0</v>
      </c>
      <c r="AX3292" s="3">
        <v>0</v>
      </c>
      <c r="AY3292" s="3">
        <v>0</v>
      </c>
      <c r="AZ3292" s="3">
        <v>0</v>
      </c>
      <c r="BA3292" s="3">
        <v>0</v>
      </c>
      <c r="BB3292" s="3">
        <v>0</v>
      </c>
      <c r="BC3292" s="3">
        <v>0</v>
      </c>
      <c r="BD3292" s="3">
        <v>0</v>
      </c>
      <c r="BE3292" s="3">
        <v>0</v>
      </c>
      <c r="BF3292" s="3">
        <v>0</v>
      </c>
      <c r="BG3292" s="3">
        <v>0</v>
      </c>
      <c r="BH3292" s="3">
        <v>1</v>
      </c>
      <c r="BI3292" s="3">
        <v>13</v>
      </c>
      <c r="BJ3292" s="3">
        <v>18.3</v>
      </c>
      <c r="BK3292" s="3">
        <v>19</v>
      </c>
      <c r="BL3292" s="3">
        <v>103.58</v>
      </c>
      <c r="BM3292" s="3">
        <v>15.54</v>
      </c>
      <c r="BN3292" s="3">
        <v>119.12</v>
      </c>
      <c r="BO3292" s="3">
        <v>119.12</v>
      </c>
      <c r="BQ3292" s="3" t="s">
        <v>89</v>
      </c>
      <c r="BR3292" s="3" t="s">
        <v>364</v>
      </c>
      <c r="BS3292" s="4">
        <v>44568</v>
      </c>
      <c r="BT3292" s="5">
        <v>0.38611111111111113</v>
      </c>
      <c r="BU3292" s="3" t="s">
        <v>656</v>
      </c>
      <c r="BV3292" s="3" t="s">
        <v>105</v>
      </c>
      <c r="BY3292" s="3">
        <v>91264</v>
      </c>
      <c r="BZ3292" s="3" t="s">
        <v>327</v>
      </c>
      <c r="CA3292" s="3" t="s">
        <v>477</v>
      </c>
      <c r="CC3292" s="3" t="s">
        <v>76</v>
      </c>
      <c r="CD3292" s="3">
        <v>1645</v>
      </c>
      <c r="CE3292" s="3" t="s">
        <v>86</v>
      </c>
      <c r="CF3292" s="4">
        <v>44569</v>
      </c>
      <c r="CI3292" s="3">
        <v>1</v>
      </c>
      <c r="CJ3292" s="3">
        <v>1</v>
      </c>
      <c r="CK3292" s="3">
        <v>42</v>
      </c>
      <c r="CL3292" s="3" t="s">
        <v>87</v>
      </c>
    </row>
    <row r="3293" spans="1:90" x14ac:dyDescent="0.2">
      <c r="A3293" s="3" t="s">
        <v>72</v>
      </c>
      <c r="B3293" s="3" t="s">
        <v>73</v>
      </c>
      <c r="C3293" s="3" t="s">
        <v>74</v>
      </c>
      <c r="E3293" s="3" t="str">
        <f>"FES1162843836"</f>
        <v>FES1162843836</v>
      </c>
      <c r="F3293" s="4">
        <v>44567</v>
      </c>
      <c r="G3293" s="3">
        <v>202207</v>
      </c>
      <c r="H3293" s="3" t="s">
        <v>75</v>
      </c>
      <c r="I3293" s="3" t="s">
        <v>76</v>
      </c>
      <c r="J3293" s="3" t="s">
        <v>77</v>
      </c>
      <c r="K3293" s="3" t="s">
        <v>78</v>
      </c>
      <c r="L3293" s="3" t="s">
        <v>184</v>
      </c>
      <c r="M3293" s="3" t="s">
        <v>185</v>
      </c>
      <c r="N3293" s="3" t="s">
        <v>503</v>
      </c>
      <c r="O3293" s="3" t="s">
        <v>82</v>
      </c>
      <c r="P3293" s="3" t="str">
        <f>"2170815766                    "</f>
        <v xml:space="preserve">2170815766                    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  <c r="AE3293" s="3">
        <v>0</v>
      </c>
      <c r="AF3293" s="3">
        <v>0</v>
      </c>
      <c r="AG3293" s="3">
        <v>0</v>
      </c>
      <c r="AH3293" s="3">
        <v>0</v>
      </c>
      <c r="AI3293" s="3">
        <v>0</v>
      </c>
      <c r="AJ3293" s="3">
        <v>0</v>
      </c>
      <c r="AK3293" s="3">
        <v>30.91</v>
      </c>
      <c r="AL3293" s="3">
        <v>0</v>
      </c>
      <c r="AM3293" s="3">
        <v>0</v>
      </c>
      <c r="AN3293" s="3">
        <v>0</v>
      </c>
      <c r="AO3293" s="3">
        <v>0</v>
      </c>
      <c r="AP3293" s="3">
        <v>0</v>
      </c>
      <c r="AQ3293" s="3">
        <v>0</v>
      </c>
      <c r="AR3293" s="3">
        <v>0</v>
      </c>
      <c r="AS3293" s="3">
        <v>0</v>
      </c>
      <c r="AT3293" s="3">
        <v>0</v>
      </c>
      <c r="AU3293" s="3">
        <v>0</v>
      </c>
      <c r="AV3293" s="3">
        <v>0</v>
      </c>
      <c r="AW3293" s="3">
        <v>0</v>
      </c>
      <c r="AX3293" s="3">
        <v>0</v>
      </c>
      <c r="AY3293" s="3">
        <v>0</v>
      </c>
      <c r="AZ3293" s="3">
        <v>0</v>
      </c>
      <c r="BA3293" s="3">
        <v>0</v>
      </c>
      <c r="BB3293" s="3">
        <v>0</v>
      </c>
      <c r="BC3293" s="3">
        <v>0</v>
      </c>
      <c r="BD3293" s="3">
        <v>0</v>
      </c>
      <c r="BE3293" s="3">
        <v>0</v>
      </c>
      <c r="BF3293" s="3">
        <v>0</v>
      </c>
      <c r="BG3293" s="3">
        <v>0</v>
      </c>
      <c r="BH3293" s="3">
        <v>1</v>
      </c>
      <c r="BI3293" s="3">
        <v>4</v>
      </c>
      <c r="BJ3293" s="3">
        <v>3</v>
      </c>
      <c r="BK3293" s="3">
        <v>4</v>
      </c>
      <c r="BL3293" s="3">
        <v>117.97</v>
      </c>
      <c r="BM3293" s="3">
        <v>17.7</v>
      </c>
      <c r="BN3293" s="3">
        <v>135.66999999999999</v>
      </c>
      <c r="BO3293" s="3">
        <v>135.66999999999999</v>
      </c>
      <c r="BQ3293" s="3" t="s">
        <v>89</v>
      </c>
      <c r="BR3293" s="3" t="s">
        <v>364</v>
      </c>
      <c r="BS3293" s="4">
        <v>44568</v>
      </c>
      <c r="BT3293" s="5">
        <v>0.45208333333333334</v>
      </c>
      <c r="BU3293" s="3" t="s">
        <v>2824</v>
      </c>
      <c r="BV3293" s="3" t="s">
        <v>87</v>
      </c>
      <c r="BW3293" s="3" t="s">
        <v>353</v>
      </c>
      <c r="BX3293" s="3" t="s">
        <v>605</v>
      </c>
      <c r="BY3293" s="3">
        <v>14820</v>
      </c>
      <c r="BZ3293" s="3" t="s">
        <v>165</v>
      </c>
      <c r="CA3293" s="3" t="s">
        <v>357</v>
      </c>
      <c r="CC3293" s="3" t="s">
        <v>185</v>
      </c>
      <c r="CD3293" s="3">
        <v>5201</v>
      </c>
      <c r="CE3293" s="3" t="s">
        <v>86</v>
      </c>
      <c r="CF3293" s="4">
        <v>44572</v>
      </c>
      <c r="CI3293" s="3">
        <v>1</v>
      </c>
      <c r="CJ3293" s="3">
        <v>1</v>
      </c>
      <c r="CK3293" s="3">
        <v>21</v>
      </c>
      <c r="CL3293" s="3" t="s">
        <v>87</v>
      </c>
    </row>
    <row r="3294" spans="1:90" x14ac:dyDescent="0.2">
      <c r="A3294" s="3" t="s">
        <v>72</v>
      </c>
      <c r="B3294" s="3" t="s">
        <v>73</v>
      </c>
      <c r="C3294" s="3" t="s">
        <v>74</v>
      </c>
      <c r="E3294" s="3" t="str">
        <f>"FES1162844079"</f>
        <v>FES1162844079</v>
      </c>
      <c r="F3294" s="4">
        <v>44567</v>
      </c>
      <c r="G3294" s="3">
        <v>202207</v>
      </c>
      <c r="H3294" s="3" t="s">
        <v>75</v>
      </c>
      <c r="I3294" s="3" t="s">
        <v>76</v>
      </c>
      <c r="J3294" s="3" t="s">
        <v>77</v>
      </c>
      <c r="K3294" s="3" t="s">
        <v>78</v>
      </c>
      <c r="L3294" s="3" t="s">
        <v>90</v>
      </c>
      <c r="M3294" s="3" t="s">
        <v>91</v>
      </c>
      <c r="N3294" s="3" t="s">
        <v>114</v>
      </c>
      <c r="O3294" s="3" t="s">
        <v>82</v>
      </c>
      <c r="P3294" s="3" t="str">
        <f>"2170812858                    "</f>
        <v xml:space="preserve">2170812858                    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  <c r="AE3294" s="3">
        <v>0</v>
      </c>
      <c r="AF3294" s="3">
        <v>0</v>
      </c>
      <c r="AG3294" s="3">
        <v>0</v>
      </c>
      <c r="AH3294" s="3">
        <v>0</v>
      </c>
      <c r="AI3294" s="3">
        <v>0</v>
      </c>
      <c r="AJ3294" s="3">
        <v>0</v>
      </c>
      <c r="AK3294" s="3">
        <v>50.22</v>
      </c>
      <c r="AL3294" s="3">
        <v>0</v>
      </c>
      <c r="AM3294" s="3">
        <v>0</v>
      </c>
      <c r="AN3294" s="3">
        <v>0</v>
      </c>
      <c r="AO3294" s="3">
        <v>0</v>
      </c>
      <c r="AP3294" s="3">
        <v>0</v>
      </c>
      <c r="AQ3294" s="3">
        <v>0</v>
      </c>
      <c r="AR3294" s="3">
        <v>0</v>
      </c>
      <c r="AS3294" s="3">
        <v>0</v>
      </c>
      <c r="AT3294" s="3">
        <v>0</v>
      </c>
      <c r="AU3294" s="3">
        <v>0</v>
      </c>
      <c r="AV3294" s="3">
        <v>0</v>
      </c>
      <c r="AW3294" s="3">
        <v>0</v>
      </c>
      <c r="AX3294" s="3">
        <v>0</v>
      </c>
      <c r="AY3294" s="3">
        <v>0</v>
      </c>
      <c r="AZ3294" s="3">
        <v>0</v>
      </c>
      <c r="BA3294" s="3">
        <v>0</v>
      </c>
      <c r="BB3294" s="3">
        <v>0</v>
      </c>
      <c r="BC3294" s="3">
        <v>0</v>
      </c>
      <c r="BD3294" s="3">
        <v>0</v>
      </c>
      <c r="BE3294" s="3">
        <v>0</v>
      </c>
      <c r="BF3294" s="3">
        <v>0</v>
      </c>
      <c r="BG3294" s="3">
        <v>0</v>
      </c>
      <c r="BH3294" s="3">
        <v>1</v>
      </c>
      <c r="BI3294" s="3">
        <v>2</v>
      </c>
      <c r="BJ3294" s="3">
        <v>6.4</v>
      </c>
      <c r="BK3294" s="3">
        <v>6.5</v>
      </c>
      <c r="BL3294" s="3">
        <v>191.68</v>
      </c>
      <c r="BM3294" s="3">
        <v>28.75</v>
      </c>
      <c r="BN3294" s="3">
        <v>220.43</v>
      </c>
      <c r="BO3294" s="3">
        <v>220.43</v>
      </c>
      <c r="BQ3294" s="3" t="s">
        <v>89</v>
      </c>
      <c r="BR3294" s="3" t="s">
        <v>364</v>
      </c>
      <c r="BS3294" s="4">
        <v>44568</v>
      </c>
      <c r="BT3294" s="5">
        <v>0.34513888888888888</v>
      </c>
      <c r="BU3294" s="3" t="s">
        <v>2590</v>
      </c>
      <c r="BV3294" s="3" t="s">
        <v>105</v>
      </c>
      <c r="BY3294" s="3">
        <v>32000</v>
      </c>
      <c r="BZ3294" s="3" t="s">
        <v>165</v>
      </c>
      <c r="CA3294" s="3" t="s">
        <v>692</v>
      </c>
      <c r="CC3294" s="3" t="s">
        <v>91</v>
      </c>
      <c r="CD3294" s="3">
        <v>7441</v>
      </c>
      <c r="CE3294" s="3" t="s">
        <v>86</v>
      </c>
      <c r="CF3294" s="4">
        <v>44586</v>
      </c>
      <c r="CI3294" s="3">
        <v>1</v>
      </c>
      <c r="CJ3294" s="3">
        <v>1</v>
      </c>
      <c r="CK3294" s="3">
        <v>21</v>
      </c>
      <c r="CL3294" s="3" t="s">
        <v>87</v>
      </c>
    </row>
    <row r="3295" spans="1:90" x14ac:dyDescent="0.2">
      <c r="A3295" s="3" t="s">
        <v>72</v>
      </c>
      <c r="B3295" s="3" t="s">
        <v>73</v>
      </c>
      <c r="C3295" s="3" t="s">
        <v>74</v>
      </c>
      <c r="E3295" s="3" t="str">
        <f>"FES1162844020"</f>
        <v>FES1162844020</v>
      </c>
      <c r="F3295" s="4">
        <v>44567</v>
      </c>
      <c r="G3295" s="3">
        <v>202207</v>
      </c>
      <c r="H3295" s="3" t="s">
        <v>75</v>
      </c>
      <c r="I3295" s="3" t="s">
        <v>76</v>
      </c>
      <c r="J3295" s="3" t="s">
        <v>77</v>
      </c>
      <c r="K3295" s="3" t="s">
        <v>78</v>
      </c>
      <c r="L3295" s="3" t="s">
        <v>281</v>
      </c>
      <c r="M3295" s="3" t="s">
        <v>282</v>
      </c>
      <c r="N3295" s="3" t="s">
        <v>927</v>
      </c>
      <c r="O3295" s="3" t="s">
        <v>82</v>
      </c>
      <c r="P3295" s="3" t="str">
        <f>"2170815829                    "</f>
        <v xml:space="preserve">2170815829                    </v>
      </c>
      <c r="Q3295" s="3">
        <v>0</v>
      </c>
      <c r="R3295" s="3">
        <v>0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  <c r="AE3295" s="3">
        <v>0</v>
      </c>
      <c r="AF3295" s="3">
        <v>0</v>
      </c>
      <c r="AG3295" s="3">
        <v>0</v>
      </c>
      <c r="AH3295" s="3">
        <v>0</v>
      </c>
      <c r="AI3295" s="3">
        <v>0</v>
      </c>
      <c r="AJ3295" s="3">
        <v>0</v>
      </c>
      <c r="AK3295" s="3">
        <v>77.290000000000006</v>
      </c>
      <c r="AL3295" s="3">
        <v>0</v>
      </c>
      <c r="AM3295" s="3">
        <v>0</v>
      </c>
      <c r="AN3295" s="3">
        <v>0</v>
      </c>
      <c r="AO3295" s="3">
        <v>0</v>
      </c>
      <c r="AP3295" s="3">
        <v>0</v>
      </c>
      <c r="AQ3295" s="3">
        <v>0</v>
      </c>
      <c r="AR3295" s="3">
        <v>0</v>
      </c>
      <c r="AS3295" s="3">
        <v>0</v>
      </c>
      <c r="AT3295" s="3">
        <v>0</v>
      </c>
      <c r="AU3295" s="3">
        <v>0</v>
      </c>
      <c r="AV3295" s="3">
        <v>0</v>
      </c>
      <c r="AW3295" s="3">
        <v>0</v>
      </c>
      <c r="AX3295" s="3">
        <v>0</v>
      </c>
      <c r="AY3295" s="3">
        <v>0</v>
      </c>
      <c r="AZ3295" s="3">
        <v>0</v>
      </c>
      <c r="BA3295" s="3">
        <v>0</v>
      </c>
      <c r="BB3295" s="3">
        <v>0</v>
      </c>
      <c r="BC3295" s="3">
        <v>0</v>
      </c>
      <c r="BD3295" s="3">
        <v>0</v>
      </c>
      <c r="BE3295" s="3">
        <v>0</v>
      </c>
      <c r="BF3295" s="3">
        <v>0</v>
      </c>
      <c r="BG3295" s="3">
        <v>0</v>
      </c>
      <c r="BH3295" s="3">
        <v>1</v>
      </c>
      <c r="BI3295" s="3">
        <v>3</v>
      </c>
      <c r="BJ3295" s="3">
        <v>5.5</v>
      </c>
      <c r="BK3295" s="3">
        <v>5.5</v>
      </c>
      <c r="BL3295" s="3">
        <v>295</v>
      </c>
      <c r="BM3295" s="3">
        <v>44.25</v>
      </c>
      <c r="BN3295" s="3">
        <v>339.25</v>
      </c>
      <c r="BO3295" s="3">
        <v>339.25</v>
      </c>
      <c r="BQ3295" s="3" t="s">
        <v>83</v>
      </c>
      <c r="BR3295" s="3" t="s">
        <v>364</v>
      </c>
      <c r="BS3295" s="4">
        <v>44571</v>
      </c>
      <c r="BT3295" s="5">
        <v>0.41666666666666669</v>
      </c>
      <c r="BU3295" s="3" t="s">
        <v>2936</v>
      </c>
      <c r="BV3295" s="3" t="s">
        <v>105</v>
      </c>
      <c r="BY3295" s="3">
        <v>27360</v>
      </c>
      <c r="BZ3295" s="3" t="s">
        <v>165</v>
      </c>
      <c r="CC3295" s="3" t="s">
        <v>282</v>
      </c>
      <c r="CD3295" s="3">
        <v>3236</v>
      </c>
      <c r="CE3295" s="3" t="s">
        <v>86</v>
      </c>
      <c r="CF3295" s="4">
        <v>44572</v>
      </c>
      <c r="CI3295" s="3">
        <v>5</v>
      </c>
      <c r="CJ3295" s="3">
        <v>2</v>
      </c>
      <c r="CK3295" s="3">
        <v>23</v>
      </c>
      <c r="CL3295" s="3" t="s">
        <v>87</v>
      </c>
    </row>
    <row r="3296" spans="1:90" x14ac:dyDescent="0.2">
      <c r="A3296" s="3" t="s">
        <v>72</v>
      </c>
      <c r="B3296" s="3" t="s">
        <v>73</v>
      </c>
      <c r="C3296" s="3" t="s">
        <v>74</v>
      </c>
      <c r="E3296" s="3" t="str">
        <f>"FES1162843886"</f>
        <v>FES1162843886</v>
      </c>
      <c r="F3296" s="4">
        <v>44567</v>
      </c>
      <c r="G3296" s="3">
        <v>202207</v>
      </c>
      <c r="H3296" s="3" t="s">
        <v>75</v>
      </c>
      <c r="I3296" s="3" t="s">
        <v>76</v>
      </c>
      <c r="J3296" s="3" t="s">
        <v>77</v>
      </c>
      <c r="K3296" s="3" t="s">
        <v>78</v>
      </c>
      <c r="L3296" s="3" t="s">
        <v>94</v>
      </c>
      <c r="M3296" s="3" t="s">
        <v>95</v>
      </c>
      <c r="N3296" s="3" t="s">
        <v>179</v>
      </c>
      <c r="O3296" s="3" t="s">
        <v>82</v>
      </c>
      <c r="P3296" s="3" t="str">
        <f>"2170815805                    "</f>
        <v xml:space="preserve">2170815805                    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  <c r="AE3296" s="3">
        <v>0</v>
      </c>
      <c r="AF3296" s="3">
        <v>0</v>
      </c>
      <c r="AG3296" s="3">
        <v>0</v>
      </c>
      <c r="AH3296" s="3">
        <v>0</v>
      </c>
      <c r="AI3296" s="3">
        <v>0</v>
      </c>
      <c r="AJ3296" s="3">
        <v>0</v>
      </c>
      <c r="AK3296" s="3">
        <v>15.46</v>
      </c>
      <c r="AL3296" s="3">
        <v>0</v>
      </c>
      <c r="AM3296" s="3">
        <v>0</v>
      </c>
      <c r="AN3296" s="3">
        <v>0</v>
      </c>
      <c r="AO3296" s="3">
        <v>0</v>
      </c>
      <c r="AP3296" s="3">
        <v>0</v>
      </c>
      <c r="AQ3296" s="3">
        <v>0</v>
      </c>
      <c r="AR3296" s="3">
        <v>0</v>
      </c>
      <c r="AS3296" s="3">
        <v>0</v>
      </c>
      <c r="AT3296" s="3">
        <v>0</v>
      </c>
      <c r="AU3296" s="3">
        <v>0</v>
      </c>
      <c r="AV3296" s="3">
        <v>0</v>
      </c>
      <c r="AW3296" s="3">
        <v>0</v>
      </c>
      <c r="AX3296" s="3">
        <v>0</v>
      </c>
      <c r="AY3296" s="3">
        <v>0</v>
      </c>
      <c r="AZ3296" s="3">
        <v>0</v>
      </c>
      <c r="BA3296" s="3">
        <v>0</v>
      </c>
      <c r="BB3296" s="3">
        <v>0</v>
      </c>
      <c r="BC3296" s="3">
        <v>0</v>
      </c>
      <c r="BD3296" s="3">
        <v>0</v>
      </c>
      <c r="BE3296" s="3">
        <v>0</v>
      </c>
      <c r="BF3296" s="3">
        <v>0</v>
      </c>
      <c r="BG3296" s="3">
        <v>0</v>
      </c>
      <c r="BH3296" s="3">
        <v>1</v>
      </c>
      <c r="BI3296" s="3">
        <v>1</v>
      </c>
      <c r="BJ3296" s="3">
        <v>1.2</v>
      </c>
      <c r="BK3296" s="3">
        <v>1.5</v>
      </c>
      <c r="BL3296" s="3">
        <v>59</v>
      </c>
      <c r="BM3296" s="3">
        <v>8.85</v>
      </c>
      <c r="BN3296" s="3">
        <v>67.849999999999994</v>
      </c>
      <c r="BO3296" s="3">
        <v>67.849999999999994</v>
      </c>
      <c r="BQ3296" s="3" t="s">
        <v>83</v>
      </c>
      <c r="BR3296" s="3" t="s">
        <v>364</v>
      </c>
      <c r="BS3296" s="4">
        <v>44568</v>
      </c>
      <c r="BT3296" s="5">
        <v>0.52083333333333337</v>
      </c>
      <c r="BU3296" s="3" t="s">
        <v>2648</v>
      </c>
      <c r="BV3296" s="3" t="s">
        <v>87</v>
      </c>
      <c r="BW3296" s="3" t="s">
        <v>453</v>
      </c>
      <c r="BX3296" s="3" t="s">
        <v>279</v>
      </c>
      <c r="BY3296" s="3">
        <v>6075</v>
      </c>
      <c r="BZ3296" s="3" t="s">
        <v>165</v>
      </c>
      <c r="CA3296" s="3" t="s">
        <v>328</v>
      </c>
      <c r="CC3296" s="3" t="s">
        <v>95</v>
      </c>
      <c r="CD3296" s="3">
        <v>3201</v>
      </c>
      <c r="CE3296" s="3" t="s">
        <v>86</v>
      </c>
      <c r="CF3296" s="4">
        <v>44572</v>
      </c>
      <c r="CI3296" s="3">
        <v>1</v>
      </c>
      <c r="CJ3296" s="3">
        <v>1</v>
      </c>
      <c r="CK3296" s="3">
        <v>21</v>
      </c>
      <c r="CL3296" s="3" t="s">
        <v>87</v>
      </c>
    </row>
    <row r="3297" spans="1:90" x14ac:dyDescent="0.2">
      <c r="A3297" s="3" t="s">
        <v>72</v>
      </c>
      <c r="B3297" s="3" t="s">
        <v>73</v>
      </c>
      <c r="C3297" s="3" t="s">
        <v>74</v>
      </c>
      <c r="E3297" s="3" t="str">
        <f>"FES1162843839"</f>
        <v>FES1162843839</v>
      </c>
      <c r="F3297" s="4">
        <v>44567</v>
      </c>
      <c r="G3297" s="3">
        <v>202207</v>
      </c>
      <c r="H3297" s="3" t="s">
        <v>75</v>
      </c>
      <c r="I3297" s="3" t="s">
        <v>76</v>
      </c>
      <c r="J3297" s="3" t="s">
        <v>77</v>
      </c>
      <c r="K3297" s="3" t="s">
        <v>78</v>
      </c>
      <c r="L3297" s="3" t="s">
        <v>101</v>
      </c>
      <c r="M3297" s="3" t="s">
        <v>102</v>
      </c>
      <c r="N3297" s="3" t="s">
        <v>935</v>
      </c>
      <c r="O3297" s="3" t="s">
        <v>82</v>
      </c>
      <c r="P3297" s="3" t="str">
        <f>"217085770                     "</f>
        <v xml:space="preserve">217085770                     </v>
      </c>
      <c r="Q3297" s="3">
        <v>0</v>
      </c>
      <c r="R3297" s="3">
        <v>0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  <c r="AE3297" s="3">
        <v>0</v>
      </c>
      <c r="AF3297" s="3">
        <v>0</v>
      </c>
      <c r="AG3297" s="3">
        <v>0</v>
      </c>
      <c r="AH3297" s="3">
        <v>0</v>
      </c>
      <c r="AI3297" s="3">
        <v>0</v>
      </c>
      <c r="AJ3297" s="3">
        <v>0</v>
      </c>
      <c r="AK3297" s="3">
        <v>15.46</v>
      </c>
      <c r="AL3297" s="3">
        <v>0</v>
      </c>
      <c r="AM3297" s="3">
        <v>0</v>
      </c>
      <c r="AN3297" s="3">
        <v>0</v>
      </c>
      <c r="AO3297" s="3">
        <v>0</v>
      </c>
      <c r="AP3297" s="3">
        <v>0</v>
      </c>
      <c r="AQ3297" s="3">
        <v>0</v>
      </c>
      <c r="AR3297" s="3">
        <v>0</v>
      </c>
      <c r="AS3297" s="3">
        <v>0</v>
      </c>
      <c r="AT3297" s="3">
        <v>0</v>
      </c>
      <c r="AU3297" s="3">
        <v>0</v>
      </c>
      <c r="AV3297" s="3">
        <v>0</v>
      </c>
      <c r="AW3297" s="3">
        <v>0</v>
      </c>
      <c r="AX3297" s="3">
        <v>0</v>
      </c>
      <c r="AY3297" s="3">
        <v>0</v>
      </c>
      <c r="AZ3297" s="3">
        <v>0</v>
      </c>
      <c r="BA3297" s="3">
        <v>0</v>
      </c>
      <c r="BB3297" s="3">
        <v>0</v>
      </c>
      <c r="BC3297" s="3">
        <v>0</v>
      </c>
      <c r="BD3297" s="3">
        <v>0</v>
      </c>
      <c r="BE3297" s="3">
        <v>0</v>
      </c>
      <c r="BF3297" s="3">
        <v>0</v>
      </c>
      <c r="BG3297" s="3">
        <v>0</v>
      </c>
      <c r="BH3297" s="3">
        <v>1</v>
      </c>
      <c r="BI3297" s="3">
        <v>1</v>
      </c>
      <c r="BJ3297" s="3">
        <v>0.2</v>
      </c>
      <c r="BK3297" s="3">
        <v>1</v>
      </c>
      <c r="BL3297" s="3">
        <v>59</v>
      </c>
      <c r="BM3297" s="3">
        <v>8.85</v>
      </c>
      <c r="BN3297" s="3">
        <v>67.849999999999994</v>
      </c>
      <c r="BO3297" s="3">
        <v>67.849999999999994</v>
      </c>
      <c r="BQ3297" s="3" t="s">
        <v>89</v>
      </c>
      <c r="BR3297" s="3" t="s">
        <v>364</v>
      </c>
      <c r="BS3297" s="4">
        <v>44568</v>
      </c>
      <c r="BT3297" s="5">
        <v>0.39930555555555558</v>
      </c>
      <c r="BU3297" s="3" t="s">
        <v>2528</v>
      </c>
      <c r="BV3297" s="3" t="s">
        <v>105</v>
      </c>
      <c r="BY3297" s="3">
        <v>1200</v>
      </c>
      <c r="BZ3297" s="3" t="s">
        <v>165</v>
      </c>
      <c r="CA3297" s="3" t="s">
        <v>615</v>
      </c>
      <c r="CC3297" s="3" t="s">
        <v>102</v>
      </c>
      <c r="CD3297" s="3">
        <v>4001</v>
      </c>
      <c r="CE3297" s="3" t="s">
        <v>93</v>
      </c>
      <c r="CF3297" s="4">
        <v>44568</v>
      </c>
      <c r="CI3297" s="3">
        <v>1</v>
      </c>
      <c r="CJ3297" s="3">
        <v>1</v>
      </c>
      <c r="CK3297" s="3">
        <v>21</v>
      </c>
      <c r="CL3297" s="3" t="s">
        <v>87</v>
      </c>
    </row>
    <row r="3298" spans="1:90" x14ac:dyDescent="0.2">
      <c r="A3298" s="3" t="s">
        <v>72</v>
      </c>
      <c r="B3298" s="3" t="s">
        <v>73</v>
      </c>
      <c r="C3298" s="3" t="s">
        <v>74</v>
      </c>
      <c r="E3298" s="3" t="str">
        <f>"FES1162843801"</f>
        <v>FES1162843801</v>
      </c>
      <c r="F3298" s="4">
        <v>44567</v>
      </c>
      <c r="G3298" s="3">
        <v>202207</v>
      </c>
      <c r="H3298" s="3" t="s">
        <v>75</v>
      </c>
      <c r="I3298" s="3" t="s">
        <v>76</v>
      </c>
      <c r="J3298" s="3" t="s">
        <v>77</v>
      </c>
      <c r="K3298" s="3" t="s">
        <v>78</v>
      </c>
      <c r="L3298" s="3" t="s">
        <v>101</v>
      </c>
      <c r="M3298" s="3" t="s">
        <v>102</v>
      </c>
      <c r="N3298" s="3" t="s">
        <v>103</v>
      </c>
      <c r="O3298" s="3" t="s">
        <v>82</v>
      </c>
      <c r="P3298" s="3" t="str">
        <f>"2170815734                    "</f>
        <v xml:space="preserve">2170815734                    </v>
      </c>
      <c r="Q3298" s="3">
        <v>0</v>
      </c>
      <c r="R3298" s="3">
        <v>0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  <c r="AE3298" s="3">
        <v>0</v>
      </c>
      <c r="AF3298" s="3">
        <v>0</v>
      </c>
      <c r="AG3298" s="3">
        <v>0</v>
      </c>
      <c r="AH3298" s="3">
        <v>0</v>
      </c>
      <c r="AI3298" s="3">
        <v>0</v>
      </c>
      <c r="AJ3298" s="3">
        <v>0</v>
      </c>
      <c r="AK3298" s="3">
        <v>34.770000000000003</v>
      </c>
      <c r="AL3298" s="3">
        <v>0</v>
      </c>
      <c r="AM3298" s="3">
        <v>0</v>
      </c>
      <c r="AN3298" s="3">
        <v>0</v>
      </c>
      <c r="AO3298" s="3">
        <v>0</v>
      </c>
      <c r="AP3298" s="3">
        <v>0</v>
      </c>
      <c r="AQ3298" s="3">
        <v>0</v>
      </c>
      <c r="AR3298" s="3">
        <v>0</v>
      </c>
      <c r="AS3298" s="3">
        <v>0</v>
      </c>
      <c r="AT3298" s="3">
        <v>0</v>
      </c>
      <c r="AU3298" s="3">
        <v>0</v>
      </c>
      <c r="AV3298" s="3">
        <v>0</v>
      </c>
      <c r="AW3298" s="3">
        <v>0</v>
      </c>
      <c r="AX3298" s="3">
        <v>0</v>
      </c>
      <c r="AY3298" s="3">
        <v>0</v>
      </c>
      <c r="AZ3298" s="3">
        <v>0</v>
      </c>
      <c r="BA3298" s="3">
        <v>0</v>
      </c>
      <c r="BB3298" s="3">
        <v>0</v>
      </c>
      <c r="BC3298" s="3">
        <v>0</v>
      </c>
      <c r="BD3298" s="3">
        <v>0</v>
      </c>
      <c r="BE3298" s="3">
        <v>0</v>
      </c>
      <c r="BF3298" s="3">
        <v>0</v>
      </c>
      <c r="BG3298" s="3">
        <v>0</v>
      </c>
      <c r="BH3298" s="3">
        <v>1</v>
      </c>
      <c r="BI3298" s="3">
        <v>2</v>
      </c>
      <c r="BJ3298" s="3">
        <v>4.0999999999999996</v>
      </c>
      <c r="BK3298" s="3">
        <v>4.5</v>
      </c>
      <c r="BL3298" s="3">
        <v>132.71</v>
      </c>
      <c r="BM3298" s="3">
        <v>19.91</v>
      </c>
      <c r="BN3298" s="3">
        <v>152.62</v>
      </c>
      <c r="BO3298" s="3">
        <v>152.62</v>
      </c>
      <c r="BQ3298" s="3" t="s">
        <v>83</v>
      </c>
      <c r="BR3298" s="3" t="s">
        <v>364</v>
      </c>
      <c r="BS3298" s="4">
        <v>44568</v>
      </c>
      <c r="BT3298" s="5">
        <v>0.38958333333333334</v>
      </c>
      <c r="BU3298" s="3" t="s">
        <v>2937</v>
      </c>
      <c r="BV3298" s="3" t="s">
        <v>105</v>
      </c>
      <c r="BY3298" s="3">
        <v>20358</v>
      </c>
      <c r="BZ3298" s="3" t="s">
        <v>165</v>
      </c>
      <c r="CA3298" s="3" t="s">
        <v>106</v>
      </c>
      <c r="CC3298" s="3" t="s">
        <v>102</v>
      </c>
      <c r="CD3298" s="3">
        <v>4001</v>
      </c>
      <c r="CE3298" s="3" t="s">
        <v>86</v>
      </c>
      <c r="CF3298" s="4">
        <v>44568</v>
      </c>
      <c r="CI3298" s="3">
        <v>1</v>
      </c>
      <c r="CJ3298" s="3">
        <v>1</v>
      </c>
      <c r="CK3298" s="3">
        <v>21</v>
      </c>
      <c r="CL3298" s="3" t="s">
        <v>87</v>
      </c>
    </row>
    <row r="3299" spans="1:90" x14ac:dyDescent="0.2">
      <c r="A3299" s="3" t="s">
        <v>72</v>
      </c>
      <c r="B3299" s="3" t="s">
        <v>73</v>
      </c>
      <c r="C3299" s="3" t="s">
        <v>74</v>
      </c>
      <c r="E3299" s="3" t="str">
        <f>"FES1162843893"</f>
        <v>FES1162843893</v>
      </c>
      <c r="F3299" s="4">
        <v>44567</v>
      </c>
      <c r="G3299" s="3">
        <v>202207</v>
      </c>
      <c r="H3299" s="3" t="s">
        <v>75</v>
      </c>
      <c r="I3299" s="3" t="s">
        <v>76</v>
      </c>
      <c r="J3299" s="3" t="s">
        <v>77</v>
      </c>
      <c r="K3299" s="3" t="s">
        <v>78</v>
      </c>
      <c r="L3299" s="3" t="s">
        <v>158</v>
      </c>
      <c r="M3299" s="3" t="s">
        <v>159</v>
      </c>
      <c r="N3299" s="3" t="s">
        <v>768</v>
      </c>
      <c r="O3299" s="3" t="s">
        <v>82</v>
      </c>
      <c r="P3299" s="3" t="str">
        <f>"217081460                     "</f>
        <v xml:space="preserve">217081460                     </v>
      </c>
      <c r="Q3299" s="3">
        <v>0</v>
      </c>
      <c r="R3299" s="3">
        <v>0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  <c r="AE3299" s="3">
        <v>0</v>
      </c>
      <c r="AF3299" s="3">
        <v>0</v>
      </c>
      <c r="AG3299" s="3">
        <v>0</v>
      </c>
      <c r="AH3299" s="3">
        <v>0</v>
      </c>
      <c r="AI3299" s="3">
        <v>0</v>
      </c>
      <c r="AJ3299" s="3">
        <v>0</v>
      </c>
      <c r="AK3299" s="3">
        <v>12.07</v>
      </c>
      <c r="AL3299" s="3">
        <v>0</v>
      </c>
      <c r="AM3299" s="3">
        <v>0</v>
      </c>
      <c r="AN3299" s="3">
        <v>0</v>
      </c>
      <c r="AO3299" s="3">
        <v>0</v>
      </c>
      <c r="AP3299" s="3">
        <v>0</v>
      </c>
      <c r="AQ3299" s="3">
        <v>0</v>
      </c>
      <c r="AR3299" s="3">
        <v>0</v>
      </c>
      <c r="AS3299" s="3">
        <v>0</v>
      </c>
      <c r="AT3299" s="3">
        <v>0</v>
      </c>
      <c r="AU3299" s="3">
        <v>0</v>
      </c>
      <c r="AV3299" s="3">
        <v>0</v>
      </c>
      <c r="AW3299" s="3">
        <v>0</v>
      </c>
      <c r="AX3299" s="3">
        <v>0</v>
      </c>
      <c r="AY3299" s="3">
        <v>0</v>
      </c>
      <c r="AZ3299" s="3">
        <v>0</v>
      </c>
      <c r="BA3299" s="3">
        <v>0</v>
      </c>
      <c r="BB3299" s="3">
        <v>0</v>
      </c>
      <c r="BC3299" s="3">
        <v>0</v>
      </c>
      <c r="BD3299" s="3">
        <v>0</v>
      </c>
      <c r="BE3299" s="3">
        <v>0</v>
      </c>
      <c r="BF3299" s="3">
        <v>0</v>
      </c>
      <c r="BG3299" s="3">
        <v>0</v>
      </c>
      <c r="BH3299" s="3">
        <v>1</v>
      </c>
      <c r="BI3299" s="3">
        <v>1</v>
      </c>
      <c r="BJ3299" s="3">
        <v>0.2</v>
      </c>
      <c r="BK3299" s="3">
        <v>1</v>
      </c>
      <c r="BL3299" s="3">
        <v>46.08</v>
      </c>
      <c r="BM3299" s="3">
        <v>6.91</v>
      </c>
      <c r="BN3299" s="3">
        <v>52.99</v>
      </c>
      <c r="BO3299" s="3">
        <v>52.99</v>
      </c>
      <c r="BQ3299" s="3" t="s">
        <v>83</v>
      </c>
      <c r="BR3299" s="3" t="s">
        <v>364</v>
      </c>
      <c r="BS3299" s="4">
        <v>44568</v>
      </c>
      <c r="BT3299" s="5">
        <v>0.3520833333333333</v>
      </c>
      <c r="BU3299" s="3" t="s">
        <v>1795</v>
      </c>
      <c r="BV3299" s="3" t="s">
        <v>105</v>
      </c>
      <c r="BY3299" s="3">
        <v>1200</v>
      </c>
      <c r="BZ3299" s="3" t="s">
        <v>165</v>
      </c>
      <c r="CA3299" s="3" t="s">
        <v>825</v>
      </c>
      <c r="CC3299" s="3" t="s">
        <v>159</v>
      </c>
      <c r="CD3299" s="3">
        <v>1459</v>
      </c>
      <c r="CE3299" s="3" t="s">
        <v>93</v>
      </c>
      <c r="CF3299" s="4">
        <v>44568</v>
      </c>
      <c r="CI3299" s="3">
        <v>1</v>
      </c>
      <c r="CJ3299" s="3">
        <v>1</v>
      </c>
      <c r="CK3299" s="3">
        <v>22</v>
      </c>
      <c r="CL3299" s="3" t="s">
        <v>87</v>
      </c>
    </row>
    <row r="3300" spans="1:90" x14ac:dyDescent="0.2">
      <c r="A3300" s="3" t="s">
        <v>72</v>
      </c>
      <c r="B3300" s="3" t="s">
        <v>73</v>
      </c>
      <c r="C3300" s="3" t="s">
        <v>74</v>
      </c>
      <c r="E3300" s="3" t="str">
        <f>"FES1162844073"</f>
        <v>FES1162844073</v>
      </c>
      <c r="F3300" s="4">
        <v>44567</v>
      </c>
      <c r="G3300" s="3">
        <v>202207</v>
      </c>
      <c r="H3300" s="3" t="s">
        <v>75</v>
      </c>
      <c r="I3300" s="3" t="s">
        <v>76</v>
      </c>
      <c r="J3300" s="3" t="s">
        <v>77</v>
      </c>
      <c r="K3300" s="3" t="s">
        <v>78</v>
      </c>
      <c r="L3300" s="3" t="s">
        <v>171</v>
      </c>
      <c r="M3300" s="3" t="s">
        <v>172</v>
      </c>
      <c r="N3300" s="3" t="s">
        <v>2938</v>
      </c>
      <c r="O3300" s="3" t="s">
        <v>82</v>
      </c>
      <c r="P3300" s="3" t="str">
        <f>"2170811829                    "</f>
        <v xml:space="preserve">2170811829                    </v>
      </c>
      <c r="Q3300" s="3">
        <v>0</v>
      </c>
      <c r="R3300" s="3">
        <v>0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  <c r="AE3300" s="3">
        <v>0</v>
      </c>
      <c r="AF3300" s="3">
        <v>0</v>
      </c>
      <c r="AG3300" s="3">
        <v>0</v>
      </c>
      <c r="AH3300" s="3">
        <v>0</v>
      </c>
      <c r="AI3300" s="3">
        <v>0</v>
      </c>
      <c r="AJ3300" s="3">
        <v>0</v>
      </c>
      <c r="AK3300" s="3">
        <v>15.46</v>
      </c>
      <c r="AL3300" s="3">
        <v>0</v>
      </c>
      <c r="AM3300" s="3">
        <v>0</v>
      </c>
      <c r="AN3300" s="3">
        <v>0</v>
      </c>
      <c r="AO3300" s="3">
        <v>0</v>
      </c>
      <c r="AP3300" s="3">
        <v>0</v>
      </c>
      <c r="AQ3300" s="3">
        <v>0</v>
      </c>
      <c r="AR3300" s="3">
        <v>0</v>
      </c>
      <c r="AS3300" s="3">
        <v>0</v>
      </c>
      <c r="AT3300" s="3">
        <v>0</v>
      </c>
      <c r="AU3300" s="3">
        <v>0</v>
      </c>
      <c r="AV3300" s="3">
        <v>0</v>
      </c>
      <c r="AW3300" s="3">
        <v>0</v>
      </c>
      <c r="AX3300" s="3">
        <v>0</v>
      </c>
      <c r="AY3300" s="3">
        <v>0</v>
      </c>
      <c r="AZ3300" s="3">
        <v>0</v>
      </c>
      <c r="BA3300" s="3">
        <v>0</v>
      </c>
      <c r="BB3300" s="3">
        <v>0</v>
      </c>
      <c r="BC3300" s="3">
        <v>0</v>
      </c>
      <c r="BD3300" s="3">
        <v>0</v>
      </c>
      <c r="BE3300" s="3">
        <v>0</v>
      </c>
      <c r="BF3300" s="3">
        <v>0</v>
      </c>
      <c r="BG3300" s="3">
        <v>0</v>
      </c>
      <c r="BH3300" s="3">
        <v>1</v>
      </c>
      <c r="BI3300" s="3">
        <v>1</v>
      </c>
      <c r="BJ3300" s="3">
        <v>1.1000000000000001</v>
      </c>
      <c r="BK3300" s="3">
        <v>1.5</v>
      </c>
      <c r="BL3300" s="3">
        <v>59</v>
      </c>
      <c r="BM3300" s="3">
        <v>8.85</v>
      </c>
      <c r="BN3300" s="3">
        <v>67.849999999999994</v>
      </c>
      <c r="BO3300" s="3">
        <v>67.849999999999994</v>
      </c>
      <c r="BQ3300" s="3" t="s">
        <v>83</v>
      </c>
      <c r="BR3300" s="3" t="s">
        <v>364</v>
      </c>
      <c r="BS3300" s="4">
        <v>44568</v>
      </c>
      <c r="BT3300" s="5">
        <v>0.65208333333333335</v>
      </c>
      <c r="BU3300" s="3" t="s">
        <v>2939</v>
      </c>
      <c r="BV3300" s="3" t="s">
        <v>87</v>
      </c>
      <c r="BW3300" s="3" t="s">
        <v>457</v>
      </c>
      <c r="BX3300" s="3" t="s">
        <v>2542</v>
      </c>
      <c r="BY3300" s="3">
        <v>5320</v>
      </c>
      <c r="BZ3300" s="3" t="s">
        <v>165</v>
      </c>
      <c r="CA3300" s="3" t="s">
        <v>263</v>
      </c>
      <c r="CC3300" s="3" t="s">
        <v>172</v>
      </c>
      <c r="CD3300" s="3">
        <v>6210</v>
      </c>
      <c r="CE3300" s="3" t="s">
        <v>86</v>
      </c>
      <c r="CF3300" s="4">
        <v>44571</v>
      </c>
      <c r="CI3300" s="3">
        <v>1</v>
      </c>
      <c r="CJ3300" s="3">
        <v>1</v>
      </c>
      <c r="CK3300" s="3">
        <v>21</v>
      </c>
      <c r="CL3300" s="3" t="s">
        <v>87</v>
      </c>
    </row>
    <row r="3301" spans="1:90" x14ac:dyDescent="0.2">
      <c r="A3301" s="3" t="s">
        <v>72</v>
      </c>
      <c r="B3301" s="3" t="s">
        <v>73</v>
      </c>
      <c r="C3301" s="3" t="s">
        <v>74</v>
      </c>
      <c r="E3301" s="3" t="str">
        <f>"FES1162844041"</f>
        <v>FES1162844041</v>
      </c>
      <c r="F3301" s="4">
        <v>44567</v>
      </c>
      <c r="G3301" s="3">
        <v>202207</v>
      </c>
      <c r="H3301" s="3" t="s">
        <v>75</v>
      </c>
      <c r="I3301" s="3" t="s">
        <v>76</v>
      </c>
      <c r="J3301" s="3" t="s">
        <v>77</v>
      </c>
      <c r="K3301" s="3" t="s">
        <v>78</v>
      </c>
      <c r="L3301" s="3" t="s">
        <v>138</v>
      </c>
      <c r="M3301" s="3" t="s">
        <v>139</v>
      </c>
      <c r="N3301" s="3" t="s">
        <v>621</v>
      </c>
      <c r="O3301" s="3" t="s">
        <v>82</v>
      </c>
      <c r="P3301" s="3" t="str">
        <f>"2170815849                    "</f>
        <v xml:space="preserve">2170815849                    </v>
      </c>
      <c r="Q3301" s="3">
        <v>0</v>
      </c>
      <c r="R3301" s="3">
        <v>0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  <c r="AE3301" s="3">
        <v>0</v>
      </c>
      <c r="AF3301" s="3">
        <v>0</v>
      </c>
      <c r="AG3301" s="3">
        <v>0</v>
      </c>
      <c r="AH3301" s="3">
        <v>0</v>
      </c>
      <c r="AI3301" s="3">
        <v>0</v>
      </c>
      <c r="AJ3301" s="3">
        <v>0</v>
      </c>
      <c r="AK3301" s="3">
        <v>15.46</v>
      </c>
      <c r="AL3301" s="3">
        <v>0</v>
      </c>
      <c r="AM3301" s="3">
        <v>0</v>
      </c>
      <c r="AN3301" s="3">
        <v>0</v>
      </c>
      <c r="AO3301" s="3">
        <v>0</v>
      </c>
      <c r="AP3301" s="3">
        <v>0</v>
      </c>
      <c r="AQ3301" s="3">
        <v>0</v>
      </c>
      <c r="AR3301" s="3">
        <v>0</v>
      </c>
      <c r="AS3301" s="3">
        <v>0</v>
      </c>
      <c r="AT3301" s="3">
        <v>0</v>
      </c>
      <c r="AU3301" s="3">
        <v>0</v>
      </c>
      <c r="AV3301" s="3">
        <v>0</v>
      </c>
      <c r="AW3301" s="3">
        <v>0</v>
      </c>
      <c r="AX3301" s="3">
        <v>0</v>
      </c>
      <c r="AY3301" s="3">
        <v>0</v>
      </c>
      <c r="AZ3301" s="3">
        <v>0</v>
      </c>
      <c r="BA3301" s="3">
        <v>0</v>
      </c>
      <c r="BB3301" s="3">
        <v>0</v>
      </c>
      <c r="BC3301" s="3">
        <v>0</v>
      </c>
      <c r="BD3301" s="3">
        <v>0</v>
      </c>
      <c r="BE3301" s="3">
        <v>0</v>
      </c>
      <c r="BF3301" s="3">
        <v>0</v>
      </c>
      <c r="BG3301" s="3">
        <v>0</v>
      </c>
      <c r="BH3301" s="3">
        <v>1</v>
      </c>
      <c r="BI3301" s="3">
        <v>1</v>
      </c>
      <c r="BJ3301" s="3">
        <v>0.2</v>
      </c>
      <c r="BK3301" s="3">
        <v>1</v>
      </c>
      <c r="BL3301" s="3">
        <v>59</v>
      </c>
      <c r="BM3301" s="3">
        <v>8.85</v>
      </c>
      <c r="BN3301" s="3">
        <v>67.849999999999994</v>
      </c>
      <c r="BO3301" s="3">
        <v>67.849999999999994</v>
      </c>
      <c r="BQ3301" s="3" t="s">
        <v>83</v>
      </c>
      <c r="BR3301" s="3" t="s">
        <v>364</v>
      </c>
      <c r="BS3301" s="4">
        <v>44568</v>
      </c>
      <c r="BT3301" s="5">
        <v>0.49513888888888885</v>
      </c>
      <c r="BU3301" s="3" t="s">
        <v>1172</v>
      </c>
      <c r="BV3301" s="3" t="s">
        <v>105</v>
      </c>
      <c r="BY3301" s="3">
        <v>1200</v>
      </c>
      <c r="BZ3301" s="3" t="s">
        <v>165</v>
      </c>
      <c r="CA3301" s="3" t="s">
        <v>303</v>
      </c>
      <c r="CC3301" s="3" t="s">
        <v>139</v>
      </c>
      <c r="CD3301" s="3">
        <v>3610</v>
      </c>
      <c r="CE3301" s="3" t="s">
        <v>93</v>
      </c>
      <c r="CF3301" s="4">
        <v>44568</v>
      </c>
      <c r="CI3301" s="3">
        <v>1</v>
      </c>
      <c r="CJ3301" s="3">
        <v>1</v>
      </c>
      <c r="CK3301" s="3">
        <v>21</v>
      </c>
      <c r="CL3301" s="3" t="s">
        <v>87</v>
      </c>
    </row>
    <row r="3302" spans="1:90" x14ac:dyDescent="0.2">
      <c r="A3302" s="3" t="s">
        <v>72</v>
      </c>
      <c r="B3302" s="3" t="s">
        <v>73</v>
      </c>
      <c r="C3302" s="3" t="s">
        <v>74</v>
      </c>
      <c r="E3302" s="3" t="str">
        <f>"FES1162843973"</f>
        <v>FES1162843973</v>
      </c>
      <c r="F3302" s="4">
        <v>44567</v>
      </c>
      <c r="G3302" s="3">
        <v>202207</v>
      </c>
      <c r="H3302" s="3" t="s">
        <v>75</v>
      </c>
      <c r="I3302" s="3" t="s">
        <v>76</v>
      </c>
      <c r="J3302" s="3" t="s">
        <v>77</v>
      </c>
      <c r="K3302" s="3" t="s">
        <v>78</v>
      </c>
      <c r="L3302" s="3" t="s">
        <v>244</v>
      </c>
      <c r="M3302" s="3" t="s">
        <v>245</v>
      </c>
      <c r="N3302" s="3" t="s">
        <v>1255</v>
      </c>
      <c r="O3302" s="3" t="s">
        <v>82</v>
      </c>
      <c r="P3302" s="3" t="str">
        <f>"2170814539                    "</f>
        <v xml:space="preserve">2170814539                    </v>
      </c>
      <c r="Q3302" s="3">
        <v>0</v>
      </c>
      <c r="R3302" s="3">
        <v>0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  <c r="AE3302" s="3">
        <v>0</v>
      </c>
      <c r="AF3302" s="3">
        <v>0</v>
      </c>
      <c r="AG3302" s="3">
        <v>0</v>
      </c>
      <c r="AH3302" s="3">
        <v>0</v>
      </c>
      <c r="AI3302" s="3">
        <v>0</v>
      </c>
      <c r="AJ3302" s="3">
        <v>0</v>
      </c>
      <c r="AK3302" s="3">
        <v>29.95</v>
      </c>
      <c r="AL3302" s="3">
        <v>0</v>
      </c>
      <c r="AM3302" s="3">
        <v>0</v>
      </c>
      <c r="AN3302" s="3">
        <v>0</v>
      </c>
      <c r="AO3302" s="3">
        <v>0</v>
      </c>
      <c r="AP3302" s="3">
        <v>0</v>
      </c>
      <c r="AQ3302" s="3">
        <v>0</v>
      </c>
      <c r="AR3302" s="3">
        <v>0</v>
      </c>
      <c r="AS3302" s="3">
        <v>0</v>
      </c>
      <c r="AT3302" s="3">
        <v>0</v>
      </c>
      <c r="AU3302" s="3">
        <v>0</v>
      </c>
      <c r="AV3302" s="3">
        <v>0</v>
      </c>
      <c r="AW3302" s="3">
        <v>0</v>
      </c>
      <c r="AX3302" s="3">
        <v>0</v>
      </c>
      <c r="AY3302" s="3">
        <v>0</v>
      </c>
      <c r="AZ3302" s="3">
        <v>0</v>
      </c>
      <c r="BA3302" s="3">
        <v>0</v>
      </c>
      <c r="BB3302" s="3">
        <v>0</v>
      </c>
      <c r="BC3302" s="3">
        <v>0</v>
      </c>
      <c r="BD3302" s="3">
        <v>0</v>
      </c>
      <c r="BE3302" s="3">
        <v>0</v>
      </c>
      <c r="BF3302" s="3">
        <v>0</v>
      </c>
      <c r="BG3302" s="3">
        <v>0</v>
      </c>
      <c r="BH3302" s="3">
        <v>1</v>
      </c>
      <c r="BI3302" s="3">
        <v>1</v>
      </c>
      <c r="BJ3302" s="3">
        <v>0.2</v>
      </c>
      <c r="BK3302" s="3">
        <v>1</v>
      </c>
      <c r="BL3302" s="3">
        <v>114.31</v>
      </c>
      <c r="BM3302" s="3">
        <v>17.149999999999999</v>
      </c>
      <c r="BN3302" s="3">
        <v>131.46</v>
      </c>
      <c r="BO3302" s="3">
        <v>131.46</v>
      </c>
      <c r="BQ3302" s="3" t="s">
        <v>83</v>
      </c>
      <c r="BR3302" s="3" t="s">
        <v>364</v>
      </c>
      <c r="BS3302" s="4">
        <v>44568</v>
      </c>
      <c r="BT3302" s="5">
        <v>0.43055555555555558</v>
      </c>
      <c r="BU3302" s="3" t="s">
        <v>2940</v>
      </c>
      <c r="BV3302" s="3" t="s">
        <v>105</v>
      </c>
      <c r="BY3302" s="3">
        <v>1200</v>
      </c>
      <c r="BZ3302" s="3" t="s">
        <v>165</v>
      </c>
      <c r="CA3302" s="3" t="s">
        <v>402</v>
      </c>
      <c r="CC3302" s="3" t="s">
        <v>245</v>
      </c>
      <c r="CD3302" s="3">
        <v>1947</v>
      </c>
      <c r="CE3302" s="3" t="s">
        <v>93</v>
      </c>
      <c r="CF3302" s="4">
        <v>44568</v>
      </c>
      <c r="CI3302" s="3">
        <v>1</v>
      </c>
      <c r="CJ3302" s="3">
        <v>1</v>
      </c>
      <c r="CK3302" s="3">
        <v>23</v>
      </c>
      <c r="CL3302" s="3" t="s">
        <v>87</v>
      </c>
    </row>
    <row r="3303" spans="1:90" x14ac:dyDescent="0.2">
      <c r="A3303" s="3" t="s">
        <v>72</v>
      </c>
      <c r="B3303" s="3" t="s">
        <v>73</v>
      </c>
      <c r="C3303" s="3" t="s">
        <v>74</v>
      </c>
      <c r="E3303" s="3" t="str">
        <f>"FES1162843837"</f>
        <v>FES1162843837</v>
      </c>
      <c r="F3303" s="4">
        <v>44567</v>
      </c>
      <c r="G3303" s="3">
        <v>202207</v>
      </c>
      <c r="H3303" s="3" t="s">
        <v>75</v>
      </c>
      <c r="I3303" s="3" t="s">
        <v>76</v>
      </c>
      <c r="J3303" s="3" t="s">
        <v>77</v>
      </c>
      <c r="K3303" s="3" t="s">
        <v>78</v>
      </c>
      <c r="L3303" s="3" t="s">
        <v>90</v>
      </c>
      <c r="M3303" s="3" t="s">
        <v>91</v>
      </c>
      <c r="N3303" s="3" t="s">
        <v>132</v>
      </c>
      <c r="O3303" s="3" t="s">
        <v>82</v>
      </c>
      <c r="P3303" s="3" t="str">
        <f>"2170815768                    "</f>
        <v xml:space="preserve">2170815768                    </v>
      </c>
      <c r="Q3303" s="3">
        <v>0</v>
      </c>
      <c r="R3303" s="3">
        <v>0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  <c r="AE3303" s="3">
        <v>0</v>
      </c>
      <c r="AF3303" s="3">
        <v>0</v>
      </c>
      <c r="AG3303" s="3">
        <v>0</v>
      </c>
      <c r="AH3303" s="3">
        <v>0</v>
      </c>
      <c r="AI3303" s="3">
        <v>0</v>
      </c>
      <c r="AJ3303" s="3">
        <v>0</v>
      </c>
      <c r="AK3303" s="3">
        <v>15.46</v>
      </c>
      <c r="AL3303" s="3">
        <v>0</v>
      </c>
      <c r="AM3303" s="3">
        <v>0</v>
      </c>
      <c r="AN3303" s="3">
        <v>0</v>
      </c>
      <c r="AO3303" s="3">
        <v>0</v>
      </c>
      <c r="AP3303" s="3">
        <v>0</v>
      </c>
      <c r="AQ3303" s="3">
        <v>0</v>
      </c>
      <c r="AR3303" s="3">
        <v>0</v>
      </c>
      <c r="AS3303" s="3">
        <v>0</v>
      </c>
      <c r="AT3303" s="3">
        <v>0</v>
      </c>
      <c r="AU3303" s="3">
        <v>0</v>
      </c>
      <c r="AV3303" s="3">
        <v>0</v>
      </c>
      <c r="AW3303" s="3">
        <v>0</v>
      </c>
      <c r="AX3303" s="3">
        <v>0</v>
      </c>
      <c r="AY3303" s="3">
        <v>0</v>
      </c>
      <c r="AZ3303" s="3">
        <v>0</v>
      </c>
      <c r="BA3303" s="3">
        <v>0</v>
      </c>
      <c r="BB3303" s="3">
        <v>0</v>
      </c>
      <c r="BC3303" s="3">
        <v>0</v>
      </c>
      <c r="BD3303" s="3">
        <v>0</v>
      </c>
      <c r="BE3303" s="3">
        <v>0</v>
      </c>
      <c r="BF3303" s="3">
        <v>0</v>
      </c>
      <c r="BG3303" s="3">
        <v>0</v>
      </c>
      <c r="BH3303" s="3">
        <v>1</v>
      </c>
      <c r="BI3303" s="3">
        <v>1</v>
      </c>
      <c r="BJ3303" s="3">
        <v>0.2</v>
      </c>
      <c r="BK3303" s="3">
        <v>1</v>
      </c>
      <c r="BL3303" s="3">
        <v>59</v>
      </c>
      <c r="BM3303" s="3">
        <v>8.85</v>
      </c>
      <c r="BN3303" s="3">
        <v>67.849999999999994</v>
      </c>
      <c r="BO3303" s="3">
        <v>67.849999999999994</v>
      </c>
      <c r="BQ3303" s="3" t="s">
        <v>83</v>
      </c>
      <c r="BR3303" s="3" t="s">
        <v>364</v>
      </c>
      <c r="BS3303" s="4">
        <v>44568</v>
      </c>
      <c r="BT3303" s="5">
        <v>0.41944444444444445</v>
      </c>
      <c r="BU3303" s="3" t="s">
        <v>2527</v>
      </c>
      <c r="BV3303" s="3" t="s">
        <v>105</v>
      </c>
      <c r="BY3303" s="3">
        <v>1200</v>
      </c>
      <c r="BZ3303" s="3" t="s">
        <v>165</v>
      </c>
      <c r="CA3303" s="3" t="s">
        <v>641</v>
      </c>
      <c r="CC3303" s="3" t="s">
        <v>91</v>
      </c>
      <c r="CD3303" s="3">
        <v>7530</v>
      </c>
      <c r="CE3303" s="3" t="s">
        <v>93</v>
      </c>
      <c r="CF3303" s="4">
        <v>44571</v>
      </c>
      <c r="CI3303" s="3">
        <v>1</v>
      </c>
      <c r="CJ3303" s="3">
        <v>1</v>
      </c>
      <c r="CK3303" s="3">
        <v>21</v>
      </c>
      <c r="CL3303" s="3" t="s">
        <v>87</v>
      </c>
    </row>
    <row r="3304" spans="1:90" x14ac:dyDescent="0.2">
      <c r="A3304" s="3" t="s">
        <v>72</v>
      </c>
      <c r="B3304" s="3" t="s">
        <v>73</v>
      </c>
      <c r="C3304" s="3" t="s">
        <v>74</v>
      </c>
      <c r="E3304" s="3" t="str">
        <f>"FES1162843844"</f>
        <v>FES1162843844</v>
      </c>
      <c r="F3304" s="4">
        <v>44567</v>
      </c>
      <c r="G3304" s="3">
        <v>202207</v>
      </c>
      <c r="H3304" s="3" t="s">
        <v>75</v>
      </c>
      <c r="I3304" s="3" t="s">
        <v>76</v>
      </c>
      <c r="J3304" s="3" t="s">
        <v>77</v>
      </c>
      <c r="K3304" s="3" t="s">
        <v>78</v>
      </c>
      <c r="L3304" s="3" t="s">
        <v>110</v>
      </c>
      <c r="M3304" s="3" t="s">
        <v>110</v>
      </c>
      <c r="N3304" s="3" t="s">
        <v>146</v>
      </c>
      <c r="O3304" s="3" t="s">
        <v>82</v>
      </c>
      <c r="P3304" s="3" t="str">
        <f>"2170813853                    "</f>
        <v xml:space="preserve">2170813853                    </v>
      </c>
      <c r="Q3304" s="3">
        <v>0</v>
      </c>
      <c r="R3304" s="3">
        <v>0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  <c r="AE3304" s="3">
        <v>0</v>
      </c>
      <c r="AF3304" s="3">
        <v>0</v>
      </c>
      <c r="AG3304" s="3">
        <v>0</v>
      </c>
      <c r="AH3304" s="3">
        <v>0</v>
      </c>
      <c r="AI3304" s="3">
        <v>0</v>
      </c>
      <c r="AJ3304" s="3">
        <v>0</v>
      </c>
      <c r="AK3304" s="3">
        <v>29.95</v>
      </c>
      <c r="AL3304" s="3">
        <v>0</v>
      </c>
      <c r="AM3304" s="3">
        <v>0</v>
      </c>
      <c r="AN3304" s="3">
        <v>0</v>
      </c>
      <c r="AO3304" s="3">
        <v>0</v>
      </c>
      <c r="AP3304" s="3">
        <v>0</v>
      </c>
      <c r="AQ3304" s="3">
        <v>0</v>
      </c>
      <c r="AR3304" s="3">
        <v>0</v>
      </c>
      <c r="AS3304" s="3">
        <v>0</v>
      </c>
      <c r="AT3304" s="3">
        <v>0</v>
      </c>
      <c r="AU3304" s="3">
        <v>0</v>
      </c>
      <c r="AV3304" s="3">
        <v>0</v>
      </c>
      <c r="AW3304" s="3">
        <v>0</v>
      </c>
      <c r="AX3304" s="3">
        <v>0</v>
      </c>
      <c r="AY3304" s="3">
        <v>0</v>
      </c>
      <c r="AZ3304" s="3">
        <v>0</v>
      </c>
      <c r="BA3304" s="3">
        <v>0</v>
      </c>
      <c r="BB3304" s="3">
        <v>0</v>
      </c>
      <c r="BC3304" s="3">
        <v>0</v>
      </c>
      <c r="BD3304" s="3">
        <v>0</v>
      </c>
      <c r="BE3304" s="3">
        <v>0</v>
      </c>
      <c r="BF3304" s="3">
        <v>0</v>
      </c>
      <c r="BG3304" s="3">
        <v>0</v>
      </c>
      <c r="BH3304" s="3">
        <v>1</v>
      </c>
      <c r="BI3304" s="3">
        <v>1</v>
      </c>
      <c r="BJ3304" s="3">
        <v>0.2</v>
      </c>
      <c r="BK3304" s="3">
        <v>1</v>
      </c>
      <c r="BL3304" s="3">
        <v>114.31</v>
      </c>
      <c r="BM3304" s="3">
        <v>17.149999999999999</v>
      </c>
      <c r="BN3304" s="3">
        <v>131.46</v>
      </c>
      <c r="BO3304" s="3">
        <v>131.46</v>
      </c>
      <c r="BQ3304" s="3" t="s">
        <v>89</v>
      </c>
      <c r="BR3304" s="3" t="s">
        <v>364</v>
      </c>
      <c r="BS3304" s="4">
        <v>44568</v>
      </c>
      <c r="BT3304" s="5">
        <v>0.57500000000000007</v>
      </c>
      <c r="BU3304" s="3" t="s">
        <v>2560</v>
      </c>
      <c r="BV3304" s="3" t="s">
        <v>87</v>
      </c>
      <c r="BW3304" s="3" t="s">
        <v>457</v>
      </c>
      <c r="BX3304" s="3" t="s">
        <v>354</v>
      </c>
      <c r="BY3304" s="3">
        <v>1200</v>
      </c>
      <c r="BZ3304" s="3" t="s">
        <v>165</v>
      </c>
      <c r="CA3304" s="3" t="s">
        <v>360</v>
      </c>
      <c r="CC3304" s="3" t="s">
        <v>110</v>
      </c>
      <c r="CD3304" s="3">
        <v>7646</v>
      </c>
      <c r="CE3304" s="3" t="s">
        <v>93</v>
      </c>
      <c r="CF3304" s="4">
        <v>44571</v>
      </c>
      <c r="CI3304" s="3">
        <v>1</v>
      </c>
      <c r="CJ3304" s="3">
        <v>1</v>
      </c>
      <c r="CK3304" s="3">
        <v>23</v>
      </c>
      <c r="CL3304" s="3" t="s">
        <v>87</v>
      </c>
    </row>
    <row r="3305" spans="1:90" x14ac:dyDescent="0.2">
      <c r="A3305" s="3" t="s">
        <v>72</v>
      </c>
      <c r="B3305" s="3" t="s">
        <v>73</v>
      </c>
      <c r="C3305" s="3" t="s">
        <v>74</v>
      </c>
      <c r="E3305" s="3" t="str">
        <f>"FES1162843838"</f>
        <v>FES1162843838</v>
      </c>
      <c r="F3305" s="4">
        <v>44567</v>
      </c>
      <c r="G3305" s="3">
        <v>202207</v>
      </c>
      <c r="H3305" s="3" t="s">
        <v>75</v>
      </c>
      <c r="I3305" s="3" t="s">
        <v>76</v>
      </c>
      <c r="J3305" s="3" t="s">
        <v>77</v>
      </c>
      <c r="K3305" s="3" t="s">
        <v>78</v>
      </c>
      <c r="L3305" s="3" t="s">
        <v>101</v>
      </c>
      <c r="M3305" s="3" t="s">
        <v>102</v>
      </c>
      <c r="N3305" s="3" t="s">
        <v>935</v>
      </c>
      <c r="O3305" s="3" t="s">
        <v>82</v>
      </c>
      <c r="P3305" s="3" t="str">
        <f>"2170815769                    "</f>
        <v xml:space="preserve">2170815769                    </v>
      </c>
      <c r="Q3305" s="3">
        <v>0</v>
      </c>
      <c r="R3305" s="3">
        <v>0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  <c r="AE3305" s="3">
        <v>0</v>
      </c>
      <c r="AF3305" s="3">
        <v>0</v>
      </c>
      <c r="AG3305" s="3">
        <v>0</v>
      </c>
      <c r="AH3305" s="3">
        <v>0</v>
      </c>
      <c r="AI3305" s="3">
        <v>0</v>
      </c>
      <c r="AJ3305" s="3">
        <v>0</v>
      </c>
      <c r="AK3305" s="3">
        <v>15.46</v>
      </c>
      <c r="AL3305" s="3">
        <v>0</v>
      </c>
      <c r="AM3305" s="3">
        <v>0</v>
      </c>
      <c r="AN3305" s="3">
        <v>0</v>
      </c>
      <c r="AO3305" s="3">
        <v>0</v>
      </c>
      <c r="AP3305" s="3">
        <v>0</v>
      </c>
      <c r="AQ3305" s="3">
        <v>0</v>
      </c>
      <c r="AR3305" s="3">
        <v>0</v>
      </c>
      <c r="AS3305" s="3">
        <v>0</v>
      </c>
      <c r="AT3305" s="3">
        <v>0</v>
      </c>
      <c r="AU3305" s="3">
        <v>0</v>
      </c>
      <c r="AV3305" s="3">
        <v>0</v>
      </c>
      <c r="AW3305" s="3">
        <v>0</v>
      </c>
      <c r="AX3305" s="3">
        <v>0</v>
      </c>
      <c r="AY3305" s="3">
        <v>0</v>
      </c>
      <c r="AZ3305" s="3">
        <v>0</v>
      </c>
      <c r="BA3305" s="3">
        <v>0</v>
      </c>
      <c r="BB3305" s="3">
        <v>0</v>
      </c>
      <c r="BC3305" s="3">
        <v>0</v>
      </c>
      <c r="BD3305" s="3">
        <v>0</v>
      </c>
      <c r="BE3305" s="3">
        <v>0</v>
      </c>
      <c r="BF3305" s="3">
        <v>0</v>
      </c>
      <c r="BG3305" s="3">
        <v>0</v>
      </c>
      <c r="BH3305" s="3">
        <v>1</v>
      </c>
      <c r="BI3305" s="3">
        <v>1</v>
      </c>
      <c r="BJ3305" s="3">
        <v>0.2</v>
      </c>
      <c r="BK3305" s="3">
        <v>1</v>
      </c>
      <c r="BL3305" s="3">
        <v>59</v>
      </c>
      <c r="BM3305" s="3">
        <v>8.85</v>
      </c>
      <c r="BN3305" s="3">
        <v>67.849999999999994</v>
      </c>
      <c r="BO3305" s="3">
        <v>67.849999999999994</v>
      </c>
      <c r="BQ3305" s="3" t="s">
        <v>89</v>
      </c>
      <c r="BR3305" s="3" t="s">
        <v>364</v>
      </c>
      <c r="BS3305" s="4">
        <v>44568</v>
      </c>
      <c r="BT3305" s="5">
        <v>0.39999999999999997</v>
      </c>
      <c r="BU3305" s="3" t="s">
        <v>2528</v>
      </c>
      <c r="BV3305" s="3" t="s">
        <v>105</v>
      </c>
      <c r="BY3305" s="3">
        <v>1200</v>
      </c>
      <c r="BZ3305" s="3" t="s">
        <v>165</v>
      </c>
      <c r="CA3305" s="3" t="s">
        <v>615</v>
      </c>
      <c r="CC3305" s="3" t="s">
        <v>102</v>
      </c>
      <c r="CD3305" s="3">
        <v>4001</v>
      </c>
      <c r="CE3305" s="3" t="s">
        <v>93</v>
      </c>
      <c r="CF3305" s="4">
        <v>44568</v>
      </c>
      <c r="CI3305" s="3">
        <v>1</v>
      </c>
      <c r="CJ3305" s="3">
        <v>1</v>
      </c>
      <c r="CK3305" s="3">
        <v>21</v>
      </c>
      <c r="CL3305" s="3" t="s">
        <v>87</v>
      </c>
    </row>
    <row r="3306" spans="1:90" x14ac:dyDescent="0.2">
      <c r="A3306" s="3" t="s">
        <v>72</v>
      </c>
      <c r="B3306" s="3" t="s">
        <v>73</v>
      </c>
      <c r="C3306" s="3" t="s">
        <v>74</v>
      </c>
      <c r="E3306" s="3" t="str">
        <f>"FES1162844052"</f>
        <v>FES1162844052</v>
      </c>
      <c r="F3306" s="4">
        <v>44567</v>
      </c>
      <c r="G3306" s="3">
        <v>202207</v>
      </c>
      <c r="H3306" s="3" t="s">
        <v>75</v>
      </c>
      <c r="I3306" s="3" t="s">
        <v>76</v>
      </c>
      <c r="J3306" s="3" t="s">
        <v>77</v>
      </c>
      <c r="K3306" s="3" t="s">
        <v>78</v>
      </c>
      <c r="L3306" s="3" t="s">
        <v>195</v>
      </c>
      <c r="M3306" s="3" t="s">
        <v>196</v>
      </c>
      <c r="N3306" s="3" t="s">
        <v>197</v>
      </c>
      <c r="O3306" s="3" t="s">
        <v>82</v>
      </c>
      <c r="P3306" s="3" t="str">
        <f>"2170815868                    "</f>
        <v xml:space="preserve">2170815868                    </v>
      </c>
      <c r="Q3306" s="3">
        <v>0</v>
      </c>
      <c r="R3306" s="3">
        <v>0</v>
      </c>
      <c r="S3306" s="3">
        <v>0</v>
      </c>
      <c r="T3306" s="3">
        <v>0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0</v>
      </c>
      <c r="AA3306" s="3">
        <v>0</v>
      </c>
      <c r="AB3306" s="3">
        <v>0</v>
      </c>
      <c r="AC3306" s="3">
        <v>0</v>
      </c>
      <c r="AD3306" s="3">
        <v>0</v>
      </c>
      <c r="AE3306" s="3">
        <v>0</v>
      </c>
      <c r="AF3306" s="3">
        <v>0</v>
      </c>
      <c r="AG3306" s="3">
        <v>0</v>
      </c>
      <c r="AH3306" s="3">
        <v>0</v>
      </c>
      <c r="AI3306" s="3">
        <v>0</v>
      </c>
      <c r="AJ3306" s="3">
        <v>0</v>
      </c>
      <c r="AK3306" s="3">
        <v>15.46</v>
      </c>
      <c r="AL3306" s="3">
        <v>0</v>
      </c>
      <c r="AM3306" s="3">
        <v>0</v>
      </c>
      <c r="AN3306" s="3">
        <v>0</v>
      </c>
      <c r="AO3306" s="3">
        <v>0</v>
      </c>
      <c r="AP3306" s="3">
        <v>0</v>
      </c>
      <c r="AQ3306" s="3">
        <v>0</v>
      </c>
      <c r="AR3306" s="3">
        <v>0</v>
      </c>
      <c r="AS3306" s="3">
        <v>0</v>
      </c>
      <c r="AT3306" s="3">
        <v>0</v>
      </c>
      <c r="AU3306" s="3">
        <v>0</v>
      </c>
      <c r="AV3306" s="3">
        <v>0</v>
      </c>
      <c r="AW3306" s="3">
        <v>0</v>
      </c>
      <c r="AX3306" s="3">
        <v>0</v>
      </c>
      <c r="AY3306" s="3">
        <v>0</v>
      </c>
      <c r="AZ3306" s="3">
        <v>0</v>
      </c>
      <c r="BA3306" s="3">
        <v>0</v>
      </c>
      <c r="BB3306" s="3">
        <v>0</v>
      </c>
      <c r="BC3306" s="3">
        <v>0</v>
      </c>
      <c r="BD3306" s="3">
        <v>0</v>
      </c>
      <c r="BE3306" s="3">
        <v>0</v>
      </c>
      <c r="BF3306" s="3">
        <v>0</v>
      </c>
      <c r="BG3306" s="3">
        <v>0</v>
      </c>
      <c r="BH3306" s="3">
        <v>1</v>
      </c>
      <c r="BI3306" s="3">
        <v>2</v>
      </c>
      <c r="BJ3306" s="3">
        <v>1.5</v>
      </c>
      <c r="BK3306" s="3">
        <v>2</v>
      </c>
      <c r="BL3306" s="3">
        <v>59</v>
      </c>
      <c r="BM3306" s="3">
        <v>8.85</v>
      </c>
      <c r="BN3306" s="3">
        <v>67.849999999999994</v>
      </c>
      <c r="BO3306" s="3">
        <v>67.849999999999994</v>
      </c>
      <c r="BQ3306" s="3" t="s">
        <v>89</v>
      </c>
      <c r="BR3306" s="3" t="s">
        <v>364</v>
      </c>
      <c r="BS3306" s="4">
        <v>44568</v>
      </c>
      <c r="BT3306" s="5">
        <v>0.46458333333333335</v>
      </c>
      <c r="BU3306" s="3" t="s">
        <v>570</v>
      </c>
      <c r="BV3306" s="3" t="s">
        <v>105</v>
      </c>
      <c r="BY3306" s="3">
        <v>7540</v>
      </c>
      <c r="BZ3306" s="3" t="s">
        <v>165</v>
      </c>
      <c r="CA3306" s="3" t="s">
        <v>571</v>
      </c>
      <c r="CC3306" s="3" t="s">
        <v>196</v>
      </c>
      <c r="CD3306" s="3">
        <v>4302</v>
      </c>
      <c r="CE3306" s="3" t="s">
        <v>86</v>
      </c>
      <c r="CF3306" s="4">
        <v>44568</v>
      </c>
      <c r="CI3306" s="3">
        <v>1</v>
      </c>
      <c r="CJ3306" s="3">
        <v>1</v>
      </c>
      <c r="CK3306" s="3">
        <v>21</v>
      </c>
      <c r="CL3306" s="3" t="s">
        <v>87</v>
      </c>
    </row>
    <row r="3307" spans="1:90" x14ac:dyDescent="0.2">
      <c r="A3307" s="3" t="s">
        <v>72</v>
      </c>
      <c r="B3307" s="3" t="s">
        <v>73</v>
      </c>
      <c r="C3307" s="3" t="s">
        <v>74</v>
      </c>
      <c r="E3307" s="3" t="str">
        <f>"FES1162844026"</f>
        <v>FES1162844026</v>
      </c>
      <c r="F3307" s="4">
        <v>44567</v>
      </c>
      <c r="G3307" s="3">
        <v>202207</v>
      </c>
      <c r="H3307" s="3" t="s">
        <v>75</v>
      </c>
      <c r="I3307" s="3" t="s">
        <v>76</v>
      </c>
      <c r="J3307" s="3" t="s">
        <v>77</v>
      </c>
      <c r="K3307" s="3" t="s">
        <v>78</v>
      </c>
      <c r="L3307" s="3" t="s">
        <v>171</v>
      </c>
      <c r="M3307" s="3" t="s">
        <v>172</v>
      </c>
      <c r="N3307" s="3" t="s">
        <v>2672</v>
      </c>
      <c r="O3307" s="3" t="s">
        <v>82</v>
      </c>
      <c r="P3307" s="3" t="str">
        <f>"2170815511                    "</f>
        <v xml:space="preserve">2170815511                    </v>
      </c>
      <c r="Q3307" s="3">
        <v>0</v>
      </c>
      <c r="R3307" s="3">
        <v>0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  <c r="AE3307" s="3">
        <v>0</v>
      </c>
      <c r="AF3307" s="3">
        <v>0</v>
      </c>
      <c r="AG3307" s="3">
        <v>0</v>
      </c>
      <c r="AH3307" s="3">
        <v>0</v>
      </c>
      <c r="AI3307" s="3">
        <v>0</v>
      </c>
      <c r="AJ3307" s="3">
        <v>0</v>
      </c>
      <c r="AK3307" s="3">
        <v>15.46</v>
      </c>
      <c r="AL3307" s="3">
        <v>0</v>
      </c>
      <c r="AM3307" s="3">
        <v>0</v>
      </c>
      <c r="AN3307" s="3">
        <v>0</v>
      </c>
      <c r="AO3307" s="3">
        <v>0</v>
      </c>
      <c r="AP3307" s="3">
        <v>0</v>
      </c>
      <c r="AQ3307" s="3">
        <v>0</v>
      </c>
      <c r="AR3307" s="3">
        <v>0</v>
      </c>
      <c r="AS3307" s="3">
        <v>0</v>
      </c>
      <c r="AT3307" s="3">
        <v>0</v>
      </c>
      <c r="AU3307" s="3">
        <v>0</v>
      </c>
      <c r="AV3307" s="3">
        <v>0</v>
      </c>
      <c r="AW3307" s="3">
        <v>0</v>
      </c>
      <c r="AX3307" s="3">
        <v>0</v>
      </c>
      <c r="AY3307" s="3">
        <v>0</v>
      </c>
      <c r="AZ3307" s="3">
        <v>0</v>
      </c>
      <c r="BA3307" s="3">
        <v>0</v>
      </c>
      <c r="BB3307" s="3">
        <v>0</v>
      </c>
      <c r="BC3307" s="3">
        <v>0</v>
      </c>
      <c r="BD3307" s="3">
        <v>0</v>
      </c>
      <c r="BE3307" s="3">
        <v>0</v>
      </c>
      <c r="BF3307" s="3">
        <v>0</v>
      </c>
      <c r="BG3307" s="3">
        <v>0</v>
      </c>
      <c r="BH3307" s="3">
        <v>1</v>
      </c>
      <c r="BI3307" s="3">
        <v>1</v>
      </c>
      <c r="BJ3307" s="3">
        <v>2</v>
      </c>
      <c r="BK3307" s="3">
        <v>2</v>
      </c>
      <c r="BL3307" s="3">
        <v>59</v>
      </c>
      <c r="BM3307" s="3">
        <v>8.85</v>
      </c>
      <c r="BN3307" s="3">
        <v>67.849999999999994</v>
      </c>
      <c r="BO3307" s="3">
        <v>67.849999999999994</v>
      </c>
      <c r="BQ3307" s="3" t="s">
        <v>89</v>
      </c>
      <c r="BR3307" s="3" t="s">
        <v>364</v>
      </c>
      <c r="BS3307" s="4">
        <v>44568</v>
      </c>
      <c r="BT3307" s="5">
        <v>0.51388888888888895</v>
      </c>
      <c r="BU3307" s="3" t="s">
        <v>2926</v>
      </c>
      <c r="BV3307" s="3" t="s">
        <v>87</v>
      </c>
      <c r="BW3307" s="3" t="s">
        <v>457</v>
      </c>
      <c r="BX3307" s="3" t="s">
        <v>279</v>
      </c>
      <c r="BY3307" s="3">
        <v>9900</v>
      </c>
      <c r="BZ3307" s="3" t="s">
        <v>165</v>
      </c>
      <c r="CA3307" s="3" t="s">
        <v>509</v>
      </c>
      <c r="CC3307" s="3" t="s">
        <v>172</v>
      </c>
      <c r="CD3307" s="3">
        <v>6001</v>
      </c>
      <c r="CE3307" s="3" t="s">
        <v>86</v>
      </c>
      <c r="CF3307" s="4">
        <v>44571</v>
      </c>
      <c r="CI3307" s="3">
        <v>1</v>
      </c>
      <c r="CJ3307" s="3">
        <v>1</v>
      </c>
      <c r="CK3307" s="3">
        <v>21</v>
      </c>
      <c r="CL3307" s="3" t="s">
        <v>87</v>
      </c>
    </row>
    <row r="3308" spans="1:90" x14ac:dyDescent="0.2">
      <c r="A3308" s="3" t="s">
        <v>72</v>
      </c>
      <c r="B3308" s="3" t="s">
        <v>73</v>
      </c>
      <c r="C3308" s="3" t="s">
        <v>74</v>
      </c>
      <c r="E3308" s="3" t="str">
        <f>"FES1162843997"</f>
        <v>FES1162843997</v>
      </c>
      <c r="F3308" s="4">
        <v>44567</v>
      </c>
      <c r="G3308" s="3">
        <v>202207</v>
      </c>
      <c r="H3308" s="3" t="s">
        <v>75</v>
      </c>
      <c r="I3308" s="3" t="s">
        <v>76</v>
      </c>
      <c r="J3308" s="3" t="s">
        <v>77</v>
      </c>
      <c r="K3308" s="3" t="s">
        <v>78</v>
      </c>
      <c r="L3308" s="3" t="s">
        <v>162</v>
      </c>
      <c r="M3308" s="3" t="s">
        <v>163</v>
      </c>
      <c r="N3308" s="3" t="s">
        <v>2941</v>
      </c>
      <c r="O3308" s="3" t="s">
        <v>82</v>
      </c>
      <c r="P3308" s="3" t="str">
        <f>"2170815708                    "</f>
        <v xml:space="preserve">2170815708                    </v>
      </c>
      <c r="Q3308" s="3">
        <v>0</v>
      </c>
      <c r="R3308" s="3">
        <v>0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  <c r="AE3308" s="3">
        <v>0</v>
      </c>
      <c r="AF3308" s="3">
        <v>0</v>
      </c>
      <c r="AG3308" s="3">
        <v>0</v>
      </c>
      <c r="AH3308" s="3">
        <v>0</v>
      </c>
      <c r="AI3308" s="3">
        <v>0</v>
      </c>
      <c r="AJ3308" s="3">
        <v>0</v>
      </c>
      <c r="AK3308" s="3">
        <v>12.07</v>
      </c>
      <c r="AL3308" s="3">
        <v>0</v>
      </c>
      <c r="AM3308" s="3">
        <v>0</v>
      </c>
      <c r="AN3308" s="3">
        <v>0</v>
      </c>
      <c r="AO3308" s="3">
        <v>0</v>
      </c>
      <c r="AP3308" s="3">
        <v>0</v>
      </c>
      <c r="AQ3308" s="3">
        <v>0</v>
      </c>
      <c r="AR3308" s="3">
        <v>0</v>
      </c>
      <c r="AS3308" s="3">
        <v>0</v>
      </c>
      <c r="AT3308" s="3">
        <v>0</v>
      </c>
      <c r="AU3308" s="3">
        <v>0</v>
      </c>
      <c r="AV3308" s="3">
        <v>0</v>
      </c>
      <c r="AW3308" s="3">
        <v>0</v>
      </c>
      <c r="AX3308" s="3">
        <v>0</v>
      </c>
      <c r="AY3308" s="3">
        <v>0</v>
      </c>
      <c r="AZ3308" s="3">
        <v>0</v>
      </c>
      <c r="BA3308" s="3">
        <v>0</v>
      </c>
      <c r="BB3308" s="3">
        <v>0</v>
      </c>
      <c r="BC3308" s="3">
        <v>0</v>
      </c>
      <c r="BD3308" s="3">
        <v>0</v>
      </c>
      <c r="BE3308" s="3">
        <v>0</v>
      </c>
      <c r="BF3308" s="3">
        <v>0</v>
      </c>
      <c r="BG3308" s="3">
        <v>0</v>
      </c>
      <c r="BH3308" s="3">
        <v>1</v>
      </c>
      <c r="BI3308" s="3">
        <v>1</v>
      </c>
      <c r="BJ3308" s="3">
        <v>2</v>
      </c>
      <c r="BK3308" s="3">
        <v>2</v>
      </c>
      <c r="BL3308" s="3">
        <v>46.08</v>
      </c>
      <c r="BM3308" s="3">
        <v>6.91</v>
      </c>
      <c r="BN3308" s="3">
        <v>52.99</v>
      </c>
      <c r="BO3308" s="3">
        <v>52.99</v>
      </c>
      <c r="BQ3308" s="3" t="s">
        <v>89</v>
      </c>
      <c r="BR3308" s="3" t="s">
        <v>364</v>
      </c>
      <c r="BS3308" s="4">
        <v>44568</v>
      </c>
      <c r="BT3308" s="5">
        <v>0.34513888888888888</v>
      </c>
      <c r="BU3308" s="3" t="s">
        <v>2942</v>
      </c>
      <c r="BV3308" s="3" t="s">
        <v>105</v>
      </c>
      <c r="BY3308" s="3">
        <v>9918</v>
      </c>
      <c r="BZ3308" s="3" t="s">
        <v>165</v>
      </c>
      <c r="CA3308" s="3" t="s">
        <v>523</v>
      </c>
      <c r="CC3308" s="3" t="s">
        <v>163</v>
      </c>
      <c r="CD3308" s="3">
        <v>1401</v>
      </c>
      <c r="CE3308" s="3" t="s">
        <v>86</v>
      </c>
      <c r="CF3308" s="4">
        <v>44568</v>
      </c>
      <c r="CI3308" s="3">
        <v>1</v>
      </c>
      <c r="CJ3308" s="3">
        <v>1</v>
      </c>
      <c r="CK3308" s="3">
        <v>22</v>
      </c>
      <c r="CL3308" s="3" t="s">
        <v>87</v>
      </c>
    </row>
    <row r="3309" spans="1:90" x14ac:dyDescent="0.2">
      <c r="A3309" s="3" t="s">
        <v>72</v>
      </c>
      <c r="B3309" s="3" t="s">
        <v>73</v>
      </c>
      <c r="C3309" s="3" t="s">
        <v>74</v>
      </c>
      <c r="E3309" s="3" t="str">
        <f>"FES1162843998"</f>
        <v>FES1162843998</v>
      </c>
      <c r="F3309" s="4">
        <v>44567</v>
      </c>
      <c r="G3309" s="3">
        <v>202207</v>
      </c>
      <c r="H3309" s="3" t="s">
        <v>75</v>
      </c>
      <c r="I3309" s="3" t="s">
        <v>76</v>
      </c>
      <c r="J3309" s="3" t="s">
        <v>77</v>
      </c>
      <c r="K3309" s="3" t="s">
        <v>78</v>
      </c>
      <c r="L3309" s="3" t="s">
        <v>158</v>
      </c>
      <c r="M3309" s="3" t="s">
        <v>159</v>
      </c>
      <c r="N3309" s="3" t="s">
        <v>1253</v>
      </c>
      <c r="O3309" s="3" t="s">
        <v>148</v>
      </c>
      <c r="P3309" s="3" t="str">
        <f>"2170815728                    "</f>
        <v xml:space="preserve">2170815728                    </v>
      </c>
      <c r="Q3309" s="3">
        <v>0</v>
      </c>
      <c r="R3309" s="3">
        <v>0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  <c r="AE3309" s="3">
        <v>0</v>
      </c>
      <c r="AF3309" s="3">
        <v>0</v>
      </c>
      <c r="AG3309" s="3">
        <v>0</v>
      </c>
      <c r="AH3309" s="3">
        <v>0</v>
      </c>
      <c r="AI3309" s="3">
        <v>0</v>
      </c>
      <c r="AJ3309" s="3">
        <v>0</v>
      </c>
      <c r="AK3309" s="3">
        <v>25.76</v>
      </c>
      <c r="AL3309" s="3">
        <v>0</v>
      </c>
      <c r="AM3309" s="3">
        <v>0</v>
      </c>
      <c r="AN3309" s="3">
        <v>0</v>
      </c>
      <c r="AO3309" s="3">
        <v>0</v>
      </c>
      <c r="AP3309" s="3">
        <v>0</v>
      </c>
      <c r="AQ3309" s="3">
        <v>0</v>
      </c>
      <c r="AR3309" s="3">
        <v>0</v>
      </c>
      <c r="AS3309" s="3">
        <v>0</v>
      </c>
      <c r="AT3309" s="3">
        <v>0</v>
      </c>
      <c r="AU3309" s="3">
        <v>0</v>
      </c>
      <c r="AV3309" s="3">
        <v>0</v>
      </c>
      <c r="AW3309" s="3">
        <v>0</v>
      </c>
      <c r="AX3309" s="3">
        <v>0</v>
      </c>
      <c r="AY3309" s="3">
        <v>0</v>
      </c>
      <c r="AZ3309" s="3">
        <v>0</v>
      </c>
      <c r="BA3309" s="3">
        <v>0</v>
      </c>
      <c r="BB3309" s="3">
        <v>0</v>
      </c>
      <c r="BC3309" s="3">
        <v>0</v>
      </c>
      <c r="BD3309" s="3">
        <v>0</v>
      </c>
      <c r="BE3309" s="3">
        <v>0</v>
      </c>
      <c r="BF3309" s="3">
        <v>0</v>
      </c>
      <c r="BG3309" s="3">
        <v>0</v>
      </c>
      <c r="BH3309" s="3">
        <v>1</v>
      </c>
      <c r="BI3309" s="3">
        <v>5</v>
      </c>
      <c r="BJ3309" s="3">
        <v>18.3</v>
      </c>
      <c r="BK3309" s="3">
        <v>19</v>
      </c>
      <c r="BL3309" s="3">
        <v>103.58</v>
      </c>
      <c r="BM3309" s="3">
        <v>15.54</v>
      </c>
      <c r="BN3309" s="3">
        <v>119.12</v>
      </c>
      <c r="BO3309" s="3">
        <v>119.12</v>
      </c>
      <c r="BQ3309" s="3" t="s">
        <v>89</v>
      </c>
      <c r="BR3309" s="3" t="s">
        <v>364</v>
      </c>
      <c r="BS3309" s="4">
        <v>44568</v>
      </c>
      <c r="BT3309" s="5">
        <v>0.34236111111111112</v>
      </c>
      <c r="BU3309" s="3" t="s">
        <v>2808</v>
      </c>
      <c r="BV3309" s="3" t="s">
        <v>105</v>
      </c>
      <c r="BY3309" s="3">
        <v>91264</v>
      </c>
      <c r="BZ3309" s="3" t="s">
        <v>327</v>
      </c>
      <c r="CA3309" s="3" t="s">
        <v>825</v>
      </c>
      <c r="CC3309" s="3" t="s">
        <v>159</v>
      </c>
      <c r="CD3309" s="3">
        <v>1459</v>
      </c>
      <c r="CE3309" s="3" t="s">
        <v>86</v>
      </c>
      <c r="CF3309" s="4">
        <v>44568</v>
      </c>
      <c r="CI3309" s="3">
        <v>1</v>
      </c>
      <c r="CJ3309" s="3">
        <v>1</v>
      </c>
      <c r="CK3309" s="3">
        <v>42</v>
      </c>
      <c r="CL3309" s="3" t="s">
        <v>87</v>
      </c>
    </row>
    <row r="3310" spans="1:90" x14ac:dyDescent="0.2">
      <c r="A3310" s="3" t="s">
        <v>72</v>
      </c>
      <c r="B3310" s="3" t="s">
        <v>73</v>
      </c>
      <c r="C3310" s="3" t="s">
        <v>74</v>
      </c>
      <c r="E3310" s="3" t="str">
        <f>"FES1162843883"</f>
        <v>FES1162843883</v>
      </c>
      <c r="F3310" s="4">
        <v>44567</v>
      </c>
      <c r="G3310" s="3">
        <v>202207</v>
      </c>
      <c r="H3310" s="3" t="s">
        <v>75</v>
      </c>
      <c r="I3310" s="3" t="s">
        <v>76</v>
      </c>
      <c r="J3310" s="3" t="s">
        <v>77</v>
      </c>
      <c r="K3310" s="3" t="s">
        <v>78</v>
      </c>
      <c r="L3310" s="3" t="s">
        <v>120</v>
      </c>
      <c r="M3310" s="3" t="s">
        <v>121</v>
      </c>
      <c r="N3310" s="3" t="s">
        <v>1194</v>
      </c>
      <c r="O3310" s="3" t="s">
        <v>82</v>
      </c>
      <c r="P3310" s="3" t="str">
        <f>"2170815082                    "</f>
        <v xml:space="preserve">2170815082                    </v>
      </c>
      <c r="Q3310" s="3">
        <v>0</v>
      </c>
      <c r="R3310" s="3">
        <v>0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  <c r="AE3310" s="3">
        <v>0</v>
      </c>
      <c r="AF3310" s="3">
        <v>0</v>
      </c>
      <c r="AG3310" s="3">
        <v>0</v>
      </c>
      <c r="AH3310" s="3">
        <v>0</v>
      </c>
      <c r="AI3310" s="3">
        <v>0</v>
      </c>
      <c r="AJ3310" s="3">
        <v>0</v>
      </c>
      <c r="AK3310" s="3">
        <v>15.46</v>
      </c>
      <c r="AL3310" s="3">
        <v>0</v>
      </c>
      <c r="AM3310" s="3">
        <v>0</v>
      </c>
      <c r="AN3310" s="3">
        <v>0</v>
      </c>
      <c r="AO3310" s="3">
        <v>0</v>
      </c>
      <c r="AP3310" s="3">
        <v>0</v>
      </c>
      <c r="AQ3310" s="3">
        <v>0</v>
      </c>
      <c r="AR3310" s="3">
        <v>0</v>
      </c>
      <c r="AS3310" s="3">
        <v>0</v>
      </c>
      <c r="AT3310" s="3">
        <v>0</v>
      </c>
      <c r="AU3310" s="3">
        <v>0</v>
      </c>
      <c r="AV3310" s="3">
        <v>0</v>
      </c>
      <c r="AW3310" s="3">
        <v>0</v>
      </c>
      <c r="AX3310" s="3">
        <v>0</v>
      </c>
      <c r="AY3310" s="3">
        <v>0</v>
      </c>
      <c r="AZ3310" s="3">
        <v>0</v>
      </c>
      <c r="BA3310" s="3">
        <v>0</v>
      </c>
      <c r="BB3310" s="3">
        <v>0</v>
      </c>
      <c r="BC3310" s="3">
        <v>0</v>
      </c>
      <c r="BD3310" s="3">
        <v>0</v>
      </c>
      <c r="BE3310" s="3">
        <v>0</v>
      </c>
      <c r="BF3310" s="3">
        <v>0</v>
      </c>
      <c r="BG3310" s="3">
        <v>0</v>
      </c>
      <c r="BH3310" s="3">
        <v>1</v>
      </c>
      <c r="BI3310" s="3">
        <v>1</v>
      </c>
      <c r="BJ3310" s="3">
        <v>0.2</v>
      </c>
      <c r="BK3310" s="3">
        <v>1</v>
      </c>
      <c r="BL3310" s="3">
        <v>59</v>
      </c>
      <c r="BM3310" s="3">
        <v>8.85</v>
      </c>
      <c r="BN3310" s="3">
        <v>67.849999999999994</v>
      </c>
      <c r="BO3310" s="3">
        <v>67.849999999999994</v>
      </c>
      <c r="BQ3310" s="3" t="s">
        <v>89</v>
      </c>
      <c r="BR3310" s="3" t="s">
        <v>364</v>
      </c>
      <c r="BS3310" s="4">
        <v>44568</v>
      </c>
      <c r="BT3310" s="5">
        <v>0.59027777777777779</v>
      </c>
      <c r="BU3310" s="3" t="s">
        <v>2943</v>
      </c>
      <c r="BV3310" s="3" t="s">
        <v>87</v>
      </c>
      <c r="BW3310" s="3" t="s">
        <v>457</v>
      </c>
      <c r="BX3310" s="3" t="s">
        <v>279</v>
      </c>
      <c r="BY3310" s="3">
        <v>1200</v>
      </c>
      <c r="BZ3310" s="3" t="s">
        <v>165</v>
      </c>
      <c r="CA3310" s="3" t="s">
        <v>553</v>
      </c>
      <c r="CC3310" s="3" t="s">
        <v>121</v>
      </c>
      <c r="CD3310" s="3">
        <v>6230</v>
      </c>
      <c r="CE3310" s="3" t="s">
        <v>93</v>
      </c>
      <c r="CF3310" s="4">
        <v>44571</v>
      </c>
      <c r="CI3310" s="3">
        <v>1</v>
      </c>
      <c r="CJ3310" s="3">
        <v>1</v>
      </c>
      <c r="CK3310" s="3">
        <v>21</v>
      </c>
      <c r="CL3310" s="3" t="s">
        <v>87</v>
      </c>
    </row>
    <row r="3311" spans="1:90" x14ac:dyDescent="0.2">
      <c r="A3311" s="3" t="s">
        <v>72</v>
      </c>
      <c r="B3311" s="3" t="s">
        <v>73</v>
      </c>
      <c r="C3311" s="3" t="s">
        <v>74</v>
      </c>
      <c r="E3311" s="3" t="str">
        <f>"FES1162843908"</f>
        <v>FES1162843908</v>
      </c>
      <c r="F3311" s="4">
        <v>44567</v>
      </c>
      <c r="G3311" s="3">
        <v>202207</v>
      </c>
      <c r="H3311" s="3" t="s">
        <v>75</v>
      </c>
      <c r="I3311" s="3" t="s">
        <v>76</v>
      </c>
      <c r="J3311" s="3" t="s">
        <v>77</v>
      </c>
      <c r="K3311" s="3" t="s">
        <v>78</v>
      </c>
      <c r="L3311" s="3" t="s">
        <v>211</v>
      </c>
      <c r="M3311" s="3" t="s">
        <v>212</v>
      </c>
      <c r="N3311" s="3" t="s">
        <v>1132</v>
      </c>
      <c r="O3311" s="3" t="s">
        <v>82</v>
      </c>
      <c r="P3311" s="3" t="str">
        <f>"2170809370                    "</f>
        <v xml:space="preserve">2170809370                    </v>
      </c>
      <c r="Q3311" s="3">
        <v>0</v>
      </c>
      <c r="R3311" s="3">
        <v>0</v>
      </c>
      <c r="S3311" s="3">
        <v>0</v>
      </c>
      <c r="T3311" s="3">
        <v>0</v>
      </c>
      <c r="U3311" s="3">
        <v>0</v>
      </c>
      <c r="V3311" s="3">
        <v>0</v>
      </c>
      <c r="W3311" s="3">
        <v>0</v>
      </c>
      <c r="X3311" s="3">
        <v>0</v>
      </c>
      <c r="Y3311" s="3">
        <v>0</v>
      </c>
      <c r="Z3311" s="3">
        <v>0</v>
      </c>
      <c r="AA3311" s="3">
        <v>0</v>
      </c>
      <c r="AB3311" s="3">
        <v>0</v>
      </c>
      <c r="AC3311" s="3">
        <v>0</v>
      </c>
      <c r="AD3311" s="3">
        <v>0</v>
      </c>
      <c r="AE3311" s="3">
        <v>0</v>
      </c>
      <c r="AF3311" s="3">
        <v>0</v>
      </c>
      <c r="AG3311" s="3">
        <v>0</v>
      </c>
      <c r="AH3311" s="3">
        <v>0</v>
      </c>
      <c r="AI3311" s="3">
        <v>0</v>
      </c>
      <c r="AJ3311" s="3">
        <v>0</v>
      </c>
      <c r="AK3311" s="3">
        <v>12.07</v>
      </c>
      <c r="AL3311" s="3">
        <v>0</v>
      </c>
      <c r="AM3311" s="3">
        <v>0</v>
      </c>
      <c r="AN3311" s="3">
        <v>0</v>
      </c>
      <c r="AO3311" s="3">
        <v>0</v>
      </c>
      <c r="AP3311" s="3">
        <v>0</v>
      </c>
      <c r="AQ3311" s="3">
        <v>0</v>
      </c>
      <c r="AR3311" s="3">
        <v>0</v>
      </c>
      <c r="AS3311" s="3">
        <v>0</v>
      </c>
      <c r="AT3311" s="3">
        <v>0</v>
      </c>
      <c r="AU3311" s="3">
        <v>0</v>
      </c>
      <c r="AV3311" s="3">
        <v>0</v>
      </c>
      <c r="AW3311" s="3">
        <v>0</v>
      </c>
      <c r="AX3311" s="3">
        <v>0</v>
      </c>
      <c r="AY3311" s="3">
        <v>0</v>
      </c>
      <c r="AZ3311" s="3">
        <v>0</v>
      </c>
      <c r="BA3311" s="3">
        <v>0</v>
      </c>
      <c r="BB3311" s="3">
        <v>0</v>
      </c>
      <c r="BC3311" s="3">
        <v>0</v>
      </c>
      <c r="BD3311" s="3">
        <v>0</v>
      </c>
      <c r="BE3311" s="3">
        <v>0</v>
      </c>
      <c r="BF3311" s="3">
        <v>0</v>
      </c>
      <c r="BG3311" s="3">
        <v>0</v>
      </c>
      <c r="BH3311" s="3">
        <v>1</v>
      </c>
      <c r="BI3311" s="3">
        <v>1</v>
      </c>
      <c r="BJ3311" s="3">
        <v>0.2</v>
      </c>
      <c r="BK3311" s="3">
        <v>1</v>
      </c>
      <c r="BL3311" s="3">
        <v>46.08</v>
      </c>
      <c r="BM3311" s="3">
        <v>6.91</v>
      </c>
      <c r="BN3311" s="3">
        <v>52.99</v>
      </c>
      <c r="BO3311" s="3">
        <v>52.99</v>
      </c>
      <c r="BR3311" s="3" t="s">
        <v>364</v>
      </c>
      <c r="BS3311" s="4">
        <v>44568</v>
      </c>
      <c r="BT3311" s="5">
        <v>0.37222222222222223</v>
      </c>
      <c r="BU3311" s="3" t="s">
        <v>2944</v>
      </c>
      <c r="BV3311" s="3" t="s">
        <v>105</v>
      </c>
      <c r="BY3311" s="3">
        <v>1200</v>
      </c>
      <c r="BZ3311" s="3" t="s">
        <v>165</v>
      </c>
      <c r="CA3311" s="3" t="s">
        <v>345</v>
      </c>
      <c r="CC3311" s="3" t="s">
        <v>212</v>
      </c>
      <c r="CD3311" s="3">
        <v>2163</v>
      </c>
      <c r="CE3311" s="3" t="s">
        <v>93</v>
      </c>
      <c r="CF3311" s="4">
        <v>44568</v>
      </c>
      <c r="CI3311" s="3">
        <v>1</v>
      </c>
      <c r="CJ3311" s="3">
        <v>1</v>
      </c>
      <c r="CK3311" s="3">
        <v>22</v>
      </c>
      <c r="CL3311" s="3" t="s">
        <v>87</v>
      </c>
    </row>
    <row r="3312" spans="1:90" x14ac:dyDescent="0.2">
      <c r="A3312" s="3" t="s">
        <v>72</v>
      </c>
      <c r="B3312" s="3" t="s">
        <v>73</v>
      </c>
      <c r="C3312" s="3" t="s">
        <v>74</v>
      </c>
      <c r="E3312" s="3" t="str">
        <f>"FES1162843880"</f>
        <v>FES1162843880</v>
      </c>
      <c r="F3312" s="4">
        <v>44567</v>
      </c>
      <c r="G3312" s="3">
        <v>202207</v>
      </c>
      <c r="H3312" s="3" t="s">
        <v>75</v>
      </c>
      <c r="I3312" s="3" t="s">
        <v>76</v>
      </c>
      <c r="J3312" s="3" t="s">
        <v>77</v>
      </c>
      <c r="K3312" s="3" t="s">
        <v>78</v>
      </c>
      <c r="L3312" s="3" t="s">
        <v>138</v>
      </c>
      <c r="M3312" s="3" t="s">
        <v>139</v>
      </c>
      <c r="N3312" s="3" t="s">
        <v>558</v>
      </c>
      <c r="O3312" s="3" t="s">
        <v>82</v>
      </c>
      <c r="P3312" s="3" t="str">
        <f>"2170815799                    "</f>
        <v xml:space="preserve">2170815799                    </v>
      </c>
      <c r="Q3312" s="3">
        <v>0</v>
      </c>
      <c r="R3312" s="3">
        <v>0</v>
      </c>
      <c r="S3312" s="3">
        <v>0</v>
      </c>
      <c r="T3312" s="3">
        <v>0</v>
      </c>
      <c r="U3312" s="3">
        <v>0</v>
      </c>
      <c r="V3312" s="3">
        <v>0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0</v>
      </c>
      <c r="AC3312" s="3">
        <v>0</v>
      </c>
      <c r="AD3312" s="3">
        <v>0</v>
      </c>
      <c r="AE3312" s="3">
        <v>0</v>
      </c>
      <c r="AF3312" s="3">
        <v>0</v>
      </c>
      <c r="AG3312" s="3">
        <v>0</v>
      </c>
      <c r="AH3312" s="3">
        <v>0</v>
      </c>
      <c r="AI3312" s="3">
        <v>0</v>
      </c>
      <c r="AJ3312" s="3">
        <v>0</v>
      </c>
      <c r="AK3312" s="3">
        <v>15.46</v>
      </c>
      <c r="AL3312" s="3">
        <v>0</v>
      </c>
      <c r="AM3312" s="3">
        <v>0</v>
      </c>
      <c r="AN3312" s="3">
        <v>0</v>
      </c>
      <c r="AO3312" s="3">
        <v>0</v>
      </c>
      <c r="AP3312" s="3">
        <v>0</v>
      </c>
      <c r="AQ3312" s="3">
        <v>0</v>
      </c>
      <c r="AR3312" s="3">
        <v>0</v>
      </c>
      <c r="AS3312" s="3">
        <v>0</v>
      </c>
      <c r="AT3312" s="3">
        <v>0</v>
      </c>
      <c r="AU3312" s="3">
        <v>0</v>
      </c>
      <c r="AV3312" s="3">
        <v>0</v>
      </c>
      <c r="AW3312" s="3">
        <v>0</v>
      </c>
      <c r="AX3312" s="3">
        <v>0</v>
      </c>
      <c r="AY3312" s="3">
        <v>0</v>
      </c>
      <c r="AZ3312" s="3">
        <v>0</v>
      </c>
      <c r="BA3312" s="3">
        <v>0</v>
      </c>
      <c r="BB3312" s="3">
        <v>0</v>
      </c>
      <c r="BC3312" s="3">
        <v>0</v>
      </c>
      <c r="BD3312" s="3">
        <v>0</v>
      </c>
      <c r="BE3312" s="3">
        <v>0</v>
      </c>
      <c r="BF3312" s="3">
        <v>0</v>
      </c>
      <c r="BG3312" s="3">
        <v>0</v>
      </c>
      <c r="BH3312" s="3">
        <v>1</v>
      </c>
      <c r="BI3312" s="3">
        <v>1</v>
      </c>
      <c r="BJ3312" s="3">
        <v>0.2</v>
      </c>
      <c r="BK3312" s="3">
        <v>1</v>
      </c>
      <c r="BL3312" s="3">
        <v>59</v>
      </c>
      <c r="BM3312" s="3">
        <v>8.85</v>
      </c>
      <c r="BN3312" s="3">
        <v>67.849999999999994</v>
      </c>
      <c r="BO3312" s="3">
        <v>67.849999999999994</v>
      </c>
      <c r="BR3312" s="3" t="s">
        <v>364</v>
      </c>
      <c r="BS3312" s="4">
        <v>44568</v>
      </c>
      <c r="BT3312" s="5">
        <v>0.44236111111111115</v>
      </c>
      <c r="BU3312" s="3" t="s">
        <v>2945</v>
      </c>
      <c r="BV3312" s="3" t="s">
        <v>105</v>
      </c>
      <c r="BY3312" s="3">
        <v>1200</v>
      </c>
      <c r="BZ3312" s="3" t="s">
        <v>165</v>
      </c>
      <c r="CA3312" s="3" t="s">
        <v>303</v>
      </c>
      <c r="CC3312" s="3" t="s">
        <v>139</v>
      </c>
      <c r="CD3312" s="3">
        <v>3610</v>
      </c>
      <c r="CE3312" s="3" t="s">
        <v>93</v>
      </c>
      <c r="CF3312" s="4">
        <v>44568</v>
      </c>
      <c r="CI3312" s="3">
        <v>1</v>
      </c>
      <c r="CJ3312" s="3">
        <v>1</v>
      </c>
      <c r="CK3312" s="3">
        <v>21</v>
      </c>
      <c r="CL3312" s="3" t="s">
        <v>87</v>
      </c>
    </row>
    <row r="3313" spans="1:90" x14ac:dyDescent="0.2">
      <c r="A3313" s="3" t="s">
        <v>72</v>
      </c>
      <c r="B3313" s="3" t="s">
        <v>73</v>
      </c>
      <c r="C3313" s="3" t="s">
        <v>74</v>
      </c>
      <c r="E3313" s="3" t="str">
        <f>"FES1162843970"</f>
        <v>FES1162843970</v>
      </c>
      <c r="F3313" s="4">
        <v>44567</v>
      </c>
      <c r="G3313" s="3">
        <v>202207</v>
      </c>
      <c r="H3313" s="3" t="s">
        <v>75</v>
      </c>
      <c r="I3313" s="3" t="s">
        <v>76</v>
      </c>
      <c r="J3313" s="3" t="s">
        <v>77</v>
      </c>
      <c r="K3313" s="3" t="s">
        <v>78</v>
      </c>
      <c r="L3313" s="3" t="s">
        <v>142</v>
      </c>
      <c r="M3313" s="3" t="s">
        <v>143</v>
      </c>
      <c r="N3313" s="3" t="s">
        <v>337</v>
      </c>
      <c r="O3313" s="3" t="s">
        <v>82</v>
      </c>
      <c r="P3313" s="3" t="str">
        <f>"217081437                     "</f>
        <v xml:space="preserve">217081437                     </v>
      </c>
      <c r="Q3313" s="3">
        <v>0</v>
      </c>
      <c r="R3313" s="3">
        <v>0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  <c r="AE3313" s="3">
        <v>0</v>
      </c>
      <c r="AF3313" s="3">
        <v>0</v>
      </c>
      <c r="AG3313" s="3">
        <v>0</v>
      </c>
      <c r="AH3313" s="3">
        <v>0</v>
      </c>
      <c r="AI3313" s="3">
        <v>0</v>
      </c>
      <c r="AJ3313" s="3">
        <v>0</v>
      </c>
      <c r="AK3313" s="3">
        <v>12.07</v>
      </c>
      <c r="AL3313" s="3">
        <v>0</v>
      </c>
      <c r="AM3313" s="3">
        <v>0</v>
      </c>
      <c r="AN3313" s="3">
        <v>0</v>
      </c>
      <c r="AO3313" s="3">
        <v>0</v>
      </c>
      <c r="AP3313" s="3">
        <v>0</v>
      </c>
      <c r="AQ3313" s="3">
        <v>0</v>
      </c>
      <c r="AR3313" s="3">
        <v>0</v>
      </c>
      <c r="AS3313" s="3">
        <v>0</v>
      </c>
      <c r="AT3313" s="3">
        <v>0</v>
      </c>
      <c r="AU3313" s="3">
        <v>0</v>
      </c>
      <c r="AV3313" s="3">
        <v>0</v>
      </c>
      <c r="AW3313" s="3">
        <v>0</v>
      </c>
      <c r="AX3313" s="3">
        <v>0</v>
      </c>
      <c r="AY3313" s="3">
        <v>0</v>
      </c>
      <c r="AZ3313" s="3">
        <v>0</v>
      </c>
      <c r="BA3313" s="3">
        <v>0</v>
      </c>
      <c r="BB3313" s="3">
        <v>0</v>
      </c>
      <c r="BC3313" s="3">
        <v>0</v>
      </c>
      <c r="BD3313" s="3">
        <v>0</v>
      </c>
      <c r="BE3313" s="3">
        <v>0</v>
      </c>
      <c r="BF3313" s="3">
        <v>0</v>
      </c>
      <c r="BG3313" s="3">
        <v>0</v>
      </c>
      <c r="BH3313" s="3">
        <v>1</v>
      </c>
      <c r="BI3313" s="3">
        <v>1</v>
      </c>
      <c r="BJ3313" s="3">
        <v>0.2</v>
      </c>
      <c r="BK3313" s="3">
        <v>1</v>
      </c>
      <c r="BL3313" s="3">
        <v>46.08</v>
      </c>
      <c r="BM3313" s="3">
        <v>6.91</v>
      </c>
      <c r="BN3313" s="3">
        <v>52.99</v>
      </c>
      <c r="BO3313" s="3">
        <v>52.99</v>
      </c>
      <c r="BQ3313" s="3" t="s">
        <v>89</v>
      </c>
      <c r="BR3313" s="3" t="s">
        <v>364</v>
      </c>
      <c r="BS3313" s="4">
        <v>44578</v>
      </c>
      <c r="BT3313" s="5">
        <v>0.38541666666666669</v>
      </c>
      <c r="BU3313" s="3" t="s">
        <v>1031</v>
      </c>
      <c r="BV3313" s="3" t="s">
        <v>87</v>
      </c>
      <c r="BW3313" s="3" t="s">
        <v>278</v>
      </c>
      <c r="BX3313" s="3" t="s">
        <v>871</v>
      </c>
      <c r="BY3313" s="3">
        <v>1200</v>
      </c>
      <c r="BZ3313" s="3" t="s">
        <v>165</v>
      </c>
      <c r="CA3313" s="3" t="s">
        <v>528</v>
      </c>
      <c r="CC3313" s="3" t="s">
        <v>143</v>
      </c>
      <c r="CD3313" s="3">
        <v>1451</v>
      </c>
      <c r="CE3313" s="3" t="s">
        <v>93</v>
      </c>
      <c r="CF3313" s="4">
        <v>44579</v>
      </c>
      <c r="CI3313" s="3">
        <v>1</v>
      </c>
      <c r="CJ3313" s="3">
        <v>7</v>
      </c>
      <c r="CK3313" s="3">
        <v>22</v>
      </c>
      <c r="CL3313" s="3" t="s">
        <v>87</v>
      </c>
    </row>
    <row r="3314" spans="1:90" x14ac:dyDescent="0.2">
      <c r="A3314" s="3" t="s">
        <v>72</v>
      </c>
      <c r="B3314" s="3" t="s">
        <v>73</v>
      </c>
      <c r="C3314" s="3" t="s">
        <v>74</v>
      </c>
      <c r="E3314" s="3" t="str">
        <f>"FES1162843799"</f>
        <v>FES1162843799</v>
      </c>
      <c r="F3314" s="4">
        <v>44567</v>
      </c>
      <c r="G3314" s="3">
        <v>202207</v>
      </c>
      <c r="H3314" s="3" t="s">
        <v>75</v>
      </c>
      <c r="I3314" s="3" t="s">
        <v>76</v>
      </c>
      <c r="J3314" s="3" t="s">
        <v>77</v>
      </c>
      <c r="K3314" s="3" t="s">
        <v>78</v>
      </c>
      <c r="L3314" s="3" t="s">
        <v>154</v>
      </c>
      <c r="M3314" s="3" t="s">
        <v>155</v>
      </c>
      <c r="N3314" s="3" t="s">
        <v>706</v>
      </c>
      <c r="O3314" s="3" t="s">
        <v>82</v>
      </c>
      <c r="P3314" s="3" t="str">
        <f>"2170815731                    "</f>
        <v xml:space="preserve">2170815731                    </v>
      </c>
      <c r="Q3314" s="3">
        <v>0</v>
      </c>
      <c r="R3314" s="3">
        <v>0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  <c r="AE3314" s="3">
        <v>0</v>
      </c>
      <c r="AF3314" s="3">
        <v>0</v>
      </c>
      <c r="AG3314" s="3">
        <v>0</v>
      </c>
      <c r="AH3314" s="3">
        <v>0</v>
      </c>
      <c r="AI3314" s="3">
        <v>0</v>
      </c>
      <c r="AJ3314" s="3">
        <v>0</v>
      </c>
      <c r="AK3314" s="3">
        <v>12.07</v>
      </c>
      <c r="AL3314" s="3">
        <v>0</v>
      </c>
      <c r="AM3314" s="3">
        <v>0</v>
      </c>
      <c r="AN3314" s="3">
        <v>0</v>
      </c>
      <c r="AO3314" s="3">
        <v>0</v>
      </c>
      <c r="AP3314" s="3">
        <v>0</v>
      </c>
      <c r="AQ3314" s="3">
        <v>0</v>
      </c>
      <c r="AR3314" s="3">
        <v>0</v>
      </c>
      <c r="AS3314" s="3">
        <v>0</v>
      </c>
      <c r="AT3314" s="3">
        <v>0</v>
      </c>
      <c r="AU3314" s="3">
        <v>0</v>
      </c>
      <c r="AV3314" s="3">
        <v>0</v>
      </c>
      <c r="AW3314" s="3">
        <v>0</v>
      </c>
      <c r="AX3314" s="3">
        <v>0</v>
      </c>
      <c r="AY3314" s="3">
        <v>0</v>
      </c>
      <c r="AZ3314" s="3">
        <v>0</v>
      </c>
      <c r="BA3314" s="3">
        <v>0</v>
      </c>
      <c r="BB3314" s="3">
        <v>0</v>
      </c>
      <c r="BC3314" s="3">
        <v>0</v>
      </c>
      <c r="BD3314" s="3">
        <v>0</v>
      </c>
      <c r="BE3314" s="3">
        <v>0</v>
      </c>
      <c r="BF3314" s="3">
        <v>0</v>
      </c>
      <c r="BG3314" s="3">
        <v>0</v>
      </c>
      <c r="BH3314" s="3">
        <v>1</v>
      </c>
      <c r="BI3314" s="3">
        <v>8</v>
      </c>
      <c r="BJ3314" s="3">
        <v>6.7</v>
      </c>
      <c r="BK3314" s="3">
        <v>8</v>
      </c>
      <c r="BL3314" s="3">
        <v>46.08</v>
      </c>
      <c r="BM3314" s="3">
        <v>6.91</v>
      </c>
      <c r="BN3314" s="3">
        <v>52.99</v>
      </c>
      <c r="BO3314" s="3">
        <v>52.99</v>
      </c>
      <c r="BQ3314" s="3" t="s">
        <v>83</v>
      </c>
      <c r="BR3314" s="3" t="s">
        <v>364</v>
      </c>
      <c r="BS3314" s="4">
        <v>44568</v>
      </c>
      <c r="BT3314" s="5">
        <v>0.33263888888888887</v>
      </c>
      <c r="BU3314" s="3" t="s">
        <v>707</v>
      </c>
      <c r="BV3314" s="3" t="s">
        <v>105</v>
      </c>
      <c r="BY3314" s="3">
        <v>33614</v>
      </c>
      <c r="BZ3314" s="3" t="s">
        <v>165</v>
      </c>
      <c r="CA3314" s="3" t="s">
        <v>708</v>
      </c>
      <c r="CC3314" s="3" t="s">
        <v>155</v>
      </c>
      <c r="CD3314" s="3">
        <v>1682</v>
      </c>
      <c r="CE3314" s="3" t="s">
        <v>86</v>
      </c>
      <c r="CF3314" s="4">
        <v>44569</v>
      </c>
      <c r="CI3314" s="3">
        <v>1</v>
      </c>
      <c r="CJ3314" s="3">
        <v>1</v>
      </c>
      <c r="CK3314" s="3">
        <v>22</v>
      </c>
      <c r="CL3314" s="3" t="s">
        <v>87</v>
      </c>
    </row>
    <row r="3315" spans="1:90" x14ac:dyDescent="0.2">
      <c r="A3315" s="3" t="s">
        <v>72</v>
      </c>
      <c r="B3315" s="3" t="s">
        <v>73</v>
      </c>
      <c r="C3315" s="3" t="s">
        <v>74</v>
      </c>
      <c r="E3315" s="3" t="str">
        <f>"FES1162843870"</f>
        <v>FES1162843870</v>
      </c>
      <c r="F3315" s="4">
        <v>44567</v>
      </c>
      <c r="G3315" s="3">
        <v>202207</v>
      </c>
      <c r="H3315" s="3" t="s">
        <v>75</v>
      </c>
      <c r="I3315" s="3" t="s">
        <v>76</v>
      </c>
      <c r="J3315" s="3" t="s">
        <v>77</v>
      </c>
      <c r="K3315" s="3" t="s">
        <v>78</v>
      </c>
      <c r="L3315" s="3" t="s">
        <v>138</v>
      </c>
      <c r="M3315" s="3" t="s">
        <v>139</v>
      </c>
      <c r="N3315" s="3" t="s">
        <v>332</v>
      </c>
      <c r="O3315" s="3" t="s">
        <v>82</v>
      </c>
      <c r="P3315" s="3" t="str">
        <f>"2170815789                    "</f>
        <v xml:space="preserve">2170815789                    </v>
      </c>
      <c r="Q3315" s="3">
        <v>0</v>
      </c>
      <c r="R3315" s="3">
        <v>0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  <c r="AE3315" s="3">
        <v>0</v>
      </c>
      <c r="AF3315" s="3">
        <v>0</v>
      </c>
      <c r="AG3315" s="3">
        <v>0</v>
      </c>
      <c r="AH3315" s="3">
        <v>0</v>
      </c>
      <c r="AI3315" s="3">
        <v>0</v>
      </c>
      <c r="AJ3315" s="3">
        <v>0</v>
      </c>
      <c r="AK3315" s="3">
        <v>15.46</v>
      </c>
      <c r="AL3315" s="3">
        <v>0</v>
      </c>
      <c r="AM3315" s="3">
        <v>0</v>
      </c>
      <c r="AN3315" s="3">
        <v>0</v>
      </c>
      <c r="AO3315" s="3">
        <v>0</v>
      </c>
      <c r="AP3315" s="3">
        <v>0</v>
      </c>
      <c r="AQ3315" s="3">
        <v>0</v>
      </c>
      <c r="AR3315" s="3">
        <v>0</v>
      </c>
      <c r="AS3315" s="3">
        <v>0</v>
      </c>
      <c r="AT3315" s="3">
        <v>0</v>
      </c>
      <c r="AU3315" s="3">
        <v>0</v>
      </c>
      <c r="AV3315" s="3">
        <v>0</v>
      </c>
      <c r="AW3315" s="3">
        <v>0</v>
      </c>
      <c r="AX3315" s="3">
        <v>0</v>
      </c>
      <c r="AY3315" s="3">
        <v>0</v>
      </c>
      <c r="AZ3315" s="3">
        <v>0</v>
      </c>
      <c r="BA3315" s="3">
        <v>0</v>
      </c>
      <c r="BB3315" s="3">
        <v>0</v>
      </c>
      <c r="BC3315" s="3">
        <v>0</v>
      </c>
      <c r="BD3315" s="3">
        <v>0</v>
      </c>
      <c r="BE3315" s="3">
        <v>0</v>
      </c>
      <c r="BF3315" s="3">
        <v>0</v>
      </c>
      <c r="BG3315" s="3">
        <v>0</v>
      </c>
      <c r="BH3315" s="3">
        <v>1</v>
      </c>
      <c r="BI3315" s="3">
        <v>2</v>
      </c>
      <c r="BJ3315" s="3">
        <v>1.6</v>
      </c>
      <c r="BK3315" s="3">
        <v>2</v>
      </c>
      <c r="BL3315" s="3">
        <v>59</v>
      </c>
      <c r="BM3315" s="3">
        <v>8.85</v>
      </c>
      <c r="BN3315" s="3">
        <v>67.849999999999994</v>
      </c>
      <c r="BO3315" s="3">
        <v>67.849999999999994</v>
      </c>
      <c r="BQ3315" s="3" t="s">
        <v>89</v>
      </c>
      <c r="BR3315" s="3" t="s">
        <v>364</v>
      </c>
      <c r="BS3315" s="4">
        <v>44568</v>
      </c>
      <c r="BT3315" s="5">
        <v>0.40416666666666662</v>
      </c>
      <c r="BU3315" s="3" t="s">
        <v>2946</v>
      </c>
      <c r="BV3315" s="3" t="s">
        <v>105</v>
      </c>
      <c r="BY3315" s="3">
        <v>8100</v>
      </c>
      <c r="BZ3315" s="3" t="s">
        <v>165</v>
      </c>
      <c r="CA3315" s="3" t="s">
        <v>106</v>
      </c>
      <c r="CC3315" s="3" t="s">
        <v>139</v>
      </c>
      <c r="CD3315" s="3">
        <v>3600</v>
      </c>
      <c r="CE3315" s="3" t="s">
        <v>86</v>
      </c>
      <c r="CF3315" s="4">
        <v>44568</v>
      </c>
      <c r="CI3315" s="3">
        <v>1</v>
      </c>
      <c r="CJ3315" s="3">
        <v>1</v>
      </c>
      <c r="CK3315" s="3">
        <v>21</v>
      </c>
      <c r="CL3315" s="3" t="s">
        <v>87</v>
      </c>
    </row>
    <row r="3316" spans="1:90" x14ac:dyDescent="0.2">
      <c r="A3316" s="3" t="s">
        <v>72</v>
      </c>
      <c r="B3316" s="3" t="s">
        <v>73</v>
      </c>
      <c r="C3316" s="3" t="s">
        <v>74</v>
      </c>
      <c r="E3316" s="3" t="str">
        <f>"FES1162843861"</f>
        <v>FES1162843861</v>
      </c>
      <c r="F3316" s="4">
        <v>44567</v>
      </c>
      <c r="G3316" s="3">
        <v>202207</v>
      </c>
      <c r="H3316" s="3" t="s">
        <v>75</v>
      </c>
      <c r="I3316" s="3" t="s">
        <v>76</v>
      </c>
      <c r="J3316" s="3" t="s">
        <v>77</v>
      </c>
      <c r="K3316" s="3" t="s">
        <v>78</v>
      </c>
      <c r="L3316" s="3" t="s">
        <v>2328</v>
      </c>
      <c r="M3316" s="3" t="s">
        <v>2329</v>
      </c>
      <c r="N3316" s="3" t="s">
        <v>2485</v>
      </c>
      <c r="O3316" s="3" t="s">
        <v>82</v>
      </c>
      <c r="P3316" s="3" t="str">
        <f>"2170814008                    "</f>
        <v xml:space="preserve">2170814008                    </v>
      </c>
      <c r="Q3316" s="3">
        <v>0</v>
      </c>
      <c r="R3316" s="3">
        <v>0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  <c r="AE3316" s="3">
        <v>0</v>
      </c>
      <c r="AF3316" s="3">
        <v>0</v>
      </c>
      <c r="AG3316" s="3">
        <v>0</v>
      </c>
      <c r="AH3316" s="3">
        <v>0</v>
      </c>
      <c r="AI3316" s="3">
        <v>0</v>
      </c>
      <c r="AJ3316" s="3">
        <v>0</v>
      </c>
      <c r="AK3316" s="3">
        <v>43.47</v>
      </c>
      <c r="AL3316" s="3">
        <v>0</v>
      </c>
      <c r="AM3316" s="3">
        <v>0</v>
      </c>
      <c r="AN3316" s="3">
        <v>0</v>
      </c>
      <c r="AO3316" s="3">
        <v>0</v>
      </c>
      <c r="AP3316" s="3">
        <v>0</v>
      </c>
      <c r="AQ3316" s="3">
        <v>0</v>
      </c>
      <c r="AR3316" s="3">
        <v>0</v>
      </c>
      <c r="AS3316" s="3">
        <v>0</v>
      </c>
      <c r="AT3316" s="3">
        <v>0</v>
      </c>
      <c r="AU3316" s="3">
        <v>0</v>
      </c>
      <c r="AV3316" s="3">
        <v>0</v>
      </c>
      <c r="AW3316" s="3">
        <v>0</v>
      </c>
      <c r="AX3316" s="3">
        <v>0</v>
      </c>
      <c r="AY3316" s="3">
        <v>0</v>
      </c>
      <c r="AZ3316" s="3">
        <v>0</v>
      </c>
      <c r="BA3316" s="3">
        <v>0</v>
      </c>
      <c r="BB3316" s="3">
        <v>0</v>
      </c>
      <c r="BC3316" s="3">
        <v>0</v>
      </c>
      <c r="BD3316" s="3">
        <v>0</v>
      </c>
      <c r="BE3316" s="3">
        <v>0</v>
      </c>
      <c r="BF3316" s="3">
        <v>0</v>
      </c>
      <c r="BG3316" s="3">
        <v>0</v>
      </c>
      <c r="BH3316" s="3">
        <v>1</v>
      </c>
      <c r="BI3316" s="3">
        <v>3</v>
      </c>
      <c r="BJ3316" s="3">
        <v>1.7</v>
      </c>
      <c r="BK3316" s="3">
        <v>3</v>
      </c>
      <c r="BL3316" s="3">
        <v>165.93</v>
      </c>
      <c r="BM3316" s="3">
        <v>24.89</v>
      </c>
      <c r="BN3316" s="3">
        <v>190.82</v>
      </c>
      <c r="BO3316" s="3">
        <v>190.82</v>
      </c>
      <c r="BQ3316" s="3" t="s">
        <v>128</v>
      </c>
      <c r="BR3316" s="3" t="s">
        <v>364</v>
      </c>
      <c r="BS3316" s="4">
        <v>44572</v>
      </c>
      <c r="BT3316" s="5">
        <v>0.4375</v>
      </c>
      <c r="BU3316" s="3" t="s">
        <v>2947</v>
      </c>
      <c r="BV3316" s="3" t="s">
        <v>87</v>
      </c>
      <c r="BW3316" s="3" t="s">
        <v>453</v>
      </c>
      <c r="BX3316" s="3" t="s">
        <v>279</v>
      </c>
      <c r="BY3316" s="3">
        <v>8550</v>
      </c>
      <c r="BZ3316" s="3" t="s">
        <v>165</v>
      </c>
      <c r="CA3316" s="3" t="s">
        <v>328</v>
      </c>
      <c r="CC3316" s="3" t="s">
        <v>2329</v>
      </c>
      <c r="CD3316" s="3">
        <v>3310</v>
      </c>
      <c r="CE3316" s="3" t="s">
        <v>86</v>
      </c>
      <c r="CF3316" s="4">
        <v>44574</v>
      </c>
      <c r="CI3316" s="3">
        <v>1</v>
      </c>
      <c r="CJ3316" s="3">
        <v>3</v>
      </c>
      <c r="CK3316" s="3">
        <v>23</v>
      </c>
      <c r="CL3316" s="3" t="s">
        <v>87</v>
      </c>
    </row>
    <row r="3317" spans="1:90" x14ac:dyDescent="0.2">
      <c r="A3317" s="3" t="s">
        <v>72</v>
      </c>
      <c r="B3317" s="3" t="s">
        <v>73</v>
      </c>
      <c r="C3317" s="3" t="s">
        <v>74</v>
      </c>
      <c r="E3317" s="3" t="str">
        <f>"FES1162843888"</f>
        <v>FES1162843888</v>
      </c>
      <c r="F3317" s="4">
        <v>44567</v>
      </c>
      <c r="G3317" s="3">
        <v>202207</v>
      </c>
      <c r="H3317" s="3" t="s">
        <v>75</v>
      </c>
      <c r="I3317" s="3" t="s">
        <v>76</v>
      </c>
      <c r="J3317" s="3" t="s">
        <v>77</v>
      </c>
      <c r="K3317" s="3" t="s">
        <v>78</v>
      </c>
      <c r="L3317" s="3" t="s">
        <v>79</v>
      </c>
      <c r="M3317" s="3" t="s">
        <v>80</v>
      </c>
      <c r="N3317" s="3" t="s">
        <v>771</v>
      </c>
      <c r="O3317" s="3" t="s">
        <v>82</v>
      </c>
      <c r="P3317" s="3" t="str">
        <f>"2170815080                    "</f>
        <v xml:space="preserve">2170815080                    </v>
      </c>
      <c r="Q3317" s="3">
        <v>0</v>
      </c>
      <c r="R3317" s="3">
        <v>0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  <c r="AE3317" s="3">
        <v>0</v>
      </c>
      <c r="AF3317" s="3">
        <v>0</v>
      </c>
      <c r="AG3317" s="3">
        <v>0</v>
      </c>
      <c r="AH3317" s="3">
        <v>0</v>
      </c>
      <c r="AI3317" s="3">
        <v>0</v>
      </c>
      <c r="AJ3317" s="3">
        <v>0</v>
      </c>
      <c r="AK3317" s="3">
        <v>15.46</v>
      </c>
      <c r="AL3317" s="3">
        <v>0</v>
      </c>
      <c r="AM3317" s="3">
        <v>0</v>
      </c>
      <c r="AN3317" s="3">
        <v>0</v>
      </c>
      <c r="AO3317" s="3">
        <v>0</v>
      </c>
      <c r="AP3317" s="3">
        <v>0</v>
      </c>
      <c r="AQ3317" s="3">
        <v>0</v>
      </c>
      <c r="AR3317" s="3">
        <v>0</v>
      </c>
      <c r="AS3317" s="3">
        <v>0</v>
      </c>
      <c r="AT3317" s="3">
        <v>0</v>
      </c>
      <c r="AU3317" s="3">
        <v>0</v>
      </c>
      <c r="AV3317" s="3">
        <v>0</v>
      </c>
      <c r="AW3317" s="3">
        <v>0</v>
      </c>
      <c r="AX3317" s="3">
        <v>0</v>
      </c>
      <c r="AY3317" s="3">
        <v>0</v>
      </c>
      <c r="AZ3317" s="3">
        <v>0</v>
      </c>
      <c r="BA3317" s="3">
        <v>0</v>
      </c>
      <c r="BB3317" s="3">
        <v>0</v>
      </c>
      <c r="BC3317" s="3">
        <v>0</v>
      </c>
      <c r="BD3317" s="3">
        <v>0</v>
      </c>
      <c r="BE3317" s="3">
        <v>0</v>
      </c>
      <c r="BF3317" s="3">
        <v>0</v>
      </c>
      <c r="BG3317" s="3">
        <v>0</v>
      </c>
      <c r="BH3317" s="3">
        <v>1</v>
      </c>
      <c r="BI3317" s="3">
        <v>1</v>
      </c>
      <c r="BJ3317" s="3">
        <v>0.2</v>
      </c>
      <c r="BK3317" s="3">
        <v>1</v>
      </c>
      <c r="BL3317" s="3">
        <v>59</v>
      </c>
      <c r="BM3317" s="3">
        <v>8.85</v>
      </c>
      <c r="BN3317" s="3">
        <v>67.849999999999994</v>
      </c>
      <c r="BO3317" s="3">
        <v>67.849999999999994</v>
      </c>
      <c r="BQ3317" s="3" t="s">
        <v>89</v>
      </c>
      <c r="BR3317" s="3" t="s">
        <v>364</v>
      </c>
      <c r="BS3317" s="4">
        <v>44568</v>
      </c>
      <c r="BT3317" s="5">
        <v>0.40277777777777773</v>
      </c>
      <c r="BU3317" s="3" t="s">
        <v>1367</v>
      </c>
      <c r="BV3317" s="3" t="s">
        <v>105</v>
      </c>
      <c r="BY3317" s="3">
        <v>1200</v>
      </c>
      <c r="BZ3317" s="3" t="s">
        <v>165</v>
      </c>
      <c r="CA3317" s="3" t="s">
        <v>1358</v>
      </c>
      <c r="CC3317" s="3" t="s">
        <v>80</v>
      </c>
      <c r="CD3317" s="3">
        <v>1</v>
      </c>
      <c r="CE3317" s="3" t="s">
        <v>93</v>
      </c>
      <c r="CF3317" s="4">
        <v>44568</v>
      </c>
      <c r="CI3317" s="3">
        <v>1</v>
      </c>
      <c r="CJ3317" s="3">
        <v>1</v>
      </c>
      <c r="CK3317" s="3">
        <v>21</v>
      </c>
      <c r="CL3317" s="3" t="s">
        <v>87</v>
      </c>
    </row>
    <row r="3318" spans="1:90" x14ac:dyDescent="0.2">
      <c r="A3318" s="3" t="s">
        <v>72</v>
      </c>
      <c r="B3318" s="3" t="s">
        <v>73</v>
      </c>
      <c r="C3318" s="3" t="s">
        <v>74</v>
      </c>
      <c r="E3318" s="3" t="str">
        <f>"FES1162843910"</f>
        <v>FES1162843910</v>
      </c>
      <c r="F3318" s="4">
        <v>44567</v>
      </c>
      <c r="G3318" s="3">
        <v>202207</v>
      </c>
      <c r="H3318" s="3" t="s">
        <v>75</v>
      </c>
      <c r="I3318" s="3" t="s">
        <v>76</v>
      </c>
      <c r="J3318" s="3" t="s">
        <v>77</v>
      </c>
      <c r="K3318" s="3" t="s">
        <v>78</v>
      </c>
      <c r="L3318" s="3" t="s">
        <v>162</v>
      </c>
      <c r="M3318" s="3" t="s">
        <v>163</v>
      </c>
      <c r="N3318" s="3" t="s">
        <v>917</v>
      </c>
      <c r="O3318" s="3" t="s">
        <v>82</v>
      </c>
      <c r="P3318" s="3" t="str">
        <f>"2170811223                    "</f>
        <v xml:space="preserve">2170811223                    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  <c r="AE3318" s="3">
        <v>0</v>
      </c>
      <c r="AF3318" s="3">
        <v>0</v>
      </c>
      <c r="AG3318" s="3">
        <v>0</v>
      </c>
      <c r="AH3318" s="3">
        <v>0</v>
      </c>
      <c r="AI3318" s="3">
        <v>0</v>
      </c>
      <c r="AJ3318" s="3">
        <v>0</v>
      </c>
      <c r="AK3318" s="3">
        <v>12.07</v>
      </c>
      <c r="AL3318" s="3">
        <v>0</v>
      </c>
      <c r="AM3318" s="3">
        <v>0</v>
      </c>
      <c r="AN3318" s="3">
        <v>0</v>
      </c>
      <c r="AO3318" s="3">
        <v>0</v>
      </c>
      <c r="AP3318" s="3">
        <v>0</v>
      </c>
      <c r="AQ3318" s="3">
        <v>0</v>
      </c>
      <c r="AR3318" s="3">
        <v>0</v>
      </c>
      <c r="AS3318" s="3">
        <v>0</v>
      </c>
      <c r="AT3318" s="3">
        <v>0</v>
      </c>
      <c r="AU3318" s="3">
        <v>0</v>
      </c>
      <c r="AV3318" s="3">
        <v>0</v>
      </c>
      <c r="AW3318" s="3">
        <v>0</v>
      </c>
      <c r="AX3318" s="3">
        <v>0</v>
      </c>
      <c r="AY3318" s="3">
        <v>0</v>
      </c>
      <c r="AZ3318" s="3">
        <v>0</v>
      </c>
      <c r="BA3318" s="3">
        <v>0</v>
      </c>
      <c r="BB3318" s="3">
        <v>0</v>
      </c>
      <c r="BC3318" s="3">
        <v>0</v>
      </c>
      <c r="BD3318" s="3">
        <v>0</v>
      </c>
      <c r="BE3318" s="3">
        <v>0</v>
      </c>
      <c r="BF3318" s="3">
        <v>0</v>
      </c>
      <c r="BG3318" s="3">
        <v>0</v>
      </c>
      <c r="BH3318" s="3">
        <v>1</v>
      </c>
      <c r="BI3318" s="3">
        <v>4</v>
      </c>
      <c r="BJ3318" s="3">
        <v>2</v>
      </c>
      <c r="BK3318" s="3">
        <v>4</v>
      </c>
      <c r="BL3318" s="3">
        <v>46.08</v>
      </c>
      <c r="BM3318" s="3">
        <v>6.91</v>
      </c>
      <c r="BN3318" s="3">
        <v>52.99</v>
      </c>
      <c r="BO3318" s="3">
        <v>52.99</v>
      </c>
      <c r="BQ3318" s="3" t="s">
        <v>89</v>
      </c>
      <c r="BR3318" s="3" t="s">
        <v>364</v>
      </c>
      <c r="BS3318" s="4">
        <v>44568</v>
      </c>
      <c r="BT3318" s="5">
        <v>0.36180555555555555</v>
      </c>
      <c r="BU3318" s="3" t="s">
        <v>2948</v>
      </c>
      <c r="BV3318" s="3" t="s">
        <v>105</v>
      </c>
      <c r="BY3318" s="3">
        <v>9918</v>
      </c>
      <c r="BZ3318" s="3" t="s">
        <v>165</v>
      </c>
      <c r="CA3318" s="3" t="s">
        <v>477</v>
      </c>
      <c r="CC3318" s="3" t="s">
        <v>163</v>
      </c>
      <c r="CD3318" s="3">
        <v>1401</v>
      </c>
      <c r="CE3318" s="3" t="s">
        <v>86</v>
      </c>
      <c r="CF3318" s="4">
        <v>44569</v>
      </c>
      <c r="CI3318" s="3">
        <v>1</v>
      </c>
      <c r="CJ3318" s="3">
        <v>1</v>
      </c>
      <c r="CK3318" s="3">
        <v>22</v>
      </c>
      <c r="CL3318" s="3" t="s">
        <v>87</v>
      </c>
    </row>
    <row r="3319" spans="1:90" x14ac:dyDescent="0.2">
      <c r="A3319" s="3" t="s">
        <v>72</v>
      </c>
      <c r="B3319" s="3" t="s">
        <v>73</v>
      </c>
      <c r="C3319" s="3" t="s">
        <v>74</v>
      </c>
      <c r="E3319" s="3" t="str">
        <f>"FES1162843874"</f>
        <v>FES1162843874</v>
      </c>
      <c r="F3319" s="4">
        <v>44567</v>
      </c>
      <c r="G3319" s="3">
        <v>202207</v>
      </c>
      <c r="H3319" s="3" t="s">
        <v>75</v>
      </c>
      <c r="I3319" s="3" t="s">
        <v>76</v>
      </c>
      <c r="J3319" s="3" t="s">
        <v>77</v>
      </c>
      <c r="K3319" s="3" t="s">
        <v>78</v>
      </c>
      <c r="L3319" s="3" t="s">
        <v>142</v>
      </c>
      <c r="M3319" s="3" t="s">
        <v>143</v>
      </c>
      <c r="N3319" s="3" t="s">
        <v>337</v>
      </c>
      <c r="O3319" s="3" t="s">
        <v>82</v>
      </c>
      <c r="P3319" s="3" t="str">
        <f>"2170814793                    "</f>
        <v xml:space="preserve">2170814793                    </v>
      </c>
      <c r="Q3319" s="3">
        <v>0</v>
      </c>
      <c r="R3319" s="3">
        <v>0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  <c r="AE3319" s="3">
        <v>0</v>
      </c>
      <c r="AF3319" s="3">
        <v>0</v>
      </c>
      <c r="AG3319" s="3">
        <v>0</v>
      </c>
      <c r="AH3319" s="3">
        <v>0</v>
      </c>
      <c r="AI3319" s="3">
        <v>0</v>
      </c>
      <c r="AJ3319" s="3">
        <v>0</v>
      </c>
      <c r="AK3319" s="3">
        <v>12.07</v>
      </c>
      <c r="AL3319" s="3">
        <v>0</v>
      </c>
      <c r="AM3319" s="3">
        <v>0</v>
      </c>
      <c r="AN3319" s="3">
        <v>0</v>
      </c>
      <c r="AO3319" s="3">
        <v>0</v>
      </c>
      <c r="AP3319" s="3">
        <v>0</v>
      </c>
      <c r="AQ3319" s="3">
        <v>0</v>
      </c>
      <c r="AR3319" s="3">
        <v>0</v>
      </c>
      <c r="AS3319" s="3">
        <v>0</v>
      </c>
      <c r="AT3319" s="3">
        <v>0</v>
      </c>
      <c r="AU3319" s="3">
        <v>0</v>
      </c>
      <c r="AV3319" s="3">
        <v>0</v>
      </c>
      <c r="AW3319" s="3">
        <v>0</v>
      </c>
      <c r="AX3319" s="3">
        <v>0</v>
      </c>
      <c r="AY3319" s="3">
        <v>0</v>
      </c>
      <c r="AZ3319" s="3">
        <v>0</v>
      </c>
      <c r="BA3319" s="3">
        <v>0</v>
      </c>
      <c r="BB3319" s="3">
        <v>0</v>
      </c>
      <c r="BC3319" s="3">
        <v>0</v>
      </c>
      <c r="BD3319" s="3">
        <v>0</v>
      </c>
      <c r="BE3319" s="3">
        <v>0</v>
      </c>
      <c r="BF3319" s="3">
        <v>0</v>
      </c>
      <c r="BG3319" s="3">
        <v>0</v>
      </c>
      <c r="BH3319" s="3">
        <v>1</v>
      </c>
      <c r="BI3319" s="3">
        <v>1</v>
      </c>
      <c r="BJ3319" s="3">
        <v>0.2</v>
      </c>
      <c r="BK3319" s="3">
        <v>1</v>
      </c>
      <c r="BL3319" s="3">
        <v>46.08</v>
      </c>
      <c r="BM3319" s="3">
        <v>6.91</v>
      </c>
      <c r="BN3319" s="3">
        <v>52.99</v>
      </c>
      <c r="BO3319" s="3">
        <v>52.99</v>
      </c>
      <c r="BQ3319" s="3" t="s">
        <v>89</v>
      </c>
      <c r="BR3319" s="3" t="s">
        <v>364</v>
      </c>
      <c r="BS3319" s="4">
        <v>44568</v>
      </c>
      <c r="BT3319" s="5">
        <v>0.36944444444444446</v>
      </c>
      <c r="BU3319" s="3" t="s">
        <v>2913</v>
      </c>
      <c r="BV3319" s="3" t="s">
        <v>105</v>
      </c>
      <c r="BY3319" s="3">
        <v>1200</v>
      </c>
      <c r="BZ3319" s="3" t="s">
        <v>165</v>
      </c>
      <c r="CA3319" s="3" t="s">
        <v>1624</v>
      </c>
      <c r="CC3319" s="3" t="s">
        <v>143</v>
      </c>
      <c r="CD3319" s="3">
        <v>1451</v>
      </c>
      <c r="CE3319" s="3" t="s">
        <v>93</v>
      </c>
      <c r="CF3319" s="4">
        <v>44568</v>
      </c>
      <c r="CI3319" s="3">
        <v>1</v>
      </c>
      <c r="CJ3319" s="3">
        <v>1</v>
      </c>
      <c r="CK3319" s="3">
        <v>22</v>
      </c>
      <c r="CL3319" s="3" t="s">
        <v>87</v>
      </c>
    </row>
    <row r="3320" spans="1:90" x14ac:dyDescent="0.2">
      <c r="A3320" s="3" t="s">
        <v>72</v>
      </c>
      <c r="B3320" s="3" t="s">
        <v>73</v>
      </c>
      <c r="C3320" s="3" t="s">
        <v>74</v>
      </c>
      <c r="E3320" s="3" t="str">
        <f>"FES1162843773"</f>
        <v>FES1162843773</v>
      </c>
      <c r="F3320" s="4">
        <v>44567</v>
      </c>
      <c r="G3320" s="3">
        <v>202207</v>
      </c>
      <c r="H3320" s="3" t="s">
        <v>75</v>
      </c>
      <c r="I3320" s="3" t="s">
        <v>76</v>
      </c>
      <c r="J3320" s="3" t="s">
        <v>77</v>
      </c>
      <c r="K3320" s="3" t="s">
        <v>78</v>
      </c>
      <c r="L3320" s="3" t="s">
        <v>79</v>
      </c>
      <c r="M3320" s="3" t="s">
        <v>80</v>
      </c>
      <c r="N3320" s="3" t="s">
        <v>2949</v>
      </c>
      <c r="O3320" s="3" t="s">
        <v>82</v>
      </c>
      <c r="P3320" s="3" t="str">
        <f>"2170815433                    "</f>
        <v xml:space="preserve">2170815433                    </v>
      </c>
      <c r="Q3320" s="3">
        <v>0</v>
      </c>
      <c r="R3320" s="3">
        <v>0</v>
      </c>
      <c r="S3320" s="3">
        <v>0</v>
      </c>
      <c r="T3320" s="3">
        <v>0</v>
      </c>
      <c r="U3320" s="3">
        <v>0</v>
      </c>
      <c r="V3320" s="3">
        <v>0</v>
      </c>
      <c r="W3320" s="3">
        <v>0</v>
      </c>
      <c r="X3320" s="3">
        <v>0</v>
      </c>
      <c r="Y3320" s="3">
        <v>0</v>
      </c>
      <c r="Z3320" s="3">
        <v>0</v>
      </c>
      <c r="AA3320" s="3">
        <v>0</v>
      </c>
      <c r="AB3320" s="3">
        <v>0</v>
      </c>
      <c r="AC3320" s="3">
        <v>0</v>
      </c>
      <c r="AD3320" s="3">
        <v>0</v>
      </c>
      <c r="AE3320" s="3">
        <v>0</v>
      </c>
      <c r="AF3320" s="3">
        <v>0</v>
      </c>
      <c r="AG3320" s="3">
        <v>0</v>
      </c>
      <c r="AH3320" s="3">
        <v>0</v>
      </c>
      <c r="AI3320" s="3">
        <v>0</v>
      </c>
      <c r="AJ3320" s="3">
        <v>0</v>
      </c>
      <c r="AK3320" s="3">
        <v>15.46</v>
      </c>
      <c r="AL3320" s="3">
        <v>0</v>
      </c>
      <c r="AM3320" s="3">
        <v>0</v>
      </c>
      <c r="AN3320" s="3">
        <v>0</v>
      </c>
      <c r="AO3320" s="3">
        <v>0</v>
      </c>
      <c r="AP3320" s="3">
        <v>0</v>
      </c>
      <c r="AQ3320" s="3">
        <v>0</v>
      </c>
      <c r="AR3320" s="3">
        <v>0</v>
      </c>
      <c r="AS3320" s="3">
        <v>0</v>
      </c>
      <c r="AT3320" s="3">
        <v>0</v>
      </c>
      <c r="AU3320" s="3">
        <v>0</v>
      </c>
      <c r="AV3320" s="3">
        <v>0</v>
      </c>
      <c r="AW3320" s="3">
        <v>0</v>
      </c>
      <c r="AX3320" s="3">
        <v>0</v>
      </c>
      <c r="AY3320" s="3">
        <v>0</v>
      </c>
      <c r="AZ3320" s="3">
        <v>0</v>
      </c>
      <c r="BA3320" s="3">
        <v>0</v>
      </c>
      <c r="BB3320" s="3">
        <v>0</v>
      </c>
      <c r="BC3320" s="3">
        <v>0</v>
      </c>
      <c r="BD3320" s="3">
        <v>0</v>
      </c>
      <c r="BE3320" s="3">
        <v>0</v>
      </c>
      <c r="BF3320" s="3">
        <v>0</v>
      </c>
      <c r="BG3320" s="3">
        <v>0</v>
      </c>
      <c r="BH3320" s="3">
        <v>1</v>
      </c>
      <c r="BI3320" s="3">
        <v>1</v>
      </c>
      <c r="BJ3320" s="3">
        <v>0.2</v>
      </c>
      <c r="BK3320" s="3">
        <v>1</v>
      </c>
      <c r="BL3320" s="3">
        <v>59</v>
      </c>
      <c r="BM3320" s="3">
        <v>8.85</v>
      </c>
      <c r="BN3320" s="3">
        <v>67.849999999999994</v>
      </c>
      <c r="BO3320" s="3">
        <v>67.849999999999994</v>
      </c>
      <c r="BQ3320" s="3" t="s">
        <v>2950</v>
      </c>
      <c r="BR3320" s="3" t="s">
        <v>364</v>
      </c>
      <c r="BS3320" s="4">
        <v>44568</v>
      </c>
      <c r="BT3320" s="5">
        <v>0.4201388888888889</v>
      </c>
      <c r="BU3320" s="3" t="s">
        <v>1920</v>
      </c>
      <c r="BV3320" s="3" t="s">
        <v>105</v>
      </c>
      <c r="BY3320" s="3">
        <v>1200</v>
      </c>
      <c r="BZ3320" s="3" t="s">
        <v>165</v>
      </c>
      <c r="CA3320" s="3" t="s">
        <v>1966</v>
      </c>
      <c r="CC3320" s="3" t="s">
        <v>80</v>
      </c>
      <c r="CD3320" s="3">
        <v>30</v>
      </c>
      <c r="CE3320" s="3" t="s">
        <v>93</v>
      </c>
      <c r="CF3320" s="4">
        <v>44568</v>
      </c>
      <c r="CI3320" s="3">
        <v>1</v>
      </c>
      <c r="CJ3320" s="3">
        <v>1</v>
      </c>
      <c r="CK3320" s="3">
        <v>21</v>
      </c>
      <c r="CL3320" s="3" t="s">
        <v>87</v>
      </c>
    </row>
    <row r="3321" spans="1:90" x14ac:dyDescent="0.2">
      <c r="A3321" s="3" t="s">
        <v>72</v>
      </c>
      <c r="B3321" s="3" t="s">
        <v>73</v>
      </c>
      <c r="C3321" s="3" t="s">
        <v>74</v>
      </c>
      <c r="E3321" s="3" t="str">
        <f>"FES1162843956"</f>
        <v>FES1162843956</v>
      </c>
      <c r="F3321" s="4">
        <v>44567</v>
      </c>
      <c r="G3321" s="3">
        <v>202207</v>
      </c>
      <c r="H3321" s="3" t="s">
        <v>75</v>
      </c>
      <c r="I3321" s="3" t="s">
        <v>76</v>
      </c>
      <c r="J3321" s="3" t="s">
        <v>77</v>
      </c>
      <c r="K3321" s="3" t="s">
        <v>78</v>
      </c>
      <c r="L3321" s="3" t="s">
        <v>2328</v>
      </c>
      <c r="M3321" s="3" t="s">
        <v>2329</v>
      </c>
      <c r="N3321" s="3" t="s">
        <v>2485</v>
      </c>
      <c r="O3321" s="3" t="s">
        <v>82</v>
      </c>
      <c r="P3321" s="3" t="str">
        <f>"2170814008                    "</f>
        <v xml:space="preserve">2170814008                    </v>
      </c>
      <c r="Q3321" s="3">
        <v>0</v>
      </c>
      <c r="R3321" s="3">
        <v>0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  <c r="AE3321" s="3">
        <v>0</v>
      </c>
      <c r="AF3321" s="3">
        <v>0</v>
      </c>
      <c r="AG3321" s="3">
        <v>0</v>
      </c>
      <c r="AH3321" s="3">
        <v>0</v>
      </c>
      <c r="AI3321" s="3">
        <v>0</v>
      </c>
      <c r="AJ3321" s="3">
        <v>0</v>
      </c>
      <c r="AK3321" s="3">
        <v>43.47</v>
      </c>
      <c r="AL3321" s="3">
        <v>0</v>
      </c>
      <c r="AM3321" s="3">
        <v>0</v>
      </c>
      <c r="AN3321" s="3">
        <v>0</v>
      </c>
      <c r="AO3321" s="3">
        <v>0</v>
      </c>
      <c r="AP3321" s="3">
        <v>0</v>
      </c>
      <c r="AQ3321" s="3">
        <v>0</v>
      </c>
      <c r="AR3321" s="3">
        <v>0</v>
      </c>
      <c r="AS3321" s="3">
        <v>0</v>
      </c>
      <c r="AT3321" s="3">
        <v>0</v>
      </c>
      <c r="AU3321" s="3">
        <v>0</v>
      </c>
      <c r="AV3321" s="3">
        <v>0</v>
      </c>
      <c r="AW3321" s="3">
        <v>0</v>
      </c>
      <c r="AX3321" s="3">
        <v>0</v>
      </c>
      <c r="AY3321" s="3">
        <v>0</v>
      </c>
      <c r="AZ3321" s="3">
        <v>0</v>
      </c>
      <c r="BA3321" s="3">
        <v>0</v>
      </c>
      <c r="BB3321" s="3">
        <v>0</v>
      </c>
      <c r="BC3321" s="3">
        <v>0</v>
      </c>
      <c r="BD3321" s="3">
        <v>0</v>
      </c>
      <c r="BE3321" s="3">
        <v>0</v>
      </c>
      <c r="BF3321" s="3">
        <v>0</v>
      </c>
      <c r="BG3321" s="3">
        <v>0</v>
      </c>
      <c r="BH3321" s="3">
        <v>1</v>
      </c>
      <c r="BI3321" s="3">
        <v>3</v>
      </c>
      <c r="BJ3321" s="3">
        <v>1.8</v>
      </c>
      <c r="BK3321" s="3">
        <v>3</v>
      </c>
      <c r="BL3321" s="3">
        <v>165.93</v>
      </c>
      <c r="BM3321" s="3">
        <v>24.89</v>
      </c>
      <c r="BN3321" s="3">
        <v>190.82</v>
      </c>
      <c r="BO3321" s="3">
        <v>190.82</v>
      </c>
      <c r="BQ3321" s="3" t="s">
        <v>128</v>
      </c>
      <c r="BR3321" s="3" t="s">
        <v>364</v>
      </c>
      <c r="BS3321" s="4">
        <v>44572</v>
      </c>
      <c r="BT3321" s="5">
        <v>0.44444444444444442</v>
      </c>
      <c r="BU3321" s="3" t="s">
        <v>2947</v>
      </c>
      <c r="BV3321" s="3" t="s">
        <v>87</v>
      </c>
      <c r="BW3321" s="3" t="s">
        <v>453</v>
      </c>
      <c r="BX3321" s="3" t="s">
        <v>279</v>
      </c>
      <c r="BY3321" s="3">
        <v>9000</v>
      </c>
      <c r="BZ3321" s="3" t="s">
        <v>165</v>
      </c>
      <c r="CA3321" s="3" t="s">
        <v>328</v>
      </c>
      <c r="CC3321" s="3" t="s">
        <v>2329</v>
      </c>
      <c r="CD3321" s="3">
        <v>3310</v>
      </c>
      <c r="CE3321" s="3" t="s">
        <v>86</v>
      </c>
      <c r="CF3321" s="4">
        <v>44574</v>
      </c>
      <c r="CI3321" s="3">
        <v>1</v>
      </c>
      <c r="CJ3321" s="3">
        <v>3</v>
      </c>
      <c r="CK3321" s="3">
        <v>23</v>
      </c>
      <c r="CL3321" s="3" t="s">
        <v>87</v>
      </c>
    </row>
    <row r="3322" spans="1:90" x14ac:dyDescent="0.2">
      <c r="A3322" s="3" t="s">
        <v>72</v>
      </c>
      <c r="B3322" s="3" t="s">
        <v>73</v>
      </c>
      <c r="C3322" s="3" t="s">
        <v>74</v>
      </c>
      <c r="E3322" s="3" t="str">
        <f>"FES1162843984"</f>
        <v>FES1162843984</v>
      </c>
      <c r="F3322" s="4">
        <v>44567</v>
      </c>
      <c r="G3322" s="3">
        <v>202207</v>
      </c>
      <c r="H3322" s="3" t="s">
        <v>75</v>
      </c>
      <c r="I3322" s="3" t="s">
        <v>76</v>
      </c>
      <c r="J3322" s="3" t="s">
        <v>77</v>
      </c>
      <c r="K3322" s="3" t="s">
        <v>78</v>
      </c>
      <c r="L3322" s="3" t="s">
        <v>731</v>
      </c>
      <c r="M3322" s="3" t="s">
        <v>732</v>
      </c>
      <c r="N3322" s="3" t="s">
        <v>883</v>
      </c>
      <c r="O3322" s="3" t="s">
        <v>82</v>
      </c>
      <c r="P3322" s="3" t="str">
        <f>"2170815180                    "</f>
        <v xml:space="preserve">2170815180                    </v>
      </c>
      <c r="Q3322" s="3">
        <v>0</v>
      </c>
      <c r="R3322" s="3">
        <v>0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  <c r="AE3322" s="3">
        <v>0</v>
      </c>
      <c r="AF3322" s="3">
        <v>0</v>
      </c>
      <c r="AG3322" s="3">
        <v>0</v>
      </c>
      <c r="AH3322" s="3">
        <v>0</v>
      </c>
      <c r="AI3322" s="3">
        <v>0</v>
      </c>
      <c r="AJ3322" s="3">
        <v>0</v>
      </c>
      <c r="AK3322" s="3">
        <v>29.95</v>
      </c>
      <c r="AL3322" s="3">
        <v>0</v>
      </c>
      <c r="AM3322" s="3">
        <v>0</v>
      </c>
      <c r="AN3322" s="3">
        <v>0</v>
      </c>
      <c r="AO3322" s="3">
        <v>0</v>
      </c>
      <c r="AP3322" s="3">
        <v>0</v>
      </c>
      <c r="AQ3322" s="3">
        <v>0</v>
      </c>
      <c r="AR3322" s="3">
        <v>0</v>
      </c>
      <c r="AS3322" s="3">
        <v>0</v>
      </c>
      <c r="AT3322" s="3">
        <v>0</v>
      </c>
      <c r="AU3322" s="3">
        <v>0</v>
      </c>
      <c r="AV3322" s="3">
        <v>0</v>
      </c>
      <c r="AW3322" s="3">
        <v>0</v>
      </c>
      <c r="AX3322" s="3">
        <v>0</v>
      </c>
      <c r="AY3322" s="3">
        <v>0</v>
      </c>
      <c r="AZ3322" s="3">
        <v>0</v>
      </c>
      <c r="BA3322" s="3">
        <v>0</v>
      </c>
      <c r="BB3322" s="3">
        <v>0</v>
      </c>
      <c r="BC3322" s="3">
        <v>0</v>
      </c>
      <c r="BD3322" s="3">
        <v>0</v>
      </c>
      <c r="BE3322" s="3">
        <v>0</v>
      </c>
      <c r="BF3322" s="3">
        <v>0</v>
      </c>
      <c r="BG3322" s="3">
        <v>0</v>
      </c>
      <c r="BH3322" s="3">
        <v>1</v>
      </c>
      <c r="BI3322" s="3">
        <v>1</v>
      </c>
      <c r="BJ3322" s="3">
        <v>0.2</v>
      </c>
      <c r="BK3322" s="3">
        <v>1</v>
      </c>
      <c r="BL3322" s="3">
        <v>114.31</v>
      </c>
      <c r="BM3322" s="3">
        <v>17.149999999999999</v>
      </c>
      <c r="BN3322" s="3">
        <v>131.46</v>
      </c>
      <c r="BO3322" s="3">
        <v>131.46</v>
      </c>
      <c r="BQ3322" s="3" t="s">
        <v>273</v>
      </c>
      <c r="BR3322" s="3" t="s">
        <v>364</v>
      </c>
      <c r="BS3322" s="4">
        <v>44572</v>
      </c>
      <c r="BT3322" s="5">
        <v>0.64583333333333337</v>
      </c>
      <c r="BU3322" s="3" t="s">
        <v>2563</v>
      </c>
      <c r="BV3322" s="3" t="s">
        <v>87</v>
      </c>
      <c r="BY3322" s="3">
        <v>1200</v>
      </c>
      <c r="BZ3322" s="3" t="s">
        <v>165</v>
      </c>
      <c r="CA3322" s="3" t="s">
        <v>328</v>
      </c>
      <c r="CC3322" s="3" t="s">
        <v>732</v>
      </c>
      <c r="CD3322" s="3">
        <v>3280</v>
      </c>
      <c r="CE3322" s="3" t="s">
        <v>93</v>
      </c>
      <c r="CF3322" s="4">
        <v>44572</v>
      </c>
      <c r="CI3322" s="3">
        <v>1</v>
      </c>
      <c r="CJ3322" s="3">
        <v>3</v>
      </c>
      <c r="CK3322" s="3">
        <v>23</v>
      </c>
      <c r="CL3322" s="3" t="s">
        <v>87</v>
      </c>
    </row>
    <row r="3323" spans="1:90" x14ac:dyDescent="0.2">
      <c r="A3323" s="3" t="s">
        <v>72</v>
      </c>
      <c r="B3323" s="3" t="s">
        <v>73</v>
      </c>
      <c r="C3323" s="3" t="s">
        <v>74</v>
      </c>
      <c r="E3323" s="3" t="str">
        <f>"FES1162844060"</f>
        <v>FES1162844060</v>
      </c>
      <c r="F3323" s="4">
        <v>44567</v>
      </c>
      <c r="G3323" s="3">
        <v>202207</v>
      </c>
      <c r="H3323" s="3" t="s">
        <v>75</v>
      </c>
      <c r="I3323" s="3" t="s">
        <v>76</v>
      </c>
      <c r="J3323" s="3" t="s">
        <v>77</v>
      </c>
      <c r="K3323" s="3" t="s">
        <v>78</v>
      </c>
      <c r="L3323" s="3" t="s">
        <v>1179</v>
      </c>
      <c r="M3323" s="3" t="s">
        <v>1180</v>
      </c>
      <c r="N3323" s="3" t="s">
        <v>1497</v>
      </c>
      <c r="O3323" s="3" t="s">
        <v>82</v>
      </c>
      <c r="P3323" s="3" t="str">
        <f>"2170815877                    "</f>
        <v xml:space="preserve">2170815877                    </v>
      </c>
      <c r="Q3323" s="3">
        <v>0</v>
      </c>
      <c r="R3323" s="3">
        <v>0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  <c r="AE3323" s="3">
        <v>0</v>
      </c>
      <c r="AF3323" s="3">
        <v>0</v>
      </c>
      <c r="AG3323" s="3">
        <v>0</v>
      </c>
      <c r="AH3323" s="3">
        <v>0</v>
      </c>
      <c r="AI3323" s="3">
        <v>0</v>
      </c>
      <c r="AJ3323" s="3">
        <v>0</v>
      </c>
      <c r="AK3323" s="3">
        <v>29.95</v>
      </c>
      <c r="AL3323" s="3">
        <v>0</v>
      </c>
      <c r="AM3323" s="3">
        <v>0</v>
      </c>
      <c r="AN3323" s="3">
        <v>0</v>
      </c>
      <c r="AO3323" s="3">
        <v>0</v>
      </c>
      <c r="AP3323" s="3">
        <v>0</v>
      </c>
      <c r="AQ3323" s="3">
        <v>15</v>
      </c>
      <c r="AR3323" s="3">
        <v>0</v>
      </c>
      <c r="AS3323" s="3">
        <v>0</v>
      </c>
      <c r="AT3323" s="3">
        <v>0</v>
      </c>
      <c r="AU3323" s="3">
        <v>0</v>
      </c>
      <c r="AV3323" s="3">
        <v>0</v>
      </c>
      <c r="AW3323" s="3">
        <v>0</v>
      </c>
      <c r="AX3323" s="3">
        <v>0</v>
      </c>
      <c r="AY3323" s="3">
        <v>0</v>
      </c>
      <c r="AZ3323" s="3">
        <v>0</v>
      </c>
      <c r="BA3323" s="3">
        <v>0</v>
      </c>
      <c r="BB3323" s="3">
        <v>0</v>
      </c>
      <c r="BC3323" s="3">
        <v>0</v>
      </c>
      <c r="BD3323" s="3">
        <v>0</v>
      </c>
      <c r="BE3323" s="3">
        <v>0</v>
      </c>
      <c r="BF3323" s="3">
        <v>0</v>
      </c>
      <c r="BG3323" s="3">
        <v>0</v>
      </c>
      <c r="BH3323" s="3">
        <v>1</v>
      </c>
      <c r="BI3323" s="3">
        <v>1</v>
      </c>
      <c r="BJ3323" s="3">
        <v>0.2</v>
      </c>
      <c r="BK3323" s="3">
        <v>1</v>
      </c>
      <c r="BL3323" s="3">
        <v>129.31</v>
      </c>
      <c r="BM3323" s="3">
        <v>19.399999999999999</v>
      </c>
      <c r="BN3323" s="3">
        <v>148.71</v>
      </c>
      <c r="BO3323" s="3">
        <v>148.71</v>
      </c>
      <c r="BQ3323" s="3" t="s">
        <v>89</v>
      </c>
      <c r="BR3323" s="3" t="s">
        <v>364</v>
      </c>
      <c r="BS3323" s="4">
        <v>44568</v>
      </c>
      <c r="BT3323" s="5">
        <v>0.53472222222222221</v>
      </c>
      <c r="BU3323" s="3" t="s">
        <v>2929</v>
      </c>
      <c r="BV3323" s="3" t="s">
        <v>105</v>
      </c>
      <c r="BY3323" s="3">
        <v>1200</v>
      </c>
      <c r="BZ3323" s="3" t="s">
        <v>446</v>
      </c>
      <c r="CA3323" s="3" t="s">
        <v>2427</v>
      </c>
      <c r="CC3323" s="3" t="s">
        <v>1180</v>
      </c>
      <c r="CD3323" s="3">
        <v>407</v>
      </c>
      <c r="CE3323" s="3" t="s">
        <v>93</v>
      </c>
      <c r="CF3323" s="4">
        <v>44568</v>
      </c>
      <c r="CI3323" s="3">
        <v>1</v>
      </c>
      <c r="CJ3323" s="3">
        <v>1</v>
      </c>
      <c r="CK3323" s="3">
        <v>23</v>
      </c>
      <c r="CL3323" s="3" t="s">
        <v>87</v>
      </c>
    </row>
    <row r="3324" spans="1:90" x14ac:dyDescent="0.2">
      <c r="A3324" s="3" t="s">
        <v>72</v>
      </c>
      <c r="B3324" s="3" t="s">
        <v>73</v>
      </c>
      <c r="C3324" s="3" t="s">
        <v>74</v>
      </c>
      <c r="E3324" s="3" t="str">
        <f>"FES116284365"</f>
        <v>FES116284365</v>
      </c>
      <c r="F3324" s="4">
        <v>44567</v>
      </c>
      <c r="G3324" s="3">
        <v>202207</v>
      </c>
      <c r="H3324" s="3" t="s">
        <v>75</v>
      </c>
      <c r="I3324" s="3" t="s">
        <v>76</v>
      </c>
      <c r="J3324" s="3" t="s">
        <v>77</v>
      </c>
      <c r="K3324" s="3" t="s">
        <v>78</v>
      </c>
      <c r="L3324" s="3" t="s">
        <v>167</v>
      </c>
      <c r="M3324" s="3" t="s">
        <v>168</v>
      </c>
      <c r="N3324" s="3" t="s">
        <v>169</v>
      </c>
      <c r="O3324" s="3" t="s">
        <v>82</v>
      </c>
      <c r="P3324" s="3" t="str">
        <f>"2170814379                    "</f>
        <v xml:space="preserve">2170814379                    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0</v>
      </c>
      <c r="W3324" s="3">
        <v>0</v>
      </c>
      <c r="X3324" s="3">
        <v>0</v>
      </c>
      <c r="Y3324" s="3">
        <v>0</v>
      </c>
      <c r="Z3324" s="3">
        <v>0</v>
      </c>
      <c r="AA3324" s="3">
        <v>0</v>
      </c>
      <c r="AB3324" s="3">
        <v>0</v>
      </c>
      <c r="AC3324" s="3">
        <v>0</v>
      </c>
      <c r="AD3324" s="3">
        <v>0</v>
      </c>
      <c r="AE3324" s="3">
        <v>0</v>
      </c>
      <c r="AF3324" s="3">
        <v>0</v>
      </c>
      <c r="AG3324" s="3">
        <v>0</v>
      </c>
      <c r="AH3324" s="3">
        <v>0</v>
      </c>
      <c r="AI3324" s="3">
        <v>0</v>
      </c>
      <c r="AJ3324" s="3">
        <v>0</v>
      </c>
      <c r="AK3324" s="3">
        <v>15.46</v>
      </c>
      <c r="AL3324" s="3">
        <v>0</v>
      </c>
      <c r="AM3324" s="3">
        <v>0</v>
      </c>
      <c r="AN3324" s="3">
        <v>0</v>
      </c>
      <c r="AO3324" s="3">
        <v>0</v>
      </c>
      <c r="AP3324" s="3">
        <v>0</v>
      </c>
      <c r="AQ3324" s="3">
        <v>0</v>
      </c>
      <c r="AR3324" s="3">
        <v>0</v>
      </c>
      <c r="AS3324" s="3">
        <v>0</v>
      </c>
      <c r="AT3324" s="3">
        <v>0</v>
      </c>
      <c r="AU3324" s="3">
        <v>0</v>
      </c>
      <c r="AV3324" s="3">
        <v>0</v>
      </c>
      <c r="AW3324" s="3">
        <v>0</v>
      </c>
      <c r="AX3324" s="3">
        <v>0</v>
      </c>
      <c r="AY3324" s="3">
        <v>0</v>
      </c>
      <c r="AZ3324" s="3">
        <v>0</v>
      </c>
      <c r="BA3324" s="3">
        <v>0</v>
      </c>
      <c r="BB3324" s="3">
        <v>0</v>
      </c>
      <c r="BC3324" s="3">
        <v>0</v>
      </c>
      <c r="BD3324" s="3">
        <v>0</v>
      </c>
      <c r="BE3324" s="3">
        <v>0</v>
      </c>
      <c r="BF3324" s="3">
        <v>0</v>
      </c>
      <c r="BG3324" s="3">
        <v>0</v>
      </c>
      <c r="BH3324" s="3">
        <v>1</v>
      </c>
      <c r="BI3324" s="3">
        <v>1</v>
      </c>
      <c r="BJ3324" s="3">
        <v>0.2</v>
      </c>
      <c r="BK3324" s="3">
        <v>1</v>
      </c>
      <c r="BL3324" s="3">
        <v>59</v>
      </c>
      <c r="BM3324" s="3">
        <v>8.85</v>
      </c>
      <c r="BN3324" s="3">
        <v>67.849999999999994</v>
      </c>
      <c r="BO3324" s="3">
        <v>67.849999999999994</v>
      </c>
      <c r="BQ3324" s="3" t="s">
        <v>83</v>
      </c>
      <c r="BR3324" s="3" t="s">
        <v>364</v>
      </c>
      <c r="BS3324" s="4">
        <v>44568</v>
      </c>
      <c r="BT3324" s="5">
        <v>0.52916666666666667</v>
      </c>
      <c r="BU3324" s="3" t="s">
        <v>2924</v>
      </c>
      <c r="BV3324" s="3" t="s">
        <v>87</v>
      </c>
      <c r="BW3324" s="3" t="s">
        <v>457</v>
      </c>
      <c r="BX3324" s="3" t="s">
        <v>2542</v>
      </c>
      <c r="BY3324" s="3">
        <v>1200</v>
      </c>
      <c r="BZ3324" s="3" t="s">
        <v>165</v>
      </c>
      <c r="CA3324" s="3" t="s">
        <v>263</v>
      </c>
      <c r="CC3324" s="3" t="s">
        <v>168</v>
      </c>
      <c r="CD3324" s="3">
        <v>6220</v>
      </c>
      <c r="CE3324" s="3" t="s">
        <v>93</v>
      </c>
      <c r="CI3324" s="3">
        <v>1</v>
      </c>
      <c r="CJ3324" s="3">
        <v>1</v>
      </c>
      <c r="CK3324" s="3">
        <v>21</v>
      </c>
      <c r="CL3324" s="3" t="s">
        <v>87</v>
      </c>
    </row>
    <row r="3325" spans="1:90" x14ac:dyDescent="0.2">
      <c r="A3325" s="3" t="s">
        <v>72</v>
      </c>
      <c r="B3325" s="3" t="s">
        <v>73</v>
      </c>
      <c r="C3325" s="3" t="s">
        <v>74</v>
      </c>
      <c r="E3325" s="3" t="str">
        <f>"FES1162843730"</f>
        <v>FES1162843730</v>
      </c>
      <c r="F3325" s="4">
        <v>44567</v>
      </c>
      <c r="G3325" s="3">
        <v>202207</v>
      </c>
      <c r="H3325" s="3" t="s">
        <v>75</v>
      </c>
      <c r="I3325" s="3" t="s">
        <v>76</v>
      </c>
      <c r="J3325" s="3" t="s">
        <v>77</v>
      </c>
      <c r="K3325" s="3" t="s">
        <v>78</v>
      </c>
      <c r="L3325" s="3" t="s">
        <v>176</v>
      </c>
      <c r="M3325" s="3" t="s">
        <v>177</v>
      </c>
      <c r="N3325" s="3" t="s">
        <v>2951</v>
      </c>
      <c r="O3325" s="3" t="s">
        <v>82</v>
      </c>
      <c r="P3325" s="3" t="str">
        <f>"2170813494                    "</f>
        <v xml:space="preserve">2170813494                    </v>
      </c>
      <c r="Q3325" s="3">
        <v>0</v>
      </c>
      <c r="R3325" s="3">
        <v>0</v>
      </c>
      <c r="S3325" s="3">
        <v>0</v>
      </c>
      <c r="T3325" s="3">
        <v>0</v>
      </c>
      <c r="U3325" s="3">
        <v>0</v>
      </c>
      <c r="V3325" s="3">
        <v>0</v>
      </c>
      <c r="W3325" s="3">
        <v>0</v>
      </c>
      <c r="X3325" s="3">
        <v>0</v>
      </c>
      <c r="Y3325" s="3">
        <v>0</v>
      </c>
      <c r="Z3325" s="3">
        <v>0</v>
      </c>
      <c r="AA3325" s="3">
        <v>0</v>
      </c>
      <c r="AB3325" s="3">
        <v>0</v>
      </c>
      <c r="AC3325" s="3">
        <v>0</v>
      </c>
      <c r="AD3325" s="3">
        <v>0</v>
      </c>
      <c r="AE3325" s="3">
        <v>0</v>
      </c>
      <c r="AF3325" s="3">
        <v>0</v>
      </c>
      <c r="AG3325" s="3">
        <v>0</v>
      </c>
      <c r="AH3325" s="3">
        <v>0</v>
      </c>
      <c r="AI3325" s="3">
        <v>0</v>
      </c>
      <c r="AJ3325" s="3">
        <v>0</v>
      </c>
      <c r="AK3325" s="3">
        <v>15.46</v>
      </c>
      <c r="AL3325" s="3">
        <v>0</v>
      </c>
      <c r="AM3325" s="3">
        <v>0</v>
      </c>
      <c r="AN3325" s="3">
        <v>0</v>
      </c>
      <c r="AO3325" s="3">
        <v>0</v>
      </c>
      <c r="AP3325" s="3">
        <v>0</v>
      </c>
      <c r="AQ3325" s="3">
        <v>0</v>
      </c>
      <c r="AR3325" s="3">
        <v>0</v>
      </c>
      <c r="AS3325" s="3">
        <v>0</v>
      </c>
      <c r="AT3325" s="3">
        <v>0</v>
      </c>
      <c r="AU3325" s="3">
        <v>0</v>
      </c>
      <c r="AV3325" s="3">
        <v>0</v>
      </c>
      <c r="AW3325" s="3">
        <v>0</v>
      </c>
      <c r="AX3325" s="3">
        <v>0</v>
      </c>
      <c r="AY3325" s="3">
        <v>0</v>
      </c>
      <c r="AZ3325" s="3">
        <v>0</v>
      </c>
      <c r="BA3325" s="3">
        <v>0</v>
      </c>
      <c r="BB3325" s="3">
        <v>0</v>
      </c>
      <c r="BC3325" s="3">
        <v>0</v>
      </c>
      <c r="BD3325" s="3">
        <v>0</v>
      </c>
      <c r="BE3325" s="3">
        <v>0</v>
      </c>
      <c r="BF3325" s="3">
        <v>0</v>
      </c>
      <c r="BG3325" s="3">
        <v>0</v>
      </c>
      <c r="BH3325" s="3">
        <v>1</v>
      </c>
      <c r="BI3325" s="3">
        <v>1</v>
      </c>
      <c r="BJ3325" s="3">
        <v>0.2</v>
      </c>
      <c r="BK3325" s="3">
        <v>1</v>
      </c>
      <c r="BL3325" s="3">
        <v>59</v>
      </c>
      <c r="BM3325" s="3">
        <v>8.85</v>
      </c>
      <c r="BN3325" s="3">
        <v>67.849999999999994</v>
      </c>
      <c r="BO3325" s="3">
        <v>67.849999999999994</v>
      </c>
      <c r="BQ3325" s="3" t="s">
        <v>128</v>
      </c>
      <c r="BR3325" s="3" t="s">
        <v>364</v>
      </c>
      <c r="BS3325" s="4">
        <v>44568</v>
      </c>
      <c r="BT3325" s="5">
        <v>0.49444444444444446</v>
      </c>
      <c r="BU3325" s="3" t="s">
        <v>2952</v>
      </c>
      <c r="BV3325" s="3" t="s">
        <v>87</v>
      </c>
      <c r="BW3325" s="3" t="s">
        <v>579</v>
      </c>
      <c r="BX3325" s="3" t="s">
        <v>2578</v>
      </c>
      <c r="BY3325" s="3">
        <v>1200</v>
      </c>
      <c r="BZ3325" s="3" t="s">
        <v>165</v>
      </c>
      <c r="CA3325" s="3" t="s">
        <v>339</v>
      </c>
      <c r="CC3325" s="3" t="s">
        <v>177</v>
      </c>
      <c r="CD3325" s="3">
        <v>4026</v>
      </c>
      <c r="CE3325" s="3" t="s">
        <v>93</v>
      </c>
      <c r="CF3325" s="4">
        <v>44571</v>
      </c>
      <c r="CI3325" s="3">
        <v>1</v>
      </c>
      <c r="CJ3325" s="3">
        <v>1</v>
      </c>
      <c r="CK3325" s="3">
        <v>21</v>
      </c>
      <c r="CL3325" s="3" t="s">
        <v>87</v>
      </c>
    </row>
    <row r="3326" spans="1:90" x14ac:dyDescent="0.2">
      <c r="A3326" s="3" t="s">
        <v>72</v>
      </c>
      <c r="B3326" s="3" t="s">
        <v>73</v>
      </c>
      <c r="C3326" s="3" t="s">
        <v>74</v>
      </c>
      <c r="E3326" s="3" t="str">
        <f>"FES1162843948"</f>
        <v>FES1162843948</v>
      </c>
      <c r="F3326" s="4">
        <v>44567</v>
      </c>
      <c r="G3326" s="3">
        <v>202207</v>
      </c>
      <c r="H3326" s="3" t="s">
        <v>75</v>
      </c>
      <c r="I3326" s="3" t="s">
        <v>76</v>
      </c>
      <c r="J3326" s="3" t="s">
        <v>77</v>
      </c>
      <c r="K3326" s="3" t="s">
        <v>78</v>
      </c>
      <c r="L3326" s="3" t="s">
        <v>110</v>
      </c>
      <c r="M3326" s="3" t="s">
        <v>110</v>
      </c>
      <c r="N3326" s="3" t="s">
        <v>146</v>
      </c>
      <c r="O3326" s="3" t="s">
        <v>82</v>
      </c>
      <c r="P3326" s="3" t="str">
        <f>"2170813853                    "</f>
        <v xml:space="preserve">2170813853                    </v>
      </c>
      <c r="Q3326" s="3">
        <v>0</v>
      </c>
      <c r="R3326" s="3">
        <v>0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  <c r="AE3326" s="3">
        <v>0</v>
      </c>
      <c r="AF3326" s="3">
        <v>0</v>
      </c>
      <c r="AG3326" s="3">
        <v>0</v>
      </c>
      <c r="AH3326" s="3">
        <v>0</v>
      </c>
      <c r="AI3326" s="3">
        <v>0</v>
      </c>
      <c r="AJ3326" s="3">
        <v>0</v>
      </c>
      <c r="AK3326" s="3">
        <v>29.95</v>
      </c>
      <c r="AL3326" s="3">
        <v>0</v>
      </c>
      <c r="AM3326" s="3">
        <v>0</v>
      </c>
      <c r="AN3326" s="3">
        <v>0</v>
      </c>
      <c r="AO3326" s="3">
        <v>0</v>
      </c>
      <c r="AP3326" s="3">
        <v>0</v>
      </c>
      <c r="AQ3326" s="3">
        <v>0</v>
      </c>
      <c r="AR3326" s="3">
        <v>0</v>
      </c>
      <c r="AS3326" s="3">
        <v>0</v>
      </c>
      <c r="AT3326" s="3">
        <v>0</v>
      </c>
      <c r="AU3326" s="3">
        <v>0</v>
      </c>
      <c r="AV3326" s="3">
        <v>0</v>
      </c>
      <c r="AW3326" s="3">
        <v>0</v>
      </c>
      <c r="AX3326" s="3">
        <v>0</v>
      </c>
      <c r="AY3326" s="3">
        <v>0</v>
      </c>
      <c r="AZ3326" s="3">
        <v>0</v>
      </c>
      <c r="BA3326" s="3">
        <v>0</v>
      </c>
      <c r="BB3326" s="3">
        <v>0</v>
      </c>
      <c r="BC3326" s="3">
        <v>0</v>
      </c>
      <c r="BD3326" s="3">
        <v>0</v>
      </c>
      <c r="BE3326" s="3">
        <v>0</v>
      </c>
      <c r="BF3326" s="3">
        <v>0</v>
      </c>
      <c r="BG3326" s="3">
        <v>0</v>
      </c>
      <c r="BH3326" s="3">
        <v>1</v>
      </c>
      <c r="BI3326" s="3">
        <v>1</v>
      </c>
      <c r="BJ3326" s="3">
        <v>0.2</v>
      </c>
      <c r="BK3326" s="3">
        <v>1</v>
      </c>
      <c r="BL3326" s="3">
        <v>114.31</v>
      </c>
      <c r="BM3326" s="3">
        <v>17.149999999999999</v>
      </c>
      <c r="BN3326" s="3">
        <v>131.46</v>
      </c>
      <c r="BO3326" s="3">
        <v>131.46</v>
      </c>
      <c r="BQ3326" s="3" t="s">
        <v>89</v>
      </c>
      <c r="BR3326" s="3" t="s">
        <v>364</v>
      </c>
      <c r="BS3326" s="4">
        <v>44568</v>
      </c>
      <c r="BT3326" s="5">
        <v>0.57500000000000007</v>
      </c>
      <c r="BU3326" s="3" t="s">
        <v>2560</v>
      </c>
      <c r="BV3326" s="3" t="s">
        <v>87</v>
      </c>
      <c r="BW3326" s="3" t="s">
        <v>353</v>
      </c>
      <c r="BX3326" s="3" t="s">
        <v>354</v>
      </c>
      <c r="BY3326" s="3">
        <v>1200</v>
      </c>
      <c r="BZ3326" s="3" t="s">
        <v>165</v>
      </c>
      <c r="CA3326" s="3" t="s">
        <v>360</v>
      </c>
      <c r="CC3326" s="3" t="s">
        <v>110</v>
      </c>
      <c r="CD3326" s="3">
        <v>7646</v>
      </c>
      <c r="CE3326" s="3" t="s">
        <v>93</v>
      </c>
      <c r="CF3326" s="4">
        <v>44571</v>
      </c>
      <c r="CI3326" s="3">
        <v>1</v>
      </c>
      <c r="CJ3326" s="3">
        <v>1</v>
      </c>
      <c r="CK3326" s="3">
        <v>23</v>
      </c>
      <c r="CL3326" s="3" t="s">
        <v>87</v>
      </c>
    </row>
    <row r="3327" spans="1:90" x14ac:dyDescent="0.2">
      <c r="A3327" s="3" t="s">
        <v>72</v>
      </c>
      <c r="B3327" s="3" t="s">
        <v>73</v>
      </c>
      <c r="C3327" s="3" t="s">
        <v>74</v>
      </c>
      <c r="E3327" s="3" t="str">
        <f>"FES1162843853"</f>
        <v>FES1162843853</v>
      </c>
      <c r="F3327" s="4">
        <v>44567</v>
      </c>
      <c r="G3327" s="3">
        <v>202207</v>
      </c>
      <c r="H3327" s="3" t="s">
        <v>75</v>
      </c>
      <c r="I3327" s="3" t="s">
        <v>76</v>
      </c>
      <c r="J3327" s="3" t="s">
        <v>77</v>
      </c>
      <c r="K3327" s="3" t="s">
        <v>78</v>
      </c>
      <c r="L3327" s="3" t="s">
        <v>79</v>
      </c>
      <c r="M3327" s="3" t="s">
        <v>80</v>
      </c>
      <c r="N3327" s="3" t="s">
        <v>81</v>
      </c>
      <c r="O3327" s="3" t="s">
        <v>82</v>
      </c>
      <c r="P3327" s="3" t="str">
        <f>"2170815783                    "</f>
        <v xml:space="preserve">2170815783                    </v>
      </c>
      <c r="Q3327" s="3">
        <v>0</v>
      </c>
      <c r="R3327" s="3">
        <v>0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  <c r="AE3327" s="3">
        <v>0</v>
      </c>
      <c r="AF3327" s="3">
        <v>0</v>
      </c>
      <c r="AG3327" s="3">
        <v>0</v>
      </c>
      <c r="AH3327" s="3">
        <v>0</v>
      </c>
      <c r="AI3327" s="3">
        <v>0</v>
      </c>
      <c r="AJ3327" s="3">
        <v>0</v>
      </c>
      <c r="AK3327" s="3">
        <v>15.46</v>
      </c>
      <c r="AL3327" s="3">
        <v>0</v>
      </c>
      <c r="AM3327" s="3">
        <v>0</v>
      </c>
      <c r="AN3327" s="3">
        <v>0</v>
      </c>
      <c r="AO3327" s="3">
        <v>0</v>
      </c>
      <c r="AP3327" s="3">
        <v>0</v>
      </c>
      <c r="AQ3327" s="3">
        <v>0</v>
      </c>
      <c r="AR3327" s="3">
        <v>0</v>
      </c>
      <c r="AS3327" s="3">
        <v>0</v>
      </c>
      <c r="AT3327" s="3">
        <v>0</v>
      </c>
      <c r="AU3327" s="3">
        <v>0</v>
      </c>
      <c r="AV3327" s="3">
        <v>0</v>
      </c>
      <c r="AW3327" s="3">
        <v>0</v>
      </c>
      <c r="AX3327" s="3">
        <v>0</v>
      </c>
      <c r="AY3327" s="3">
        <v>0</v>
      </c>
      <c r="AZ3327" s="3">
        <v>0</v>
      </c>
      <c r="BA3327" s="3">
        <v>0</v>
      </c>
      <c r="BB3327" s="3">
        <v>0</v>
      </c>
      <c r="BC3327" s="3">
        <v>0</v>
      </c>
      <c r="BD3327" s="3">
        <v>0</v>
      </c>
      <c r="BE3327" s="3">
        <v>0</v>
      </c>
      <c r="BF3327" s="3">
        <v>0</v>
      </c>
      <c r="BG3327" s="3">
        <v>0</v>
      </c>
      <c r="BH3327" s="3">
        <v>1</v>
      </c>
      <c r="BI3327" s="3">
        <v>1</v>
      </c>
      <c r="BJ3327" s="3">
        <v>1.3</v>
      </c>
      <c r="BK3327" s="3">
        <v>1.5</v>
      </c>
      <c r="BL3327" s="3">
        <v>59</v>
      </c>
      <c r="BM3327" s="3">
        <v>8.85</v>
      </c>
      <c r="BN3327" s="3">
        <v>67.849999999999994</v>
      </c>
      <c r="BO3327" s="3">
        <v>67.849999999999994</v>
      </c>
      <c r="BQ3327" s="3" t="s">
        <v>83</v>
      </c>
      <c r="BR3327" s="3" t="s">
        <v>364</v>
      </c>
      <c r="BS3327" s="4">
        <v>44568</v>
      </c>
      <c r="BT3327" s="5">
        <v>0.43263888888888885</v>
      </c>
      <c r="BU3327" s="3" t="s">
        <v>2823</v>
      </c>
      <c r="BV3327" s="3" t="s">
        <v>105</v>
      </c>
      <c r="BY3327" s="3">
        <v>6727</v>
      </c>
      <c r="BZ3327" s="3" t="s">
        <v>165</v>
      </c>
      <c r="CA3327" s="3" t="s">
        <v>1622</v>
      </c>
      <c r="CC3327" s="3" t="s">
        <v>80</v>
      </c>
      <c r="CD3327" s="3">
        <v>200</v>
      </c>
      <c r="CE3327" s="3" t="s">
        <v>86</v>
      </c>
      <c r="CF3327" s="4">
        <v>44568</v>
      </c>
      <c r="CI3327" s="3">
        <v>1</v>
      </c>
      <c r="CJ3327" s="3">
        <v>1</v>
      </c>
      <c r="CK3327" s="3">
        <v>21</v>
      </c>
      <c r="CL3327" s="3" t="s">
        <v>87</v>
      </c>
    </row>
    <row r="3328" spans="1:90" x14ac:dyDescent="0.2">
      <c r="A3328" s="3" t="s">
        <v>72</v>
      </c>
      <c r="B3328" s="3" t="s">
        <v>73</v>
      </c>
      <c r="C3328" s="3" t="s">
        <v>74</v>
      </c>
      <c r="E3328" s="3" t="str">
        <f>"FES1162844191"</f>
        <v>FES1162844191</v>
      </c>
      <c r="F3328" s="4">
        <v>44568</v>
      </c>
      <c r="G3328" s="3">
        <v>202207</v>
      </c>
      <c r="H3328" s="3" t="s">
        <v>75</v>
      </c>
      <c r="I3328" s="3" t="s">
        <v>76</v>
      </c>
      <c r="J3328" s="3" t="s">
        <v>77</v>
      </c>
      <c r="K3328" s="3" t="s">
        <v>78</v>
      </c>
      <c r="L3328" s="3" t="s">
        <v>115</v>
      </c>
      <c r="M3328" s="3" t="s">
        <v>116</v>
      </c>
      <c r="N3328" s="3" t="s">
        <v>1571</v>
      </c>
      <c r="O3328" s="3" t="s">
        <v>82</v>
      </c>
      <c r="P3328" s="3" t="str">
        <f>"2170813281                    "</f>
        <v xml:space="preserve">2170813281                    </v>
      </c>
      <c r="Q3328" s="3">
        <v>0</v>
      </c>
      <c r="R3328" s="3">
        <v>0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  <c r="AE3328" s="3">
        <v>0</v>
      </c>
      <c r="AF3328" s="3">
        <v>0</v>
      </c>
      <c r="AG3328" s="3">
        <v>0</v>
      </c>
      <c r="AH3328" s="3">
        <v>0</v>
      </c>
      <c r="AI3328" s="3">
        <v>0</v>
      </c>
      <c r="AJ3328" s="3">
        <v>0</v>
      </c>
      <c r="AK3328" s="3">
        <v>12.07</v>
      </c>
      <c r="AL3328" s="3">
        <v>0</v>
      </c>
      <c r="AM3328" s="3">
        <v>0</v>
      </c>
      <c r="AN3328" s="3">
        <v>0</v>
      </c>
      <c r="AO3328" s="3">
        <v>0</v>
      </c>
      <c r="AP3328" s="3">
        <v>0</v>
      </c>
      <c r="AQ3328" s="3">
        <v>0</v>
      </c>
      <c r="AR3328" s="3">
        <v>0</v>
      </c>
      <c r="AS3328" s="3">
        <v>0</v>
      </c>
      <c r="AT3328" s="3">
        <v>0</v>
      </c>
      <c r="AU3328" s="3">
        <v>0</v>
      </c>
      <c r="AV3328" s="3">
        <v>0</v>
      </c>
      <c r="AW3328" s="3">
        <v>0</v>
      </c>
      <c r="AX3328" s="3">
        <v>0</v>
      </c>
      <c r="AY3328" s="3">
        <v>0</v>
      </c>
      <c r="AZ3328" s="3">
        <v>0</v>
      </c>
      <c r="BA3328" s="3">
        <v>0</v>
      </c>
      <c r="BB3328" s="3">
        <v>0</v>
      </c>
      <c r="BC3328" s="3">
        <v>0</v>
      </c>
      <c r="BD3328" s="3">
        <v>0</v>
      </c>
      <c r="BE3328" s="3">
        <v>0</v>
      </c>
      <c r="BF3328" s="3">
        <v>0</v>
      </c>
      <c r="BG3328" s="3">
        <v>0</v>
      </c>
      <c r="BH3328" s="3">
        <v>1</v>
      </c>
      <c r="BI3328" s="3">
        <v>1</v>
      </c>
      <c r="BJ3328" s="3">
        <v>1.5</v>
      </c>
      <c r="BK3328" s="3">
        <v>1.5</v>
      </c>
      <c r="BL3328" s="3">
        <v>46.08</v>
      </c>
      <c r="BM3328" s="3">
        <v>6.91</v>
      </c>
      <c r="BN3328" s="3">
        <v>52.99</v>
      </c>
      <c r="BO3328" s="3">
        <v>52.99</v>
      </c>
      <c r="BQ3328" s="3" t="s">
        <v>83</v>
      </c>
      <c r="BR3328" s="3" t="s">
        <v>364</v>
      </c>
      <c r="BS3328" s="4">
        <v>44571</v>
      </c>
      <c r="BT3328" s="5">
        <v>0.32569444444444445</v>
      </c>
      <c r="BU3328" s="3" t="s">
        <v>2953</v>
      </c>
      <c r="BV3328" s="3" t="s">
        <v>105</v>
      </c>
      <c r="BY3328" s="3">
        <v>7540</v>
      </c>
      <c r="BZ3328" s="3" t="s">
        <v>165</v>
      </c>
      <c r="CA3328" s="3" t="s">
        <v>119</v>
      </c>
      <c r="CC3328" s="3" t="s">
        <v>116</v>
      </c>
      <c r="CD3328" s="3">
        <v>1559</v>
      </c>
      <c r="CE3328" s="3" t="s">
        <v>86</v>
      </c>
      <c r="CF3328" s="4">
        <v>44572</v>
      </c>
      <c r="CI3328" s="3">
        <v>1</v>
      </c>
      <c r="CJ3328" s="3">
        <v>1</v>
      </c>
      <c r="CK3328" s="3">
        <v>22</v>
      </c>
      <c r="CL3328" s="3" t="s">
        <v>87</v>
      </c>
    </row>
    <row r="3329" spans="1:90" x14ac:dyDescent="0.2">
      <c r="A3329" s="3" t="s">
        <v>72</v>
      </c>
      <c r="B3329" s="3" t="s">
        <v>73</v>
      </c>
      <c r="C3329" s="3" t="s">
        <v>74</v>
      </c>
      <c r="E3329" s="3" t="str">
        <f>"FES1162844158"</f>
        <v>FES1162844158</v>
      </c>
      <c r="F3329" s="4">
        <v>44568</v>
      </c>
      <c r="G3329" s="3">
        <v>202207</v>
      </c>
      <c r="H3329" s="3" t="s">
        <v>75</v>
      </c>
      <c r="I3329" s="3" t="s">
        <v>76</v>
      </c>
      <c r="J3329" s="3" t="s">
        <v>77</v>
      </c>
      <c r="K3329" s="3" t="s">
        <v>78</v>
      </c>
      <c r="L3329" s="3" t="s">
        <v>90</v>
      </c>
      <c r="M3329" s="3" t="s">
        <v>91</v>
      </c>
      <c r="N3329" s="3" t="s">
        <v>157</v>
      </c>
      <c r="O3329" s="3" t="s">
        <v>82</v>
      </c>
      <c r="P3329" s="3" t="str">
        <f>"2170798597                    "</f>
        <v xml:space="preserve">2170798597                    </v>
      </c>
      <c r="Q3329" s="3">
        <v>0</v>
      </c>
      <c r="R3329" s="3">
        <v>0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  <c r="AE3329" s="3">
        <v>0</v>
      </c>
      <c r="AF3329" s="3">
        <v>0</v>
      </c>
      <c r="AG3329" s="3">
        <v>0</v>
      </c>
      <c r="AH3329" s="3">
        <v>0</v>
      </c>
      <c r="AI3329" s="3">
        <v>0</v>
      </c>
      <c r="AJ3329" s="3">
        <v>0</v>
      </c>
      <c r="AK3329" s="3">
        <v>15.46</v>
      </c>
      <c r="AL3329" s="3">
        <v>0</v>
      </c>
      <c r="AM3329" s="3">
        <v>0</v>
      </c>
      <c r="AN3329" s="3">
        <v>0</v>
      </c>
      <c r="AO3329" s="3">
        <v>0</v>
      </c>
      <c r="AP3329" s="3">
        <v>0</v>
      </c>
      <c r="AQ3329" s="3">
        <v>0</v>
      </c>
      <c r="AR3329" s="3">
        <v>0</v>
      </c>
      <c r="AS3329" s="3">
        <v>0</v>
      </c>
      <c r="AT3329" s="3">
        <v>0</v>
      </c>
      <c r="AU3329" s="3">
        <v>0</v>
      </c>
      <c r="AV3329" s="3">
        <v>0</v>
      </c>
      <c r="AW3329" s="3">
        <v>0</v>
      </c>
      <c r="AX3329" s="3">
        <v>0</v>
      </c>
      <c r="AY3329" s="3">
        <v>0</v>
      </c>
      <c r="AZ3329" s="3">
        <v>0</v>
      </c>
      <c r="BA3329" s="3">
        <v>0</v>
      </c>
      <c r="BB3329" s="3">
        <v>0</v>
      </c>
      <c r="BC3329" s="3">
        <v>0</v>
      </c>
      <c r="BD3329" s="3">
        <v>0</v>
      </c>
      <c r="BE3329" s="3">
        <v>0</v>
      </c>
      <c r="BF3329" s="3">
        <v>0</v>
      </c>
      <c r="BG3329" s="3">
        <v>0</v>
      </c>
      <c r="BH3329" s="3">
        <v>1</v>
      </c>
      <c r="BI3329" s="3">
        <v>1</v>
      </c>
      <c r="BJ3329" s="3">
        <v>2</v>
      </c>
      <c r="BK3329" s="3">
        <v>2</v>
      </c>
      <c r="BL3329" s="3">
        <v>59</v>
      </c>
      <c r="BM3329" s="3">
        <v>8.85</v>
      </c>
      <c r="BN3329" s="3">
        <v>67.849999999999994</v>
      </c>
      <c r="BO3329" s="3">
        <v>67.849999999999994</v>
      </c>
      <c r="BQ3329" s="3" t="s">
        <v>89</v>
      </c>
      <c r="BR3329" s="3" t="s">
        <v>364</v>
      </c>
      <c r="BS3329" s="4">
        <v>44571</v>
      </c>
      <c r="BT3329" s="5">
        <v>0.33888888888888885</v>
      </c>
      <c r="BU3329" s="3" t="s">
        <v>693</v>
      </c>
      <c r="BV3329" s="3" t="s">
        <v>105</v>
      </c>
      <c r="BY3329" s="3">
        <v>9918</v>
      </c>
      <c r="BZ3329" s="3" t="s">
        <v>165</v>
      </c>
      <c r="CA3329" s="3" t="s">
        <v>289</v>
      </c>
      <c r="CC3329" s="3" t="s">
        <v>91</v>
      </c>
      <c r="CD3329" s="3">
        <v>7441</v>
      </c>
      <c r="CE3329" s="3" t="s">
        <v>86</v>
      </c>
      <c r="CF3329" s="4">
        <v>44572</v>
      </c>
      <c r="CI3329" s="3">
        <v>1</v>
      </c>
      <c r="CJ3329" s="3">
        <v>1</v>
      </c>
      <c r="CK3329" s="3">
        <v>21</v>
      </c>
      <c r="CL3329" s="3" t="s">
        <v>87</v>
      </c>
    </row>
    <row r="3330" spans="1:90" x14ac:dyDescent="0.2">
      <c r="A3330" s="3" t="s">
        <v>72</v>
      </c>
      <c r="B3330" s="3" t="s">
        <v>73</v>
      </c>
      <c r="C3330" s="3" t="s">
        <v>74</v>
      </c>
      <c r="E3330" s="3" t="str">
        <f>"FES1162844208"</f>
        <v>FES1162844208</v>
      </c>
      <c r="F3330" s="4">
        <v>44568</v>
      </c>
      <c r="G3330" s="3">
        <v>202207</v>
      </c>
      <c r="H3330" s="3" t="s">
        <v>75</v>
      </c>
      <c r="I3330" s="3" t="s">
        <v>76</v>
      </c>
      <c r="J3330" s="3" t="s">
        <v>77</v>
      </c>
      <c r="K3330" s="3" t="s">
        <v>78</v>
      </c>
      <c r="L3330" s="3" t="s">
        <v>97</v>
      </c>
      <c r="M3330" s="3" t="s">
        <v>98</v>
      </c>
      <c r="N3330" s="3" t="s">
        <v>183</v>
      </c>
      <c r="O3330" s="3" t="s">
        <v>82</v>
      </c>
      <c r="P3330" s="3" t="str">
        <f>"2170815963                    "</f>
        <v xml:space="preserve">2170815963                    </v>
      </c>
      <c r="Q3330" s="3">
        <v>0</v>
      </c>
      <c r="R3330" s="3">
        <v>0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  <c r="AE3330" s="3">
        <v>0</v>
      </c>
      <c r="AF3330" s="3">
        <v>0</v>
      </c>
      <c r="AG3330" s="3">
        <v>0</v>
      </c>
      <c r="AH3330" s="3">
        <v>0</v>
      </c>
      <c r="AI3330" s="3">
        <v>0</v>
      </c>
      <c r="AJ3330" s="3">
        <v>0</v>
      </c>
      <c r="AK3330" s="3">
        <v>12.07</v>
      </c>
      <c r="AL3330" s="3">
        <v>0</v>
      </c>
      <c r="AM3330" s="3">
        <v>0</v>
      </c>
      <c r="AN3330" s="3">
        <v>0</v>
      </c>
      <c r="AO3330" s="3">
        <v>0</v>
      </c>
      <c r="AP3330" s="3">
        <v>0</v>
      </c>
      <c r="AQ3330" s="3">
        <v>0</v>
      </c>
      <c r="AR3330" s="3">
        <v>0</v>
      </c>
      <c r="AS3330" s="3">
        <v>0</v>
      </c>
      <c r="AT3330" s="3">
        <v>0</v>
      </c>
      <c r="AU3330" s="3">
        <v>0</v>
      </c>
      <c r="AV3330" s="3">
        <v>0</v>
      </c>
      <c r="AW3330" s="3">
        <v>0</v>
      </c>
      <c r="AX3330" s="3">
        <v>0</v>
      </c>
      <c r="AY3330" s="3">
        <v>0</v>
      </c>
      <c r="AZ3330" s="3">
        <v>0</v>
      </c>
      <c r="BA3330" s="3">
        <v>0</v>
      </c>
      <c r="BB3330" s="3">
        <v>0</v>
      </c>
      <c r="BC3330" s="3">
        <v>0</v>
      </c>
      <c r="BD3330" s="3">
        <v>0</v>
      </c>
      <c r="BE3330" s="3">
        <v>0</v>
      </c>
      <c r="BF3330" s="3">
        <v>0</v>
      </c>
      <c r="BG3330" s="3">
        <v>0</v>
      </c>
      <c r="BH3330" s="3">
        <v>1</v>
      </c>
      <c r="BI3330" s="3">
        <v>1</v>
      </c>
      <c r="BJ3330" s="3">
        <v>4.0999999999999996</v>
      </c>
      <c r="BK3330" s="3">
        <v>4.5</v>
      </c>
      <c r="BL3330" s="3">
        <v>46.08</v>
      </c>
      <c r="BM3330" s="3">
        <v>6.91</v>
      </c>
      <c r="BN3330" s="3">
        <v>52.99</v>
      </c>
      <c r="BO3330" s="3">
        <v>52.99</v>
      </c>
      <c r="BQ3330" s="3" t="s">
        <v>89</v>
      </c>
      <c r="BR3330" s="3" t="s">
        <v>364</v>
      </c>
      <c r="BS3330" s="4">
        <v>44571</v>
      </c>
      <c r="BT3330" s="5">
        <v>0.41666666666666669</v>
      </c>
      <c r="BU3330" s="3" t="s">
        <v>2954</v>
      </c>
      <c r="BV3330" s="3" t="s">
        <v>105</v>
      </c>
      <c r="BY3330" s="3">
        <v>20358</v>
      </c>
      <c r="BZ3330" s="3" t="s">
        <v>165</v>
      </c>
      <c r="CC3330" s="3" t="s">
        <v>98</v>
      </c>
      <c r="CD3330" s="3">
        <v>2090</v>
      </c>
      <c r="CE3330" s="3" t="s">
        <v>86</v>
      </c>
      <c r="CF3330" s="4">
        <v>44571</v>
      </c>
      <c r="CI3330" s="3">
        <v>1</v>
      </c>
      <c r="CJ3330" s="3">
        <v>1</v>
      </c>
      <c r="CK3330" s="3">
        <v>22</v>
      </c>
      <c r="CL3330" s="3" t="s">
        <v>87</v>
      </c>
    </row>
    <row r="3331" spans="1:90" x14ac:dyDescent="0.2">
      <c r="A3331" s="3" t="s">
        <v>72</v>
      </c>
      <c r="B3331" s="3" t="s">
        <v>73</v>
      </c>
      <c r="C3331" s="3" t="s">
        <v>74</v>
      </c>
      <c r="E3331" s="3" t="str">
        <f>"FES1162843965"</f>
        <v>FES1162843965</v>
      </c>
      <c r="F3331" s="4">
        <v>44568</v>
      </c>
      <c r="G3331" s="3">
        <v>202207</v>
      </c>
      <c r="H3331" s="3" t="s">
        <v>75</v>
      </c>
      <c r="I3331" s="3" t="s">
        <v>76</v>
      </c>
      <c r="J3331" s="3" t="s">
        <v>77</v>
      </c>
      <c r="K3331" s="3" t="s">
        <v>78</v>
      </c>
      <c r="L3331" s="3" t="s">
        <v>187</v>
      </c>
      <c r="M3331" s="3" t="s">
        <v>188</v>
      </c>
      <c r="N3331" s="3" t="s">
        <v>189</v>
      </c>
      <c r="O3331" s="3" t="s">
        <v>82</v>
      </c>
      <c r="P3331" s="3" t="str">
        <f>"2170814292                    "</f>
        <v xml:space="preserve">2170814292                    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  <c r="AE3331" s="3">
        <v>0</v>
      </c>
      <c r="AF3331" s="3">
        <v>0</v>
      </c>
      <c r="AG3331" s="3">
        <v>0</v>
      </c>
      <c r="AH3331" s="3">
        <v>0</v>
      </c>
      <c r="AI3331" s="3">
        <v>0</v>
      </c>
      <c r="AJ3331" s="3">
        <v>0</v>
      </c>
      <c r="AK3331" s="3">
        <v>29.95</v>
      </c>
      <c r="AL3331" s="3">
        <v>0</v>
      </c>
      <c r="AM3331" s="3">
        <v>0</v>
      </c>
      <c r="AN3331" s="3">
        <v>0</v>
      </c>
      <c r="AO3331" s="3">
        <v>0</v>
      </c>
      <c r="AP3331" s="3">
        <v>0</v>
      </c>
      <c r="AQ3331" s="3">
        <v>0</v>
      </c>
      <c r="AR3331" s="3">
        <v>0</v>
      </c>
      <c r="AS3331" s="3">
        <v>0</v>
      </c>
      <c r="AT3331" s="3">
        <v>0</v>
      </c>
      <c r="AU3331" s="3">
        <v>0</v>
      </c>
      <c r="AV3331" s="3">
        <v>0</v>
      </c>
      <c r="AW3331" s="3">
        <v>0</v>
      </c>
      <c r="AX3331" s="3">
        <v>0</v>
      </c>
      <c r="AY3331" s="3">
        <v>0</v>
      </c>
      <c r="AZ3331" s="3">
        <v>0</v>
      </c>
      <c r="BA3331" s="3">
        <v>0</v>
      </c>
      <c r="BB3331" s="3">
        <v>0</v>
      </c>
      <c r="BC3331" s="3">
        <v>0</v>
      </c>
      <c r="BD3331" s="3">
        <v>0</v>
      </c>
      <c r="BE3331" s="3">
        <v>0</v>
      </c>
      <c r="BF3331" s="3">
        <v>0</v>
      </c>
      <c r="BG3331" s="3">
        <v>0</v>
      </c>
      <c r="BH3331" s="3">
        <v>1</v>
      </c>
      <c r="BI3331" s="3">
        <v>1</v>
      </c>
      <c r="BJ3331" s="3">
        <v>0.2</v>
      </c>
      <c r="BK3331" s="3">
        <v>1</v>
      </c>
      <c r="BL3331" s="3">
        <v>114.31</v>
      </c>
      <c r="BM3331" s="3">
        <v>17.149999999999999</v>
      </c>
      <c r="BN3331" s="3">
        <v>131.46</v>
      </c>
      <c r="BO3331" s="3">
        <v>131.46</v>
      </c>
      <c r="BQ3331" s="3" t="s">
        <v>83</v>
      </c>
      <c r="BR3331" s="3" t="s">
        <v>364</v>
      </c>
      <c r="BS3331" s="4">
        <v>44571</v>
      </c>
      <c r="BT3331" s="5">
        <v>0.53055555555555556</v>
      </c>
      <c r="BU3331" s="3" t="s">
        <v>955</v>
      </c>
      <c r="BV3331" s="3" t="s">
        <v>105</v>
      </c>
      <c r="BY3331" s="3">
        <v>1200</v>
      </c>
      <c r="BZ3331" s="3" t="s">
        <v>165</v>
      </c>
      <c r="CA3331" s="3" t="s">
        <v>268</v>
      </c>
      <c r="CC3331" s="3" t="s">
        <v>188</v>
      </c>
      <c r="CD3331" s="3">
        <v>7300</v>
      </c>
      <c r="CE3331" s="3" t="s">
        <v>93</v>
      </c>
      <c r="CF3331" s="4">
        <v>44572</v>
      </c>
      <c r="CI3331" s="3">
        <v>1</v>
      </c>
      <c r="CJ3331" s="3">
        <v>1</v>
      </c>
      <c r="CK3331" s="3">
        <v>23</v>
      </c>
      <c r="CL3331" s="3" t="s">
        <v>87</v>
      </c>
    </row>
    <row r="3332" spans="1:90" x14ac:dyDescent="0.2">
      <c r="A3332" s="3" t="s">
        <v>72</v>
      </c>
      <c r="B3332" s="3" t="s">
        <v>73</v>
      </c>
      <c r="C3332" s="3" t="s">
        <v>74</v>
      </c>
      <c r="E3332" s="3" t="str">
        <f>"FES1162843899"</f>
        <v>FES1162843899</v>
      </c>
      <c r="F3332" s="4">
        <v>44568</v>
      </c>
      <c r="G3332" s="3">
        <v>202207</v>
      </c>
      <c r="H3332" s="3" t="s">
        <v>75</v>
      </c>
      <c r="I3332" s="3" t="s">
        <v>76</v>
      </c>
      <c r="J3332" s="3" t="s">
        <v>77</v>
      </c>
      <c r="K3332" s="3" t="s">
        <v>78</v>
      </c>
      <c r="L3332" s="3" t="s">
        <v>171</v>
      </c>
      <c r="M3332" s="3" t="s">
        <v>172</v>
      </c>
      <c r="N3332" s="3" t="s">
        <v>329</v>
      </c>
      <c r="O3332" s="3" t="s">
        <v>82</v>
      </c>
      <c r="P3332" s="3" t="str">
        <f>"2170806186                    "</f>
        <v xml:space="preserve">2170806186                    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0</v>
      </c>
      <c r="W3332" s="3">
        <v>0</v>
      </c>
      <c r="X3332" s="3">
        <v>0</v>
      </c>
      <c r="Y3332" s="3">
        <v>0</v>
      </c>
      <c r="Z3332" s="3">
        <v>0</v>
      </c>
      <c r="AA3332" s="3">
        <v>0</v>
      </c>
      <c r="AB3332" s="3">
        <v>0</v>
      </c>
      <c r="AC3332" s="3">
        <v>0</v>
      </c>
      <c r="AD3332" s="3">
        <v>0</v>
      </c>
      <c r="AE3332" s="3">
        <v>0</v>
      </c>
      <c r="AF3332" s="3">
        <v>0</v>
      </c>
      <c r="AG3332" s="3">
        <v>0</v>
      </c>
      <c r="AH3332" s="3">
        <v>0</v>
      </c>
      <c r="AI3332" s="3">
        <v>0</v>
      </c>
      <c r="AJ3332" s="3">
        <v>0</v>
      </c>
      <c r="AK3332" s="3">
        <v>15.46</v>
      </c>
      <c r="AL3332" s="3">
        <v>0</v>
      </c>
      <c r="AM3332" s="3">
        <v>0</v>
      </c>
      <c r="AN3332" s="3">
        <v>0</v>
      </c>
      <c r="AO3332" s="3">
        <v>0</v>
      </c>
      <c r="AP3332" s="3">
        <v>0</v>
      </c>
      <c r="AQ3332" s="3">
        <v>0</v>
      </c>
      <c r="AR3332" s="3">
        <v>0</v>
      </c>
      <c r="AS3332" s="3">
        <v>0</v>
      </c>
      <c r="AT3332" s="3">
        <v>0</v>
      </c>
      <c r="AU3332" s="3">
        <v>0</v>
      </c>
      <c r="AV3332" s="3">
        <v>0</v>
      </c>
      <c r="AW3332" s="3">
        <v>0</v>
      </c>
      <c r="AX3332" s="3">
        <v>0</v>
      </c>
      <c r="AY3332" s="3">
        <v>0</v>
      </c>
      <c r="AZ3332" s="3">
        <v>0</v>
      </c>
      <c r="BA3332" s="3">
        <v>0</v>
      </c>
      <c r="BB3332" s="3">
        <v>0</v>
      </c>
      <c r="BC3332" s="3">
        <v>0</v>
      </c>
      <c r="BD3332" s="3">
        <v>0</v>
      </c>
      <c r="BE3332" s="3">
        <v>0</v>
      </c>
      <c r="BF3332" s="3">
        <v>0</v>
      </c>
      <c r="BG3332" s="3">
        <v>0</v>
      </c>
      <c r="BH3332" s="3">
        <v>1</v>
      </c>
      <c r="BI3332" s="3">
        <v>1</v>
      </c>
      <c r="BJ3332" s="3">
        <v>0.2</v>
      </c>
      <c r="BK3332" s="3">
        <v>1</v>
      </c>
      <c r="BL3332" s="3">
        <v>59</v>
      </c>
      <c r="BM3332" s="3">
        <v>8.85</v>
      </c>
      <c r="BN3332" s="3">
        <v>67.849999999999994</v>
      </c>
      <c r="BO3332" s="3">
        <v>67.849999999999994</v>
      </c>
      <c r="BQ3332" s="3" t="s">
        <v>83</v>
      </c>
      <c r="BR3332" s="3" t="s">
        <v>364</v>
      </c>
      <c r="BS3332" s="4">
        <v>44571</v>
      </c>
      <c r="BT3332" s="5">
        <v>0.3298611111111111</v>
      </c>
      <c r="BU3332" s="3" t="s">
        <v>330</v>
      </c>
      <c r="BV3332" s="3" t="s">
        <v>105</v>
      </c>
      <c r="BY3332" s="3">
        <v>1200</v>
      </c>
      <c r="BZ3332" s="3" t="s">
        <v>165</v>
      </c>
      <c r="CA3332" s="3" t="s">
        <v>331</v>
      </c>
      <c r="CC3332" s="3" t="s">
        <v>172</v>
      </c>
      <c r="CD3332" s="3">
        <v>6001</v>
      </c>
      <c r="CE3332" s="3" t="s">
        <v>93</v>
      </c>
      <c r="CF3332" s="4">
        <v>44571</v>
      </c>
      <c r="CI3332" s="3">
        <v>1</v>
      </c>
      <c r="CJ3332" s="3">
        <v>1</v>
      </c>
      <c r="CK3332" s="3">
        <v>21</v>
      </c>
      <c r="CL3332" s="3" t="s">
        <v>87</v>
      </c>
    </row>
    <row r="3333" spans="1:90" x14ac:dyDescent="0.2">
      <c r="A3333" s="3" t="s">
        <v>72</v>
      </c>
      <c r="B3333" s="3" t="s">
        <v>73</v>
      </c>
      <c r="C3333" s="3" t="s">
        <v>74</v>
      </c>
      <c r="E3333" s="3" t="str">
        <f>"FES1162844134"</f>
        <v>FES1162844134</v>
      </c>
      <c r="F3333" s="4">
        <v>44568</v>
      </c>
      <c r="G3333" s="3">
        <v>202207</v>
      </c>
      <c r="H3333" s="3" t="s">
        <v>75</v>
      </c>
      <c r="I3333" s="3" t="s">
        <v>76</v>
      </c>
      <c r="J3333" s="3" t="s">
        <v>77</v>
      </c>
      <c r="K3333" s="3" t="s">
        <v>78</v>
      </c>
      <c r="L3333" s="3" t="s">
        <v>75</v>
      </c>
      <c r="M3333" s="3" t="s">
        <v>76</v>
      </c>
      <c r="N3333" s="3" t="s">
        <v>688</v>
      </c>
      <c r="O3333" s="3" t="s">
        <v>82</v>
      </c>
      <c r="P3333" s="3" t="str">
        <f>"2170814080                    "</f>
        <v xml:space="preserve">2170814080                    </v>
      </c>
      <c r="Q3333" s="3">
        <v>0</v>
      </c>
      <c r="R3333" s="3">
        <v>0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  <c r="AE3333" s="3">
        <v>0</v>
      </c>
      <c r="AF3333" s="3">
        <v>0</v>
      </c>
      <c r="AG3333" s="3">
        <v>0</v>
      </c>
      <c r="AH3333" s="3">
        <v>0</v>
      </c>
      <c r="AI3333" s="3">
        <v>0</v>
      </c>
      <c r="AJ3333" s="3">
        <v>0</v>
      </c>
      <c r="AK3333" s="3">
        <v>12.07</v>
      </c>
      <c r="AL3333" s="3">
        <v>0</v>
      </c>
      <c r="AM3333" s="3">
        <v>0</v>
      </c>
      <c r="AN3333" s="3">
        <v>0</v>
      </c>
      <c r="AO3333" s="3">
        <v>0</v>
      </c>
      <c r="AP3333" s="3">
        <v>0</v>
      </c>
      <c r="AQ3333" s="3">
        <v>0</v>
      </c>
      <c r="AR3333" s="3">
        <v>0</v>
      </c>
      <c r="AS3333" s="3">
        <v>0</v>
      </c>
      <c r="AT3333" s="3">
        <v>0</v>
      </c>
      <c r="AU3333" s="3">
        <v>0</v>
      </c>
      <c r="AV3333" s="3">
        <v>0</v>
      </c>
      <c r="AW3333" s="3">
        <v>0</v>
      </c>
      <c r="AX3333" s="3">
        <v>0</v>
      </c>
      <c r="AY3333" s="3">
        <v>0</v>
      </c>
      <c r="AZ3333" s="3">
        <v>0</v>
      </c>
      <c r="BA3333" s="3">
        <v>0</v>
      </c>
      <c r="BB3333" s="3">
        <v>0</v>
      </c>
      <c r="BC3333" s="3">
        <v>0</v>
      </c>
      <c r="BD3333" s="3">
        <v>0</v>
      </c>
      <c r="BE3333" s="3">
        <v>0</v>
      </c>
      <c r="BF3333" s="3">
        <v>0</v>
      </c>
      <c r="BG3333" s="3">
        <v>0</v>
      </c>
      <c r="BH3333" s="3">
        <v>1</v>
      </c>
      <c r="BI3333" s="3">
        <v>1</v>
      </c>
      <c r="BJ3333" s="3">
        <v>0.2</v>
      </c>
      <c r="BK3333" s="3">
        <v>1</v>
      </c>
      <c r="BL3333" s="3">
        <v>46.08</v>
      </c>
      <c r="BM3333" s="3">
        <v>6.91</v>
      </c>
      <c r="BN3333" s="3">
        <v>52.99</v>
      </c>
      <c r="BO3333" s="3">
        <v>52.99</v>
      </c>
      <c r="BQ3333" s="3" t="s">
        <v>83</v>
      </c>
      <c r="BR3333" s="3" t="s">
        <v>364</v>
      </c>
      <c r="BS3333" s="4">
        <v>44571</v>
      </c>
      <c r="BT3333" s="5">
        <v>0.29930555555555555</v>
      </c>
      <c r="BU3333" s="3" t="s">
        <v>1016</v>
      </c>
      <c r="BV3333" s="3" t="s">
        <v>105</v>
      </c>
      <c r="BY3333" s="3">
        <v>1200</v>
      </c>
      <c r="BZ3333" s="3" t="s">
        <v>165</v>
      </c>
      <c r="CA3333" s="3" t="s">
        <v>227</v>
      </c>
      <c r="CC3333" s="3" t="s">
        <v>76</v>
      </c>
      <c r="CD3333" s="3">
        <v>1620</v>
      </c>
      <c r="CE3333" s="3" t="s">
        <v>93</v>
      </c>
      <c r="CF3333" s="4">
        <v>44571</v>
      </c>
      <c r="CI3333" s="3">
        <v>1</v>
      </c>
      <c r="CJ3333" s="3">
        <v>1</v>
      </c>
      <c r="CK3333" s="3">
        <v>22</v>
      </c>
      <c r="CL3333" s="3" t="s">
        <v>87</v>
      </c>
    </row>
    <row r="3334" spans="1:90" x14ac:dyDescent="0.2">
      <c r="A3334" s="3" t="s">
        <v>72</v>
      </c>
      <c r="B3334" s="3" t="s">
        <v>73</v>
      </c>
      <c r="C3334" s="3" t="s">
        <v>74</v>
      </c>
      <c r="E3334" s="3" t="str">
        <f>"FES1162843971"</f>
        <v>FES1162843971</v>
      </c>
      <c r="F3334" s="4">
        <v>44568</v>
      </c>
      <c r="G3334" s="3">
        <v>202207</v>
      </c>
      <c r="H3334" s="3" t="s">
        <v>75</v>
      </c>
      <c r="I3334" s="3" t="s">
        <v>76</v>
      </c>
      <c r="J3334" s="3" t="s">
        <v>77</v>
      </c>
      <c r="K3334" s="3" t="s">
        <v>78</v>
      </c>
      <c r="L3334" s="3" t="s">
        <v>920</v>
      </c>
      <c r="M3334" s="3" t="s">
        <v>921</v>
      </c>
      <c r="N3334" s="3" t="s">
        <v>922</v>
      </c>
      <c r="O3334" s="3" t="s">
        <v>82</v>
      </c>
      <c r="P3334" s="3" t="str">
        <f>"2170814374                    "</f>
        <v xml:space="preserve">2170814374                    </v>
      </c>
      <c r="Q3334" s="3">
        <v>0</v>
      </c>
      <c r="R3334" s="3">
        <v>0</v>
      </c>
      <c r="S3334" s="3">
        <v>0</v>
      </c>
      <c r="T3334" s="3">
        <v>0</v>
      </c>
      <c r="U3334" s="3">
        <v>0</v>
      </c>
      <c r="V3334" s="3">
        <v>0</v>
      </c>
      <c r="W3334" s="3">
        <v>0</v>
      </c>
      <c r="X3334" s="3">
        <v>0</v>
      </c>
      <c r="Y3334" s="3">
        <v>0</v>
      </c>
      <c r="Z3334" s="3">
        <v>0</v>
      </c>
      <c r="AA3334" s="3">
        <v>0</v>
      </c>
      <c r="AB3334" s="3">
        <v>0</v>
      </c>
      <c r="AC3334" s="3">
        <v>0</v>
      </c>
      <c r="AD3334" s="3">
        <v>0</v>
      </c>
      <c r="AE3334" s="3">
        <v>0</v>
      </c>
      <c r="AF3334" s="3">
        <v>0</v>
      </c>
      <c r="AG3334" s="3">
        <v>0</v>
      </c>
      <c r="AH3334" s="3">
        <v>0</v>
      </c>
      <c r="AI3334" s="3">
        <v>0</v>
      </c>
      <c r="AJ3334" s="3">
        <v>0</v>
      </c>
      <c r="AK3334" s="3">
        <v>29.95</v>
      </c>
      <c r="AL3334" s="3">
        <v>0</v>
      </c>
      <c r="AM3334" s="3">
        <v>0</v>
      </c>
      <c r="AN3334" s="3">
        <v>0</v>
      </c>
      <c r="AO3334" s="3">
        <v>0</v>
      </c>
      <c r="AP3334" s="3">
        <v>0</v>
      </c>
      <c r="AQ3334" s="3">
        <v>0</v>
      </c>
      <c r="AR3334" s="3">
        <v>0</v>
      </c>
      <c r="AS3334" s="3">
        <v>0</v>
      </c>
      <c r="AT3334" s="3">
        <v>0</v>
      </c>
      <c r="AU3334" s="3">
        <v>0</v>
      </c>
      <c r="AV3334" s="3">
        <v>0</v>
      </c>
      <c r="AW3334" s="3">
        <v>0</v>
      </c>
      <c r="AX3334" s="3">
        <v>0</v>
      </c>
      <c r="AY3334" s="3">
        <v>0</v>
      </c>
      <c r="AZ3334" s="3">
        <v>0</v>
      </c>
      <c r="BA3334" s="3">
        <v>0</v>
      </c>
      <c r="BB3334" s="3">
        <v>0</v>
      </c>
      <c r="BC3334" s="3">
        <v>0</v>
      </c>
      <c r="BD3334" s="3">
        <v>0</v>
      </c>
      <c r="BE3334" s="3">
        <v>0</v>
      </c>
      <c r="BF3334" s="3">
        <v>0</v>
      </c>
      <c r="BG3334" s="3">
        <v>0</v>
      </c>
      <c r="BH3334" s="3">
        <v>1</v>
      </c>
      <c r="BI3334" s="3">
        <v>1</v>
      </c>
      <c r="BJ3334" s="3">
        <v>0.2</v>
      </c>
      <c r="BK3334" s="3">
        <v>1</v>
      </c>
      <c r="BL3334" s="3">
        <v>114.31</v>
      </c>
      <c r="BM3334" s="3">
        <v>17.149999999999999</v>
      </c>
      <c r="BN3334" s="3">
        <v>131.46</v>
      </c>
      <c r="BO3334" s="3">
        <v>131.46</v>
      </c>
      <c r="BQ3334" s="3" t="s">
        <v>89</v>
      </c>
      <c r="BR3334" s="3" t="s">
        <v>364</v>
      </c>
      <c r="BS3334" s="4">
        <v>44571</v>
      </c>
      <c r="BT3334" s="5">
        <v>0.38958333333333334</v>
      </c>
      <c r="BU3334" s="3" t="s">
        <v>1592</v>
      </c>
      <c r="BV3334" s="3" t="s">
        <v>105</v>
      </c>
      <c r="BY3334" s="3">
        <v>1200</v>
      </c>
      <c r="BZ3334" s="3" t="s">
        <v>165</v>
      </c>
      <c r="CA3334" s="3" t="s">
        <v>924</v>
      </c>
      <c r="CC3334" s="3" t="s">
        <v>921</v>
      </c>
      <c r="CD3334" s="3">
        <v>9700</v>
      </c>
      <c r="CE3334" s="3" t="s">
        <v>93</v>
      </c>
      <c r="CF3334" s="4">
        <v>44571</v>
      </c>
      <c r="CI3334" s="3">
        <v>1</v>
      </c>
      <c r="CJ3334" s="3">
        <v>1</v>
      </c>
      <c r="CK3334" s="3">
        <v>23</v>
      </c>
      <c r="CL3334" s="3" t="s">
        <v>87</v>
      </c>
    </row>
    <row r="3335" spans="1:90" x14ac:dyDescent="0.2">
      <c r="A3335" s="3" t="s">
        <v>72</v>
      </c>
      <c r="B3335" s="3" t="s">
        <v>73</v>
      </c>
      <c r="C3335" s="3" t="s">
        <v>74</v>
      </c>
      <c r="E3335" s="3" t="str">
        <f>"FES1162844017"</f>
        <v>FES1162844017</v>
      </c>
      <c r="F3335" s="4">
        <v>44568</v>
      </c>
      <c r="G3335" s="3">
        <v>202207</v>
      </c>
      <c r="H3335" s="3" t="s">
        <v>75</v>
      </c>
      <c r="I3335" s="3" t="s">
        <v>76</v>
      </c>
      <c r="J3335" s="3" t="s">
        <v>77</v>
      </c>
      <c r="K3335" s="3" t="s">
        <v>78</v>
      </c>
      <c r="L3335" s="3" t="s">
        <v>90</v>
      </c>
      <c r="M3335" s="3" t="s">
        <v>91</v>
      </c>
      <c r="N3335" s="3" t="s">
        <v>577</v>
      </c>
      <c r="O3335" s="3" t="s">
        <v>82</v>
      </c>
      <c r="P3335" s="3" t="str">
        <f>"2170815827                    "</f>
        <v xml:space="preserve">2170815827                    </v>
      </c>
      <c r="Q3335" s="3">
        <v>0</v>
      </c>
      <c r="R3335" s="3">
        <v>0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  <c r="AE3335" s="3">
        <v>0</v>
      </c>
      <c r="AF3335" s="3">
        <v>0</v>
      </c>
      <c r="AG3335" s="3">
        <v>0</v>
      </c>
      <c r="AH3335" s="3">
        <v>0</v>
      </c>
      <c r="AI3335" s="3">
        <v>0</v>
      </c>
      <c r="AJ3335" s="3">
        <v>0</v>
      </c>
      <c r="AK3335" s="3">
        <v>15.46</v>
      </c>
      <c r="AL3335" s="3">
        <v>0</v>
      </c>
      <c r="AM3335" s="3">
        <v>0</v>
      </c>
      <c r="AN3335" s="3">
        <v>0</v>
      </c>
      <c r="AO3335" s="3">
        <v>0</v>
      </c>
      <c r="AP3335" s="3">
        <v>0</v>
      </c>
      <c r="AQ3335" s="3">
        <v>0</v>
      </c>
      <c r="AR3335" s="3">
        <v>0</v>
      </c>
      <c r="AS3335" s="3">
        <v>0</v>
      </c>
      <c r="AT3335" s="3">
        <v>0</v>
      </c>
      <c r="AU3335" s="3">
        <v>0</v>
      </c>
      <c r="AV3335" s="3">
        <v>0</v>
      </c>
      <c r="AW3335" s="3">
        <v>0</v>
      </c>
      <c r="AX3335" s="3">
        <v>0</v>
      </c>
      <c r="AY3335" s="3">
        <v>0</v>
      </c>
      <c r="AZ3335" s="3">
        <v>0</v>
      </c>
      <c r="BA3335" s="3">
        <v>0</v>
      </c>
      <c r="BB3335" s="3">
        <v>0</v>
      </c>
      <c r="BC3335" s="3">
        <v>0</v>
      </c>
      <c r="BD3335" s="3">
        <v>0</v>
      </c>
      <c r="BE3335" s="3">
        <v>0</v>
      </c>
      <c r="BF3335" s="3">
        <v>0</v>
      </c>
      <c r="BG3335" s="3">
        <v>0</v>
      </c>
      <c r="BH3335" s="3">
        <v>1</v>
      </c>
      <c r="BI3335" s="3">
        <v>1</v>
      </c>
      <c r="BJ3335" s="3">
        <v>0.2</v>
      </c>
      <c r="BK3335" s="3">
        <v>1</v>
      </c>
      <c r="BL3335" s="3">
        <v>59</v>
      </c>
      <c r="BM3335" s="3">
        <v>8.85</v>
      </c>
      <c r="BN3335" s="3">
        <v>67.849999999999994</v>
      </c>
      <c r="BO3335" s="3">
        <v>67.849999999999994</v>
      </c>
      <c r="BQ3335" s="3" t="s">
        <v>126</v>
      </c>
      <c r="BR3335" s="3" t="s">
        <v>364</v>
      </c>
      <c r="BS3335" s="4">
        <v>44571</v>
      </c>
      <c r="BT3335" s="5">
        <v>0.35069444444444442</v>
      </c>
      <c r="BU3335" s="3" t="s">
        <v>2955</v>
      </c>
      <c r="BV3335" s="3" t="s">
        <v>105</v>
      </c>
      <c r="BY3335" s="3">
        <v>1200</v>
      </c>
      <c r="BZ3335" s="3" t="s">
        <v>165</v>
      </c>
      <c r="CA3335" s="3" t="s">
        <v>2859</v>
      </c>
      <c r="CC3335" s="3" t="s">
        <v>91</v>
      </c>
      <c r="CD3335" s="3">
        <v>7441</v>
      </c>
      <c r="CE3335" s="3" t="s">
        <v>93</v>
      </c>
      <c r="CF3335" s="4">
        <v>44572</v>
      </c>
      <c r="CI3335" s="3">
        <v>1</v>
      </c>
      <c r="CJ3335" s="3">
        <v>1</v>
      </c>
      <c r="CK3335" s="3">
        <v>21</v>
      </c>
      <c r="CL3335" s="3" t="s">
        <v>87</v>
      </c>
    </row>
    <row r="3336" spans="1:90" x14ac:dyDescent="0.2">
      <c r="A3336" s="3" t="s">
        <v>72</v>
      </c>
      <c r="B3336" s="3" t="s">
        <v>73</v>
      </c>
      <c r="C3336" s="3" t="s">
        <v>74</v>
      </c>
      <c r="E3336" s="3" t="str">
        <f>"FES1162843993"</f>
        <v>FES1162843993</v>
      </c>
      <c r="F3336" s="4">
        <v>44568</v>
      </c>
      <c r="G3336" s="3">
        <v>202207</v>
      </c>
      <c r="H3336" s="3" t="s">
        <v>75</v>
      </c>
      <c r="I3336" s="3" t="s">
        <v>76</v>
      </c>
      <c r="J3336" s="3" t="s">
        <v>77</v>
      </c>
      <c r="K3336" s="3" t="s">
        <v>78</v>
      </c>
      <c r="L3336" s="3" t="s">
        <v>101</v>
      </c>
      <c r="M3336" s="3" t="s">
        <v>102</v>
      </c>
      <c r="N3336" s="3" t="s">
        <v>2956</v>
      </c>
      <c r="O3336" s="3" t="s">
        <v>82</v>
      </c>
      <c r="P3336" s="3" t="str">
        <f>"2170815600                    "</f>
        <v xml:space="preserve">2170815600                    </v>
      </c>
      <c r="Q3336" s="3">
        <v>0</v>
      </c>
      <c r="R3336" s="3">
        <v>0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  <c r="AE3336" s="3">
        <v>0</v>
      </c>
      <c r="AF3336" s="3">
        <v>0</v>
      </c>
      <c r="AG3336" s="3">
        <v>0</v>
      </c>
      <c r="AH3336" s="3">
        <v>0</v>
      </c>
      <c r="AI3336" s="3">
        <v>0</v>
      </c>
      <c r="AJ3336" s="3">
        <v>0</v>
      </c>
      <c r="AK3336" s="3">
        <v>15.46</v>
      </c>
      <c r="AL3336" s="3">
        <v>0</v>
      </c>
      <c r="AM3336" s="3">
        <v>0</v>
      </c>
      <c r="AN3336" s="3">
        <v>0</v>
      </c>
      <c r="AO3336" s="3">
        <v>0</v>
      </c>
      <c r="AP3336" s="3">
        <v>0</v>
      </c>
      <c r="AQ3336" s="3">
        <v>0</v>
      </c>
      <c r="AR3336" s="3">
        <v>0</v>
      </c>
      <c r="AS3336" s="3">
        <v>0</v>
      </c>
      <c r="AT3336" s="3">
        <v>0</v>
      </c>
      <c r="AU3336" s="3">
        <v>0</v>
      </c>
      <c r="AV3336" s="3">
        <v>0</v>
      </c>
      <c r="AW3336" s="3">
        <v>0</v>
      </c>
      <c r="AX3336" s="3">
        <v>0</v>
      </c>
      <c r="AY3336" s="3">
        <v>0</v>
      </c>
      <c r="AZ3336" s="3">
        <v>0</v>
      </c>
      <c r="BA3336" s="3">
        <v>0</v>
      </c>
      <c r="BB3336" s="3">
        <v>0</v>
      </c>
      <c r="BC3336" s="3">
        <v>0</v>
      </c>
      <c r="BD3336" s="3">
        <v>0</v>
      </c>
      <c r="BE3336" s="3">
        <v>0</v>
      </c>
      <c r="BF3336" s="3">
        <v>0</v>
      </c>
      <c r="BG3336" s="3">
        <v>0</v>
      </c>
      <c r="BH3336" s="3">
        <v>1</v>
      </c>
      <c r="BI3336" s="3">
        <v>1</v>
      </c>
      <c r="BJ3336" s="3">
        <v>0.2</v>
      </c>
      <c r="BK3336" s="3">
        <v>1</v>
      </c>
      <c r="BL3336" s="3">
        <v>59</v>
      </c>
      <c r="BM3336" s="3">
        <v>8.85</v>
      </c>
      <c r="BN3336" s="3">
        <v>67.849999999999994</v>
      </c>
      <c r="BO3336" s="3">
        <v>67.849999999999994</v>
      </c>
      <c r="BQ3336" s="3" t="s">
        <v>2957</v>
      </c>
      <c r="BR3336" s="3" t="s">
        <v>364</v>
      </c>
      <c r="BS3336" s="4">
        <v>44571</v>
      </c>
      <c r="BT3336" s="5">
        <v>0.37013888888888885</v>
      </c>
      <c r="BU3336" s="3" t="s">
        <v>2958</v>
      </c>
      <c r="BV3336" s="3" t="s">
        <v>105</v>
      </c>
      <c r="BY3336" s="3">
        <v>1200</v>
      </c>
      <c r="BZ3336" s="3" t="s">
        <v>165</v>
      </c>
      <c r="CA3336" s="3" t="s">
        <v>528</v>
      </c>
      <c r="CC3336" s="3" t="s">
        <v>102</v>
      </c>
      <c r="CD3336" s="3">
        <v>4052</v>
      </c>
      <c r="CE3336" s="3" t="s">
        <v>93</v>
      </c>
      <c r="CF3336" s="4">
        <v>44571</v>
      </c>
      <c r="CI3336" s="3">
        <v>1</v>
      </c>
      <c r="CJ3336" s="3">
        <v>1</v>
      </c>
      <c r="CK3336" s="3">
        <v>21</v>
      </c>
      <c r="CL3336" s="3" t="s">
        <v>87</v>
      </c>
    </row>
    <row r="3337" spans="1:90" x14ac:dyDescent="0.2">
      <c r="A3337" s="3" t="s">
        <v>72</v>
      </c>
      <c r="B3337" s="3" t="s">
        <v>73</v>
      </c>
      <c r="C3337" s="3" t="s">
        <v>74</v>
      </c>
      <c r="E3337" s="3" t="str">
        <f>"FES1162843975"</f>
        <v>FES1162843975</v>
      </c>
      <c r="F3337" s="4">
        <v>44568</v>
      </c>
      <c r="G3337" s="3">
        <v>202207</v>
      </c>
      <c r="H3337" s="3" t="s">
        <v>75</v>
      </c>
      <c r="I3337" s="3" t="s">
        <v>76</v>
      </c>
      <c r="J3337" s="3" t="s">
        <v>77</v>
      </c>
      <c r="K3337" s="3" t="s">
        <v>78</v>
      </c>
      <c r="L3337" s="3" t="s">
        <v>187</v>
      </c>
      <c r="M3337" s="3" t="s">
        <v>188</v>
      </c>
      <c r="N3337" s="3" t="s">
        <v>189</v>
      </c>
      <c r="O3337" s="3" t="s">
        <v>82</v>
      </c>
      <c r="P3337" s="3" t="str">
        <f>"2170814559                    "</f>
        <v xml:space="preserve">2170814559                    </v>
      </c>
      <c r="Q3337" s="3">
        <v>0</v>
      </c>
      <c r="R3337" s="3">
        <v>0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  <c r="AE3337" s="3">
        <v>0</v>
      </c>
      <c r="AF3337" s="3">
        <v>0</v>
      </c>
      <c r="AG3337" s="3">
        <v>0</v>
      </c>
      <c r="AH3337" s="3">
        <v>0</v>
      </c>
      <c r="AI3337" s="3">
        <v>0</v>
      </c>
      <c r="AJ3337" s="3">
        <v>0</v>
      </c>
      <c r="AK3337" s="3">
        <v>29.95</v>
      </c>
      <c r="AL3337" s="3">
        <v>0</v>
      </c>
      <c r="AM3337" s="3">
        <v>0</v>
      </c>
      <c r="AN3337" s="3">
        <v>0</v>
      </c>
      <c r="AO3337" s="3">
        <v>0</v>
      </c>
      <c r="AP3337" s="3">
        <v>0</v>
      </c>
      <c r="AQ3337" s="3">
        <v>0</v>
      </c>
      <c r="AR3337" s="3">
        <v>0</v>
      </c>
      <c r="AS3337" s="3">
        <v>0</v>
      </c>
      <c r="AT3337" s="3">
        <v>0</v>
      </c>
      <c r="AU3337" s="3">
        <v>0</v>
      </c>
      <c r="AV3337" s="3">
        <v>0</v>
      </c>
      <c r="AW3337" s="3">
        <v>0</v>
      </c>
      <c r="AX3337" s="3">
        <v>0</v>
      </c>
      <c r="AY3337" s="3">
        <v>0</v>
      </c>
      <c r="AZ3337" s="3">
        <v>0</v>
      </c>
      <c r="BA3337" s="3">
        <v>0</v>
      </c>
      <c r="BB3337" s="3">
        <v>0</v>
      </c>
      <c r="BC3337" s="3">
        <v>0</v>
      </c>
      <c r="BD3337" s="3">
        <v>0</v>
      </c>
      <c r="BE3337" s="3">
        <v>0</v>
      </c>
      <c r="BF3337" s="3">
        <v>0</v>
      </c>
      <c r="BG3337" s="3">
        <v>0</v>
      </c>
      <c r="BH3337" s="3">
        <v>1</v>
      </c>
      <c r="BI3337" s="3">
        <v>1</v>
      </c>
      <c r="BJ3337" s="3">
        <v>0.2</v>
      </c>
      <c r="BK3337" s="3">
        <v>1</v>
      </c>
      <c r="BL3337" s="3">
        <v>114.31</v>
      </c>
      <c r="BM3337" s="3">
        <v>17.149999999999999</v>
      </c>
      <c r="BN3337" s="3">
        <v>131.46</v>
      </c>
      <c r="BO3337" s="3">
        <v>131.46</v>
      </c>
      <c r="BQ3337" s="3" t="s">
        <v>83</v>
      </c>
      <c r="BR3337" s="3" t="s">
        <v>364</v>
      </c>
      <c r="BS3337" s="4">
        <v>44571</v>
      </c>
      <c r="BT3337" s="5">
        <v>0.53055555555555556</v>
      </c>
      <c r="BU3337" s="3" t="s">
        <v>955</v>
      </c>
      <c r="BV3337" s="3" t="s">
        <v>105</v>
      </c>
      <c r="BY3337" s="3">
        <v>1200</v>
      </c>
      <c r="BZ3337" s="3" t="s">
        <v>165</v>
      </c>
      <c r="CA3337" s="3" t="s">
        <v>268</v>
      </c>
      <c r="CC3337" s="3" t="s">
        <v>188</v>
      </c>
      <c r="CD3337" s="3">
        <v>7300</v>
      </c>
      <c r="CE3337" s="3" t="s">
        <v>93</v>
      </c>
      <c r="CF3337" s="4">
        <v>44572</v>
      </c>
      <c r="CI3337" s="3">
        <v>1</v>
      </c>
      <c r="CJ3337" s="3">
        <v>1</v>
      </c>
      <c r="CK3337" s="3">
        <v>23</v>
      </c>
      <c r="CL3337" s="3" t="s">
        <v>87</v>
      </c>
    </row>
    <row r="3338" spans="1:90" x14ac:dyDescent="0.2">
      <c r="A3338" s="3" t="s">
        <v>72</v>
      </c>
      <c r="B3338" s="3" t="s">
        <v>73</v>
      </c>
      <c r="C3338" s="3" t="s">
        <v>74</v>
      </c>
      <c r="E3338" s="3" t="str">
        <f>"FES1162843963"</f>
        <v>FES1162843963</v>
      </c>
      <c r="F3338" s="4">
        <v>44568</v>
      </c>
      <c r="G3338" s="3">
        <v>202207</v>
      </c>
      <c r="H3338" s="3" t="s">
        <v>75</v>
      </c>
      <c r="I3338" s="3" t="s">
        <v>76</v>
      </c>
      <c r="J3338" s="3" t="s">
        <v>77</v>
      </c>
      <c r="K3338" s="3" t="s">
        <v>78</v>
      </c>
      <c r="L3338" s="3" t="s">
        <v>138</v>
      </c>
      <c r="M3338" s="3" t="s">
        <v>139</v>
      </c>
      <c r="N3338" s="3" t="s">
        <v>140</v>
      </c>
      <c r="O3338" s="3" t="s">
        <v>82</v>
      </c>
      <c r="P3338" s="3" t="str">
        <f>"2170814246                    "</f>
        <v xml:space="preserve">2170814246                    </v>
      </c>
      <c r="Q3338" s="3">
        <v>0</v>
      </c>
      <c r="R3338" s="3">
        <v>0</v>
      </c>
      <c r="S3338" s="3">
        <v>0</v>
      </c>
      <c r="T3338" s="3">
        <v>0</v>
      </c>
      <c r="U3338" s="3">
        <v>0</v>
      </c>
      <c r="V3338" s="3">
        <v>0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0</v>
      </c>
      <c r="AC3338" s="3">
        <v>0</v>
      </c>
      <c r="AD3338" s="3">
        <v>0</v>
      </c>
      <c r="AE3338" s="3">
        <v>0</v>
      </c>
      <c r="AF3338" s="3">
        <v>0</v>
      </c>
      <c r="AG3338" s="3">
        <v>0</v>
      </c>
      <c r="AH3338" s="3">
        <v>0</v>
      </c>
      <c r="AI3338" s="3">
        <v>0</v>
      </c>
      <c r="AJ3338" s="3">
        <v>0</v>
      </c>
      <c r="AK3338" s="3">
        <v>15.46</v>
      </c>
      <c r="AL3338" s="3">
        <v>0</v>
      </c>
      <c r="AM3338" s="3">
        <v>0</v>
      </c>
      <c r="AN3338" s="3">
        <v>0</v>
      </c>
      <c r="AO3338" s="3">
        <v>0</v>
      </c>
      <c r="AP3338" s="3">
        <v>0</v>
      </c>
      <c r="AQ3338" s="3">
        <v>0</v>
      </c>
      <c r="AR3338" s="3">
        <v>0</v>
      </c>
      <c r="AS3338" s="3">
        <v>0</v>
      </c>
      <c r="AT3338" s="3">
        <v>0</v>
      </c>
      <c r="AU3338" s="3">
        <v>0</v>
      </c>
      <c r="AV3338" s="3">
        <v>0</v>
      </c>
      <c r="AW3338" s="3">
        <v>0</v>
      </c>
      <c r="AX3338" s="3">
        <v>0</v>
      </c>
      <c r="AY3338" s="3">
        <v>0</v>
      </c>
      <c r="AZ3338" s="3">
        <v>0</v>
      </c>
      <c r="BA3338" s="3">
        <v>0</v>
      </c>
      <c r="BB3338" s="3">
        <v>0</v>
      </c>
      <c r="BC3338" s="3">
        <v>0</v>
      </c>
      <c r="BD3338" s="3">
        <v>0</v>
      </c>
      <c r="BE3338" s="3">
        <v>0</v>
      </c>
      <c r="BF3338" s="3">
        <v>0</v>
      </c>
      <c r="BG3338" s="3">
        <v>0</v>
      </c>
      <c r="BH3338" s="3">
        <v>1</v>
      </c>
      <c r="BI3338" s="3">
        <v>2</v>
      </c>
      <c r="BJ3338" s="3">
        <v>1.1000000000000001</v>
      </c>
      <c r="BK3338" s="3">
        <v>2</v>
      </c>
      <c r="BL3338" s="3">
        <v>59</v>
      </c>
      <c r="BM3338" s="3">
        <v>8.85</v>
      </c>
      <c r="BN3338" s="3">
        <v>67.849999999999994</v>
      </c>
      <c r="BO3338" s="3">
        <v>67.849999999999994</v>
      </c>
      <c r="BQ3338" s="3" t="s">
        <v>126</v>
      </c>
      <c r="BR3338" s="3" t="s">
        <v>364</v>
      </c>
      <c r="BS3338" s="4">
        <v>44571</v>
      </c>
      <c r="BT3338" s="5">
        <v>0.3354166666666667</v>
      </c>
      <c r="BU3338" s="3" t="s">
        <v>2959</v>
      </c>
      <c r="BV3338" s="3" t="s">
        <v>105</v>
      </c>
      <c r="BY3338" s="3">
        <v>5320</v>
      </c>
      <c r="BZ3338" s="3" t="s">
        <v>165</v>
      </c>
      <c r="CA3338" s="3" t="s">
        <v>106</v>
      </c>
      <c r="CC3338" s="3" t="s">
        <v>139</v>
      </c>
      <c r="CD3338" s="3">
        <v>3610</v>
      </c>
      <c r="CE3338" s="3" t="s">
        <v>86</v>
      </c>
      <c r="CF3338" s="4">
        <v>44571</v>
      </c>
      <c r="CI3338" s="3">
        <v>1</v>
      </c>
      <c r="CJ3338" s="3">
        <v>1</v>
      </c>
      <c r="CK3338" s="3">
        <v>21</v>
      </c>
      <c r="CL3338" s="3" t="s">
        <v>87</v>
      </c>
    </row>
    <row r="3339" spans="1:90" x14ac:dyDescent="0.2">
      <c r="A3339" s="3" t="s">
        <v>72</v>
      </c>
      <c r="B3339" s="3" t="s">
        <v>73</v>
      </c>
      <c r="C3339" s="3" t="s">
        <v>74</v>
      </c>
      <c r="E3339" s="3" t="str">
        <f>"FES1162844058"</f>
        <v>FES1162844058</v>
      </c>
      <c r="F3339" s="4">
        <v>44568</v>
      </c>
      <c r="G3339" s="3">
        <v>202207</v>
      </c>
      <c r="H3339" s="3" t="s">
        <v>75</v>
      </c>
      <c r="I3339" s="3" t="s">
        <v>76</v>
      </c>
      <c r="J3339" s="3" t="s">
        <v>77</v>
      </c>
      <c r="K3339" s="3" t="s">
        <v>78</v>
      </c>
      <c r="L3339" s="3" t="s">
        <v>162</v>
      </c>
      <c r="M3339" s="3" t="s">
        <v>163</v>
      </c>
      <c r="N3339" s="3" t="s">
        <v>164</v>
      </c>
      <c r="O3339" s="3" t="s">
        <v>82</v>
      </c>
      <c r="P3339" s="3" t="str">
        <f>"2170815874                    "</f>
        <v xml:space="preserve">2170815874                    </v>
      </c>
      <c r="Q3339" s="3">
        <v>0</v>
      </c>
      <c r="R3339" s="3">
        <v>0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  <c r="AE3339" s="3">
        <v>0</v>
      </c>
      <c r="AF3339" s="3">
        <v>0</v>
      </c>
      <c r="AG3339" s="3">
        <v>0</v>
      </c>
      <c r="AH3339" s="3">
        <v>0</v>
      </c>
      <c r="AI3339" s="3">
        <v>0</v>
      </c>
      <c r="AJ3339" s="3">
        <v>0</v>
      </c>
      <c r="AK3339" s="3">
        <v>12.07</v>
      </c>
      <c r="AL3339" s="3">
        <v>0</v>
      </c>
      <c r="AM3339" s="3">
        <v>0</v>
      </c>
      <c r="AN3339" s="3">
        <v>0</v>
      </c>
      <c r="AO3339" s="3">
        <v>0</v>
      </c>
      <c r="AP3339" s="3">
        <v>0</v>
      </c>
      <c r="AQ3339" s="3">
        <v>0</v>
      </c>
      <c r="AR3339" s="3">
        <v>0</v>
      </c>
      <c r="AS3339" s="3">
        <v>0</v>
      </c>
      <c r="AT3339" s="3">
        <v>0</v>
      </c>
      <c r="AU3339" s="3">
        <v>0</v>
      </c>
      <c r="AV3339" s="3">
        <v>0</v>
      </c>
      <c r="AW3339" s="3">
        <v>0</v>
      </c>
      <c r="AX3339" s="3">
        <v>0</v>
      </c>
      <c r="AY3339" s="3">
        <v>0</v>
      </c>
      <c r="AZ3339" s="3">
        <v>0</v>
      </c>
      <c r="BA3339" s="3">
        <v>0</v>
      </c>
      <c r="BB3339" s="3">
        <v>0</v>
      </c>
      <c r="BC3339" s="3">
        <v>0</v>
      </c>
      <c r="BD3339" s="3">
        <v>0</v>
      </c>
      <c r="BE3339" s="3">
        <v>0</v>
      </c>
      <c r="BF3339" s="3">
        <v>0</v>
      </c>
      <c r="BG3339" s="3">
        <v>0</v>
      </c>
      <c r="BH3339" s="3">
        <v>1</v>
      </c>
      <c r="BI3339" s="3">
        <v>1</v>
      </c>
      <c r="BJ3339" s="3">
        <v>1.1000000000000001</v>
      </c>
      <c r="BK3339" s="3">
        <v>1.5</v>
      </c>
      <c r="BL3339" s="3">
        <v>46.08</v>
      </c>
      <c r="BM3339" s="3">
        <v>6.91</v>
      </c>
      <c r="BN3339" s="3">
        <v>52.99</v>
      </c>
      <c r="BO3339" s="3">
        <v>52.99</v>
      </c>
      <c r="BQ3339" s="3" t="s">
        <v>89</v>
      </c>
      <c r="BR3339" s="3" t="s">
        <v>364</v>
      </c>
      <c r="BS3339" s="4">
        <v>44571</v>
      </c>
      <c r="BT3339" s="5">
        <v>0.43888888888888888</v>
      </c>
      <c r="BU3339" s="3" t="s">
        <v>2479</v>
      </c>
      <c r="BV3339" s="3" t="s">
        <v>87</v>
      </c>
      <c r="BW3339" s="3" t="s">
        <v>353</v>
      </c>
      <c r="BX3339" s="3" t="s">
        <v>377</v>
      </c>
      <c r="BY3339" s="3">
        <v>5320</v>
      </c>
      <c r="BZ3339" s="3" t="s">
        <v>165</v>
      </c>
      <c r="CA3339" s="3" t="s">
        <v>591</v>
      </c>
      <c r="CC3339" s="3" t="s">
        <v>163</v>
      </c>
      <c r="CD3339" s="3">
        <v>1428</v>
      </c>
      <c r="CE3339" s="3" t="s">
        <v>86</v>
      </c>
      <c r="CF3339" s="4">
        <v>44571</v>
      </c>
      <c r="CI3339" s="3">
        <v>1</v>
      </c>
      <c r="CJ3339" s="3">
        <v>1</v>
      </c>
      <c r="CK3339" s="3">
        <v>22</v>
      </c>
      <c r="CL3339" s="3" t="s">
        <v>87</v>
      </c>
    </row>
    <row r="3340" spans="1:90" x14ac:dyDescent="0.2">
      <c r="A3340" s="3" t="s">
        <v>72</v>
      </c>
      <c r="B3340" s="3" t="s">
        <v>73</v>
      </c>
      <c r="C3340" s="3" t="s">
        <v>74</v>
      </c>
      <c r="E3340" s="3" t="str">
        <f>"FES1162843906"</f>
        <v>FES1162843906</v>
      </c>
      <c r="F3340" s="4">
        <v>44568</v>
      </c>
      <c r="G3340" s="3">
        <v>202207</v>
      </c>
      <c r="H3340" s="3" t="s">
        <v>75</v>
      </c>
      <c r="I3340" s="3" t="s">
        <v>76</v>
      </c>
      <c r="J3340" s="3" t="s">
        <v>77</v>
      </c>
      <c r="K3340" s="3" t="s">
        <v>78</v>
      </c>
      <c r="L3340" s="3" t="s">
        <v>97</v>
      </c>
      <c r="M3340" s="3" t="s">
        <v>98</v>
      </c>
      <c r="N3340" s="3" t="s">
        <v>2960</v>
      </c>
      <c r="O3340" s="3" t="s">
        <v>82</v>
      </c>
      <c r="P3340" s="3" t="str">
        <f>"2170808881                    "</f>
        <v xml:space="preserve">2170808881                    </v>
      </c>
      <c r="Q3340" s="3">
        <v>0</v>
      </c>
      <c r="R3340" s="3">
        <v>0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  <c r="AE3340" s="3">
        <v>0</v>
      </c>
      <c r="AF3340" s="3">
        <v>0</v>
      </c>
      <c r="AG3340" s="3">
        <v>0</v>
      </c>
      <c r="AH3340" s="3">
        <v>0</v>
      </c>
      <c r="AI3340" s="3">
        <v>0</v>
      </c>
      <c r="AJ3340" s="3">
        <v>0</v>
      </c>
      <c r="AK3340" s="3">
        <v>12.07</v>
      </c>
      <c r="AL3340" s="3">
        <v>0</v>
      </c>
      <c r="AM3340" s="3">
        <v>0</v>
      </c>
      <c r="AN3340" s="3">
        <v>0</v>
      </c>
      <c r="AO3340" s="3">
        <v>0</v>
      </c>
      <c r="AP3340" s="3">
        <v>0</v>
      </c>
      <c r="AQ3340" s="3">
        <v>0</v>
      </c>
      <c r="AR3340" s="3">
        <v>0</v>
      </c>
      <c r="AS3340" s="3">
        <v>0</v>
      </c>
      <c r="AT3340" s="3">
        <v>0</v>
      </c>
      <c r="AU3340" s="3">
        <v>0</v>
      </c>
      <c r="AV3340" s="3">
        <v>0</v>
      </c>
      <c r="AW3340" s="3">
        <v>0</v>
      </c>
      <c r="AX3340" s="3">
        <v>0</v>
      </c>
      <c r="AY3340" s="3">
        <v>0</v>
      </c>
      <c r="AZ3340" s="3">
        <v>0</v>
      </c>
      <c r="BA3340" s="3">
        <v>0</v>
      </c>
      <c r="BB3340" s="3">
        <v>0</v>
      </c>
      <c r="BC3340" s="3">
        <v>0</v>
      </c>
      <c r="BD3340" s="3">
        <v>0</v>
      </c>
      <c r="BE3340" s="3">
        <v>0</v>
      </c>
      <c r="BF3340" s="3">
        <v>0</v>
      </c>
      <c r="BG3340" s="3">
        <v>0</v>
      </c>
      <c r="BH3340" s="3">
        <v>1</v>
      </c>
      <c r="BI3340" s="3">
        <v>1</v>
      </c>
      <c r="BJ3340" s="3">
        <v>1.5</v>
      </c>
      <c r="BK3340" s="3">
        <v>1.5</v>
      </c>
      <c r="BL3340" s="3">
        <v>46.08</v>
      </c>
      <c r="BM3340" s="3">
        <v>6.91</v>
      </c>
      <c r="BN3340" s="3">
        <v>52.99</v>
      </c>
      <c r="BO3340" s="3">
        <v>52.99</v>
      </c>
      <c r="BR3340" s="3" t="s">
        <v>364</v>
      </c>
      <c r="BS3340" s="4">
        <v>44571</v>
      </c>
      <c r="BT3340" s="5">
        <v>0.3215277777777778</v>
      </c>
      <c r="BU3340" s="3" t="s">
        <v>2961</v>
      </c>
      <c r="BV3340" s="3" t="s">
        <v>105</v>
      </c>
      <c r="BY3340" s="3">
        <v>7540</v>
      </c>
      <c r="BZ3340" s="3" t="s">
        <v>165</v>
      </c>
      <c r="CA3340" s="3" t="s">
        <v>1189</v>
      </c>
      <c r="CC3340" s="3" t="s">
        <v>98</v>
      </c>
      <c r="CD3340" s="3">
        <v>2001</v>
      </c>
      <c r="CE3340" s="3" t="s">
        <v>86</v>
      </c>
      <c r="CF3340" s="4">
        <v>44571</v>
      </c>
      <c r="CI3340" s="3">
        <v>1</v>
      </c>
      <c r="CJ3340" s="3">
        <v>1</v>
      </c>
      <c r="CK3340" s="3">
        <v>22</v>
      </c>
      <c r="CL3340" s="3" t="s">
        <v>87</v>
      </c>
    </row>
    <row r="3341" spans="1:90" x14ac:dyDescent="0.2">
      <c r="A3341" s="3" t="s">
        <v>72</v>
      </c>
      <c r="B3341" s="3" t="s">
        <v>73</v>
      </c>
      <c r="C3341" s="3" t="s">
        <v>74</v>
      </c>
      <c r="E3341" s="3" t="str">
        <f>"FES1162843901"</f>
        <v>FES1162843901</v>
      </c>
      <c r="F3341" s="4">
        <v>44568</v>
      </c>
      <c r="G3341" s="3">
        <v>202207</v>
      </c>
      <c r="H3341" s="3" t="s">
        <v>75</v>
      </c>
      <c r="I3341" s="3" t="s">
        <v>76</v>
      </c>
      <c r="J3341" s="3" t="s">
        <v>77</v>
      </c>
      <c r="K3341" s="3" t="s">
        <v>78</v>
      </c>
      <c r="L3341" s="3" t="s">
        <v>184</v>
      </c>
      <c r="M3341" s="3" t="s">
        <v>185</v>
      </c>
      <c r="N3341" s="3" t="s">
        <v>793</v>
      </c>
      <c r="O3341" s="3" t="s">
        <v>82</v>
      </c>
      <c r="P3341" s="3" t="str">
        <f>"2170807696                    "</f>
        <v xml:space="preserve">2170807696                    </v>
      </c>
      <c r="Q3341" s="3">
        <v>0</v>
      </c>
      <c r="R3341" s="3">
        <v>0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  <c r="AE3341" s="3">
        <v>0</v>
      </c>
      <c r="AF3341" s="3">
        <v>0</v>
      </c>
      <c r="AG3341" s="3">
        <v>0</v>
      </c>
      <c r="AH3341" s="3">
        <v>0</v>
      </c>
      <c r="AI3341" s="3">
        <v>0</v>
      </c>
      <c r="AJ3341" s="3">
        <v>0</v>
      </c>
      <c r="AK3341" s="3">
        <v>34.770000000000003</v>
      </c>
      <c r="AL3341" s="3">
        <v>0</v>
      </c>
      <c r="AM3341" s="3">
        <v>0</v>
      </c>
      <c r="AN3341" s="3">
        <v>0</v>
      </c>
      <c r="AO3341" s="3">
        <v>0</v>
      </c>
      <c r="AP3341" s="3">
        <v>0</v>
      </c>
      <c r="AQ3341" s="3">
        <v>0</v>
      </c>
      <c r="AR3341" s="3">
        <v>0</v>
      </c>
      <c r="AS3341" s="3">
        <v>0</v>
      </c>
      <c r="AT3341" s="3">
        <v>0</v>
      </c>
      <c r="AU3341" s="3">
        <v>0</v>
      </c>
      <c r="AV3341" s="3">
        <v>0</v>
      </c>
      <c r="AW3341" s="3">
        <v>0</v>
      </c>
      <c r="AX3341" s="3">
        <v>0</v>
      </c>
      <c r="AY3341" s="3">
        <v>0</v>
      </c>
      <c r="AZ3341" s="3">
        <v>0</v>
      </c>
      <c r="BA3341" s="3">
        <v>0</v>
      </c>
      <c r="BB3341" s="3">
        <v>0</v>
      </c>
      <c r="BC3341" s="3">
        <v>0</v>
      </c>
      <c r="BD3341" s="3">
        <v>0</v>
      </c>
      <c r="BE3341" s="3">
        <v>0</v>
      </c>
      <c r="BF3341" s="3">
        <v>0</v>
      </c>
      <c r="BG3341" s="3">
        <v>0</v>
      </c>
      <c r="BH3341" s="3">
        <v>1</v>
      </c>
      <c r="BI3341" s="3">
        <v>2</v>
      </c>
      <c r="BJ3341" s="3">
        <v>4.0999999999999996</v>
      </c>
      <c r="BK3341" s="3">
        <v>4.5</v>
      </c>
      <c r="BL3341" s="3">
        <v>132.71</v>
      </c>
      <c r="BM3341" s="3">
        <v>19.91</v>
      </c>
      <c r="BN3341" s="3">
        <v>152.62</v>
      </c>
      <c r="BO3341" s="3">
        <v>152.62</v>
      </c>
      <c r="BQ3341" s="3" t="s">
        <v>89</v>
      </c>
      <c r="BR3341" s="3" t="s">
        <v>364</v>
      </c>
      <c r="BS3341" s="4">
        <v>44572</v>
      </c>
      <c r="BT3341" s="5">
        <v>0.36319444444444443</v>
      </c>
      <c r="BU3341" s="3" t="s">
        <v>323</v>
      </c>
      <c r="BV3341" s="3" t="s">
        <v>87</v>
      </c>
      <c r="BW3341" s="3" t="s">
        <v>617</v>
      </c>
      <c r="BX3341" s="3" t="s">
        <v>605</v>
      </c>
      <c r="BY3341" s="3">
        <v>20358</v>
      </c>
      <c r="BZ3341" s="3" t="s">
        <v>165</v>
      </c>
      <c r="CA3341" s="3" t="s">
        <v>324</v>
      </c>
      <c r="CC3341" s="3" t="s">
        <v>185</v>
      </c>
      <c r="CD3341" s="3">
        <v>5200</v>
      </c>
      <c r="CE3341" s="3" t="s">
        <v>86</v>
      </c>
      <c r="CF3341" s="4">
        <v>44572</v>
      </c>
      <c r="CI3341" s="3">
        <v>1</v>
      </c>
      <c r="CJ3341" s="3">
        <v>2</v>
      </c>
      <c r="CK3341" s="3">
        <v>21</v>
      </c>
      <c r="CL3341" s="3" t="s">
        <v>87</v>
      </c>
    </row>
    <row r="3342" spans="1:90" x14ac:dyDescent="0.2">
      <c r="A3342" s="3" t="s">
        <v>72</v>
      </c>
      <c r="B3342" s="3" t="s">
        <v>73</v>
      </c>
      <c r="C3342" s="3" t="s">
        <v>74</v>
      </c>
      <c r="E3342" s="3" t="str">
        <f>"FES1162844117"</f>
        <v>FES1162844117</v>
      </c>
      <c r="F3342" s="4">
        <v>44568</v>
      </c>
      <c r="G3342" s="3">
        <v>202207</v>
      </c>
      <c r="H3342" s="3" t="s">
        <v>75</v>
      </c>
      <c r="I3342" s="3" t="s">
        <v>76</v>
      </c>
      <c r="J3342" s="3" t="s">
        <v>77</v>
      </c>
      <c r="K3342" s="3" t="s">
        <v>78</v>
      </c>
      <c r="L3342" s="3" t="s">
        <v>90</v>
      </c>
      <c r="M3342" s="3" t="s">
        <v>91</v>
      </c>
      <c r="N3342" s="3" t="s">
        <v>2116</v>
      </c>
      <c r="O3342" s="3" t="s">
        <v>82</v>
      </c>
      <c r="P3342" s="3" t="str">
        <f>"2170815914                    "</f>
        <v xml:space="preserve">2170815914                    </v>
      </c>
      <c r="Q3342" s="3">
        <v>0</v>
      </c>
      <c r="R3342" s="3">
        <v>0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  <c r="AE3342" s="3">
        <v>0</v>
      </c>
      <c r="AF3342" s="3">
        <v>0</v>
      </c>
      <c r="AG3342" s="3">
        <v>0</v>
      </c>
      <c r="AH3342" s="3">
        <v>0</v>
      </c>
      <c r="AI3342" s="3">
        <v>0</v>
      </c>
      <c r="AJ3342" s="3">
        <v>0</v>
      </c>
      <c r="AK3342" s="3">
        <v>15.46</v>
      </c>
      <c r="AL3342" s="3">
        <v>0</v>
      </c>
      <c r="AM3342" s="3">
        <v>0</v>
      </c>
      <c r="AN3342" s="3">
        <v>0</v>
      </c>
      <c r="AO3342" s="3">
        <v>0</v>
      </c>
      <c r="AP3342" s="3">
        <v>0</v>
      </c>
      <c r="AQ3342" s="3">
        <v>0</v>
      </c>
      <c r="AR3342" s="3">
        <v>0</v>
      </c>
      <c r="AS3342" s="3">
        <v>0</v>
      </c>
      <c r="AT3342" s="3">
        <v>0</v>
      </c>
      <c r="AU3342" s="3">
        <v>0</v>
      </c>
      <c r="AV3342" s="3">
        <v>0</v>
      </c>
      <c r="AW3342" s="3">
        <v>0</v>
      </c>
      <c r="AX3342" s="3">
        <v>0</v>
      </c>
      <c r="AY3342" s="3">
        <v>0</v>
      </c>
      <c r="AZ3342" s="3">
        <v>0</v>
      </c>
      <c r="BA3342" s="3">
        <v>0</v>
      </c>
      <c r="BB3342" s="3">
        <v>0</v>
      </c>
      <c r="BC3342" s="3">
        <v>0</v>
      </c>
      <c r="BD3342" s="3">
        <v>0</v>
      </c>
      <c r="BE3342" s="3">
        <v>0</v>
      </c>
      <c r="BF3342" s="3">
        <v>0</v>
      </c>
      <c r="BG3342" s="3">
        <v>0</v>
      </c>
      <c r="BH3342" s="3">
        <v>1</v>
      </c>
      <c r="BI3342" s="3">
        <v>1</v>
      </c>
      <c r="BJ3342" s="3">
        <v>2</v>
      </c>
      <c r="BK3342" s="3">
        <v>2</v>
      </c>
      <c r="BL3342" s="3">
        <v>59</v>
      </c>
      <c r="BM3342" s="3">
        <v>8.85</v>
      </c>
      <c r="BN3342" s="3">
        <v>67.849999999999994</v>
      </c>
      <c r="BO3342" s="3">
        <v>67.849999999999994</v>
      </c>
      <c r="BQ3342" s="3" t="s">
        <v>2117</v>
      </c>
      <c r="BR3342" s="3" t="s">
        <v>364</v>
      </c>
      <c r="BS3342" s="4">
        <v>44574</v>
      </c>
      <c r="BT3342" s="5">
        <v>0.7319444444444444</v>
      </c>
      <c r="BU3342" s="3" t="s">
        <v>2962</v>
      </c>
      <c r="BV3342" s="3" t="s">
        <v>87</v>
      </c>
      <c r="BW3342" s="3" t="s">
        <v>376</v>
      </c>
      <c r="BX3342" s="3" t="s">
        <v>758</v>
      </c>
      <c r="BY3342" s="3">
        <v>9900</v>
      </c>
      <c r="BZ3342" s="3" t="s">
        <v>165</v>
      </c>
      <c r="CA3342" s="3" t="s">
        <v>2963</v>
      </c>
      <c r="CC3342" s="3" t="s">
        <v>91</v>
      </c>
      <c r="CD3342" s="3">
        <v>7405</v>
      </c>
      <c r="CE3342" s="3" t="s">
        <v>86</v>
      </c>
      <c r="CF3342" s="4">
        <v>44575</v>
      </c>
      <c r="CI3342" s="3">
        <v>1</v>
      </c>
      <c r="CJ3342" s="3">
        <v>4</v>
      </c>
      <c r="CK3342" s="3">
        <v>21</v>
      </c>
      <c r="CL3342" s="3" t="s">
        <v>87</v>
      </c>
    </row>
    <row r="3343" spans="1:90" x14ac:dyDescent="0.2">
      <c r="A3343" s="3" t="s">
        <v>72</v>
      </c>
      <c r="B3343" s="3" t="s">
        <v>73</v>
      </c>
      <c r="C3343" s="3" t="s">
        <v>74</v>
      </c>
      <c r="E3343" s="3" t="str">
        <f>"FES1162843944"</f>
        <v>FES1162843944</v>
      </c>
      <c r="F3343" s="4">
        <v>44568</v>
      </c>
      <c r="G3343" s="3">
        <v>202207</v>
      </c>
      <c r="H3343" s="3" t="s">
        <v>75</v>
      </c>
      <c r="I3343" s="3" t="s">
        <v>76</v>
      </c>
      <c r="J3343" s="3" t="s">
        <v>77</v>
      </c>
      <c r="K3343" s="3" t="s">
        <v>78</v>
      </c>
      <c r="L3343" s="3" t="s">
        <v>731</v>
      </c>
      <c r="M3343" s="3" t="s">
        <v>732</v>
      </c>
      <c r="N3343" s="3" t="s">
        <v>733</v>
      </c>
      <c r="O3343" s="3" t="s">
        <v>82</v>
      </c>
      <c r="P3343" s="3" t="str">
        <f>"2170813817                    "</f>
        <v xml:space="preserve">2170813817                    </v>
      </c>
      <c r="Q3343" s="3">
        <v>0</v>
      </c>
      <c r="R3343" s="3">
        <v>0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  <c r="AE3343" s="3">
        <v>0</v>
      </c>
      <c r="AF3343" s="3">
        <v>0</v>
      </c>
      <c r="AG3343" s="3">
        <v>0</v>
      </c>
      <c r="AH3343" s="3">
        <v>0</v>
      </c>
      <c r="AI3343" s="3">
        <v>0</v>
      </c>
      <c r="AJ3343" s="3">
        <v>0</v>
      </c>
      <c r="AK3343" s="3">
        <v>57</v>
      </c>
      <c r="AL3343" s="3">
        <v>0</v>
      </c>
      <c r="AM3343" s="3">
        <v>0</v>
      </c>
      <c r="AN3343" s="3">
        <v>0</v>
      </c>
      <c r="AO3343" s="3">
        <v>0</v>
      </c>
      <c r="AP3343" s="3">
        <v>0</v>
      </c>
      <c r="AQ3343" s="3">
        <v>0</v>
      </c>
      <c r="AR3343" s="3">
        <v>0</v>
      </c>
      <c r="AS3343" s="3">
        <v>0</v>
      </c>
      <c r="AT3343" s="3">
        <v>0</v>
      </c>
      <c r="AU3343" s="3">
        <v>0</v>
      </c>
      <c r="AV3343" s="3">
        <v>0</v>
      </c>
      <c r="AW3343" s="3">
        <v>0</v>
      </c>
      <c r="AX3343" s="3">
        <v>0</v>
      </c>
      <c r="AY3343" s="3">
        <v>0</v>
      </c>
      <c r="AZ3343" s="3">
        <v>0</v>
      </c>
      <c r="BA3343" s="3">
        <v>0</v>
      </c>
      <c r="BB3343" s="3">
        <v>0</v>
      </c>
      <c r="BC3343" s="3">
        <v>0</v>
      </c>
      <c r="BD3343" s="3">
        <v>0</v>
      </c>
      <c r="BE3343" s="3">
        <v>0</v>
      </c>
      <c r="BF3343" s="3">
        <v>0</v>
      </c>
      <c r="BG3343" s="3">
        <v>0</v>
      </c>
      <c r="BH3343" s="3">
        <v>1</v>
      </c>
      <c r="BI3343" s="3">
        <v>4</v>
      </c>
      <c r="BJ3343" s="3">
        <v>1.5</v>
      </c>
      <c r="BK3343" s="3">
        <v>4</v>
      </c>
      <c r="BL3343" s="3">
        <v>217.56</v>
      </c>
      <c r="BM3343" s="3">
        <v>32.630000000000003</v>
      </c>
      <c r="BN3343" s="3">
        <v>250.19</v>
      </c>
      <c r="BO3343" s="3">
        <v>250.19</v>
      </c>
      <c r="BQ3343" s="3" t="s">
        <v>89</v>
      </c>
      <c r="BR3343" s="3" t="s">
        <v>364</v>
      </c>
      <c r="BS3343" s="4">
        <v>44572</v>
      </c>
      <c r="BT3343" s="5">
        <v>0.44097222222222227</v>
      </c>
      <c r="BU3343" s="3" t="s">
        <v>2513</v>
      </c>
      <c r="BV3343" s="3" t="s">
        <v>87</v>
      </c>
      <c r="BY3343" s="3">
        <v>7540</v>
      </c>
      <c r="BZ3343" s="3" t="s">
        <v>165</v>
      </c>
      <c r="CA3343" s="3" t="s">
        <v>328</v>
      </c>
      <c r="CC3343" s="3" t="s">
        <v>732</v>
      </c>
      <c r="CD3343" s="3">
        <v>3290</v>
      </c>
      <c r="CE3343" s="3" t="s">
        <v>86</v>
      </c>
      <c r="CF3343" s="4">
        <v>44574</v>
      </c>
      <c r="CI3343" s="3">
        <v>1</v>
      </c>
      <c r="CJ3343" s="3">
        <v>2</v>
      </c>
      <c r="CK3343" s="3">
        <v>23</v>
      </c>
      <c r="CL3343" s="3" t="s">
        <v>87</v>
      </c>
    </row>
    <row r="3344" spans="1:90" x14ac:dyDescent="0.2">
      <c r="A3344" s="3" t="s">
        <v>72</v>
      </c>
      <c r="B3344" s="3" t="s">
        <v>73</v>
      </c>
      <c r="C3344" s="3" t="s">
        <v>74</v>
      </c>
      <c r="E3344" s="3" t="str">
        <f>"FES1162844118"</f>
        <v>FES1162844118</v>
      </c>
      <c r="F3344" s="4">
        <v>44568</v>
      </c>
      <c r="G3344" s="3">
        <v>202207</v>
      </c>
      <c r="H3344" s="3" t="s">
        <v>75</v>
      </c>
      <c r="I3344" s="3" t="s">
        <v>76</v>
      </c>
      <c r="J3344" s="3" t="s">
        <v>77</v>
      </c>
      <c r="K3344" s="3" t="s">
        <v>78</v>
      </c>
      <c r="L3344" s="3" t="s">
        <v>101</v>
      </c>
      <c r="M3344" s="3" t="s">
        <v>102</v>
      </c>
      <c r="N3344" s="3" t="s">
        <v>1463</v>
      </c>
      <c r="O3344" s="3" t="s">
        <v>82</v>
      </c>
      <c r="P3344" s="3" t="str">
        <f>"2170815915                    "</f>
        <v xml:space="preserve">2170815915                    </v>
      </c>
      <c r="Q3344" s="3">
        <v>0</v>
      </c>
      <c r="R3344" s="3">
        <v>0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  <c r="AE3344" s="3">
        <v>0</v>
      </c>
      <c r="AF3344" s="3">
        <v>0</v>
      </c>
      <c r="AG3344" s="3">
        <v>0</v>
      </c>
      <c r="AH3344" s="3">
        <v>0</v>
      </c>
      <c r="AI3344" s="3">
        <v>0</v>
      </c>
      <c r="AJ3344" s="3">
        <v>0</v>
      </c>
      <c r="AK3344" s="3">
        <v>15.46</v>
      </c>
      <c r="AL3344" s="3">
        <v>0</v>
      </c>
      <c r="AM3344" s="3">
        <v>0</v>
      </c>
      <c r="AN3344" s="3">
        <v>0</v>
      </c>
      <c r="AO3344" s="3">
        <v>0</v>
      </c>
      <c r="AP3344" s="3">
        <v>0</v>
      </c>
      <c r="AQ3344" s="3">
        <v>0</v>
      </c>
      <c r="AR3344" s="3">
        <v>0</v>
      </c>
      <c r="AS3344" s="3">
        <v>0</v>
      </c>
      <c r="AT3344" s="3">
        <v>0</v>
      </c>
      <c r="AU3344" s="3">
        <v>0</v>
      </c>
      <c r="AV3344" s="3">
        <v>0</v>
      </c>
      <c r="AW3344" s="3">
        <v>0</v>
      </c>
      <c r="AX3344" s="3">
        <v>0</v>
      </c>
      <c r="AY3344" s="3">
        <v>0</v>
      </c>
      <c r="AZ3344" s="3">
        <v>0</v>
      </c>
      <c r="BA3344" s="3">
        <v>0</v>
      </c>
      <c r="BB3344" s="3">
        <v>0</v>
      </c>
      <c r="BC3344" s="3">
        <v>0</v>
      </c>
      <c r="BD3344" s="3">
        <v>0</v>
      </c>
      <c r="BE3344" s="3">
        <v>0</v>
      </c>
      <c r="BF3344" s="3">
        <v>0</v>
      </c>
      <c r="BG3344" s="3">
        <v>0</v>
      </c>
      <c r="BH3344" s="3">
        <v>1</v>
      </c>
      <c r="BI3344" s="3">
        <v>1</v>
      </c>
      <c r="BJ3344" s="3">
        <v>2</v>
      </c>
      <c r="BK3344" s="3">
        <v>2</v>
      </c>
      <c r="BL3344" s="3">
        <v>59</v>
      </c>
      <c r="BM3344" s="3">
        <v>8.85</v>
      </c>
      <c r="BN3344" s="3">
        <v>67.849999999999994</v>
      </c>
      <c r="BO3344" s="3">
        <v>67.849999999999994</v>
      </c>
      <c r="BQ3344" s="3" t="s">
        <v>1464</v>
      </c>
      <c r="BR3344" s="3" t="s">
        <v>364</v>
      </c>
      <c r="BS3344" s="4">
        <v>44572</v>
      </c>
      <c r="BT3344" s="5">
        <v>0.40972222222222227</v>
      </c>
      <c r="BU3344" s="3" t="s">
        <v>525</v>
      </c>
      <c r="BV3344" s="3" t="s">
        <v>87</v>
      </c>
      <c r="BW3344" s="3" t="s">
        <v>278</v>
      </c>
      <c r="BX3344" s="3" t="s">
        <v>279</v>
      </c>
      <c r="BY3344" s="3">
        <v>9900</v>
      </c>
      <c r="BZ3344" s="3" t="s">
        <v>165</v>
      </c>
      <c r="CA3344" s="3" t="s">
        <v>343</v>
      </c>
      <c r="CC3344" s="3" t="s">
        <v>102</v>
      </c>
      <c r="CD3344" s="3">
        <v>4001</v>
      </c>
      <c r="CE3344" s="3" t="s">
        <v>86</v>
      </c>
      <c r="CF3344" s="4">
        <v>44572</v>
      </c>
      <c r="CI3344" s="3">
        <v>1</v>
      </c>
      <c r="CJ3344" s="3">
        <v>2</v>
      </c>
      <c r="CK3344" s="3">
        <v>21</v>
      </c>
      <c r="CL3344" s="3" t="s">
        <v>87</v>
      </c>
    </row>
    <row r="3345" spans="1:90" x14ac:dyDescent="0.2">
      <c r="A3345" s="3" t="s">
        <v>72</v>
      </c>
      <c r="B3345" s="3" t="s">
        <v>73</v>
      </c>
      <c r="C3345" s="3" t="s">
        <v>74</v>
      </c>
      <c r="E3345" s="3" t="str">
        <f>"FES1162844120"</f>
        <v>FES1162844120</v>
      </c>
      <c r="F3345" s="4">
        <v>44568</v>
      </c>
      <c r="G3345" s="3">
        <v>202207</v>
      </c>
      <c r="H3345" s="3" t="s">
        <v>75</v>
      </c>
      <c r="I3345" s="3" t="s">
        <v>76</v>
      </c>
      <c r="J3345" s="3" t="s">
        <v>77</v>
      </c>
      <c r="K3345" s="3" t="s">
        <v>78</v>
      </c>
      <c r="L3345" s="3" t="s">
        <v>184</v>
      </c>
      <c r="M3345" s="3" t="s">
        <v>185</v>
      </c>
      <c r="N3345" s="3" t="s">
        <v>2964</v>
      </c>
      <c r="O3345" s="3" t="s">
        <v>82</v>
      </c>
      <c r="P3345" s="3" t="str">
        <f>"2170815918                    "</f>
        <v xml:space="preserve">2170815918                    </v>
      </c>
      <c r="Q3345" s="3">
        <v>0</v>
      </c>
      <c r="R3345" s="3">
        <v>0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  <c r="AE3345" s="3">
        <v>0</v>
      </c>
      <c r="AF3345" s="3">
        <v>0</v>
      </c>
      <c r="AG3345" s="3">
        <v>0</v>
      </c>
      <c r="AH3345" s="3">
        <v>0</v>
      </c>
      <c r="AI3345" s="3">
        <v>0</v>
      </c>
      <c r="AJ3345" s="3">
        <v>0</v>
      </c>
      <c r="AK3345" s="3">
        <v>15.46</v>
      </c>
      <c r="AL3345" s="3">
        <v>0</v>
      </c>
      <c r="AM3345" s="3">
        <v>0</v>
      </c>
      <c r="AN3345" s="3">
        <v>0</v>
      </c>
      <c r="AO3345" s="3">
        <v>0</v>
      </c>
      <c r="AP3345" s="3">
        <v>0</v>
      </c>
      <c r="AQ3345" s="3">
        <v>0</v>
      </c>
      <c r="AR3345" s="3">
        <v>0</v>
      </c>
      <c r="AS3345" s="3">
        <v>0</v>
      </c>
      <c r="AT3345" s="3">
        <v>0</v>
      </c>
      <c r="AU3345" s="3">
        <v>0</v>
      </c>
      <c r="AV3345" s="3">
        <v>0</v>
      </c>
      <c r="AW3345" s="3">
        <v>0</v>
      </c>
      <c r="AX3345" s="3">
        <v>0</v>
      </c>
      <c r="AY3345" s="3">
        <v>0</v>
      </c>
      <c r="AZ3345" s="3">
        <v>0</v>
      </c>
      <c r="BA3345" s="3">
        <v>0</v>
      </c>
      <c r="BB3345" s="3">
        <v>0</v>
      </c>
      <c r="BC3345" s="3">
        <v>0</v>
      </c>
      <c r="BD3345" s="3">
        <v>0</v>
      </c>
      <c r="BE3345" s="3">
        <v>0</v>
      </c>
      <c r="BF3345" s="3">
        <v>0</v>
      </c>
      <c r="BG3345" s="3">
        <v>0</v>
      </c>
      <c r="BH3345" s="3">
        <v>1</v>
      </c>
      <c r="BI3345" s="3">
        <v>1</v>
      </c>
      <c r="BJ3345" s="3">
        <v>2</v>
      </c>
      <c r="BK3345" s="3">
        <v>2</v>
      </c>
      <c r="BL3345" s="3">
        <v>59</v>
      </c>
      <c r="BM3345" s="3">
        <v>8.85</v>
      </c>
      <c r="BN3345" s="3">
        <v>67.849999999999994</v>
      </c>
      <c r="BO3345" s="3">
        <v>67.849999999999994</v>
      </c>
      <c r="BR3345" s="3" t="s">
        <v>364</v>
      </c>
      <c r="BS3345" s="4">
        <v>44575</v>
      </c>
      <c r="BT3345" s="5">
        <v>0.54166666666666663</v>
      </c>
      <c r="BU3345" s="3" t="s">
        <v>2965</v>
      </c>
      <c r="BV3345" s="3" t="s">
        <v>87</v>
      </c>
      <c r="BW3345" s="3" t="s">
        <v>647</v>
      </c>
      <c r="BX3345" s="3" t="s">
        <v>648</v>
      </c>
      <c r="BY3345" s="3">
        <v>9900</v>
      </c>
      <c r="BZ3345" s="3" t="s">
        <v>165</v>
      </c>
      <c r="CC3345" s="3" t="s">
        <v>185</v>
      </c>
      <c r="CD3345" s="3">
        <v>5201</v>
      </c>
      <c r="CE3345" s="3" t="s">
        <v>86</v>
      </c>
      <c r="CF3345" s="4">
        <v>44575</v>
      </c>
      <c r="CI3345" s="3">
        <v>1</v>
      </c>
      <c r="CJ3345" s="3">
        <v>5</v>
      </c>
      <c r="CK3345" s="3">
        <v>21</v>
      </c>
      <c r="CL3345" s="3" t="s">
        <v>87</v>
      </c>
    </row>
    <row r="3346" spans="1:90" x14ac:dyDescent="0.2">
      <c r="A3346" s="3" t="s">
        <v>72</v>
      </c>
      <c r="B3346" s="3" t="s">
        <v>73</v>
      </c>
      <c r="C3346" s="3" t="s">
        <v>74</v>
      </c>
      <c r="E3346" s="3" t="str">
        <f>"FES1162844084"</f>
        <v>FES1162844084</v>
      </c>
      <c r="F3346" s="4">
        <v>44568</v>
      </c>
      <c r="G3346" s="3">
        <v>202207</v>
      </c>
      <c r="H3346" s="3" t="s">
        <v>75</v>
      </c>
      <c r="I3346" s="3" t="s">
        <v>76</v>
      </c>
      <c r="J3346" s="3" t="s">
        <v>77</v>
      </c>
      <c r="K3346" s="3" t="s">
        <v>78</v>
      </c>
      <c r="L3346" s="3" t="s">
        <v>101</v>
      </c>
      <c r="M3346" s="3" t="s">
        <v>102</v>
      </c>
      <c r="N3346" s="3" t="s">
        <v>103</v>
      </c>
      <c r="O3346" s="3" t="s">
        <v>82</v>
      </c>
      <c r="P3346" s="3" t="str">
        <f>"2170815734                    "</f>
        <v xml:space="preserve">2170815734                    </v>
      </c>
      <c r="Q3346" s="3">
        <v>0</v>
      </c>
      <c r="R3346" s="3">
        <v>0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  <c r="AE3346" s="3">
        <v>0</v>
      </c>
      <c r="AF3346" s="3">
        <v>0</v>
      </c>
      <c r="AG3346" s="3">
        <v>0</v>
      </c>
      <c r="AH3346" s="3">
        <v>0</v>
      </c>
      <c r="AI3346" s="3">
        <v>0</v>
      </c>
      <c r="AJ3346" s="3">
        <v>0</v>
      </c>
      <c r="AK3346" s="3">
        <v>23.18</v>
      </c>
      <c r="AL3346" s="3">
        <v>0</v>
      </c>
      <c r="AM3346" s="3">
        <v>0</v>
      </c>
      <c r="AN3346" s="3">
        <v>0</v>
      </c>
      <c r="AO3346" s="3">
        <v>0</v>
      </c>
      <c r="AP3346" s="3">
        <v>0</v>
      </c>
      <c r="AQ3346" s="3">
        <v>0</v>
      </c>
      <c r="AR3346" s="3">
        <v>0</v>
      </c>
      <c r="AS3346" s="3">
        <v>0</v>
      </c>
      <c r="AT3346" s="3">
        <v>0</v>
      </c>
      <c r="AU3346" s="3">
        <v>0</v>
      </c>
      <c r="AV3346" s="3">
        <v>0</v>
      </c>
      <c r="AW3346" s="3">
        <v>0</v>
      </c>
      <c r="AX3346" s="3">
        <v>0</v>
      </c>
      <c r="AY3346" s="3">
        <v>0</v>
      </c>
      <c r="AZ3346" s="3">
        <v>0</v>
      </c>
      <c r="BA3346" s="3">
        <v>0</v>
      </c>
      <c r="BB3346" s="3">
        <v>0</v>
      </c>
      <c r="BC3346" s="3">
        <v>0</v>
      </c>
      <c r="BD3346" s="3">
        <v>0</v>
      </c>
      <c r="BE3346" s="3">
        <v>0</v>
      </c>
      <c r="BF3346" s="3">
        <v>0</v>
      </c>
      <c r="BG3346" s="3">
        <v>0</v>
      </c>
      <c r="BH3346" s="3">
        <v>1</v>
      </c>
      <c r="BI3346" s="3">
        <v>3</v>
      </c>
      <c r="BJ3346" s="3">
        <v>0.6</v>
      </c>
      <c r="BK3346" s="3">
        <v>3</v>
      </c>
      <c r="BL3346" s="3">
        <v>88.48</v>
      </c>
      <c r="BM3346" s="3">
        <v>13.27</v>
      </c>
      <c r="BN3346" s="3">
        <v>101.75</v>
      </c>
      <c r="BO3346" s="3">
        <v>101.75</v>
      </c>
      <c r="BQ3346" s="3" t="s">
        <v>83</v>
      </c>
      <c r="BR3346" s="3" t="s">
        <v>364</v>
      </c>
      <c r="BS3346" s="4">
        <v>44571</v>
      </c>
      <c r="BT3346" s="5">
        <v>0.31944444444444448</v>
      </c>
      <c r="BU3346" s="3" t="s">
        <v>104</v>
      </c>
      <c r="BV3346" s="3" t="s">
        <v>105</v>
      </c>
      <c r="BY3346" s="3">
        <v>3078</v>
      </c>
      <c r="BZ3346" s="3" t="s">
        <v>165</v>
      </c>
      <c r="CA3346" s="3" t="s">
        <v>106</v>
      </c>
      <c r="CC3346" s="3" t="s">
        <v>102</v>
      </c>
      <c r="CD3346" s="3">
        <v>4001</v>
      </c>
      <c r="CE3346" s="3" t="s">
        <v>86</v>
      </c>
      <c r="CF3346" s="4">
        <v>44571</v>
      </c>
      <c r="CI3346" s="3">
        <v>1</v>
      </c>
      <c r="CJ3346" s="3">
        <v>1</v>
      </c>
      <c r="CK3346" s="3">
        <v>21</v>
      </c>
      <c r="CL3346" s="3" t="s">
        <v>87</v>
      </c>
    </row>
    <row r="3347" spans="1:90" x14ac:dyDescent="0.2">
      <c r="A3347" s="3" t="s">
        <v>72</v>
      </c>
      <c r="B3347" s="3" t="s">
        <v>73</v>
      </c>
      <c r="C3347" s="3" t="s">
        <v>74</v>
      </c>
      <c r="E3347" s="3" t="str">
        <f>"FES1162844201"</f>
        <v>FES1162844201</v>
      </c>
      <c r="F3347" s="4">
        <v>44568</v>
      </c>
      <c r="G3347" s="3">
        <v>202207</v>
      </c>
      <c r="H3347" s="3" t="s">
        <v>75</v>
      </c>
      <c r="I3347" s="3" t="s">
        <v>76</v>
      </c>
      <c r="J3347" s="3" t="s">
        <v>77</v>
      </c>
      <c r="K3347" s="3" t="s">
        <v>78</v>
      </c>
      <c r="L3347" s="3" t="s">
        <v>187</v>
      </c>
      <c r="M3347" s="3" t="s">
        <v>188</v>
      </c>
      <c r="N3347" s="3" t="s">
        <v>189</v>
      </c>
      <c r="O3347" s="3" t="s">
        <v>82</v>
      </c>
      <c r="P3347" s="3" t="str">
        <f>"2170815953                    "</f>
        <v xml:space="preserve">2170815953                    </v>
      </c>
      <c r="Q3347" s="3">
        <v>0</v>
      </c>
      <c r="R3347" s="3">
        <v>0</v>
      </c>
      <c r="S3347" s="3">
        <v>0</v>
      </c>
      <c r="T3347" s="3">
        <v>0</v>
      </c>
      <c r="U3347" s="3">
        <v>0</v>
      </c>
      <c r="V3347" s="3">
        <v>0</v>
      </c>
      <c r="W3347" s="3">
        <v>0</v>
      </c>
      <c r="X3347" s="3">
        <v>0</v>
      </c>
      <c r="Y3347" s="3">
        <v>0</v>
      </c>
      <c r="Z3347" s="3">
        <v>0</v>
      </c>
      <c r="AA3347" s="3">
        <v>0</v>
      </c>
      <c r="AB3347" s="3">
        <v>0</v>
      </c>
      <c r="AC3347" s="3">
        <v>0</v>
      </c>
      <c r="AD3347" s="3">
        <v>0</v>
      </c>
      <c r="AE3347" s="3">
        <v>0</v>
      </c>
      <c r="AF3347" s="3">
        <v>0</v>
      </c>
      <c r="AG3347" s="3">
        <v>0</v>
      </c>
      <c r="AH3347" s="3">
        <v>0</v>
      </c>
      <c r="AI3347" s="3">
        <v>0</v>
      </c>
      <c r="AJ3347" s="3">
        <v>0</v>
      </c>
      <c r="AK3347" s="3">
        <v>29.95</v>
      </c>
      <c r="AL3347" s="3">
        <v>0</v>
      </c>
      <c r="AM3347" s="3">
        <v>0</v>
      </c>
      <c r="AN3347" s="3">
        <v>0</v>
      </c>
      <c r="AO3347" s="3">
        <v>0</v>
      </c>
      <c r="AP3347" s="3">
        <v>0</v>
      </c>
      <c r="AQ3347" s="3">
        <v>0</v>
      </c>
      <c r="AR3347" s="3">
        <v>0</v>
      </c>
      <c r="AS3347" s="3">
        <v>0</v>
      </c>
      <c r="AT3347" s="3">
        <v>0</v>
      </c>
      <c r="AU3347" s="3">
        <v>0</v>
      </c>
      <c r="AV3347" s="3">
        <v>0</v>
      </c>
      <c r="AW3347" s="3">
        <v>0</v>
      </c>
      <c r="AX3347" s="3">
        <v>0</v>
      </c>
      <c r="AY3347" s="3">
        <v>0</v>
      </c>
      <c r="AZ3347" s="3">
        <v>0</v>
      </c>
      <c r="BA3347" s="3">
        <v>0</v>
      </c>
      <c r="BB3347" s="3">
        <v>0</v>
      </c>
      <c r="BC3347" s="3">
        <v>0</v>
      </c>
      <c r="BD3347" s="3">
        <v>0</v>
      </c>
      <c r="BE3347" s="3">
        <v>0</v>
      </c>
      <c r="BF3347" s="3">
        <v>0</v>
      </c>
      <c r="BG3347" s="3">
        <v>0</v>
      </c>
      <c r="BH3347" s="3">
        <v>1</v>
      </c>
      <c r="BI3347" s="3">
        <v>1</v>
      </c>
      <c r="BJ3347" s="3">
        <v>0.2</v>
      </c>
      <c r="BK3347" s="3">
        <v>1</v>
      </c>
      <c r="BL3347" s="3">
        <v>114.31</v>
      </c>
      <c r="BM3347" s="3">
        <v>17.149999999999999</v>
      </c>
      <c r="BN3347" s="3">
        <v>131.46</v>
      </c>
      <c r="BO3347" s="3">
        <v>131.46</v>
      </c>
      <c r="BQ3347" s="3" t="s">
        <v>83</v>
      </c>
      <c r="BR3347" s="3" t="s">
        <v>364</v>
      </c>
      <c r="BS3347" s="4">
        <v>44571</v>
      </c>
      <c r="BT3347" s="5">
        <v>0.53194444444444444</v>
      </c>
      <c r="BU3347" s="3" t="s">
        <v>955</v>
      </c>
      <c r="BV3347" s="3" t="s">
        <v>105</v>
      </c>
      <c r="BY3347" s="3">
        <v>1200</v>
      </c>
      <c r="BZ3347" s="3" t="s">
        <v>165</v>
      </c>
      <c r="CA3347" s="3" t="s">
        <v>268</v>
      </c>
      <c r="CC3347" s="3" t="s">
        <v>188</v>
      </c>
      <c r="CD3347" s="3">
        <v>7300</v>
      </c>
      <c r="CE3347" s="3" t="s">
        <v>93</v>
      </c>
      <c r="CF3347" s="4">
        <v>44572</v>
      </c>
      <c r="CI3347" s="3">
        <v>1</v>
      </c>
      <c r="CJ3347" s="3">
        <v>1</v>
      </c>
      <c r="CK3347" s="3">
        <v>23</v>
      </c>
      <c r="CL3347" s="3" t="s">
        <v>87</v>
      </c>
    </row>
    <row r="3348" spans="1:90" x14ac:dyDescent="0.2">
      <c r="A3348" s="3" t="s">
        <v>72</v>
      </c>
      <c r="B3348" s="3" t="s">
        <v>73</v>
      </c>
      <c r="C3348" s="3" t="s">
        <v>74</v>
      </c>
      <c r="E3348" s="3" t="str">
        <f>"FES1162844114"</f>
        <v>FES1162844114</v>
      </c>
      <c r="F3348" s="4">
        <v>44568</v>
      </c>
      <c r="G3348" s="3">
        <v>202207</v>
      </c>
      <c r="H3348" s="3" t="s">
        <v>75</v>
      </c>
      <c r="I3348" s="3" t="s">
        <v>76</v>
      </c>
      <c r="J3348" s="3" t="s">
        <v>77</v>
      </c>
      <c r="K3348" s="3" t="s">
        <v>78</v>
      </c>
      <c r="L3348" s="3" t="s">
        <v>138</v>
      </c>
      <c r="M3348" s="3" t="s">
        <v>139</v>
      </c>
      <c r="N3348" s="3" t="s">
        <v>938</v>
      </c>
      <c r="O3348" s="3" t="s">
        <v>82</v>
      </c>
      <c r="P3348" s="3" t="str">
        <f>"2170815908                    "</f>
        <v xml:space="preserve">2170815908                    </v>
      </c>
      <c r="Q3348" s="3">
        <v>0</v>
      </c>
      <c r="R3348" s="3">
        <v>0</v>
      </c>
      <c r="S3348" s="3">
        <v>0</v>
      </c>
      <c r="T3348" s="3">
        <v>0</v>
      </c>
      <c r="U3348" s="3">
        <v>0</v>
      </c>
      <c r="V3348" s="3">
        <v>0</v>
      </c>
      <c r="W3348" s="3">
        <v>0</v>
      </c>
      <c r="X3348" s="3">
        <v>0</v>
      </c>
      <c r="Y3348" s="3">
        <v>0</v>
      </c>
      <c r="Z3348" s="3">
        <v>0</v>
      </c>
      <c r="AA3348" s="3">
        <v>0</v>
      </c>
      <c r="AB3348" s="3">
        <v>0</v>
      </c>
      <c r="AC3348" s="3">
        <v>0</v>
      </c>
      <c r="AD3348" s="3">
        <v>0</v>
      </c>
      <c r="AE3348" s="3">
        <v>0</v>
      </c>
      <c r="AF3348" s="3">
        <v>0</v>
      </c>
      <c r="AG3348" s="3">
        <v>0</v>
      </c>
      <c r="AH3348" s="3">
        <v>0</v>
      </c>
      <c r="AI3348" s="3">
        <v>0</v>
      </c>
      <c r="AJ3348" s="3">
        <v>0</v>
      </c>
      <c r="AK3348" s="3">
        <v>15.46</v>
      </c>
      <c r="AL3348" s="3">
        <v>0</v>
      </c>
      <c r="AM3348" s="3">
        <v>0</v>
      </c>
      <c r="AN3348" s="3">
        <v>0</v>
      </c>
      <c r="AO3348" s="3">
        <v>0</v>
      </c>
      <c r="AP3348" s="3">
        <v>0</v>
      </c>
      <c r="AQ3348" s="3">
        <v>0</v>
      </c>
      <c r="AR3348" s="3">
        <v>0</v>
      </c>
      <c r="AS3348" s="3">
        <v>0</v>
      </c>
      <c r="AT3348" s="3">
        <v>0</v>
      </c>
      <c r="AU3348" s="3">
        <v>0</v>
      </c>
      <c r="AV3348" s="3">
        <v>0</v>
      </c>
      <c r="AW3348" s="3">
        <v>0</v>
      </c>
      <c r="AX3348" s="3">
        <v>0</v>
      </c>
      <c r="AY3348" s="3">
        <v>0</v>
      </c>
      <c r="AZ3348" s="3">
        <v>0</v>
      </c>
      <c r="BA3348" s="3">
        <v>0</v>
      </c>
      <c r="BB3348" s="3">
        <v>0</v>
      </c>
      <c r="BC3348" s="3">
        <v>0</v>
      </c>
      <c r="BD3348" s="3">
        <v>0</v>
      </c>
      <c r="BE3348" s="3">
        <v>0</v>
      </c>
      <c r="BF3348" s="3">
        <v>0</v>
      </c>
      <c r="BG3348" s="3">
        <v>0</v>
      </c>
      <c r="BH3348" s="3">
        <v>1</v>
      </c>
      <c r="BI3348" s="3">
        <v>1</v>
      </c>
      <c r="BJ3348" s="3">
        <v>0.2</v>
      </c>
      <c r="BK3348" s="3">
        <v>1</v>
      </c>
      <c r="BL3348" s="3">
        <v>59</v>
      </c>
      <c r="BM3348" s="3">
        <v>8.85</v>
      </c>
      <c r="BN3348" s="3">
        <v>67.849999999999994</v>
      </c>
      <c r="BO3348" s="3">
        <v>67.849999999999994</v>
      </c>
      <c r="BQ3348" s="3" t="s">
        <v>83</v>
      </c>
      <c r="BR3348" s="3" t="s">
        <v>364</v>
      </c>
      <c r="BS3348" s="4">
        <v>44571</v>
      </c>
      <c r="BT3348" s="5">
        <v>0.38125000000000003</v>
      </c>
      <c r="BU3348" s="3" t="s">
        <v>939</v>
      </c>
      <c r="BV3348" s="3" t="s">
        <v>105</v>
      </c>
      <c r="BY3348" s="3">
        <v>1200</v>
      </c>
      <c r="BZ3348" s="3" t="s">
        <v>165</v>
      </c>
      <c r="CA3348" s="3" t="s">
        <v>303</v>
      </c>
      <c r="CC3348" s="3" t="s">
        <v>139</v>
      </c>
      <c r="CD3348" s="3">
        <v>3610</v>
      </c>
      <c r="CE3348" s="3" t="s">
        <v>93</v>
      </c>
      <c r="CF3348" s="4">
        <v>44571</v>
      </c>
      <c r="CI3348" s="3">
        <v>1</v>
      </c>
      <c r="CJ3348" s="3">
        <v>1</v>
      </c>
      <c r="CK3348" s="3">
        <v>21</v>
      </c>
      <c r="CL3348" s="3" t="s">
        <v>87</v>
      </c>
    </row>
    <row r="3349" spans="1:90" x14ac:dyDescent="0.2">
      <c r="A3349" s="3" t="s">
        <v>72</v>
      </c>
      <c r="B3349" s="3" t="s">
        <v>73</v>
      </c>
      <c r="C3349" s="3" t="s">
        <v>74</v>
      </c>
      <c r="E3349" s="3" t="str">
        <f>"FES1162844172"</f>
        <v>FES1162844172</v>
      </c>
      <c r="F3349" s="4">
        <v>44568</v>
      </c>
      <c r="G3349" s="3">
        <v>202207</v>
      </c>
      <c r="H3349" s="3" t="s">
        <v>75</v>
      </c>
      <c r="I3349" s="3" t="s">
        <v>76</v>
      </c>
      <c r="J3349" s="3" t="s">
        <v>77</v>
      </c>
      <c r="K3349" s="3" t="s">
        <v>78</v>
      </c>
      <c r="L3349" s="3" t="s">
        <v>250</v>
      </c>
      <c r="M3349" s="3" t="s">
        <v>251</v>
      </c>
      <c r="N3349" s="3" t="s">
        <v>252</v>
      </c>
      <c r="O3349" s="3" t="s">
        <v>82</v>
      </c>
      <c r="P3349" s="3" t="str">
        <f>"2170813826                    "</f>
        <v xml:space="preserve">2170813826                    </v>
      </c>
      <c r="Q3349" s="3">
        <v>0</v>
      </c>
      <c r="R3349" s="3">
        <v>0</v>
      </c>
      <c r="S3349" s="3">
        <v>0</v>
      </c>
      <c r="T3349" s="3">
        <v>0</v>
      </c>
      <c r="U3349" s="3">
        <v>0</v>
      </c>
      <c r="V3349" s="3">
        <v>0</v>
      </c>
      <c r="W3349" s="3">
        <v>0</v>
      </c>
      <c r="X3349" s="3">
        <v>0</v>
      </c>
      <c r="Y3349" s="3">
        <v>0</v>
      </c>
      <c r="Z3349" s="3">
        <v>0</v>
      </c>
      <c r="AA3349" s="3">
        <v>0</v>
      </c>
      <c r="AB3349" s="3">
        <v>0</v>
      </c>
      <c r="AC3349" s="3">
        <v>0</v>
      </c>
      <c r="AD3349" s="3">
        <v>0</v>
      </c>
      <c r="AE3349" s="3">
        <v>0</v>
      </c>
      <c r="AF3349" s="3">
        <v>0</v>
      </c>
      <c r="AG3349" s="3">
        <v>0</v>
      </c>
      <c r="AH3349" s="3">
        <v>0</v>
      </c>
      <c r="AI3349" s="3">
        <v>0</v>
      </c>
      <c r="AJ3349" s="3">
        <v>0</v>
      </c>
      <c r="AK3349" s="3">
        <v>29.95</v>
      </c>
      <c r="AL3349" s="3">
        <v>0</v>
      </c>
      <c r="AM3349" s="3">
        <v>0</v>
      </c>
      <c r="AN3349" s="3">
        <v>0</v>
      </c>
      <c r="AO3349" s="3">
        <v>0</v>
      </c>
      <c r="AP3349" s="3">
        <v>0</v>
      </c>
      <c r="AQ3349" s="3">
        <v>0</v>
      </c>
      <c r="AR3349" s="3">
        <v>0</v>
      </c>
      <c r="AS3349" s="3">
        <v>0</v>
      </c>
      <c r="AT3349" s="3">
        <v>0</v>
      </c>
      <c r="AU3349" s="3">
        <v>0</v>
      </c>
      <c r="AV3349" s="3">
        <v>0</v>
      </c>
      <c r="AW3349" s="3">
        <v>0</v>
      </c>
      <c r="AX3349" s="3">
        <v>0</v>
      </c>
      <c r="AY3349" s="3">
        <v>0</v>
      </c>
      <c r="AZ3349" s="3">
        <v>0</v>
      </c>
      <c r="BA3349" s="3">
        <v>0</v>
      </c>
      <c r="BB3349" s="3">
        <v>0</v>
      </c>
      <c r="BC3349" s="3">
        <v>0</v>
      </c>
      <c r="BD3349" s="3">
        <v>0</v>
      </c>
      <c r="BE3349" s="3">
        <v>0</v>
      </c>
      <c r="BF3349" s="3">
        <v>0</v>
      </c>
      <c r="BG3349" s="3">
        <v>0</v>
      </c>
      <c r="BH3349" s="3">
        <v>1</v>
      </c>
      <c r="BI3349" s="3">
        <v>1</v>
      </c>
      <c r="BJ3349" s="3">
        <v>0.2</v>
      </c>
      <c r="BK3349" s="3">
        <v>1</v>
      </c>
      <c r="BL3349" s="3">
        <v>114.31</v>
      </c>
      <c r="BM3349" s="3">
        <v>17.149999999999999</v>
      </c>
      <c r="BN3349" s="3">
        <v>131.46</v>
      </c>
      <c r="BO3349" s="3">
        <v>131.46</v>
      </c>
      <c r="BQ3349" s="3" t="s">
        <v>253</v>
      </c>
      <c r="BR3349" s="3" t="s">
        <v>364</v>
      </c>
      <c r="BS3349" s="4">
        <v>44571</v>
      </c>
      <c r="BT3349" s="5">
        <v>0.56041666666666667</v>
      </c>
      <c r="BU3349" s="3" t="s">
        <v>1176</v>
      </c>
      <c r="BV3349" s="3" t="s">
        <v>105</v>
      </c>
      <c r="BY3349" s="3">
        <v>1200</v>
      </c>
      <c r="BZ3349" s="3" t="s">
        <v>165</v>
      </c>
      <c r="CA3349" s="3" t="s">
        <v>368</v>
      </c>
      <c r="CC3349" s="3" t="s">
        <v>251</v>
      </c>
      <c r="CD3349" s="3">
        <v>6300</v>
      </c>
      <c r="CE3349" s="3" t="s">
        <v>93</v>
      </c>
      <c r="CF3349" s="4">
        <v>44571</v>
      </c>
      <c r="CI3349" s="3">
        <v>2</v>
      </c>
      <c r="CJ3349" s="3">
        <v>1</v>
      </c>
      <c r="CK3349" s="3">
        <v>23</v>
      </c>
      <c r="CL3349" s="3" t="s">
        <v>87</v>
      </c>
    </row>
    <row r="3350" spans="1:90" x14ac:dyDescent="0.2">
      <c r="A3350" s="3" t="s">
        <v>72</v>
      </c>
      <c r="B3350" s="3" t="s">
        <v>73</v>
      </c>
      <c r="C3350" s="3" t="s">
        <v>74</v>
      </c>
      <c r="E3350" s="3" t="str">
        <f>"FES1162844096"</f>
        <v>FES1162844096</v>
      </c>
      <c r="F3350" s="4">
        <v>44568</v>
      </c>
      <c r="G3350" s="3">
        <v>202207</v>
      </c>
      <c r="H3350" s="3" t="s">
        <v>75</v>
      </c>
      <c r="I3350" s="3" t="s">
        <v>76</v>
      </c>
      <c r="J3350" s="3" t="s">
        <v>77</v>
      </c>
      <c r="K3350" s="3" t="s">
        <v>78</v>
      </c>
      <c r="L3350" s="3" t="s">
        <v>97</v>
      </c>
      <c r="M3350" s="3" t="s">
        <v>98</v>
      </c>
      <c r="N3350" s="3" t="s">
        <v>644</v>
      </c>
      <c r="O3350" s="3" t="s">
        <v>82</v>
      </c>
      <c r="P3350" s="3" t="str">
        <f>"2170806237                    "</f>
        <v xml:space="preserve">2170806237                    </v>
      </c>
      <c r="Q3350" s="3">
        <v>0</v>
      </c>
      <c r="R3350" s="3">
        <v>0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  <c r="AE3350" s="3">
        <v>0</v>
      </c>
      <c r="AF3350" s="3">
        <v>0</v>
      </c>
      <c r="AG3350" s="3">
        <v>0</v>
      </c>
      <c r="AH3350" s="3">
        <v>0</v>
      </c>
      <c r="AI3350" s="3">
        <v>0</v>
      </c>
      <c r="AJ3350" s="3">
        <v>0</v>
      </c>
      <c r="AK3350" s="3">
        <v>12.07</v>
      </c>
      <c r="AL3350" s="3">
        <v>0</v>
      </c>
      <c r="AM3350" s="3">
        <v>0</v>
      </c>
      <c r="AN3350" s="3">
        <v>0</v>
      </c>
      <c r="AO3350" s="3">
        <v>0</v>
      </c>
      <c r="AP3350" s="3">
        <v>0</v>
      </c>
      <c r="AQ3350" s="3">
        <v>0</v>
      </c>
      <c r="AR3350" s="3">
        <v>0</v>
      </c>
      <c r="AS3350" s="3">
        <v>0</v>
      </c>
      <c r="AT3350" s="3">
        <v>0</v>
      </c>
      <c r="AU3350" s="3">
        <v>0</v>
      </c>
      <c r="AV3350" s="3">
        <v>0</v>
      </c>
      <c r="AW3350" s="3">
        <v>0</v>
      </c>
      <c r="AX3350" s="3">
        <v>0</v>
      </c>
      <c r="AY3350" s="3">
        <v>0</v>
      </c>
      <c r="AZ3350" s="3">
        <v>0</v>
      </c>
      <c r="BA3350" s="3">
        <v>0</v>
      </c>
      <c r="BB3350" s="3">
        <v>0</v>
      </c>
      <c r="BC3350" s="3">
        <v>0</v>
      </c>
      <c r="BD3350" s="3">
        <v>0</v>
      </c>
      <c r="BE3350" s="3">
        <v>0</v>
      </c>
      <c r="BF3350" s="3">
        <v>0</v>
      </c>
      <c r="BG3350" s="3">
        <v>0</v>
      </c>
      <c r="BH3350" s="3">
        <v>1</v>
      </c>
      <c r="BI3350" s="3">
        <v>1</v>
      </c>
      <c r="BJ3350" s="3">
        <v>0.2</v>
      </c>
      <c r="BK3350" s="3">
        <v>1</v>
      </c>
      <c r="BL3350" s="3">
        <v>46.08</v>
      </c>
      <c r="BM3350" s="3">
        <v>6.91</v>
      </c>
      <c r="BN3350" s="3">
        <v>52.99</v>
      </c>
      <c r="BO3350" s="3">
        <v>52.99</v>
      </c>
      <c r="BQ3350" s="3" t="s">
        <v>126</v>
      </c>
      <c r="BR3350" s="3" t="s">
        <v>364</v>
      </c>
      <c r="BS3350" s="4">
        <v>44571</v>
      </c>
      <c r="BT3350" s="5">
        <v>0.38125000000000003</v>
      </c>
      <c r="BU3350" s="3" t="s">
        <v>2888</v>
      </c>
      <c r="BV3350" s="3" t="s">
        <v>105</v>
      </c>
      <c r="BY3350" s="3">
        <v>1200</v>
      </c>
      <c r="BZ3350" s="3" t="s">
        <v>165</v>
      </c>
      <c r="CC3350" s="3" t="s">
        <v>98</v>
      </c>
      <c r="CD3350" s="3">
        <v>2013</v>
      </c>
      <c r="CE3350" s="3" t="s">
        <v>93</v>
      </c>
      <c r="CF3350" s="4">
        <v>44572</v>
      </c>
      <c r="CI3350" s="3">
        <v>1</v>
      </c>
      <c r="CJ3350" s="3">
        <v>1</v>
      </c>
      <c r="CK3350" s="3">
        <v>22</v>
      </c>
      <c r="CL3350" s="3" t="s">
        <v>87</v>
      </c>
    </row>
    <row r="3351" spans="1:90" x14ac:dyDescent="0.2">
      <c r="A3351" s="3" t="s">
        <v>72</v>
      </c>
      <c r="B3351" s="3" t="s">
        <v>73</v>
      </c>
      <c r="C3351" s="3" t="s">
        <v>74</v>
      </c>
      <c r="E3351" s="3" t="str">
        <f>"FES1162844174"</f>
        <v>FES1162844174</v>
      </c>
      <c r="F3351" s="4">
        <v>44568</v>
      </c>
      <c r="G3351" s="3">
        <v>202207</v>
      </c>
      <c r="H3351" s="3" t="s">
        <v>75</v>
      </c>
      <c r="I3351" s="3" t="s">
        <v>76</v>
      </c>
      <c r="J3351" s="3" t="s">
        <v>77</v>
      </c>
      <c r="K3351" s="3" t="s">
        <v>78</v>
      </c>
      <c r="L3351" s="3" t="s">
        <v>120</v>
      </c>
      <c r="M3351" s="3" t="s">
        <v>121</v>
      </c>
      <c r="N3351" s="3" t="s">
        <v>410</v>
      </c>
      <c r="O3351" s="3" t="s">
        <v>82</v>
      </c>
      <c r="P3351" s="3" t="str">
        <f>"2170814495                    "</f>
        <v xml:space="preserve">2170814495                    </v>
      </c>
      <c r="Q3351" s="3">
        <v>0</v>
      </c>
      <c r="R3351" s="3">
        <v>0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  <c r="AE3351" s="3">
        <v>0</v>
      </c>
      <c r="AF3351" s="3">
        <v>0</v>
      </c>
      <c r="AG3351" s="3">
        <v>0</v>
      </c>
      <c r="AH3351" s="3">
        <v>0</v>
      </c>
      <c r="AI3351" s="3">
        <v>0</v>
      </c>
      <c r="AJ3351" s="3">
        <v>0</v>
      </c>
      <c r="AK3351" s="3">
        <v>15.46</v>
      </c>
      <c r="AL3351" s="3">
        <v>0</v>
      </c>
      <c r="AM3351" s="3">
        <v>0</v>
      </c>
      <c r="AN3351" s="3">
        <v>0</v>
      </c>
      <c r="AO3351" s="3">
        <v>0</v>
      </c>
      <c r="AP3351" s="3">
        <v>0</v>
      </c>
      <c r="AQ3351" s="3">
        <v>0</v>
      </c>
      <c r="AR3351" s="3">
        <v>0</v>
      </c>
      <c r="AS3351" s="3">
        <v>0</v>
      </c>
      <c r="AT3351" s="3">
        <v>0</v>
      </c>
      <c r="AU3351" s="3">
        <v>0</v>
      </c>
      <c r="AV3351" s="3">
        <v>0</v>
      </c>
      <c r="AW3351" s="3">
        <v>0</v>
      </c>
      <c r="AX3351" s="3">
        <v>0</v>
      </c>
      <c r="AY3351" s="3">
        <v>0</v>
      </c>
      <c r="AZ3351" s="3">
        <v>0</v>
      </c>
      <c r="BA3351" s="3">
        <v>0</v>
      </c>
      <c r="BB3351" s="3">
        <v>0</v>
      </c>
      <c r="BC3351" s="3">
        <v>0</v>
      </c>
      <c r="BD3351" s="3">
        <v>0</v>
      </c>
      <c r="BE3351" s="3">
        <v>0</v>
      </c>
      <c r="BF3351" s="3">
        <v>0</v>
      </c>
      <c r="BG3351" s="3">
        <v>0</v>
      </c>
      <c r="BH3351" s="3">
        <v>1</v>
      </c>
      <c r="BI3351" s="3">
        <v>1</v>
      </c>
      <c r="BJ3351" s="3">
        <v>1.4</v>
      </c>
      <c r="BK3351" s="3">
        <v>1.5</v>
      </c>
      <c r="BL3351" s="3">
        <v>59</v>
      </c>
      <c r="BM3351" s="3">
        <v>8.85</v>
      </c>
      <c r="BN3351" s="3">
        <v>67.849999999999994</v>
      </c>
      <c r="BO3351" s="3">
        <v>67.849999999999994</v>
      </c>
      <c r="BQ3351" s="3" t="s">
        <v>411</v>
      </c>
      <c r="BR3351" s="3" t="s">
        <v>364</v>
      </c>
      <c r="BS3351" s="4">
        <v>44571</v>
      </c>
      <c r="BT3351" s="5">
        <v>0.60416666666666663</v>
      </c>
      <c r="BU3351" s="3" t="s">
        <v>1103</v>
      </c>
      <c r="BV3351" s="3" t="s">
        <v>87</v>
      </c>
      <c r="BW3351" s="3" t="s">
        <v>457</v>
      </c>
      <c r="BX3351" s="3" t="s">
        <v>2542</v>
      </c>
      <c r="BY3351" s="3">
        <v>7200</v>
      </c>
      <c r="BZ3351" s="3" t="s">
        <v>165</v>
      </c>
      <c r="CA3351" s="3" t="s">
        <v>553</v>
      </c>
      <c r="CC3351" s="3" t="s">
        <v>121</v>
      </c>
      <c r="CD3351" s="3">
        <v>6230</v>
      </c>
      <c r="CE3351" s="3" t="s">
        <v>86</v>
      </c>
      <c r="CF3351" s="4">
        <v>44572</v>
      </c>
      <c r="CI3351" s="3">
        <v>1</v>
      </c>
      <c r="CJ3351" s="3">
        <v>1</v>
      </c>
      <c r="CK3351" s="3">
        <v>21</v>
      </c>
      <c r="CL3351" s="3" t="s">
        <v>87</v>
      </c>
    </row>
    <row r="3352" spans="1:90" x14ac:dyDescent="0.2">
      <c r="A3352" s="3" t="s">
        <v>72</v>
      </c>
      <c r="B3352" s="3" t="s">
        <v>73</v>
      </c>
      <c r="C3352" s="3" t="s">
        <v>74</v>
      </c>
      <c r="E3352" s="3" t="str">
        <f>"FES1162844049"</f>
        <v>FES1162844049</v>
      </c>
      <c r="F3352" s="4">
        <v>44568</v>
      </c>
      <c r="G3352" s="3">
        <v>202207</v>
      </c>
      <c r="H3352" s="3" t="s">
        <v>75</v>
      </c>
      <c r="I3352" s="3" t="s">
        <v>76</v>
      </c>
      <c r="J3352" s="3" t="s">
        <v>77</v>
      </c>
      <c r="K3352" s="3" t="s">
        <v>78</v>
      </c>
      <c r="L3352" s="3" t="s">
        <v>120</v>
      </c>
      <c r="M3352" s="3" t="s">
        <v>121</v>
      </c>
      <c r="N3352" s="3" t="s">
        <v>410</v>
      </c>
      <c r="O3352" s="3" t="s">
        <v>82</v>
      </c>
      <c r="P3352" s="3" t="str">
        <f>"2170815860                    "</f>
        <v xml:space="preserve">2170815860                    </v>
      </c>
      <c r="Q3352" s="3">
        <v>0</v>
      </c>
      <c r="R3352" s="3">
        <v>0</v>
      </c>
      <c r="S3352" s="3">
        <v>0</v>
      </c>
      <c r="T3352" s="3">
        <v>0</v>
      </c>
      <c r="U3352" s="3">
        <v>0</v>
      </c>
      <c r="V3352" s="3">
        <v>0</v>
      </c>
      <c r="W3352" s="3">
        <v>0</v>
      </c>
      <c r="X3352" s="3">
        <v>0</v>
      </c>
      <c r="Y3352" s="3">
        <v>0</v>
      </c>
      <c r="Z3352" s="3">
        <v>0</v>
      </c>
      <c r="AA3352" s="3">
        <v>0</v>
      </c>
      <c r="AB3352" s="3">
        <v>0</v>
      </c>
      <c r="AC3352" s="3">
        <v>0</v>
      </c>
      <c r="AD3352" s="3">
        <v>0</v>
      </c>
      <c r="AE3352" s="3">
        <v>0</v>
      </c>
      <c r="AF3352" s="3">
        <v>0</v>
      </c>
      <c r="AG3352" s="3">
        <v>0</v>
      </c>
      <c r="AH3352" s="3">
        <v>0</v>
      </c>
      <c r="AI3352" s="3">
        <v>0</v>
      </c>
      <c r="AJ3352" s="3">
        <v>0</v>
      </c>
      <c r="AK3352" s="3">
        <v>15.46</v>
      </c>
      <c r="AL3352" s="3">
        <v>0</v>
      </c>
      <c r="AM3352" s="3">
        <v>0</v>
      </c>
      <c r="AN3352" s="3">
        <v>0</v>
      </c>
      <c r="AO3352" s="3">
        <v>0</v>
      </c>
      <c r="AP3352" s="3">
        <v>0</v>
      </c>
      <c r="AQ3352" s="3">
        <v>0</v>
      </c>
      <c r="AR3352" s="3">
        <v>0</v>
      </c>
      <c r="AS3352" s="3">
        <v>0</v>
      </c>
      <c r="AT3352" s="3">
        <v>0</v>
      </c>
      <c r="AU3352" s="3">
        <v>0</v>
      </c>
      <c r="AV3352" s="3">
        <v>0</v>
      </c>
      <c r="AW3352" s="3">
        <v>0</v>
      </c>
      <c r="AX3352" s="3">
        <v>0</v>
      </c>
      <c r="AY3352" s="3">
        <v>0</v>
      </c>
      <c r="AZ3352" s="3">
        <v>0</v>
      </c>
      <c r="BA3352" s="3">
        <v>0</v>
      </c>
      <c r="BB3352" s="3">
        <v>0</v>
      </c>
      <c r="BC3352" s="3">
        <v>0</v>
      </c>
      <c r="BD3352" s="3">
        <v>0</v>
      </c>
      <c r="BE3352" s="3">
        <v>0</v>
      </c>
      <c r="BF3352" s="3">
        <v>0</v>
      </c>
      <c r="BG3352" s="3">
        <v>0</v>
      </c>
      <c r="BH3352" s="3">
        <v>1</v>
      </c>
      <c r="BI3352" s="3">
        <v>1</v>
      </c>
      <c r="BJ3352" s="3">
        <v>0.2</v>
      </c>
      <c r="BK3352" s="3">
        <v>1</v>
      </c>
      <c r="BL3352" s="3">
        <v>59</v>
      </c>
      <c r="BM3352" s="3">
        <v>8.85</v>
      </c>
      <c r="BN3352" s="3">
        <v>67.849999999999994</v>
      </c>
      <c r="BO3352" s="3">
        <v>67.849999999999994</v>
      </c>
      <c r="BQ3352" s="3" t="s">
        <v>411</v>
      </c>
      <c r="BR3352" s="3" t="s">
        <v>364</v>
      </c>
      <c r="BS3352" s="4">
        <v>44571</v>
      </c>
      <c r="BT3352" s="5">
        <v>0.60416666666666663</v>
      </c>
      <c r="BU3352" s="3" t="s">
        <v>2966</v>
      </c>
      <c r="BV3352" s="3" t="s">
        <v>87</v>
      </c>
      <c r="BW3352" s="3" t="s">
        <v>457</v>
      </c>
      <c r="BX3352" s="3" t="s">
        <v>2542</v>
      </c>
      <c r="BY3352" s="3">
        <v>1200</v>
      </c>
      <c r="BZ3352" s="3" t="s">
        <v>165</v>
      </c>
      <c r="CA3352" s="3" t="s">
        <v>553</v>
      </c>
      <c r="CC3352" s="3" t="s">
        <v>121</v>
      </c>
      <c r="CD3352" s="3">
        <v>6230</v>
      </c>
      <c r="CE3352" s="3" t="s">
        <v>93</v>
      </c>
      <c r="CF3352" s="4">
        <v>44572</v>
      </c>
      <c r="CI3352" s="3">
        <v>1</v>
      </c>
      <c r="CJ3352" s="3">
        <v>1</v>
      </c>
      <c r="CK3352" s="3">
        <v>21</v>
      </c>
      <c r="CL3352" s="3" t="s">
        <v>87</v>
      </c>
    </row>
    <row r="3353" spans="1:90" x14ac:dyDescent="0.2">
      <c r="A3353" s="3" t="s">
        <v>72</v>
      </c>
      <c r="B3353" s="3" t="s">
        <v>73</v>
      </c>
      <c r="C3353" s="3" t="s">
        <v>74</v>
      </c>
      <c r="E3353" s="3" t="str">
        <f>"FES1162844168"</f>
        <v>FES1162844168</v>
      </c>
      <c r="F3353" s="4">
        <v>44568</v>
      </c>
      <c r="G3353" s="3">
        <v>202207</v>
      </c>
      <c r="H3353" s="3" t="s">
        <v>75</v>
      </c>
      <c r="I3353" s="3" t="s">
        <v>76</v>
      </c>
      <c r="J3353" s="3" t="s">
        <v>77</v>
      </c>
      <c r="K3353" s="3" t="s">
        <v>78</v>
      </c>
      <c r="L3353" s="3" t="s">
        <v>427</v>
      </c>
      <c r="M3353" s="3" t="s">
        <v>428</v>
      </c>
      <c r="N3353" s="3" t="s">
        <v>447</v>
      </c>
      <c r="O3353" s="3" t="s">
        <v>82</v>
      </c>
      <c r="P3353" s="3" t="str">
        <f>"2170812099                    "</f>
        <v xml:space="preserve">2170812099                    </v>
      </c>
      <c r="Q3353" s="3">
        <v>0</v>
      </c>
      <c r="R3353" s="3">
        <v>0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  <c r="AE3353" s="3">
        <v>0</v>
      </c>
      <c r="AF3353" s="3">
        <v>0</v>
      </c>
      <c r="AG3353" s="3">
        <v>0</v>
      </c>
      <c r="AH3353" s="3">
        <v>0</v>
      </c>
      <c r="AI3353" s="3">
        <v>0</v>
      </c>
      <c r="AJ3353" s="3">
        <v>0</v>
      </c>
      <c r="AK3353" s="3">
        <v>29.95</v>
      </c>
      <c r="AL3353" s="3">
        <v>0</v>
      </c>
      <c r="AM3353" s="3">
        <v>0</v>
      </c>
      <c r="AN3353" s="3">
        <v>0</v>
      </c>
      <c r="AO3353" s="3">
        <v>0</v>
      </c>
      <c r="AP3353" s="3">
        <v>0</v>
      </c>
      <c r="AQ3353" s="3">
        <v>0</v>
      </c>
      <c r="AR3353" s="3">
        <v>0</v>
      </c>
      <c r="AS3353" s="3">
        <v>0</v>
      </c>
      <c r="AT3353" s="3">
        <v>0</v>
      </c>
      <c r="AU3353" s="3">
        <v>0</v>
      </c>
      <c r="AV3353" s="3">
        <v>0</v>
      </c>
      <c r="AW3353" s="3">
        <v>0</v>
      </c>
      <c r="AX3353" s="3">
        <v>0</v>
      </c>
      <c r="AY3353" s="3">
        <v>0</v>
      </c>
      <c r="AZ3353" s="3">
        <v>0</v>
      </c>
      <c r="BA3353" s="3">
        <v>0</v>
      </c>
      <c r="BB3353" s="3">
        <v>0</v>
      </c>
      <c r="BC3353" s="3">
        <v>0</v>
      </c>
      <c r="BD3353" s="3">
        <v>0</v>
      </c>
      <c r="BE3353" s="3">
        <v>0</v>
      </c>
      <c r="BF3353" s="3">
        <v>0</v>
      </c>
      <c r="BG3353" s="3">
        <v>0</v>
      </c>
      <c r="BH3353" s="3">
        <v>1</v>
      </c>
      <c r="BI3353" s="3">
        <v>1</v>
      </c>
      <c r="BJ3353" s="3">
        <v>2</v>
      </c>
      <c r="BK3353" s="3">
        <v>2</v>
      </c>
      <c r="BL3353" s="3">
        <v>114.31</v>
      </c>
      <c r="BM3353" s="3">
        <v>17.149999999999999</v>
      </c>
      <c r="BN3353" s="3">
        <v>131.46</v>
      </c>
      <c r="BO3353" s="3">
        <v>131.46</v>
      </c>
      <c r="BQ3353" s="3" t="s">
        <v>89</v>
      </c>
      <c r="BR3353" s="3" t="s">
        <v>364</v>
      </c>
      <c r="BS3353" s="4">
        <v>44571</v>
      </c>
      <c r="BT3353" s="5">
        <v>0.53333333333333333</v>
      </c>
      <c r="BU3353" s="3" t="s">
        <v>2860</v>
      </c>
      <c r="BV3353" s="3" t="s">
        <v>105</v>
      </c>
      <c r="BY3353" s="3">
        <v>9900</v>
      </c>
      <c r="BZ3353" s="3" t="s">
        <v>165</v>
      </c>
      <c r="CA3353" s="3" t="s">
        <v>2136</v>
      </c>
      <c r="CC3353" s="3" t="s">
        <v>428</v>
      </c>
      <c r="CD3353" s="3">
        <v>7130</v>
      </c>
      <c r="CE3353" s="3" t="s">
        <v>86</v>
      </c>
      <c r="CF3353" s="4">
        <v>44572</v>
      </c>
      <c r="CI3353" s="3">
        <v>1</v>
      </c>
      <c r="CJ3353" s="3">
        <v>1</v>
      </c>
      <c r="CK3353" s="3">
        <v>23</v>
      </c>
      <c r="CL3353" s="3" t="s">
        <v>87</v>
      </c>
    </row>
    <row r="3354" spans="1:90" x14ac:dyDescent="0.2">
      <c r="A3354" s="3" t="s">
        <v>72</v>
      </c>
      <c r="B3354" s="3" t="s">
        <v>73</v>
      </c>
      <c r="C3354" s="3" t="s">
        <v>74</v>
      </c>
      <c r="E3354" s="3" t="str">
        <f>"FES1162844109"</f>
        <v>FES1162844109</v>
      </c>
      <c r="F3354" s="4">
        <v>44568</v>
      </c>
      <c r="G3354" s="3">
        <v>202207</v>
      </c>
      <c r="H3354" s="3" t="s">
        <v>75</v>
      </c>
      <c r="I3354" s="3" t="s">
        <v>76</v>
      </c>
      <c r="J3354" s="3" t="s">
        <v>77</v>
      </c>
      <c r="K3354" s="3" t="s">
        <v>78</v>
      </c>
      <c r="L3354" s="3" t="s">
        <v>176</v>
      </c>
      <c r="M3354" s="3" t="s">
        <v>177</v>
      </c>
      <c r="N3354" s="3" t="s">
        <v>178</v>
      </c>
      <c r="O3354" s="3" t="s">
        <v>82</v>
      </c>
      <c r="P3354" s="3" t="str">
        <f>"2170815902                    "</f>
        <v xml:space="preserve">2170815902                    </v>
      </c>
      <c r="Q3354" s="3">
        <v>0</v>
      </c>
      <c r="R3354" s="3">
        <v>0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  <c r="AE3354" s="3">
        <v>0</v>
      </c>
      <c r="AF3354" s="3">
        <v>0</v>
      </c>
      <c r="AG3354" s="3">
        <v>0</v>
      </c>
      <c r="AH3354" s="3">
        <v>0</v>
      </c>
      <c r="AI3354" s="3">
        <v>0</v>
      </c>
      <c r="AJ3354" s="3">
        <v>0</v>
      </c>
      <c r="AK3354" s="3">
        <v>15.46</v>
      </c>
      <c r="AL3354" s="3">
        <v>0</v>
      </c>
      <c r="AM3354" s="3">
        <v>0</v>
      </c>
      <c r="AN3354" s="3">
        <v>0</v>
      </c>
      <c r="AO3354" s="3">
        <v>0</v>
      </c>
      <c r="AP3354" s="3">
        <v>0</v>
      </c>
      <c r="AQ3354" s="3">
        <v>0</v>
      </c>
      <c r="AR3354" s="3">
        <v>0</v>
      </c>
      <c r="AS3354" s="3">
        <v>0</v>
      </c>
      <c r="AT3354" s="3">
        <v>0</v>
      </c>
      <c r="AU3354" s="3">
        <v>0</v>
      </c>
      <c r="AV3354" s="3">
        <v>0</v>
      </c>
      <c r="AW3354" s="3">
        <v>0</v>
      </c>
      <c r="AX3354" s="3">
        <v>0</v>
      </c>
      <c r="AY3354" s="3">
        <v>0</v>
      </c>
      <c r="AZ3354" s="3">
        <v>0</v>
      </c>
      <c r="BA3354" s="3">
        <v>0</v>
      </c>
      <c r="BB3354" s="3">
        <v>0</v>
      </c>
      <c r="BC3354" s="3">
        <v>0</v>
      </c>
      <c r="BD3354" s="3">
        <v>0</v>
      </c>
      <c r="BE3354" s="3">
        <v>0</v>
      </c>
      <c r="BF3354" s="3">
        <v>0</v>
      </c>
      <c r="BG3354" s="3">
        <v>0</v>
      </c>
      <c r="BH3354" s="3">
        <v>1</v>
      </c>
      <c r="BI3354" s="3">
        <v>1</v>
      </c>
      <c r="BJ3354" s="3">
        <v>0.2</v>
      </c>
      <c r="BK3354" s="3">
        <v>1</v>
      </c>
      <c r="BL3354" s="3">
        <v>59</v>
      </c>
      <c r="BM3354" s="3">
        <v>8.85</v>
      </c>
      <c r="BN3354" s="3">
        <v>67.849999999999994</v>
      </c>
      <c r="BO3354" s="3">
        <v>67.849999999999994</v>
      </c>
      <c r="BQ3354" s="3" t="s">
        <v>83</v>
      </c>
      <c r="BR3354" s="3" t="s">
        <v>364</v>
      </c>
      <c r="BS3354" s="4">
        <v>44571</v>
      </c>
      <c r="BT3354" s="5">
        <v>0.38750000000000001</v>
      </c>
      <c r="BU3354" s="3" t="s">
        <v>1398</v>
      </c>
      <c r="BV3354" s="3" t="s">
        <v>105</v>
      </c>
      <c r="BY3354" s="3">
        <v>1200</v>
      </c>
      <c r="BZ3354" s="3" t="s">
        <v>165</v>
      </c>
      <c r="CA3354" s="3" t="s">
        <v>528</v>
      </c>
      <c r="CC3354" s="3" t="s">
        <v>177</v>
      </c>
      <c r="CD3354" s="3">
        <v>4026</v>
      </c>
      <c r="CE3354" s="3" t="s">
        <v>93</v>
      </c>
      <c r="CF3354" s="4">
        <v>44571</v>
      </c>
      <c r="CI3354" s="3">
        <v>1</v>
      </c>
      <c r="CJ3354" s="3">
        <v>1</v>
      </c>
      <c r="CK3354" s="3">
        <v>21</v>
      </c>
      <c r="CL3354" s="3" t="s">
        <v>87</v>
      </c>
    </row>
    <row r="3355" spans="1:90" x14ac:dyDescent="0.2">
      <c r="A3355" s="3" t="s">
        <v>72</v>
      </c>
      <c r="B3355" s="3" t="s">
        <v>73</v>
      </c>
      <c r="C3355" s="3" t="s">
        <v>74</v>
      </c>
      <c r="E3355" s="3" t="str">
        <f>"FES1162844125"</f>
        <v>FES1162844125</v>
      </c>
      <c r="F3355" s="4">
        <v>44568</v>
      </c>
      <c r="G3355" s="3">
        <v>202207</v>
      </c>
      <c r="H3355" s="3" t="s">
        <v>75</v>
      </c>
      <c r="I3355" s="3" t="s">
        <v>76</v>
      </c>
      <c r="J3355" s="3" t="s">
        <v>77</v>
      </c>
      <c r="K3355" s="3" t="s">
        <v>78</v>
      </c>
      <c r="L3355" s="3" t="s">
        <v>171</v>
      </c>
      <c r="M3355" s="3" t="s">
        <v>172</v>
      </c>
      <c r="N3355" s="3" t="s">
        <v>329</v>
      </c>
      <c r="O3355" s="3" t="s">
        <v>82</v>
      </c>
      <c r="P3355" s="3" t="str">
        <f>"2170810815                    "</f>
        <v xml:space="preserve">2170810815                    </v>
      </c>
      <c r="Q3355" s="3">
        <v>0</v>
      </c>
      <c r="R3355" s="3">
        <v>0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  <c r="AE3355" s="3">
        <v>0</v>
      </c>
      <c r="AF3355" s="3">
        <v>0</v>
      </c>
      <c r="AG3355" s="3">
        <v>0</v>
      </c>
      <c r="AH3355" s="3">
        <v>0</v>
      </c>
      <c r="AI3355" s="3">
        <v>0</v>
      </c>
      <c r="AJ3355" s="3">
        <v>0</v>
      </c>
      <c r="AK3355" s="3">
        <v>15.46</v>
      </c>
      <c r="AL3355" s="3">
        <v>0</v>
      </c>
      <c r="AM3355" s="3">
        <v>0</v>
      </c>
      <c r="AN3355" s="3">
        <v>0</v>
      </c>
      <c r="AO3355" s="3">
        <v>0</v>
      </c>
      <c r="AP3355" s="3">
        <v>0</v>
      </c>
      <c r="AQ3355" s="3">
        <v>0</v>
      </c>
      <c r="AR3355" s="3">
        <v>0</v>
      </c>
      <c r="AS3355" s="3">
        <v>0</v>
      </c>
      <c r="AT3355" s="3">
        <v>0</v>
      </c>
      <c r="AU3355" s="3">
        <v>0</v>
      </c>
      <c r="AV3355" s="3">
        <v>0</v>
      </c>
      <c r="AW3355" s="3">
        <v>0</v>
      </c>
      <c r="AX3355" s="3">
        <v>0</v>
      </c>
      <c r="AY3355" s="3">
        <v>0</v>
      </c>
      <c r="AZ3355" s="3">
        <v>0</v>
      </c>
      <c r="BA3355" s="3">
        <v>0</v>
      </c>
      <c r="BB3355" s="3">
        <v>0</v>
      </c>
      <c r="BC3355" s="3">
        <v>0</v>
      </c>
      <c r="BD3355" s="3">
        <v>0</v>
      </c>
      <c r="BE3355" s="3">
        <v>0</v>
      </c>
      <c r="BF3355" s="3">
        <v>0</v>
      </c>
      <c r="BG3355" s="3">
        <v>0</v>
      </c>
      <c r="BH3355" s="3">
        <v>1</v>
      </c>
      <c r="BI3355" s="3">
        <v>1</v>
      </c>
      <c r="BJ3355" s="3">
        <v>1.1000000000000001</v>
      </c>
      <c r="BK3355" s="3">
        <v>1.5</v>
      </c>
      <c r="BL3355" s="3">
        <v>59</v>
      </c>
      <c r="BM3355" s="3">
        <v>8.85</v>
      </c>
      <c r="BN3355" s="3">
        <v>67.849999999999994</v>
      </c>
      <c r="BO3355" s="3">
        <v>67.849999999999994</v>
      </c>
      <c r="BQ3355" s="3" t="s">
        <v>83</v>
      </c>
      <c r="BR3355" s="3" t="s">
        <v>364</v>
      </c>
      <c r="BS3355" s="4">
        <v>44571</v>
      </c>
      <c r="BT3355" s="5">
        <v>0.3298611111111111</v>
      </c>
      <c r="BU3355" s="3" t="s">
        <v>330</v>
      </c>
      <c r="BV3355" s="3" t="s">
        <v>105</v>
      </c>
      <c r="BY3355" s="3">
        <v>5320</v>
      </c>
      <c r="BZ3355" s="3" t="s">
        <v>165</v>
      </c>
      <c r="CA3355" s="3" t="s">
        <v>331</v>
      </c>
      <c r="CC3355" s="3" t="s">
        <v>172</v>
      </c>
      <c r="CD3355" s="3">
        <v>6001</v>
      </c>
      <c r="CE3355" s="3" t="s">
        <v>86</v>
      </c>
      <c r="CF3355" s="4">
        <v>44571</v>
      </c>
      <c r="CI3355" s="3">
        <v>1</v>
      </c>
      <c r="CJ3355" s="3">
        <v>1</v>
      </c>
      <c r="CK3355" s="3">
        <v>21</v>
      </c>
      <c r="CL3355" s="3" t="s">
        <v>87</v>
      </c>
    </row>
    <row r="3356" spans="1:90" x14ac:dyDescent="0.2">
      <c r="A3356" s="3" t="s">
        <v>72</v>
      </c>
      <c r="B3356" s="3" t="s">
        <v>73</v>
      </c>
      <c r="C3356" s="3" t="s">
        <v>74</v>
      </c>
      <c r="E3356" s="3" t="str">
        <f>"FES1162844101"</f>
        <v>FES1162844101</v>
      </c>
      <c r="F3356" s="4">
        <v>44568</v>
      </c>
      <c r="G3356" s="3">
        <v>202207</v>
      </c>
      <c r="H3356" s="3" t="s">
        <v>75</v>
      </c>
      <c r="I3356" s="3" t="s">
        <v>76</v>
      </c>
      <c r="J3356" s="3" t="s">
        <v>77</v>
      </c>
      <c r="K3356" s="3" t="s">
        <v>78</v>
      </c>
      <c r="L3356" s="3" t="s">
        <v>171</v>
      </c>
      <c r="M3356" s="3" t="s">
        <v>172</v>
      </c>
      <c r="N3356" s="3" t="s">
        <v>329</v>
      </c>
      <c r="O3356" s="3" t="s">
        <v>82</v>
      </c>
      <c r="P3356" s="3" t="str">
        <f>"2170810901                    "</f>
        <v xml:space="preserve">2170810901                    </v>
      </c>
      <c r="Q3356" s="3">
        <v>0</v>
      </c>
      <c r="R3356" s="3">
        <v>0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  <c r="AE3356" s="3">
        <v>0</v>
      </c>
      <c r="AF3356" s="3">
        <v>0</v>
      </c>
      <c r="AG3356" s="3">
        <v>0</v>
      </c>
      <c r="AH3356" s="3">
        <v>0</v>
      </c>
      <c r="AI3356" s="3">
        <v>0</v>
      </c>
      <c r="AJ3356" s="3">
        <v>0</v>
      </c>
      <c r="AK3356" s="3">
        <v>15.46</v>
      </c>
      <c r="AL3356" s="3">
        <v>0</v>
      </c>
      <c r="AM3356" s="3">
        <v>0</v>
      </c>
      <c r="AN3356" s="3">
        <v>0</v>
      </c>
      <c r="AO3356" s="3">
        <v>0</v>
      </c>
      <c r="AP3356" s="3">
        <v>0</v>
      </c>
      <c r="AQ3356" s="3">
        <v>0</v>
      </c>
      <c r="AR3356" s="3">
        <v>0</v>
      </c>
      <c r="AS3356" s="3">
        <v>0</v>
      </c>
      <c r="AT3356" s="3">
        <v>0</v>
      </c>
      <c r="AU3356" s="3">
        <v>0</v>
      </c>
      <c r="AV3356" s="3">
        <v>0</v>
      </c>
      <c r="AW3356" s="3">
        <v>0</v>
      </c>
      <c r="AX3356" s="3">
        <v>0</v>
      </c>
      <c r="AY3356" s="3">
        <v>0</v>
      </c>
      <c r="AZ3356" s="3">
        <v>0</v>
      </c>
      <c r="BA3356" s="3">
        <v>0</v>
      </c>
      <c r="BB3356" s="3">
        <v>0</v>
      </c>
      <c r="BC3356" s="3">
        <v>0</v>
      </c>
      <c r="BD3356" s="3">
        <v>0</v>
      </c>
      <c r="BE3356" s="3">
        <v>0</v>
      </c>
      <c r="BF3356" s="3">
        <v>0</v>
      </c>
      <c r="BG3356" s="3">
        <v>0</v>
      </c>
      <c r="BH3356" s="3">
        <v>1</v>
      </c>
      <c r="BI3356" s="3">
        <v>1</v>
      </c>
      <c r="BJ3356" s="3">
        <v>0.2</v>
      </c>
      <c r="BK3356" s="3">
        <v>1</v>
      </c>
      <c r="BL3356" s="3">
        <v>59</v>
      </c>
      <c r="BM3356" s="3">
        <v>8.85</v>
      </c>
      <c r="BN3356" s="3">
        <v>67.849999999999994</v>
      </c>
      <c r="BO3356" s="3">
        <v>67.849999999999994</v>
      </c>
      <c r="BQ3356" s="3" t="s">
        <v>83</v>
      </c>
      <c r="BR3356" s="3" t="s">
        <v>364</v>
      </c>
      <c r="BS3356" s="4">
        <v>44571</v>
      </c>
      <c r="BT3356" s="5">
        <v>0.3298611111111111</v>
      </c>
      <c r="BU3356" s="3" t="s">
        <v>330</v>
      </c>
      <c r="BV3356" s="3" t="s">
        <v>105</v>
      </c>
      <c r="BY3356" s="3">
        <v>1200</v>
      </c>
      <c r="BZ3356" s="3" t="s">
        <v>165</v>
      </c>
      <c r="CA3356" s="3" t="s">
        <v>331</v>
      </c>
      <c r="CC3356" s="3" t="s">
        <v>172</v>
      </c>
      <c r="CD3356" s="3">
        <v>6001</v>
      </c>
      <c r="CE3356" s="3" t="s">
        <v>93</v>
      </c>
      <c r="CF3356" s="4">
        <v>44571</v>
      </c>
      <c r="CI3356" s="3">
        <v>1</v>
      </c>
      <c r="CJ3356" s="3">
        <v>1</v>
      </c>
      <c r="CK3356" s="3">
        <v>21</v>
      </c>
      <c r="CL3356" s="3" t="s">
        <v>87</v>
      </c>
    </row>
    <row r="3357" spans="1:90" x14ac:dyDescent="0.2">
      <c r="A3357" s="3" t="s">
        <v>72</v>
      </c>
      <c r="B3357" s="3" t="s">
        <v>73</v>
      </c>
      <c r="C3357" s="3" t="s">
        <v>74</v>
      </c>
      <c r="E3357" s="3" t="str">
        <f>"FES1162844006"</f>
        <v>FES1162844006</v>
      </c>
      <c r="F3357" s="4">
        <v>44568</v>
      </c>
      <c r="G3357" s="3">
        <v>202207</v>
      </c>
      <c r="H3357" s="3" t="s">
        <v>75</v>
      </c>
      <c r="I3357" s="3" t="s">
        <v>76</v>
      </c>
      <c r="J3357" s="3" t="s">
        <v>77</v>
      </c>
      <c r="K3357" s="3" t="s">
        <v>78</v>
      </c>
      <c r="L3357" s="3" t="s">
        <v>171</v>
      </c>
      <c r="M3357" s="3" t="s">
        <v>172</v>
      </c>
      <c r="N3357" s="3" t="s">
        <v>199</v>
      </c>
      <c r="O3357" s="3" t="s">
        <v>82</v>
      </c>
      <c r="P3357" s="3" t="str">
        <f>"2170815817                    "</f>
        <v xml:space="preserve">2170815817                    </v>
      </c>
      <c r="Q3357" s="3">
        <v>0</v>
      </c>
      <c r="R3357" s="3">
        <v>0</v>
      </c>
      <c r="S3357" s="3">
        <v>0</v>
      </c>
      <c r="T3357" s="3">
        <v>0</v>
      </c>
      <c r="U3357" s="3">
        <v>0</v>
      </c>
      <c r="V3357" s="3">
        <v>0</v>
      </c>
      <c r="W3357" s="3">
        <v>0</v>
      </c>
      <c r="X3357" s="3">
        <v>0</v>
      </c>
      <c r="Y3357" s="3">
        <v>0</v>
      </c>
      <c r="Z3357" s="3">
        <v>0</v>
      </c>
      <c r="AA3357" s="3">
        <v>0</v>
      </c>
      <c r="AB3357" s="3">
        <v>0</v>
      </c>
      <c r="AC3357" s="3">
        <v>0</v>
      </c>
      <c r="AD3357" s="3">
        <v>0</v>
      </c>
      <c r="AE3357" s="3">
        <v>0</v>
      </c>
      <c r="AF3357" s="3">
        <v>0</v>
      </c>
      <c r="AG3357" s="3">
        <v>0</v>
      </c>
      <c r="AH3357" s="3">
        <v>0</v>
      </c>
      <c r="AI3357" s="3">
        <v>0</v>
      </c>
      <c r="AJ3357" s="3">
        <v>0</v>
      </c>
      <c r="AK3357" s="3">
        <v>34.770000000000003</v>
      </c>
      <c r="AL3357" s="3">
        <v>0</v>
      </c>
      <c r="AM3357" s="3">
        <v>0</v>
      </c>
      <c r="AN3357" s="3">
        <v>0</v>
      </c>
      <c r="AO3357" s="3">
        <v>0</v>
      </c>
      <c r="AP3357" s="3">
        <v>0</v>
      </c>
      <c r="AQ3357" s="3">
        <v>0</v>
      </c>
      <c r="AR3357" s="3">
        <v>0</v>
      </c>
      <c r="AS3357" s="3">
        <v>0</v>
      </c>
      <c r="AT3357" s="3">
        <v>0</v>
      </c>
      <c r="AU3357" s="3">
        <v>0</v>
      </c>
      <c r="AV3357" s="3">
        <v>0</v>
      </c>
      <c r="AW3357" s="3">
        <v>0</v>
      </c>
      <c r="AX3357" s="3">
        <v>0</v>
      </c>
      <c r="AY3357" s="3">
        <v>0</v>
      </c>
      <c r="AZ3357" s="3">
        <v>0</v>
      </c>
      <c r="BA3357" s="3">
        <v>0</v>
      </c>
      <c r="BB3357" s="3">
        <v>0</v>
      </c>
      <c r="BC3357" s="3">
        <v>0</v>
      </c>
      <c r="BD3357" s="3">
        <v>0</v>
      </c>
      <c r="BE3357" s="3">
        <v>0</v>
      </c>
      <c r="BF3357" s="3">
        <v>0</v>
      </c>
      <c r="BG3357" s="3">
        <v>0</v>
      </c>
      <c r="BH3357" s="3">
        <v>1</v>
      </c>
      <c r="BI3357" s="3">
        <v>3</v>
      </c>
      <c r="BJ3357" s="3">
        <v>4.0999999999999996</v>
      </c>
      <c r="BK3357" s="3">
        <v>4.5</v>
      </c>
      <c r="BL3357" s="3">
        <v>132.71</v>
      </c>
      <c r="BM3357" s="3">
        <v>19.91</v>
      </c>
      <c r="BN3357" s="3">
        <v>152.62</v>
      </c>
      <c r="BO3357" s="3">
        <v>152.62</v>
      </c>
      <c r="BR3357" s="3" t="s">
        <v>364</v>
      </c>
      <c r="BS3357" s="4">
        <v>44571</v>
      </c>
      <c r="BT3357" s="5">
        <v>0.6118055555555556</v>
      </c>
      <c r="BU3357" s="3" t="s">
        <v>2892</v>
      </c>
      <c r="BV3357" s="3" t="s">
        <v>87</v>
      </c>
      <c r="BW3357" s="3" t="s">
        <v>457</v>
      </c>
      <c r="BX3357" s="3" t="s">
        <v>279</v>
      </c>
      <c r="BY3357" s="3">
        <v>20358</v>
      </c>
      <c r="BZ3357" s="3" t="s">
        <v>165</v>
      </c>
      <c r="CA3357" s="3" t="s">
        <v>2855</v>
      </c>
      <c r="CC3357" s="3" t="s">
        <v>172</v>
      </c>
      <c r="CD3357" s="3">
        <v>6000</v>
      </c>
      <c r="CE3357" s="3" t="s">
        <v>86</v>
      </c>
      <c r="CF3357" s="4">
        <v>44572</v>
      </c>
      <c r="CI3357" s="3">
        <v>1</v>
      </c>
      <c r="CJ3357" s="3">
        <v>1</v>
      </c>
      <c r="CK3357" s="3">
        <v>21</v>
      </c>
      <c r="CL3357" s="3" t="s">
        <v>87</v>
      </c>
    </row>
    <row r="3358" spans="1:90" x14ac:dyDescent="0.2">
      <c r="A3358" s="3" t="s">
        <v>72</v>
      </c>
      <c r="B3358" s="3" t="s">
        <v>73</v>
      </c>
      <c r="C3358" s="3" t="s">
        <v>74</v>
      </c>
      <c r="E3358" s="3" t="str">
        <f>"FES1162844042"</f>
        <v>FES1162844042</v>
      </c>
      <c r="F3358" s="4">
        <v>44568</v>
      </c>
      <c r="G3358" s="3">
        <v>202207</v>
      </c>
      <c r="H3358" s="3" t="s">
        <v>75</v>
      </c>
      <c r="I3358" s="3" t="s">
        <v>76</v>
      </c>
      <c r="J3358" s="3" t="s">
        <v>77</v>
      </c>
      <c r="K3358" s="3" t="s">
        <v>78</v>
      </c>
      <c r="L3358" s="3" t="s">
        <v>101</v>
      </c>
      <c r="M3358" s="3" t="s">
        <v>102</v>
      </c>
      <c r="N3358" s="3" t="s">
        <v>272</v>
      </c>
      <c r="O3358" s="3" t="s">
        <v>82</v>
      </c>
      <c r="P3358" s="3" t="str">
        <f>"2170815850                    "</f>
        <v xml:space="preserve">2170815850                    </v>
      </c>
      <c r="Q3358" s="3">
        <v>0</v>
      </c>
      <c r="R3358" s="3">
        <v>0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  <c r="AE3358" s="3">
        <v>0</v>
      </c>
      <c r="AF3358" s="3">
        <v>0</v>
      </c>
      <c r="AG3358" s="3">
        <v>0</v>
      </c>
      <c r="AH3358" s="3">
        <v>0</v>
      </c>
      <c r="AI3358" s="3">
        <v>0</v>
      </c>
      <c r="AJ3358" s="3">
        <v>0</v>
      </c>
      <c r="AK3358" s="3">
        <v>15.46</v>
      </c>
      <c r="AL3358" s="3">
        <v>0</v>
      </c>
      <c r="AM3358" s="3">
        <v>0</v>
      </c>
      <c r="AN3358" s="3">
        <v>0</v>
      </c>
      <c r="AO3358" s="3">
        <v>0</v>
      </c>
      <c r="AP3358" s="3">
        <v>0</v>
      </c>
      <c r="AQ3358" s="3">
        <v>0</v>
      </c>
      <c r="AR3358" s="3">
        <v>0</v>
      </c>
      <c r="AS3358" s="3">
        <v>0</v>
      </c>
      <c r="AT3358" s="3">
        <v>0</v>
      </c>
      <c r="AU3358" s="3">
        <v>0</v>
      </c>
      <c r="AV3358" s="3">
        <v>0</v>
      </c>
      <c r="AW3358" s="3">
        <v>0</v>
      </c>
      <c r="AX3358" s="3">
        <v>0</v>
      </c>
      <c r="AY3358" s="3">
        <v>0</v>
      </c>
      <c r="AZ3358" s="3">
        <v>0</v>
      </c>
      <c r="BA3358" s="3">
        <v>0</v>
      </c>
      <c r="BB3358" s="3">
        <v>0</v>
      </c>
      <c r="BC3358" s="3">
        <v>0</v>
      </c>
      <c r="BD3358" s="3">
        <v>0</v>
      </c>
      <c r="BE3358" s="3">
        <v>0</v>
      </c>
      <c r="BF3358" s="3">
        <v>0</v>
      </c>
      <c r="BG3358" s="3">
        <v>0</v>
      </c>
      <c r="BH3358" s="3">
        <v>1</v>
      </c>
      <c r="BI3358" s="3">
        <v>1</v>
      </c>
      <c r="BJ3358" s="3">
        <v>0.2</v>
      </c>
      <c r="BK3358" s="3">
        <v>1</v>
      </c>
      <c r="BL3358" s="3">
        <v>59</v>
      </c>
      <c r="BM3358" s="3">
        <v>8.85</v>
      </c>
      <c r="BN3358" s="3">
        <v>67.849999999999994</v>
      </c>
      <c r="BO3358" s="3">
        <v>67.849999999999994</v>
      </c>
      <c r="BQ3358" s="3" t="s">
        <v>273</v>
      </c>
      <c r="BR3358" s="3" t="s">
        <v>364</v>
      </c>
      <c r="BS3358" s="4">
        <v>44571</v>
      </c>
      <c r="BT3358" s="5">
        <v>0.35347222222222219</v>
      </c>
      <c r="BU3358" s="3" t="s">
        <v>274</v>
      </c>
      <c r="BV3358" s="3" t="s">
        <v>105</v>
      </c>
      <c r="BY3358" s="3">
        <v>1200</v>
      </c>
      <c r="BZ3358" s="3" t="s">
        <v>165</v>
      </c>
      <c r="CA3358" s="3" t="s">
        <v>275</v>
      </c>
      <c r="CC3358" s="3" t="s">
        <v>102</v>
      </c>
      <c r="CD3358" s="3">
        <v>4000</v>
      </c>
      <c r="CE3358" s="3" t="s">
        <v>93</v>
      </c>
      <c r="CF3358" s="4">
        <v>44571</v>
      </c>
      <c r="CI3358" s="3">
        <v>1</v>
      </c>
      <c r="CJ3358" s="3">
        <v>1</v>
      </c>
      <c r="CK3358" s="3">
        <v>21</v>
      </c>
      <c r="CL3358" s="3" t="s">
        <v>87</v>
      </c>
    </row>
    <row r="3359" spans="1:90" x14ac:dyDescent="0.2">
      <c r="A3359" s="3" t="s">
        <v>72</v>
      </c>
      <c r="B3359" s="3" t="s">
        <v>73</v>
      </c>
      <c r="C3359" s="3" t="s">
        <v>74</v>
      </c>
      <c r="E3359" s="3" t="str">
        <f>"FES1162844141"</f>
        <v>FES1162844141</v>
      </c>
      <c r="F3359" s="4">
        <v>44568</v>
      </c>
      <c r="G3359" s="3">
        <v>202207</v>
      </c>
      <c r="H3359" s="3" t="s">
        <v>75</v>
      </c>
      <c r="I3359" s="3" t="s">
        <v>76</v>
      </c>
      <c r="J3359" s="3" t="s">
        <v>77</v>
      </c>
      <c r="K3359" s="3" t="s">
        <v>78</v>
      </c>
      <c r="L3359" s="3" t="s">
        <v>90</v>
      </c>
      <c r="M3359" s="3" t="s">
        <v>91</v>
      </c>
      <c r="N3359" s="3" t="s">
        <v>157</v>
      </c>
      <c r="O3359" s="3" t="s">
        <v>82</v>
      </c>
      <c r="P3359" s="3" t="str">
        <f>"2170814755                    "</f>
        <v xml:space="preserve">2170814755                    </v>
      </c>
      <c r="Q3359" s="3">
        <v>0</v>
      </c>
      <c r="R3359" s="3">
        <v>0</v>
      </c>
      <c r="S3359" s="3">
        <v>0</v>
      </c>
      <c r="T3359" s="3">
        <v>0</v>
      </c>
      <c r="U3359" s="3">
        <v>0</v>
      </c>
      <c r="V3359" s="3">
        <v>0</v>
      </c>
      <c r="W3359" s="3">
        <v>0</v>
      </c>
      <c r="X3359" s="3">
        <v>0</v>
      </c>
      <c r="Y3359" s="3">
        <v>0</v>
      </c>
      <c r="Z3359" s="3">
        <v>0</v>
      </c>
      <c r="AA3359" s="3">
        <v>0</v>
      </c>
      <c r="AB3359" s="3">
        <v>0</v>
      </c>
      <c r="AC3359" s="3">
        <v>0</v>
      </c>
      <c r="AD3359" s="3">
        <v>0</v>
      </c>
      <c r="AE3359" s="3">
        <v>0</v>
      </c>
      <c r="AF3359" s="3">
        <v>0</v>
      </c>
      <c r="AG3359" s="3">
        <v>0</v>
      </c>
      <c r="AH3359" s="3">
        <v>0</v>
      </c>
      <c r="AI3359" s="3">
        <v>0</v>
      </c>
      <c r="AJ3359" s="3">
        <v>0</v>
      </c>
      <c r="AK3359" s="3">
        <v>15.46</v>
      </c>
      <c r="AL3359" s="3">
        <v>0</v>
      </c>
      <c r="AM3359" s="3">
        <v>0</v>
      </c>
      <c r="AN3359" s="3">
        <v>0</v>
      </c>
      <c r="AO3359" s="3">
        <v>0</v>
      </c>
      <c r="AP3359" s="3">
        <v>0</v>
      </c>
      <c r="AQ3359" s="3">
        <v>0</v>
      </c>
      <c r="AR3359" s="3">
        <v>0</v>
      </c>
      <c r="AS3359" s="3">
        <v>0</v>
      </c>
      <c r="AT3359" s="3">
        <v>0</v>
      </c>
      <c r="AU3359" s="3">
        <v>0</v>
      </c>
      <c r="AV3359" s="3">
        <v>0</v>
      </c>
      <c r="AW3359" s="3">
        <v>0</v>
      </c>
      <c r="AX3359" s="3">
        <v>0</v>
      </c>
      <c r="AY3359" s="3">
        <v>0</v>
      </c>
      <c r="AZ3359" s="3">
        <v>0</v>
      </c>
      <c r="BA3359" s="3">
        <v>0</v>
      </c>
      <c r="BB3359" s="3">
        <v>0</v>
      </c>
      <c r="BC3359" s="3">
        <v>0</v>
      </c>
      <c r="BD3359" s="3">
        <v>0</v>
      </c>
      <c r="BE3359" s="3">
        <v>0</v>
      </c>
      <c r="BF3359" s="3">
        <v>0</v>
      </c>
      <c r="BG3359" s="3">
        <v>0</v>
      </c>
      <c r="BH3359" s="3">
        <v>1</v>
      </c>
      <c r="BI3359" s="3">
        <v>1</v>
      </c>
      <c r="BJ3359" s="3">
        <v>1.5</v>
      </c>
      <c r="BK3359" s="3">
        <v>1.5</v>
      </c>
      <c r="BL3359" s="3">
        <v>59</v>
      </c>
      <c r="BM3359" s="3">
        <v>8.85</v>
      </c>
      <c r="BN3359" s="3">
        <v>67.849999999999994</v>
      </c>
      <c r="BO3359" s="3">
        <v>67.849999999999994</v>
      </c>
      <c r="BQ3359" s="3" t="s">
        <v>89</v>
      </c>
      <c r="BR3359" s="3" t="s">
        <v>364</v>
      </c>
      <c r="BS3359" s="4">
        <v>44571</v>
      </c>
      <c r="BT3359" s="5">
        <v>0.33888888888888885</v>
      </c>
      <c r="BU3359" s="3" t="s">
        <v>693</v>
      </c>
      <c r="BV3359" s="3" t="s">
        <v>105</v>
      </c>
      <c r="BY3359" s="3">
        <v>7540</v>
      </c>
      <c r="BZ3359" s="3" t="s">
        <v>165</v>
      </c>
      <c r="CA3359" s="3" t="s">
        <v>289</v>
      </c>
      <c r="CC3359" s="3" t="s">
        <v>91</v>
      </c>
      <c r="CD3359" s="3">
        <v>7441</v>
      </c>
      <c r="CE3359" s="3" t="s">
        <v>86</v>
      </c>
      <c r="CF3359" s="4">
        <v>44572</v>
      </c>
      <c r="CI3359" s="3">
        <v>1</v>
      </c>
      <c r="CJ3359" s="3">
        <v>1</v>
      </c>
      <c r="CK3359" s="3">
        <v>21</v>
      </c>
      <c r="CL3359" s="3" t="s">
        <v>87</v>
      </c>
    </row>
    <row r="3360" spans="1:90" x14ac:dyDescent="0.2">
      <c r="A3360" s="3" t="s">
        <v>72</v>
      </c>
      <c r="B3360" s="3" t="s">
        <v>73</v>
      </c>
      <c r="C3360" s="3" t="s">
        <v>74</v>
      </c>
      <c r="E3360" s="3" t="str">
        <f>"FES1162844016"</f>
        <v>FES1162844016</v>
      </c>
      <c r="F3360" s="4">
        <v>44568</v>
      </c>
      <c r="G3360" s="3">
        <v>202207</v>
      </c>
      <c r="H3360" s="3" t="s">
        <v>75</v>
      </c>
      <c r="I3360" s="3" t="s">
        <v>76</v>
      </c>
      <c r="J3360" s="3" t="s">
        <v>77</v>
      </c>
      <c r="K3360" s="3" t="s">
        <v>78</v>
      </c>
      <c r="L3360" s="3" t="s">
        <v>176</v>
      </c>
      <c r="M3360" s="3" t="s">
        <v>177</v>
      </c>
      <c r="N3360" s="3" t="s">
        <v>178</v>
      </c>
      <c r="O3360" s="3" t="s">
        <v>82</v>
      </c>
      <c r="P3360" s="3" t="str">
        <f>"2170815826                    "</f>
        <v xml:space="preserve">2170815826                    </v>
      </c>
      <c r="Q3360" s="3">
        <v>0</v>
      </c>
      <c r="R3360" s="3">
        <v>0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  <c r="AE3360" s="3">
        <v>0</v>
      </c>
      <c r="AF3360" s="3">
        <v>0</v>
      </c>
      <c r="AG3360" s="3">
        <v>0</v>
      </c>
      <c r="AH3360" s="3">
        <v>0</v>
      </c>
      <c r="AI3360" s="3">
        <v>0</v>
      </c>
      <c r="AJ3360" s="3">
        <v>0</v>
      </c>
      <c r="AK3360" s="3">
        <v>15.46</v>
      </c>
      <c r="AL3360" s="3">
        <v>0</v>
      </c>
      <c r="AM3360" s="3">
        <v>0</v>
      </c>
      <c r="AN3360" s="3">
        <v>0</v>
      </c>
      <c r="AO3360" s="3">
        <v>0</v>
      </c>
      <c r="AP3360" s="3">
        <v>0</v>
      </c>
      <c r="AQ3360" s="3">
        <v>0</v>
      </c>
      <c r="AR3360" s="3">
        <v>0</v>
      </c>
      <c r="AS3360" s="3">
        <v>0</v>
      </c>
      <c r="AT3360" s="3">
        <v>0</v>
      </c>
      <c r="AU3360" s="3">
        <v>0</v>
      </c>
      <c r="AV3360" s="3">
        <v>0</v>
      </c>
      <c r="AW3360" s="3">
        <v>0</v>
      </c>
      <c r="AX3360" s="3">
        <v>0</v>
      </c>
      <c r="AY3360" s="3">
        <v>0</v>
      </c>
      <c r="AZ3360" s="3">
        <v>0</v>
      </c>
      <c r="BA3360" s="3">
        <v>0</v>
      </c>
      <c r="BB3360" s="3">
        <v>0</v>
      </c>
      <c r="BC3360" s="3">
        <v>0</v>
      </c>
      <c r="BD3360" s="3">
        <v>0</v>
      </c>
      <c r="BE3360" s="3">
        <v>0</v>
      </c>
      <c r="BF3360" s="3">
        <v>0</v>
      </c>
      <c r="BG3360" s="3">
        <v>0</v>
      </c>
      <c r="BH3360" s="3">
        <v>1</v>
      </c>
      <c r="BI3360" s="3">
        <v>1</v>
      </c>
      <c r="BJ3360" s="3">
        <v>0.2</v>
      </c>
      <c r="BK3360" s="3">
        <v>1</v>
      </c>
      <c r="BL3360" s="3">
        <v>59</v>
      </c>
      <c r="BM3360" s="3">
        <v>8.85</v>
      </c>
      <c r="BN3360" s="3">
        <v>67.849999999999994</v>
      </c>
      <c r="BO3360" s="3">
        <v>67.849999999999994</v>
      </c>
      <c r="BQ3360" s="3" t="s">
        <v>83</v>
      </c>
      <c r="BR3360" s="3" t="s">
        <v>364</v>
      </c>
      <c r="BS3360" s="4">
        <v>44571</v>
      </c>
      <c r="BT3360" s="5">
        <v>0.38750000000000001</v>
      </c>
      <c r="BU3360" s="3" t="s">
        <v>1398</v>
      </c>
      <c r="BV3360" s="3" t="s">
        <v>105</v>
      </c>
      <c r="BY3360" s="3">
        <v>1200</v>
      </c>
      <c r="BZ3360" s="3" t="s">
        <v>165</v>
      </c>
      <c r="CA3360" s="3" t="s">
        <v>528</v>
      </c>
      <c r="CC3360" s="3" t="s">
        <v>177</v>
      </c>
      <c r="CD3360" s="3">
        <v>4026</v>
      </c>
      <c r="CE3360" s="3" t="s">
        <v>93</v>
      </c>
      <c r="CF3360" s="4">
        <v>44571</v>
      </c>
      <c r="CI3360" s="3">
        <v>1</v>
      </c>
      <c r="CJ3360" s="3">
        <v>1</v>
      </c>
      <c r="CK3360" s="3">
        <v>21</v>
      </c>
      <c r="CL3360" s="3" t="s">
        <v>87</v>
      </c>
    </row>
    <row r="3361" spans="1:90" x14ac:dyDescent="0.2">
      <c r="A3361" s="3" t="s">
        <v>72</v>
      </c>
      <c r="B3361" s="3" t="s">
        <v>73</v>
      </c>
      <c r="C3361" s="3" t="s">
        <v>74</v>
      </c>
      <c r="E3361" s="3" t="str">
        <f>"FES1162844004"</f>
        <v>FES1162844004</v>
      </c>
      <c r="F3361" s="4">
        <v>44568</v>
      </c>
      <c r="G3361" s="3">
        <v>202207</v>
      </c>
      <c r="H3361" s="3" t="s">
        <v>75</v>
      </c>
      <c r="I3361" s="3" t="s">
        <v>76</v>
      </c>
      <c r="J3361" s="3" t="s">
        <v>77</v>
      </c>
      <c r="K3361" s="3" t="s">
        <v>78</v>
      </c>
      <c r="L3361" s="3" t="s">
        <v>90</v>
      </c>
      <c r="M3361" s="3" t="s">
        <v>91</v>
      </c>
      <c r="N3361" s="3" t="s">
        <v>577</v>
      </c>
      <c r="O3361" s="3" t="s">
        <v>82</v>
      </c>
      <c r="P3361" s="3" t="str">
        <f>"2170815815                    "</f>
        <v xml:space="preserve">2170815815                    </v>
      </c>
      <c r="Q3361" s="3">
        <v>0</v>
      </c>
      <c r="R3361" s="3">
        <v>0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  <c r="AE3361" s="3">
        <v>0</v>
      </c>
      <c r="AF3361" s="3">
        <v>0</v>
      </c>
      <c r="AG3361" s="3">
        <v>0</v>
      </c>
      <c r="AH3361" s="3">
        <v>0</v>
      </c>
      <c r="AI3361" s="3">
        <v>0</v>
      </c>
      <c r="AJ3361" s="3">
        <v>0</v>
      </c>
      <c r="AK3361" s="3">
        <v>15.46</v>
      </c>
      <c r="AL3361" s="3">
        <v>0</v>
      </c>
      <c r="AM3361" s="3">
        <v>0</v>
      </c>
      <c r="AN3361" s="3">
        <v>0</v>
      </c>
      <c r="AO3361" s="3">
        <v>0</v>
      </c>
      <c r="AP3361" s="3">
        <v>0</v>
      </c>
      <c r="AQ3361" s="3">
        <v>0</v>
      </c>
      <c r="AR3361" s="3">
        <v>0</v>
      </c>
      <c r="AS3361" s="3">
        <v>0</v>
      </c>
      <c r="AT3361" s="3">
        <v>0</v>
      </c>
      <c r="AU3361" s="3">
        <v>0</v>
      </c>
      <c r="AV3361" s="3">
        <v>0</v>
      </c>
      <c r="AW3361" s="3">
        <v>0</v>
      </c>
      <c r="AX3361" s="3">
        <v>0</v>
      </c>
      <c r="AY3361" s="3">
        <v>0</v>
      </c>
      <c r="AZ3361" s="3">
        <v>0</v>
      </c>
      <c r="BA3361" s="3">
        <v>0</v>
      </c>
      <c r="BB3361" s="3">
        <v>0</v>
      </c>
      <c r="BC3361" s="3">
        <v>0</v>
      </c>
      <c r="BD3361" s="3">
        <v>0</v>
      </c>
      <c r="BE3361" s="3">
        <v>0</v>
      </c>
      <c r="BF3361" s="3">
        <v>0</v>
      </c>
      <c r="BG3361" s="3">
        <v>0</v>
      </c>
      <c r="BH3361" s="3">
        <v>1</v>
      </c>
      <c r="BI3361" s="3">
        <v>1</v>
      </c>
      <c r="BJ3361" s="3">
        <v>1.1000000000000001</v>
      </c>
      <c r="BK3361" s="3">
        <v>1.5</v>
      </c>
      <c r="BL3361" s="3">
        <v>59</v>
      </c>
      <c r="BM3361" s="3">
        <v>8.85</v>
      </c>
      <c r="BN3361" s="3">
        <v>67.849999999999994</v>
      </c>
      <c r="BO3361" s="3">
        <v>67.849999999999994</v>
      </c>
      <c r="BQ3361" s="3" t="s">
        <v>126</v>
      </c>
      <c r="BR3361" s="3" t="s">
        <v>364</v>
      </c>
      <c r="BS3361" s="4">
        <v>44571</v>
      </c>
      <c r="BT3361" s="5">
        <v>0.35069444444444442</v>
      </c>
      <c r="BU3361" s="3" t="s">
        <v>2955</v>
      </c>
      <c r="BV3361" s="3" t="s">
        <v>105</v>
      </c>
      <c r="BY3361" s="3">
        <v>5320</v>
      </c>
      <c r="BZ3361" s="3" t="s">
        <v>165</v>
      </c>
      <c r="CA3361" s="3" t="s">
        <v>2859</v>
      </c>
      <c r="CC3361" s="3" t="s">
        <v>91</v>
      </c>
      <c r="CD3361" s="3">
        <v>7441</v>
      </c>
      <c r="CE3361" s="3" t="s">
        <v>86</v>
      </c>
      <c r="CF3361" s="4">
        <v>44572</v>
      </c>
      <c r="CI3361" s="3">
        <v>1</v>
      </c>
      <c r="CJ3361" s="3">
        <v>1</v>
      </c>
      <c r="CK3361" s="3">
        <v>21</v>
      </c>
      <c r="CL3361" s="3" t="s">
        <v>87</v>
      </c>
    </row>
    <row r="3362" spans="1:90" x14ac:dyDescent="0.2">
      <c r="A3362" s="3" t="s">
        <v>72</v>
      </c>
      <c r="B3362" s="3" t="s">
        <v>73</v>
      </c>
      <c r="C3362" s="3" t="s">
        <v>74</v>
      </c>
      <c r="E3362" s="3" t="str">
        <f>"FES1162844106"</f>
        <v>FES1162844106</v>
      </c>
      <c r="F3362" s="4">
        <v>44568</v>
      </c>
      <c r="G3362" s="3">
        <v>202207</v>
      </c>
      <c r="H3362" s="3" t="s">
        <v>75</v>
      </c>
      <c r="I3362" s="3" t="s">
        <v>76</v>
      </c>
      <c r="J3362" s="3" t="s">
        <v>77</v>
      </c>
      <c r="K3362" s="3" t="s">
        <v>78</v>
      </c>
      <c r="L3362" s="3" t="s">
        <v>90</v>
      </c>
      <c r="M3362" s="3" t="s">
        <v>91</v>
      </c>
      <c r="N3362" s="3" t="s">
        <v>132</v>
      </c>
      <c r="O3362" s="3" t="s">
        <v>82</v>
      </c>
      <c r="P3362" s="3" t="str">
        <f>"2170815899                    "</f>
        <v xml:space="preserve">2170815899                    </v>
      </c>
      <c r="Q3362" s="3">
        <v>0</v>
      </c>
      <c r="R3362" s="3">
        <v>0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  <c r="AE3362" s="3">
        <v>0</v>
      </c>
      <c r="AF3362" s="3">
        <v>0</v>
      </c>
      <c r="AG3362" s="3">
        <v>0</v>
      </c>
      <c r="AH3362" s="3">
        <v>0</v>
      </c>
      <c r="AI3362" s="3">
        <v>0</v>
      </c>
      <c r="AJ3362" s="3">
        <v>0</v>
      </c>
      <c r="AK3362" s="3">
        <v>15.46</v>
      </c>
      <c r="AL3362" s="3">
        <v>0</v>
      </c>
      <c r="AM3362" s="3">
        <v>0</v>
      </c>
      <c r="AN3362" s="3">
        <v>0</v>
      </c>
      <c r="AO3362" s="3">
        <v>0</v>
      </c>
      <c r="AP3362" s="3">
        <v>0</v>
      </c>
      <c r="AQ3362" s="3">
        <v>0</v>
      </c>
      <c r="AR3362" s="3">
        <v>0</v>
      </c>
      <c r="AS3362" s="3">
        <v>0</v>
      </c>
      <c r="AT3362" s="3">
        <v>0</v>
      </c>
      <c r="AU3362" s="3">
        <v>0</v>
      </c>
      <c r="AV3362" s="3">
        <v>0</v>
      </c>
      <c r="AW3362" s="3">
        <v>0</v>
      </c>
      <c r="AX3362" s="3">
        <v>0</v>
      </c>
      <c r="AY3362" s="3">
        <v>0</v>
      </c>
      <c r="AZ3362" s="3">
        <v>0</v>
      </c>
      <c r="BA3362" s="3">
        <v>0</v>
      </c>
      <c r="BB3362" s="3">
        <v>0</v>
      </c>
      <c r="BC3362" s="3">
        <v>0</v>
      </c>
      <c r="BD3362" s="3">
        <v>0</v>
      </c>
      <c r="BE3362" s="3">
        <v>0</v>
      </c>
      <c r="BF3362" s="3">
        <v>0</v>
      </c>
      <c r="BG3362" s="3">
        <v>0</v>
      </c>
      <c r="BH3362" s="3">
        <v>1</v>
      </c>
      <c r="BI3362" s="3">
        <v>1</v>
      </c>
      <c r="BJ3362" s="3">
        <v>0.2</v>
      </c>
      <c r="BK3362" s="3">
        <v>1</v>
      </c>
      <c r="BL3362" s="3">
        <v>59</v>
      </c>
      <c r="BM3362" s="3">
        <v>8.85</v>
      </c>
      <c r="BN3362" s="3">
        <v>67.849999999999994</v>
      </c>
      <c r="BO3362" s="3">
        <v>67.849999999999994</v>
      </c>
      <c r="BQ3362" s="3" t="s">
        <v>83</v>
      </c>
      <c r="BR3362" s="3" t="s">
        <v>364</v>
      </c>
      <c r="BS3362" s="4">
        <v>44571</v>
      </c>
      <c r="BT3362" s="5">
        <v>0.40208333333333335</v>
      </c>
      <c r="BU3362" s="3" t="s">
        <v>2108</v>
      </c>
      <c r="BV3362" s="3" t="s">
        <v>105</v>
      </c>
      <c r="BY3362" s="3">
        <v>1200</v>
      </c>
      <c r="BZ3362" s="3" t="s">
        <v>165</v>
      </c>
      <c r="CA3362" s="3" t="s">
        <v>641</v>
      </c>
      <c r="CC3362" s="3" t="s">
        <v>91</v>
      </c>
      <c r="CD3362" s="3">
        <v>7530</v>
      </c>
      <c r="CE3362" s="3" t="s">
        <v>93</v>
      </c>
      <c r="CF3362" s="4">
        <v>44572</v>
      </c>
      <c r="CI3362" s="3">
        <v>1</v>
      </c>
      <c r="CJ3362" s="3">
        <v>1</v>
      </c>
      <c r="CK3362" s="3">
        <v>21</v>
      </c>
      <c r="CL3362" s="3" t="s">
        <v>87</v>
      </c>
    </row>
    <row r="3363" spans="1:90" x14ac:dyDescent="0.2">
      <c r="A3363" s="3" t="s">
        <v>72</v>
      </c>
      <c r="B3363" s="3" t="s">
        <v>73</v>
      </c>
      <c r="C3363" s="3" t="s">
        <v>74</v>
      </c>
      <c r="E3363" s="3" t="str">
        <f>"FES1162844061"</f>
        <v>FES1162844061</v>
      </c>
      <c r="F3363" s="4">
        <v>44568</v>
      </c>
      <c r="G3363" s="3">
        <v>202207</v>
      </c>
      <c r="H3363" s="3" t="s">
        <v>75</v>
      </c>
      <c r="I3363" s="3" t="s">
        <v>76</v>
      </c>
      <c r="J3363" s="3" t="s">
        <v>77</v>
      </c>
      <c r="K3363" s="3" t="s">
        <v>78</v>
      </c>
      <c r="L3363" s="3" t="s">
        <v>176</v>
      </c>
      <c r="M3363" s="3" t="s">
        <v>177</v>
      </c>
      <c r="N3363" s="3" t="s">
        <v>178</v>
      </c>
      <c r="O3363" s="3" t="s">
        <v>82</v>
      </c>
      <c r="P3363" s="3" t="str">
        <f>"2170815878                    "</f>
        <v xml:space="preserve">2170815878                    </v>
      </c>
      <c r="Q3363" s="3">
        <v>0</v>
      </c>
      <c r="R3363" s="3">
        <v>0</v>
      </c>
      <c r="S3363" s="3">
        <v>0</v>
      </c>
      <c r="T3363" s="3">
        <v>0</v>
      </c>
      <c r="U3363" s="3">
        <v>0</v>
      </c>
      <c r="V3363" s="3">
        <v>0</v>
      </c>
      <c r="W3363" s="3">
        <v>0</v>
      </c>
      <c r="X3363" s="3">
        <v>0</v>
      </c>
      <c r="Y3363" s="3">
        <v>0</v>
      </c>
      <c r="Z3363" s="3">
        <v>0</v>
      </c>
      <c r="AA3363" s="3">
        <v>0</v>
      </c>
      <c r="AB3363" s="3">
        <v>0</v>
      </c>
      <c r="AC3363" s="3">
        <v>0</v>
      </c>
      <c r="AD3363" s="3">
        <v>0</v>
      </c>
      <c r="AE3363" s="3">
        <v>0</v>
      </c>
      <c r="AF3363" s="3">
        <v>0</v>
      </c>
      <c r="AG3363" s="3">
        <v>0</v>
      </c>
      <c r="AH3363" s="3">
        <v>0</v>
      </c>
      <c r="AI3363" s="3">
        <v>0</v>
      </c>
      <c r="AJ3363" s="3">
        <v>0</v>
      </c>
      <c r="AK3363" s="3">
        <v>15.46</v>
      </c>
      <c r="AL3363" s="3">
        <v>0</v>
      </c>
      <c r="AM3363" s="3">
        <v>0</v>
      </c>
      <c r="AN3363" s="3">
        <v>0</v>
      </c>
      <c r="AO3363" s="3">
        <v>0</v>
      </c>
      <c r="AP3363" s="3">
        <v>0</v>
      </c>
      <c r="AQ3363" s="3">
        <v>0</v>
      </c>
      <c r="AR3363" s="3">
        <v>0</v>
      </c>
      <c r="AS3363" s="3">
        <v>0</v>
      </c>
      <c r="AT3363" s="3">
        <v>0</v>
      </c>
      <c r="AU3363" s="3">
        <v>0</v>
      </c>
      <c r="AV3363" s="3">
        <v>0</v>
      </c>
      <c r="AW3363" s="3">
        <v>0</v>
      </c>
      <c r="AX3363" s="3">
        <v>0</v>
      </c>
      <c r="AY3363" s="3">
        <v>0</v>
      </c>
      <c r="AZ3363" s="3">
        <v>0</v>
      </c>
      <c r="BA3363" s="3">
        <v>0</v>
      </c>
      <c r="BB3363" s="3">
        <v>0</v>
      </c>
      <c r="BC3363" s="3">
        <v>0</v>
      </c>
      <c r="BD3363" s="3">
        <v>0</v>
      </c>
      <c r="BE3363" s="3">
        <v>0</v>
      </c>
      <c r="BF3363" s="3">
        <v>0</v>
      </c>
      <c r="BG3363" s="3">
        <v>0</v>
      </c>
      <c r="BH3363" s="3">
        <v>1</v>
      </c>
      <c r="BI3363" s="3">
        <v>1</v>
      </c>
      <c r="BJ3363" s="3">
        <v>0.2</v>
      </c>
      <c r="BK3363" s="3">
        <v>1</v>
      </c>
      <c r="BL3363" s="3">
        <v>59</v>
      </c>
      <c r="BM3363" s="3">
        <v>8.85</v>
      </c>
      <c r="BN3363" s="3">
        <v>67.849999999999994</v>
      </c>
      <c r="BO3363" s="3">
        <v>67.849999999999994</v>
      </c>
      <c r="BQ3363" s="3" t="s">
        <v>83</v>
      </c>
      <c r="BR3363" s="3" t="s">
        <v>364</v>
      </c>
      <c r="BS3363" s="4">
        <v>44571</v>
      </c>
      <c r="BT3363" s="5">
        <v>0.38750000000000001</v>
      </c>
      <c r="BU3363" s="3" t="s">
        <v>1398</v>
      </c>
      <c r="BV3363" s="3" t="s">
        <v>105</v>
      </c>
      <c r="BY3363" s="3">
        <v>1200</v>
      </c>
      <c r="BZ3363" s="3" t="s">
        <v>165</v>
      </c>
      <c r="CA3363" s="3" t="s">
        <v>528</v>
      </c>
      <c r="CC3363" s="3" t="s">
        <v>177</v>
      </c>
      <c r="CD3363" s="3">
        <v>4026</v>
      </c>
      <c r="CE3363" s="3" t="s">
        <v>93</v>
      </c>
      <c r="CF3363" s="4">
        <v>44571</v>
      </c>
      <c r="CI3363" s="3">
        <v>1</v>
      </c>
      <c r="CJ3363" s="3">
        <v>1</v>
      </c>
      <c r="CK3363" s="3">
        <v>21</v>
      </c>
      <c r="CL3363" s="3" t="s">
        <v>87</v>
      </c>
    </row>
    <row r="3364" spans="1:90" x14ac:dyDescent="0.2">
      <c r="A3364" s="3" t="s">
        <v>72</v>
      </c>
      <c r="B3364" s="3" t="s">
        <v>73</v>
      </c>
      <c r="C3364" s="3" t="s">
        <v>74</v>
      </c>
      <c r="E3364" s="3" t="str">
        <f>"FES1162844031"</f>
        <v>FES1162844031</v>
      </c>
      <c r="F3364" s="4">
        <v>44568</v>
      </c>
      <c r="G3364" s="3">
        <v>202207</v>
      </c>
      <c r="H3364" s="3" t="s">
        <v>75</v>
      </c>
      <c r="I3364" s="3" t="s">
        <v>76</v>
      </c>
      <c r="J3364" s="3" t="s">
        <v>77</v>
      </c>
      <c r="K3364" s="3" t="s">
        <v>78</v>
      </c>
      <c r="L3364" s="3" t="s">
        <v>101</v>
      </c>
      <c r="M3364" s="3" t="s">
        <v>102</v>
      </c>
      <c r="N3364" s="3" t="s">
        <v>340</v>
      </c>
      <c r="O3364" s="3" t="s">
        <v>82</v>
      </c>
      <c r="P3364" s="3" t="str">
        <f>"2170815762                    "</f>
        <v xml:space="preserve">2170815762                    </v>
      </c>
      <c r="Q3364" s="3">
        <v>0</v>
      </c>
      <c r="R3364" s="3">
        <v>0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  <c r="AE3364" s="3">
        <v>0</v>
      </c>
      <c r="AF3364" s="3">
        <v>0</v>
      </c>
      <c r="AG3364" s="3">
        <v>0</v>
      </c>
      <c r="AH3364" s="3">
        <v>0</v>
      </c>
      <c r="AI3364" s="3">
        <v>0</v>
      </c>
      <c r="AJ3364" s="3">
        <v>0</v>
      </c>
      <c r="AK3364" s="3">
        <v>15.46</v>
      </c>
      <c r="AL3364" s="3">
        <v>0</v>
      </c>
      <c r="AM3364" s="3">
        <v>0</v>
      </c>
      <c r="AN3364" s="3">
        <v>0</v>
      </c>
      <c r="AO3364" s="3">
        <v>0</v>
      </c>
      <c r="AP3364" s="3">
        <v>0</v>
      </c>
      <c r="AQ3364" s="3">
        <v>0</v>
      </c>
      <c r="AR3364" s="3">
        <v>0</v>
      </c>
      <c r="AS3364" s="3">
        <v>0</v>
      </c>
      <c r="AT3364" s="3">
        <v>0</v>
      </c>
      <c r="AU3364" s="3">
        <v>0</v>
      </c>
      <c r="AV3364" s="3">
        <v>0</v>
      </c>
      <c r="AW3364" s="3">
        <v>0</v>
      </c>
      <c r="AX3364" s="3">
        <v>0</v>
      </c>
      <c r="AY3364" s="3">
        <v>0</v>
      </c>
      <c r="AZ3364" s="3">
        <v>0</v>
      </c>
      <c r="BA3364" s="3">
        <v>0</v>
      </c>
      <c r="BB3364" s="3">
        <v>0</v>
      </c>
      <c r="BC3364" s="3">
        <v>0</v>
      </c>
      <c r="BD3364" s="3">
        <v>0</v>
      </c>
      <c r="BE3364" s="3">
        <v>0</v>
      </c>
      <c r="BF3364" s="3">
        <v>0</v>
      </c>
      <c r="BG3364" s="3">
        <v>0</v>
      </c>
      <c r="BH3364" s="3">
        <v>1</v>
      </c>
      <c r="BI3364" s="3">
        <v>2</v>
      </c>
      <c r="BJ3364" s="3">
        <v>0.8</v>
      </c>
      <c r="BK3364" s="3">
        <v>2</v>
      </c>
      <c r="BL3364" s="3">
        <v>59</v>
      </c>
      <c r="BM3364" s="3">
        <v>8.85</v>
      </c>
      <c r="BN3364" s="3">
        <v>67.849999999999994</v>
      </c>
      <c r="BO3364" s="3">
        <v>67.849999999999994</v>
      </c>
      <c r="BQ3364" s="3" t="s">
        <v>341</v>
      </c>
      <c r="BR3364" s="3" t="s">
        <v>364</v>
      </c>
      <c r="BS3364" s="4">
        <v>44571</v>
      </c>
      <c r="BT3364" s="5">
        <v>0.35625000000000001</v>
      </c>
      <c r="BU3364" s="3" t="s">
        <v>342</v>
      </c>
      <c r="BV3364" s="3" t="s">
        <v>105</v>
      </c>
      <c r="BY3364" s="3">
        <v>4050</v>
      </c>
      <c r="BZ3364" s="3" t="s">
        <v>165</v>
      </c>
      <c r="CA3364" s="3" t="s">
        <v>343</v>
      </c>
      <c r="CC3364" s="3" t="s">
        <v>102</v>
      </c>
      <c r="CD3364" s="3">
        <v>4001</v>
      </c>
      <c r="CE3364" s="3" t="s">
        <v>86</v>
      </c>
      <c r="CF3364" s="4">
        <v>44571</v>
      </c>
      <c r="CI3364" s="3">
        <v>1</v>
      </c>
      <c r="CJ3364" s="3">
        <v>1</v>
      </c>
      <c r="CK3364" s="3">
        <v>21</v>
      </c>
      <c r="CL3364" s="3" t="s">
        <v>87</v>
      </c>
    </row>
    <row r="3365" spans="1:90" x14ac:dyDescent="0.2">
      <c r="A3365" s="3" t="s">
        <v>72</v>
      </c>
      <c r="B3365" s="3" t="s">
        <v>73</v>
      </c>
      <c r="C3365" s="3" t="s">
        <v>74</v>
      </c>
      <c r="E3365" s="3" t="str">
        <f>"FES1162844070"</f>
        <v>FES1162844070</v>
      </c>
      <c r="F3365" s="4">
        <v>44568</v>
      </c>
      <c r="G3365" s="3">
        <v>202207</v>
      </c>
      <c r="H3365" s="3" t="s">
        <v>75</v>
      </c>
      <c r="I3365" s="3" t="s">
        <v>76</v>
      </c>
      <c r="J3365" s="3" t="s">
        <v>77</v>
      </c>
      <c r="K3365" s="3" t="s">
        <v>78</v>
      </c>
      <c r="L3365" s="3" t="s">
        <v>123</v>
      </c>
      <c r="M3365" s="3" t="s">
        <v>124</v>
      </c>
      <c r="N3365" s="3" t="s">
        <v>2967</v>
      </c>
      <c r="O3365" s="3" t="s">
        <v>148</v>
      </c>
      <c r="P3365" s="3" t="str">
        <f>"2170811324                    "</f>
        <v xml:space="preserve">2170811324                    </v>
      </c>
      <c r="Q3365" s="3">
        <v>0</v>
      </c>
      <c r="R3365" s="3">
        <v>0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  <c r="AE3365" s="3">
        <v>0</v>
      </c>
      <c r="AF3365" s="3">
        <v>0</v>
      </c>
      <c r="AG3365" s="3">
        <v>0</v>
      </c>
      <c r="AH3365" s="3">
        <v>0</v>
      </c>
      <c r="AI3365" s="3">
        <v>0</v>
      </c>
      <c r="AJ3365" s="3">
        <v>0</v>
      </c>
      <c r="AK3365" s="3">
        <v>33.86</v>
      </c>
      <c r="AL3365" s="3">
        <v>0</v>
      </c>
      <c r="AM3365" s="3">
        <v>0</v>
      </c>
      <c r="AN3365" s="3">
        <v>0</v>
      </c>
      <c r="AO3365" s="3">
        <v>0</v>
      </c>
      <c r="AP3365" s="3">
        <v>0</v>
      </c>
      <c r="AQ3365" s="3">
        <v>0</v>
      </c>
      <c r="AR3365" s="3">
        <v>0</v>
      </c>
      <c r="AS3365" s="3">
        <v>0</v>
      </c>
      <c r="AT3365" s="3">
        <v>0</v>
      </c>
      <c r="AU3365" s="3">
        <v>0</v>
      </c>
      <c r="AV3365" s="3">
        <v>0</v>
      </c>
      <c r="AW3365" s="3">
        <v>0</v>
      </c>
      <c r="AX3365" s="3">
        <v>0</v>
      </c>
      <c r="AY3365" s="3">
        <v>0</v>
      </c>
      <c r="AZ3365" s="3">
        <v>0</v>
      </c>
      <c r="BA3365" s="3">
        <v>0</v>
      </c>
      <c r="BB3365" s="3">
        <v>0</v>
      </c>
      <c r="BC3365" s="3">
        <v>0</v>
      </c>
      <c r="BD3365" s="3">
        <v>0</v>
      </c>
      <c r="BE3365" s="3">
        <v>0</v>
      </c>
      <c r="BF3365" s="3">
        <v>0</v>
      </c>
      <c r="BG3365" s="3">
        <v>0</v>
      </c>
      <c r="BH3365" s="3">
        <v>3</v>
      </c>
      <c r="BI3365" s="3">
        <v>18</v>
      </c>
      <c r="BJ3365" s="3">
        <v>30.7</v>
      </c>
      <c r="BK3365" s="3">
        <v>31</v>
      </c>
      <c r="BL3365" s="3">
        <v>134.47999999999999</v>
      </c>
      <c r="BM3365" s="3">
        <v>20.170000000000002</v>
      </c>
      <c r="BN3365" s="3">
        <v>154.65</v>
      </c>
      <c r="BO3365" s="3">
        <v>154.65</v>
      </c>
      <c r="BR3365" s="3" t="s">
        <v>364</v>
      </c>
      <c r="BS3365" s="4">
        <v>44572</v>
      </c>
      <c r="BT3365" s="5">
        <v>0.3923611111111111</v>
      </c>
      <c r="BU3365" s="3" t="s">
        <v>2968</v>
      </c>
      <c r="BV3365" s="3" t="s">
        <v>87</v>
      </c>
      <c r="BW3365" s="3" t="s">
        <v>617</v>
      </c>
      <c r="BX3365" s="3" t="s">
        <v>2749</v>
      </c>
      <c r="BY3365" s="3">
        <v>153632</v>
      </c>
      <c r="BZ3365" s="3" t="s">
        <v>327</v>
      </c>
      <c r="CA3365" s="3" t="s">
        <v>2969</v>
      </c>
      <c r="CC3365" s="3" t="s">
        <v>124</v>
      </c>
      <c r="CD3365" s="3">
        <v>1709</v>
      </c>
      <c r="CE3365" s="3" t="s">
        <v>222</v>
      </c>
      <c r="CF3365" s="4">
        <v>44572</v>
      </c>
      <c r="CI3365" s="3">
        <v>1</v>
      </c>
      <c r="CJ3365" s="3">
        <v>2</v>
      </c>
      <c r="CK3365" s="3">
        <v>42</v>
      </c>
      <c r="CL3365" s="3" t="s">
        <v>87</v>
      </c>
    </row>
    <row r="3366" spans="1:90" x14ac:dyDescent="0.2">
      <c r="A3366" s="3" t="s">
        <v>72</v>
      </c>
      <c r="B3366" s="3" t="s">
        <v>73</v>
      </c>
      <c r="C3366" s="3" t="s">
        <v>74</v>
      </c>
      <c r="E3366" s="3" t="str">
        <f>"FES1162844122"</f>
        <v>FES1162844122</v>
      </c>
      <c r="F3366" s="4">
        <v>44568</v>
      </c>
      <c r="G3366" s="3">
        <v>202207</v>
      </c>
      <c r="H3366" s="3" t="s">
        <v>75</v>
      </c>
      <c r="I3366" s="3" t="s">
        <v>76</v>
      </c>
      <c r="J3366" s="3" t="s">
        <v>77</v>
      </c>
      <c r="K3366" s="3" t="s">
        <v>78</v>
      </c>
      <c r="L3366" s="3" t="s">
        <v>94</v>
      </c>
      <c r="M3366" s="3" t="s">
        <v>95</v>
      </c>
      <c r="N3366" s="3" t="s">
        <v>179</v>
      </c>
      <c r="O3366" s="3" t="s">
        <v>82</v>
      </c>
      <c r="P3366" s="3" t="str">
        <f>"2170815895                    "</f>
        <v xml:space="preserve">2170815895                    </v>
      </c>
      <c r="Q3366" s="3">
        <v>0</v>
      </c>
      <c r="R3366" s="3">
        <v>0</v>
      </c>
      <c r="S3366" s="3">
        <v>0</v>
      </c>
      <c r="T3366" s="3">
        <v>0</v>
      </c>
      <c r="U3366" s="3">
        <v>0</v>
      </c>
      <c r="V3366" s="3">
        <v>0</v>
      </c>
      <c r="W3366" s="3">
        <v>0</v>
      </c>
      <c r="X3366" s="3">
        <v>0</v>
      </c>
      <c r="Y3366" s="3">
        <v>0</v>
      </c>
      <c r="Z3366" s="3">
        <v>0</v>
      </c>
      <c r="AA3366" s="3">
        <v>0</v>
      </c>
      <c r="AB3366" s="3">
        <v>0</v>
      </c>
      <c r="AC3366" s="3">
        <v>0</v>
      </c>
      <c r="AD3366" s="3">
        <v>0</v>
      </c>
      <c r="AE3366" s="3">
        <v>0</v>
      </c>
      <c r="AF3366" s="3">
        <v>0</v>
      </c>
      <c r="AG3366" s="3">
        <v>0</v>
      </c>
      <c r="AH3366" s="3">
        <v>0</v>
      </c>
      <c r="AI3366" s="3">
        <v>0</v>
      </c>
      <c r="AJ3366" s="3">
        <v>0</v>
      </c>
      <c r="AK3366" s="3">
        <v>15.46</v>
      </c>
      <c r="AL3366" s="3">
        <v>0</v>
      </c>
      <c r="AM3366" s="3">
        <v>0</v>
      </c>
      <c r="AN3366" s="3">
        <v>0</v>
      </c>
      <c r="AO3366" s="3">
        <v>0</v>
      </c>
      <c r="AP3366" s="3">
        <v>0</v>
      </c>
      <c r="AQ3366" s="3">
        <v>0</v>
      </c>
      <c r="AR3366" s="3">
        <v>0</v>
      </c>
      <c r="AS3366" s="3">
        <v>0</v>
      </c>
      <c r="AT3366" s="3">
        <v>0</v>
      </c>
      <c r="AU3366" s="3">
        <v>0</v>
      </c>
      <c r="AV3366" s="3">
        <v>0</v>
      </c>
      <c r="AW3366" s="3">
        <v>0</v>
      </c>
      <c r="AX3366" s="3">
        <v>0</v>
      </c>
      <c r="AY3366" s="3">
        <v>0</v>
      </c>
      <c r="AZ3366" s="3">
        <v>0</v>
      </c>
      <c r="BA3366" s="3">
        <v>0</v>
      </c>
      <c r="BB3366" s="3">
        <v>0</v>
      </c>
      <c r="BC3366" s="3">
        <v>0</v>
      </c>
      <c r="BD3366" s="3">
        <v>0</v>
      </c>
      <c r="BE3366" s="3">
        <v>0</v>
      </c>
      <c r="BF3366" s="3">
        <v>0</v>
      </c>
      <c r="BG3366" s="3">
        <v>0</v>
      </c>
      <c r="BH3366" s="3">
        <v>1</v>
      </c>
      <c r="BI3366" s="3">
        <v>1</v>
      </c>
      <c r="BJ3366" s="3">
        <v>0.2</v>
      </c>
      <c r="BK3366" s="3">
        <v>1</v>
      </c>
      <c r="BL3366" s="3">
        <v>59</v>
      </c>
      <c r="BM3366" s="3">
        <v>8.85</v>
      </c>
      <c r="BN3366" s="3">
        <v>67.849999999999994</v>
      </c>
      <c r="BO3366" s="3">
        <v>67.849999999999994</v>
      </c>
      <c r="BQ3366" s="3" t="s">
        <v>83</v>
      </c>
      <c r="BR3366" s="3" t="s">
        <v>364</v>
      </c>
      <c r="BS3366" s="4">
        <v>44571</v>
      </c>
      <c r="BT3366" s="5">
        <v>0.40972222222222227</v>
      </c>
      <c r="BU3366" s="3" t="s">
        <v>988</v>
      </c>
      <c r="BV3366" s="3" t="s">
        <v>105</v>
      </c>
      <c r="BY3366" s="3">
        <v>1200</v>
      </c>
      <c r="BZ3366" s="3" t="s">
        <v>165</v>
      </c>
      <c r="CA3366" s="3" t="s">
        <v>328</v>
      </c>
      <c r="CC3366" s="3" t="s">
        <v>95</v>
      </c>
      <c r="CD3366" s="3">
        <v>3201</v>
      </c>
      <c r="CE3366" s="3" t="s">
        <v>93</v>
      </c>
      <c r="CF3366" s="4">
        <v>44572</v>
      </c>
      <c r="CI3366" s="3">
        <v>1</v>
      </c>
      <c r="CJ3366" s="3">
        <v>1</v>
      </c>
      <c r="CK3366" s="3">
        <v>21</v>
      </c>
      <c r="CL3366" s="3" t="s">
        <v>87</v>
      </c>
    </row>
    <row r="3367" spans="1:90" x14ac:dyDescent="0.2">
      <c r="A3367" s="3" t="s">
        <v>72</v>
      </c>
      <c r="B3367" s="3" t="s">
        <v>73</v>
      </c>
      <c r="C3367" s="3" t="s">
        <v>74</v>
      </c>
      <c r="E3367" s="3" t="str">
        <f>"FES1162844040"</f>
        <v>FES1162844040</v>
      </c>
      <c r="F3367" s="4">
        <v>44568</v>
      </c>
      <c r="G3367" s="3">
        <v>202207</v>
      </c>
      <c r="H3367" s="3" t="s">
        <v>75</v>
      </c>
      <c r="I3367" s="3" t="s">
        <v>76</v>
      </c>
      <c r="J3367" s="3" t="s">
        <v>77</v>
      </c>
      <c r="K3367" s="3" t="s">
        <v>78</v>
      </c>
      <c r="L3367" s="3" t="s">
        <v>2970</v>
      </c>
      <c r="M3367" s="3" t="s">
        <v>2971</v>
      </c>
      <c r="N3367" s="3" t="s">
        <v>2972</v>
      </c>
      <c r="O3367" s="3" t="s">
        <v>82</v>
      </c>
      <c r="P3367" s="3" t="str">
        <f>"2170815848                    "</f>
        <v xml:space="preserve">2170815848                    </v>
      </c>
      <c r="Q3367" s="3">
        <v>0</v>
      </c>
      <c r="R3367" s="3">
        <v>0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  <c r="AE3367" s="3">
        <v>0</v>
      </c>
      <c r="AF3367" s="3">
        <v>0</v>
      </c>
      <c r="AG3367" s="3">
        <v>0</v>
      </c>
      <c r="AH3367" s="3">
        <v>0</v>
      </c>
      <c r="AI3367" s="3">
        <v>0</v>
      </c>
      <c r="AJ3367" s="3">
        <v>0</v>
      </c>
      <c r="AK3367" s="3">
        <v>29.95</v>
      </c>
      <c r="AL3367" s="3">
        <v>0</v>
      </c>
      <c r="AM3367" s="3">
        <v>0</v>
      </c>
      <c r="AN3367" s="3">
        <v>0</v>
      </c>
      <c r="AO3367" s="3">
        <v>0</v>
      </c>
      <c r="AP3367" s="3">
        <v>0</v>
      </c>
      <c r="AQ3367" s="3">
        <v>15</v>
      </c>
      <c r="AR3367" s="3">
        <v>0</v>
      </c>
      <c r="AS3367" s="3">
        <v>0</v>
      </c>
      <c r="AT3367" s="3">
        <v>0</v>
      </c>
      <c r="AU3367" s="3">
        <v>0</v>
      </c>
      <c r="AV3367" s="3">
        <v>0</v>
      </c>
      <c r="AW3367" s="3">
        <v>0</v>
      </c>
      <c r="AX3367" s="3">
        <v>0</v>
      </c>
      <c r="AY3367" s="3">
        <v>0</v>
      </c>
      <c r="AZ3367" s="3">
        <v>0</v>
      </c>
      <c r="BA3367" s="3">
        <v>0</v>
      </c>
      <c r="BB3367" s="3">
        <v>0</v>
      </c>
      <c r="BC3367" s="3">
        <v>0</v>
      </c>
      <c r="BD3367" s="3">
        <v>0</v>
      </c>
      <c r="BE3367" s="3">
        <v>0</v>
      </c>
      <c r="BF3367" s="3">
        <v>0</v>
      </c>
      <c r="BG3367" s="3">
        <v>0</v>
      </c>
      <c r="BH3367" s="3">
        <v>1</v>
      </c>
      <c r="BI3367" s="3">
        <v>1</v>
      </c>
      <c r="BJ3367" s="3">
        <v>0.2</v>
      </c>
      <c r="BK3367" s="3">
        <v>1</v>
      </c>
      <c r="BL3367" s="3">
        <v>129.31</v>
      </c>
      <c r="BM3367" s="3">
        <v>19.399999999999999</v>
      </c>
      <c r="BN3367" s="3">
        <v>148.71</v>
      </c>
      <c r="BO3367" s="3">
        <v>148.71</v>
      </c>
      <c r="BQ3367" s="3" t="s">
        <v>89</v>
      </c>
      <c r="BR3367" s="3" t="s">
        <v>364</v>
      </c>
      <c r="BS3367" s="4">
        <v>44575</v>
      </c>
      <c r="BT3367" s="5">
        <v>0.47013888888888888</v>
      </c>
      <c r="BU3367" s="3" t="s">
        <v>2973</v>
      </c>
      <c r="BV3367" s="3" t="s">
        <v>87</v>
      </c>
      <c r="BY3367" s="3">
        <v>1200</v>
      </c>
      <c r="BZ3367" s="3" t="s">
        <v>446</v>
      </c>
      <c r="CA3367" s="3" t="s">
        <v>328</v>
      </c>
      <c r="CC3367" s="3" t="s">
        <v>2971</v>
      </c>
      <c r="CD3367" s="3">
        <v>5660</v>
      </c>
      <c r="CE3367" s="3" t="s">
        <v>93</v>
      </c>
      <c r="CF3367" s="4">
        <v>44578</v>
      </c>
      <c r="CI3367" s="3">
        <v>2</v>
      </c>
      <c r="CJ3367" s="3">
        <v>5</v>
      </c>
      <c r="CK3367" s="3">
        <v>23</v>
      </c>
      <c r="CL3367" s="3" t="s">
        <v>87</v>
      </c>
    </row>
    <row r="3368" spans="1:90" x14ac:dyDescent="0.2">
      <c r="A3368" s="3" t="s">
        <v>72</v>
      </c>
      <c r="B3368" s="3" t="s">
        <v>73</v>
      </c>
      <c r="C3368" s="3" t="s">
        <v>74</v>
      </c>
      <c r="E3368" s="3" t="str">
        <f>"FES1162844180"</f>
        <v>FES1162844180</v>
      </c>
      <c r="F3368" s="4">
        <v>44568</v>
      </c>
      <c r="G3368" s="3">
        <v>202207</v>
      </c>
      <c r="H3368" s="3" t="s">
        <v>75</v>
      </c>
      <c r="I3368" s="3" t="s">
        <v>76</v>
      </c>
      <c r="J3368" s="3" t="s">
        <v>77</v>
      </c>
      <c r="K3368" s="3" t="s">
        <v>78</v>
      </c>
      <c r="L3368" s="3" t="s">
        <v>731</v>
      </c>
      <c r="M3368" s="3" t="s">
        <v>732</v>
      </c>
      <c r="N3368" s="3" t="s">
        <v>733</v>
      </c>
      <c r="O3368" s="3" t="s">
        <v>82</v>
      </c>
      <c r="P3368" s="3" t="str">
        <f>"2170815694                    "</f>
        <v xml:space="preserve">2170815694                    </v>
      </c>
      <c r="Q3368" s="3">
        <v>0</v>
      </c>
      <c r="R3368" s="3">
        <v>0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  <c r="AE3368" s="3">
        <v>0</v>
      </c>
      <c r="AF3368" s="3">
        <v>0</v>
      </c>
      <c r="AG3368" s="3">
        <v>0</v>
      </c>
      <c r="AH3368" s="3">
        <v>0</v>
      </c>
      <c r="AI3368" s="3">
        <v>0</v>
      </c>
      <c r="AJ3368" s="3">
        <v>0</v>
      </c>
      <c r="AK3368" s="3">
        <v>29.95</v>
      </c>
      <c r="AL3368" s="3">
        <v>0</v>
      </c>
      <c r="AM3368" s="3">
        <v>0</v>
      </c>
      <c r="AN3368" s="3">
        <v>0</v>
      </c>
      <c r="AO3368" s="3">
        <v>0</v>
      </c>
      <c r="AP3368" s="3">
        <v>0</v>
      </c>
      <c r="AQ3368" s="3">
        <v>0</v>
      </c>
      <c r="AR3368" s="3">
        <v>0</v>
      </c>
      <c r="AS3368" s="3">
        <v>0</v>
      </c>
      <c r="AT3368" s="3">
        <v>0</v>
      </c>
      <c r="AU3368" s="3">
        <v>0</v>
      </c>
      <c r="AV3368" s="3">
        <v>0</v>
      </c>
      <c r="AW3368" s="3">
        <v>0</v>
      </c>
      <c r="AX3368" s="3">
        <v>0</v>
      </c>
      <c r="AY3368" s="3">
        <v>0</v>
      </c>
      <c r="AZ3368" s="3">
        <v>0</v>
      </c>
      <c r="BA3368" s="3">
        <v>0</v>
      </c>
      <c r="BB3368" s="3">
        <v>0</v>
      </c>
      <c r="BC3368" s="3">
        <v>0</v>
      </c>
      <c r="BD3368" s="3">
        <v>0</v>
      </c>
      <c r="BE3368" s="3">
        <v>0</v>
      </c>
      <c r="BF3368" s="3">
        <v>0</v>
      </c>
      <c r="BG3368" s="3">
        <v>0</v>
      </c>
      <c r="BH3368" s="3">
        <v>1</v>
      </c>
      <c r="BI3368" s="3">
        <v>1</v>
      </c>
      <c r="BJ3368" s="3">
        <v>0.2</v>
      </c>
      <c r="BK3368" s="3">
        <v>1</v>
      </c>
      <c r="BL3368" s="3">
        <v>114.31</v>
      </c>
      <c r="BM3368" s="3">
        <v>17.149999999999999</v>
      </c>
      <c r="BN3368" s="3">
        <v>131.46</v>
      </c>
      <c r="BO3368" s="3">
        <v>131.46</v>
      </c>
      <c r="BQ3368" s="3" t="s">
        <v>89</v>
      </c>
      <c r="BR3368" s="3" t="s">
        <v>364</v>
      </c>
      <c r="BS3368" s="4">
        <v>44572</v>
      </c>
      <c r="BT3368" s="5">
        <v>0.44097222222222227</v>
      </c>
      <c r="BU3368" s="3" t="s">
        <v>2513</v>
      </c>
      <c r="BV3368" s="3" t="s">
        <v>87</v>
      </c>
      <c r="BY3368" s="3">
        <v>1200</v>
      </c>
      <c r="BZ3368" s="3" t="s">
        <v>165</v>
      </c>
      <c r="CA3368" s="3" t="s">
        <v>328</v>
      </c>
      <c r="CC3368" s="3" t="s">
        <v>732</v>
      </c>
      <c r="CD3368" s="3">
        <v>3290</v>
      </c>
      <c r="CE3368" s="3" t="s">
        <v>93</v>
      </c>
      <c r="CF3368" s="4">
        <v>44574</v>
      </c>
      <c r="CI3368" s="3">
        <v>1</v>
      </c>
      <c r="CJ3368" s="3">
        <v>2</v>
      </c>
      <c r="CK3368" s="3">
        <v>23</v>
      </c>
      <c r="CL3368" s="3" t="s">
        <v>87</v>
      </c>
    </row>
    <row r="3369" spans="1:90" x14ac:dyDescent="0.2">
      <c r="A3369" s="3" t="s">
        <v>72</v>
      </c>
      <c r="B3369" s="3" t="s">
        <v>73</v>
      </c>
      <c r="C3369" s="3" t="s">
        <v>74</v>
      </c>
      <c r="E3369" s="3" t="str">
        <f>"FES1162844051"</f>
        <v>FES1162844051</v>
      </c>
      <c r="F3369" s="4">
        <v>44568</v>
      </c>
      <c r="G3369" s="3">
        <v>202207</v>
      </c>
      <c r="H3369" s="3" t="s">
        <v>75</v>
      </c>
      <c r="I3369" s="3" t="s">
        <v>76</v>
      </c>
      <c r="J3369" s="3" t="s">
        <v>77</v>
      </c>
      <c r="K3369" s="3" t="s">
        <v>78</v>
      </c>
      <c r="L3369" s="3" t="s">
        <v>184</v>
      </c>
      <c r="M3369" s="3" t="s">
        <v>185</v>
      </c>
      <c r="N3369" s="3" t="s">
        <v>186</v>
      </c>
      <c r="O3369" s="3" t="s">
        <v>82</v>
      </c>
      <c r="P3369" s="3" t="str">
        <f>"2170815865                    "</f>
        <v xml:space="preserve">2170815865                    </v>
      </c>
      <c r="Q3369" s="3">
        <v>0</v>
      </c>
      <c r="R3369" s="3">
        <v>0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  <c r="AE3369" s="3">
        <v>0</v>
      </c>
      <c r="AF3369" s="3">
        <v>0</v>
      </c>
      <c r="AG3369" s="3">
        <v>0</v>
      </c>
      <c r="AH3369" s="3">
        <v>0</v>
      </c>
      <c r="AI3369" s="3">
        <v>0</v>
      </c>
      <c r="AJ3369" s="3">
        <v>0</v>
      </c>
      <c r="AK3369" s="3">
        <v>15.46</v>
      </c>
      <c r="AL3369" s="3">
        <v>0</v>
      </c>
      <c r="AM3369" s="3">
        <v>0</v>
      </c>
      <c r="AN3369" s="3">
        <v>0</v>
      </c>
      <c r="AO3369" s="3">
        <v>0</v>
      </c>
      <c r="AP3369" s="3">
        <v>0</v>
      </c>
      <c r="AQ3369" s="3">
        <v>0</v>
      </c>
      <c r="AR3369" s="3">
        <v>0</v>
      </c>
      <c r="AS3369" s="3">
        <v>0</v>
      </c>
      <c r="AT3369" s="3">
        <v>0</v>
      </c>
      <c r="AU3369" s="3">
        <v>0</v>
      </c>
      <c r="AV3369" s="3">
        <v>0</v>
      </c>
      <c r="AW3369" s="3">
        <v>0</v>
      </c>
      <c r="AX3369" s="3">
        <v>0</v>
      </c>
      <c r="AY3369" s="3">
        <v>0</v>
      </c>
      <c r="AZ3369" s="3">
        <v>0</v>
      </c>
      <c r="BA3369" s="3">
        <v>0</v>
      </c>
      <c r="BB3369" s="3">
        <v>0</v>
      </c>
      <c r="BC3369" s="3">
        <v>0</v>
      </c>
      <c r="BD3369" s="3">
        <v>0</v>
      </c>
      <c r="BE3369" s="3">
        <v>0</v>
      </c>
      <c r="BF3369" s="3">
        <v>0</v>
      </c>
      <c r="BG3369" s="3">
        <v>0</v>
      </c>
      <c r="BH3369" s="3">
        <v>1</v>
      </c>
      <c r="BI3369" s="3">
        <v>1</v>
      </c>
      <c r="BJ3369" s="3">
        <v>0.2</v>
      </c>
      <c r="BK3369" s="3">
        <v>1</v>
      </c>
      <c r="BL3369" s="3">
        <v>59</v>
      </c>
      <c r="BM3369" s="3">
        <v>8.85</v>
      </c>
      <c r="BN3369" s="3">
        <v>67.849999999999994</v>
      </c>
      <c r="BO3369" s="3">
        <v>67.849999999999994</v>
      </c>
      <c r="BQ3369" s="3" t="s">
        <v>83</v>
      </c>
      <c r="BR3369" s="3" t="s">
        <v>364</v>
      </c>
      <c r="BS3369" s="4">
        <v>44571</v>
      </c>
      <c r="BT3369" s="5">
        <v>0.55069444444444449</v>
      </c>
      <c r="BU3369" s="3" t="s">
        <v>2974</v>
      </c>
      <c r="BV3369" s="3" t="s">
        <v>87</v>
      </c>
      <c r="BW3369" s="3" t="s">
        <v>617</v>
      </c>
      <c r="BX3369" s="3" t="s">
        <v>605</v>
      </c>
      <c r="BY3369" s="3">
        <v>1200</v>
      </c>
      <c r="BZ3369" s="3" t="s">
        <v>165</v>
      </c>
      <c r="CA3369" s="3" t="s">
        <v>2534</v>
      </c>
      <c r="CC3369" s="3" t="s">
        <v>185</v>
      </c>
      <c r="CD3369" s="3">
        <v>5201</v>
      </c>
      <c r="CE3369" s="3" t="s">
        <v>93</v>
      </c>
      <c r="CF3369" s="4">
        <v>44571</v>
      </c>
      <c r="CI3369" s="3">
        <v>1</v>
      </c>
      <c r="CJ3369" s="3">
        <v>1</v>
      </c>
      <c r="CK3369" s="3">
        <v>21</v>
      </c>
      <c r="CL3369" s="3" t="s">
        <v>87</v>
      </c>
    </row>
    <row r="3370" spans="1:90" x14ac:dyDescent="0.2">
      <c r="A3370" s="3" t="s">
        <v>72</v>
      </c>
      <c r="B3370" s="3" t="s">
        <v>73</v>
      </c>
      <c r="C3370" s="3" t="s">
        <v>74</v>
      </c>
      <c r="E3370" s="3" t="str">
        <f>"FES1162844091"</f>
        <v>FES1162844091</v>
      </c>
      <c r="F3370" s="4">
        <v>44568</v>
      </c>
      <c r="G3370" s="3">
        <v>202207</v>
      </c>
      <c r="H3370" s="3" t="s">
        <v>75</v>
      </c>
      <c r="I3370" s="3" t="s">
        <v>76</v>
      </c>
      <c r="J3370" s="3" t="s">
        <v>77</v>
      </c>
      <c r="K3370" s="3" t="s">
        <v>78</v>
      </c>
      <c r="L3370" s="3" t="s">
        <v>90</v>
      </c>
      <c r="M3370" s="3" t="s">
        <v>91</v>
      </c>
      <c r="N3370" s="3" t="s">
        <v>132</v>
      </c>
      <c r="O3370" s="3" t="s">
        <v>82</v>
      </c>
      <c r="P3370" s="3" t="str">
        <f>"2170815892                    "</f>
        <v xml:space="preserve">2170815892                    </v>
      </c>
      <c r="Q3370" s="3">
        <v>0</v>
      </c>
      <c r="R3370" s="3">
        <v>0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  <c r="AE3370" s="3">
        <v>0</v>
      </c>
      <c r="AF3370" s="3">
        <v>0</v>
      </c>
      <c r="AG3370" s="3">
        <v>0</v>
      </c>
      <c r="AH3370" s="3">
        <v>0</v>
      </c>
      <c r="AI3370" s="3">
        <v>0</v>
      </c>
      <c r="AJ3370" s="3">
        <v>0</v>
      </c>
      <c r="AK3370" s="3">
        <v>15.46</v>
      </c>
      <c r="AL3370" s="3">
        <v>0</v>
      </c>
      <c r="AM3370" s="3">
        <v>0</v>
      </c>
      <c r="AN3370" s="3">
        <v>0</v>
      </c>
      <c r="AO3370" s="3">
        <v>0</v>
      </c>
      <c r="AP3370" s="3">
        <v>0</v>
      </c>
      <c r="AQ3370" s="3">
        <v>0</v>
      </c>
      <c r="AR3370" s="3">
        <v>0</v>
      </c>
      <c r="AS3370" s="3">
        <v>0</v>
      </c>
      <c r="AT3370" s="3">
        <v>0</v>
      </c>
      <c r="AU3370" s="3">
        <v>0</v>
      </c>
      <c r="AV3370" s="3">
        <v>0</v>
      </c>
      <c r="AW3370" s="3">
        <v>0</v>
      </c>
      <c r="AX3370" s="3">
        <v>0</v>
      </c>
      <c r="AY3370" s="3">
        <v>0</v>
      </c>
      <c r="AZ3370" s="3">
        <v>0</v>
      </c>
      <c r="BA3370" s="3">
        <v>0</v>
      </c>
      <c r="BB3370" s="3">
        <v>0</v>
      </c>
      <c r="BC3370" s="3">
        <v>0</v>
      </c>
      <c r="BD3370" s="3">
        <v>0</v>
      </c>
      <c r="BE3370" s="3">
        <v>0</v>
      </c>
      <c r="BF3370" s="3">
        <v>0</v>
      </c>
      <c r="BG3370" s="3">
        <v>0</v>
      </c>
      <c r="BH3370" s="3">
        <v>1</v>
      </c>
      <c r="BI3370" s="3">
        <v>1</v>
      </c>
      <c r="BJ3370" s="3">
        <v>0.2</v>
      </c>
      <c r="BK3370" s="3">
        <v>1</v>
      </c>
      <c r="BL3370" s="3">
        <v>59</v>
      </c>
      <c r="BM3370" s="3">
        <v>8.85</v>
      </c>
      <c r="BN3370" s="3">
        <v>67.849999999999994</v>
      </c>
      <c r="BO3370" s="3">
        <v>67.849999999999994</v>
      </c>
      <c r="BQ3370" s="3" t="s">
        <v>83</v>
      </c>
      <c r="BR3370" s="3" t="s">
        <v>364</v>
      </c>
      <c r="BS3370" s="4">
        <v>44571</v>
      </c>
      <c r="BT3370" s="5">
        <v>0.40208333333333335</v>
      </c>
      <c r="BU3370" s="3" t="s">
        <v>2108</v>
      </c>
      <c r="BV3370" s="3" t="s">
        <v>105</v>
      </c>
      <c r="BY3370" s="3">
        <v>1200</v>
      </c>
      <c r="BZ3370" s="3" t="s">
        <v>165</v>
      </c>
      <c r="CA3370" s="3" t="s">
        <v>641</v>
      </c>
      <c r="CC3370" s="3" t="s">
        <v>91</v>
      </c>
      <c r="CD3370" s="3">
        <v>7530</v>
      </c>
      <c r="CE3370" s="3" t="s">
        <v>93</v>
      </c>
      <c r="CF3370" s="4">
        <v>44572</v>
      </c>
      <c r="CI3370" s="3">
        <v>1</v>
      </c>
      <c r="CJ3370" s="3">
        <v>1</v>
      </c>
      <c r="CK3370" s="3">
        <v>21</v>
      </c>
      <c r="CL3370" s="3" t="s">
        <v>87</v>
      </c>
    </row>
    <row r="3371" spans="1:90" x14ac:dyDescent="0.2">
      <c r="A3371" s="3" t="s">
        <v>72</v>
      </c>
      <c r="B3371" s="3" t="s">
        <v>73</v>
      </c>
      <c r="C3371" s="3" t="s">
        <v>74</v>
      </c>
      <c r="E3371" s="3" t="str">
        <f>"FES1162844111"</f>
        <v>FES1162844111</v>
      </c>
      <c r="F3371" s="4">
        <v>44568</v>
      </c>
      <c r="G3371" s="3">
        <v>202207</v>
      </c>
      <c r="H3371" s="3" t="s">
        <v>75</v>
      </c>
      <c r="I3371" s="3" t="s">
        <v>76</v>
      </c>
      <c r="J3371" s="3" t="s">
        <v>77</v>
      </c>
      <c r="K3371" s="3" t="s">
        <v>78</v>
      </c>
      <c r="L3371" s="3" t="s">
        <v>184</v>
      </c>
      <c r="M3371" s="3" t="s">
        <v>185</v>
      </c>
      <c r="N3371" s="3" t="s">
        <v>621</v>
      </c>
      <c r="O3371" s="3" t="s">
        <v>82</v>
      </c>
      <c r="P3371" s="3" t="str">
        <f>"2170815905                    "</f>
        <v xml:space="preserve">2170815905                    </v>
      </c>
      <c r="Q3371" s="3">
        <v>0</v>
      </c>
      <c r="R3371" s="3">
        <v>0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  <c r="AE3371" s="3">
        <v>0</v>
      </c>
      <c r="AF3371" s="3">
        <v>0</v>
      </c>
      <c r="AG3371" s="3">
        <v>0</v>
      </c>
      <c r="AH3371" s="3">
        <v>0</v>
      </c>
      <c r="AI3371" s="3">
        <v>0</v>
      </c>
      <c r="AJ3371" s="3">
        <v>0</v>
      </c>
      <c r="AK3371" s="3">
        <v>15.46</v>
      </c>
      <c r="AL3371" s="3">
        <v>0</v>
      </c>
      <c r="AM3371" s="3">
        <v>0</v>
      </c>
      <c r="AN3371" s="3">
        <v>0</v>
      </c>
      <c r="AO3371" s="3">
        <v>0</v>
      </c>
      <c r="AP3371" s="3">
        <v>0</v>
      </c>
      <c r="AQ3371" s="3">
        <v>0</v>
      </c>
      <c r="AR3371" s="3">
        <v>0</v>
      </c>
      <c r="AS3371" s="3">
        <v>0</v>
      </c>
      <c r="AT3371" s="3">
        <v>0</v>
      </c>
      <c r="AU3371" s="3">
        <v>0</v>
      </c>
      <c r="AV3371" s="3">
        <v>0</v>
      </c>
      <c r="AW3371" s="3">
        <v>0</v>
      </c>
      <c r="AX3371" s="3">
        <v>0</v>
      </c>
      <c r="AY3371" s="3">
        <v>0</v>
      </c>
      <c r="AZ3371" s="3">
        <v>0</v>
      </c>
      <c r="BA3371" s="3">
        <v>0</v>
      </c>
      <c r="BB3371" s="3">
        <v>0</v>
      </c>
      <c r="BC3371" s="3">
        <v>0</v>
      </c>
      <c r="BD3371" s="3">
        <v>0</v>
      </c>
      <c r="BE3371" s="3">
        <v>0</v>
      </c>
      <c r="BF3371" s="3">
        <v>0</v>
      </c>
      <c r="BG3371" s="3">
        <v>0</v>
      </c>
      <c r="BH3371" s="3">
        <v>1</v>
      </c>
      <c r="BI3371" s="3">
        <v>1</v>
      </c>
      <c r="BJ3371" s="3">
        <v>0.2</v>
      </c>
      <c r="BK3371" s="3">
        <v>1</v>
      </c>
      <c r="BL3371" s="3">
        <v>59</v>
      </c>
      <c r="BM3371" s="3">
        <v>8.85</v>
      </c>
      <c r="BN3371" s="3">
        <v>67.849999999999994</v>
      </c>
      <c r="BO3371" s="3">
        <v>67.849999999999994</v>
      </c>
      <c r="BQ3371" s="3" t="s">
        <v>83</v>
      </c>
      <c r="BR3371" s="3" t="s">
        <v>364</v>
      </c>
      <c r="BS3371" s="4">
        <v>44571</v>
      </c>
      <c r="BT3371" s="5">
        <v>0.37847222222222227</v>
      </c>
      <c r="BU3371" s="3" t="s">
        <v>2975</v>
      </c>
      <c r="BV3371" s="3" t="s">
        <v>105</v>
      </c>
      <c r="BY3371" s="3">
        <v>1200</v>
      </c>
      <c r="BZ3371" s="3" t="s">
        <v>165</v>
      </c>
      <c r="CA3371" s="3" t="s">
        <v>357</v>
      </c>
      <c r="CC3371" s="3" t="s">
        <v>185</v>
      </c>
      <c r="CD3371" s="3">
        <v>5201</v>
      </c>
      <c r="CE3371" s="3" t="s">
        <v>93</v>
      </c>
      <c r="CF3371" s="4">
        <v>44571</v>
      </c>
      <c r="CI3371" s="3">
        <v>1</v>
      </c>
      <c r="CJ3371" s="3">
        <v>1</v>
      </c>
      <c r="CK3371" s="3">
        <v>21</v>
      </c>
      <c r="CL3371" s="3" t="s">
        <v>87</v>
      </c>
    </row>
    <row r="3372" spans="1:90" x14ac:dyDescent="0.2">
      <c r="A3372" s="3" t="s">
        <v>72</v>
      </c>
      <c r="B3372" s="3" t="s">
        <v>73</v>
      </c>
      <c r="C3372" s="3" t="s">
        <v>74</v>
      </c>
      <c r="E3372" s="3" t="str">
        <f>"FES1162844137"</f>
        <v>FES1162844137</v>
      </c>
      <c r="F3372" s="4">
        <v>44568</v>
      </c>
      <c r="G3372" s="3">
        <v>202207</v>
      </c>
      <c r="H3372" s="3" t="s">
        <v>75</v>
      </c>
      <c r="I3372" s="3" t="s">
        <v>76</v>
      </c>
      <c r="J3372" s="3" t="s">
        <v>77</v>
      </c>
      <c r="K3372" s="3" t="s">
        <v>78</v>
      </c>
      <c r="L3372" s="3" t="s">
        <v>427</v>
      </c>
      <c r="M3372" s="3" t="s">
        <v>428</v>
      </c>
      <c r="N3372" s="3" t="s">
        <v>217</v>
      </c>
      <c r="O3372" s="3" t="s">
        <v>82</v>
      </c>
      <c r="P3372" s="3" t="str">
        <f>"2170814607                    "</f>
        <v xml:space="preserve">2170814607                    </v>
      </c>
      <c r="Q3372" s="3">
        <v>0</v>
      </c>
      <c r="R3372" s="3">
        <v>0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  <c r="AE3372" s="3">
        <v>0</v>
      </c>
      <c r="AF3372" s="3">
        <v>0</v>
      </c>
      <c r="AG3372" s="3">
        <v>0</v>
      </c>
      <c r="AH3372" s="3">
        <v>0</v>
      </c>
      <c r="AI3372" s="3">
        <v>0</v>
      </c>
      <c r="AJ3372" s="3">
        <v>0</v>
      </c>
      <c r="AK3372" s="3">
        <v>29.95</v>
      </c>
      <c r="AL3372" s="3">
        <v>0</v>
      </c>
      <c r="AM3372" s="3">
        <v>0</v>
      </c>
      <c r="AN3372" s="3">
        <v>0</v>
      </c>
      <c r="AO3372" s="3">
        <v>0</v>
      </c>
      <c r="AP3372" s="3">
        <v>0</v>
      </c>
      <c r="AQ3372" s="3">
        <v>0</v>
      </c>
      <c r="AR3372" s="3">
        <v>0</v>
      </c>
      <c r="AS3372" s="3">
        <v>0</v>
      </c>
      <c r="AT3372" s="3">
        <v>0</v>
      </c>
      <c r="AU3372" s="3">
        <v>0</v>
      </c>
      <c r="AV3372" s="3">
        <v>0</v>
      </c>
      <c r="AW3372" s="3">
        <v>0</v>
      </c>
      <c r="AX3372" s="3">
        <v>0</v>
      </c>
      <c r="AY3372" s="3">
        <v>0</v>
      </c>
      <c r="AZ3372" s="3">
        <v>0</v>
      </c>
      <c r="BA3372" s="3">
        <v>0</v>
      </c>
      <c r="BB3372" s="3">
        <v>0</v>
      </c>
      <c r="BC3372" s="3">
        <v>0</v>
      </c>
      <c r="BD3372" s="3">
        <v>0</v>
      </c>
      <c r="BE3372" s="3">
        <v>0</v>
      </c>
      <c r="BF3372" s="3">
        <v>0</v>
      </c>
      <c r="BG3372" s="3">
        <v>0</v>
      </c>
      <c r="BH3372" s="3">
        <v>1</v>
      </c>
      <c r="BI3372" s="3">
        <v>1</v>
      </c>
      <c r="BJ3372" s="3">
        <v>0.2</v>
      </c>
      <c r="BK3372" s="3">
        <v>1</v>
      </c>
      <c r="BL3372" s="3">
        <v>114.31</v>
      </c>
      <c r="BM3372" s="3">
        <v>17.149999999999999</v>
      </c>
      <c r="BN3372" s="3">
        <v>131.46</v>
      </c>
      <c r="BO3372" s="3">
        <v>131.46</v>
      </c>
      <c r="BR3372" s="3" t="s">
        <v>364</v>
      </c>
      <c r="BS3372" s="4">
        <v>44571</v>
      </c>
      <c r="BT3372" s="5">
        <v>0.4597222222222222</v>
      </c>
      <c r="BU3372" s="3" t="s">
        <v>1591</v>
      </c>
      <c r="BV3372" s="3" t="s">
        <v>105</v>
      </c>
      <c r="BY3372" s="3">
        <v>1200</v>
      </c>
      <c r="BZ3372" s="3" t="s">
        <v>165</v>
      </c>
      <c r="CA3372" s="3" t="s">
        <v>488</v>
      </c>
      <c r="CC3372" s="3" t="s">
        <v>428</v>
      </c>
      <c r="CD3372" s="3">
        <v>7130</v>
      </c>
      <c r="CE3372" s="3" t="s">
        <v>93</v>
      </c>
      <c r="CF3372" s="4">
        <v>44572</v>
      </c>
      <c r="CI3372" s="3">
        <v>1</v>
      </c>
      <c r="CJ3372" s="3">
        <v>1</v>
      </c>
      <c r="CK3372" s="3">
        <v>23</v>
      </c>
      <c r="CL3372" s="3" t="s">
        <v>87</v>
      </c>
    </row>
    <row r="3373" spans="1:90" x14ac:dyDescent="0.2">
      <c r="A3373" s="3" t="s">
        <v>72</v>
      </c>
      <c r="B3373" s="3" t="s">
        <v>73</v>
      </c>
      <c r="C3373" s="3" t="s">
        <v>74</v>
      </c>
      <c r="E3373" s="3" t="str">
        <f>"FES1162843936"</f>
        <v>FES1162843936</v>
      </c>
      <c r="F3373" s="4">
        <v>44567</v>
      </c>
      <c r="G3373" s="3">
        <v>202207</v>
      </c>
      <c r="H3373" s="3" t="s">
        <v>75</v>
      </c>
      <c r="I3373" s="3" t="s">
        <v>76</v>
      </c>
      <c r="J3373" s="3" t="s">
        <v>77</v>
      </c>
      <c r="K3373" s="3" t="s">
        <v>78</v>
      </c>
      <c r="L3373" s="3" t="s">
        <v>184</v>
      </c>
      <c r="M3373" s="3" t="s">
        <v>185</v>
      </c>
      <c r="N3373" s="3" t="s">
        <v>503</v>
      </c>
      <c r="O3373" s="3" t="s">
        <v>82</v>
      </c>
      <c r="P3373" s="3" t="str">
        <f>"2170813662                    "</f>
        <v xml:space="preserve">2170813662                    </v>
      </c>
      <c r="Q3373" s="3">
        <v>0</v>
      </c>
      <c r="R3373" s="3">
        <v>0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  <c r="AE3373" s="3">
        <v>0</v>
      </c>
      <c r="AF3373" s="3">
        <v>0</v>
      </c>
      <c r="AG3373" s="3">
        <v>0</v>
      </c>
      <c r="AH3373" s="3">
        <v>0</v>
      </c>
      <c r="AI3373" s="3">
        <v>0</v>
      </c>
      <c r="AJ3373" s="3">
        <v>0</v>
      </c>
      <c r="AK3373" s="3">
        <v>15.46</v>
      </c>
      <c r="AL3373" s="3">
        <v>0</v>
      </c>
      <c r="AM3373" s="3">
        <v>0</v>
      </c>
      <c r="AN3373" s="3">
        <v>0</v>
      </c>
      <c r="AO3373" s="3">
        <v>0</v>
      </c>
      <c r="AP3373" s="3">
        <v>0</v>
      </c>
      <c r="AQ3373" s="3">
        <v>0</v>
      </c>
      <c r="AR3373" s="3">
        <v>0</v>
      </c>
      <c r="AS3373" s="3">
        <v>0</v>
      </c>
      <c r="AT3373" s="3">
        <v>0</v>
      </c>
      <c r="AU3373" s="3">
        <v>0</v>
      </c>
      <c r="AV3373" s="3">
        <v>0</v>
      </c>
      <c r="AW3373" s="3">
        <v>0</v>
      </c>
      <c r="AX3373" s="3">
        <v>0</v>
      </c>
      <c r="AY3373" s="3">
        <v>0</v>
      </c>
      <c r="AZ3373" s="3">
        <v>0</v>
      </c>
      <c r="BA3373" s="3">
        <v>0</v>
      </c>
      <c r="BB3373" s="3">
        <v>0</v>
      </c>
      <c r="BC3373" s="3">
        <v>0</v>
      </c>
      <c r="BD3373" s="3">
        <v>0</v>
      </c>
      <c r="BE3373" s="3">
        <v>0</v>
      </c>
      <c r="BF3373" s="3">
        <v>0</v>
      </c>
      <c r="BG3373" s="3">
        <v>0</v>
      </c>
      <c r="BH3373" s="3">
        <v>1</v>
      </c>
      <c r="BI3373" s="3">
        <v>1</v>
      </c>
      <c r="BJ3373" s="3">
        <v>0.2</v>
      </c>
      <c r="BK3373" s="3">
        <v>1</v>
      </c>
      <c r="BL3373" s="3">
        <v>59</v>
      </c>
      <c r="BM3373" s="3">
        <v>8.85</v>
      </c>
      <c r="BN3373" s="3">
        <v>67.849999999999994</v>
      </c>
      <c r="BO3373" s="3">
        <v>67.849999999999994</v>
      </c>
      <c r="BQ3373" s="3" t="s">
        <v>89</v>
      </c>
      <c r="BR3373" s="3" t="s">
        <v>364</v>
      </c>
      <c r="BS3373" s="4">
        <v>44568</v>
      </c>
      <c r="BT3373" s="5">
        <v>0.45069444444444445</v>
      </c>
      <c r="BU3373" s="3" t="s">
        <v>2824</v>
      </c>
      <c r="BV3373" s="3" t="s">
        <v>87</v>
      </c>
      <c r="BW3373" s="3" t="s">
        <v>353</v>
      </c>
      <c r="BX3373" s="3" t="s">
        <v>605</v>
      </c>
      <c r="BY3373" s="3">
        <v>1200</v>
      </c>
      <c r="BZ3373" s="3" t="s">
        <v>165</v>
      </c>
      <c r="CA3373" s="3" t="s">
        <v>357</v>
      </c>
      <c r="CC3373" s="3" t="s">
        <v>185</v>
      </c>
      <c r="CD3373" s="3">
        <v>5201</v>
      </c>
      <c r="CE3373" s="3" t="s">
        <v>93</v>
      </c>
      <c r="CF3373" s="4">
        <v>44572</v>
      </c>
      <c r="CI3373" s="3">
        <v>1</v>
      </c>
      <c r="CJ3373" s="3">
        <v>1</v>
      </c>
      <c r="CK3373" s="3">
        <v>21</v>
      </c>
      <c r="CL3373" s="3" t="s">
        <v>87</v>
      </c>
    </row>
    <row r="3374" spans="1:90" x14ac:dyDescent="0.2">
      <c r="A3374" s="3" t="s">
        <v>72</v>
      </c>
      <c r="B3374" s="3" t="s">
        <v>73</v>
      </c>
      <c r="C3374" s="3" t="s">
        <v>74</v>
      </c>
      <c r="E3374" s="3" t="str">
        <f>"FES1162843903"</f>
        <v>FES1162843903</v>
      </c>
      <c r="F3374" s="4">
        <v>44567</v>
      </c>
      <c r="G3374" s="3">
        <v>202207</v>
      </c>
      <c r="H3374" s="3" t="s">
        <v>75</v>
      </c>
      <c r="I3374" s="3" t="s">
        <v>76</v>
      </c>
      <c r="J3374" s="3" t="s">
        <v>77</v>
      </c>
      <c r="K3374" s="3" t="s">
        <v>78</v>
      </c>
      <c r="L3374" s="3" t="s">
        <v>184</v>
      </c>
      <c r="M3374" s="3" t="s">
        <v>185</v>
      </c>
      <c r="N3374" s="3" t="s">
        <v>2976</v>
      </c>
      <c r="O3374" s="3" t="s">
        <v>82</v>
      </c>
      <c r="P3374" s="3" t="str">
        <f>"2170808503                    "</f>
        <v xml:space="preserve">2170808503                    </v>
      </c>
      <c r="Q3374" s="3">
        <v>0</v>
      </c>
      <c r="R3374" s="3">
        <v>0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  <c r="AE3374" s="3">
        <v>0</v>
      </c>
      <c r="AF3374" s="3">
        <v>0</v>
      </c>
      <c r="AG3374" s="3">
        <v>0</v>
      </c>
      <c r="AH3374" s="3">
        <v>0</v>
      </c>
      <c r="AI3374" s="3">
        <v>0</v>
      </c>
      <c r="AJ3374" s="3">
        <v>0</v>
      </c>
      <c r="AK3374" s="3">
        <v>15.46</v>
      </c>
      <c r="AL3374" s="3">
        <v>0</v>
      </c>
      <c r="AM3374" s="3">
        <v>0</v>
      </c>
      <c r="AN3374" s="3">
        <v>0</v>
      </c>
      <c r="AO3374" s="3">
        <v>0</v>
      </c>
      <c r="AP3374" s="3">
        <v>0</v>
      </c>
      <c r="AQ3374" s="3">
        <v>0</v>
      </c>
      <c r="AR3374" s="3">
        <v>0</v>
      </c>
      <c r="AS3374" s="3">
        <v>0</v>
      </c>
      <c r="AT3374" s="3">
        <v>0</v>
      </c>
      <c r="AU3374" s="3">
        <v>0</v>
      </c>
      <c r="AV3374" s="3">
        <v>0</v>
      </c>
      <c r="AW3374" s="3">
        <v>0</v>
      </c>
      <c r="AX3374" s="3">
        <v>0</v>
      </c>
      <c r="AY3374" s="3">
        <v>0</v>
      </c>
      <c r="AZ3374" s="3">
        <v>0</v>
      </c>
      <c r="BA3374" s="3">
        <v>0</v>
      </c>
      <c r="BB3374" s="3">
        <v>0</v>
      </c>
      <c r="BC3374" s="3">
        <v>0</v>
      </c>
      <c r="BD3374" s="3">
        <v>0</v>
      </c>
      <c r="BE3374" s="3">
        <v>0</v>
      </c>
      <c r="BF3374" s="3">
        <v>0</v>
      </c>
      <c r="BG3374" s="3">
        <v>0</v>
      </c>
      <c r="BH3374" s="3">
        <v>1</v>
      </c>
      <c r="BI3374" s="3">
        <v>1</v>
      </c>
      <c r="BJ3374" s="3">
        <v>0.2</v>
      </c>
      <c r="BK3374" s="3">
        <v>1</v>
      </c>
      <c r="BL3374" s="3">
        <v>59</v>
      </c>
      <c r="BM3374" s="3">
        <v>8.85</v>
      </c>
      <c r="BN3374" s="3">
        <v>67.849999999999994</v>
      </c>
      <c r="BO3374" s="3">
        <v>67.849999999999994</v>
      </c>
      <c r="BQ3374" s="3" t="s">
        <v>83</v>
      </c>
      <c r="BR3374" s="3" t="s">
        <v>364</v>
      </c>
      <c r="BS3374" s="4">
        <v>44568</v>
      </c>
      <c r="BT3374" s="5">
        <v>0.50069444444444444</v>
      </c>
      <c r="BU3374" s="3" t="s">
        <v>2977</v>
      </c>
      <c r="BV3374" s="3" t="s">
        <v>105</v>
      </c>
      <c r="BY3374" s="3">
        <v>1200</v>
      </c>
      <c r="BZ3374" s="3" t="s">
        <v>165</v>
      </c>
      <c r="CA3374" s="3" t="s">
        <v>357</v>
      </c>
      <c r="CC3374" s="3" t="s">
        <v>185</v>
      </c>
      <c r="CD3374" s="3">
        <v>5201</v>
      </c>
      <c r="CE3374" s="3" t="s">
        <v>93</v>
      </c>
      <c r="CF3374" s="4">
        <v>44572</v>
      </c>
      <c r="CI3374" s="3">
        <v>1</v>
      </c>
      <c r="CJ3374" s="3">
        <v>1</v>
      </c>
      <c r="CK3374" s="3">
        <v>21</v>
      </c>
      <c r="CL3374" s="3" t="s">
        <v>87</v>
      </c>
    </row>
    <row r="3375" spans="1:90" x14ac:dyDescent="0.2">
      <c r="A3375" s="3" t="s">
        <v>72</v>
      </c>
      <c r="B3375" s="3" t="s">
        <v>73</v>
      </c>
      <c r="C3375" s="3" t="s">
        <v>74</v>
      </c>
      <c r="E3375" s="3" t="str">
        <f>"FES1162843857"</f>
        <v>FES1162843857</v>
      </c>
      <c r="F3375" s="4">
        <v>44567</v>
      </c>
      <c r="G3375" s="3">
        <v>202207</v>
      </c>
      <c r="H3375" s="3" t="s">
        <v>75</v>
      </c>
      <c r="I3375" s="3" t="s">
        <v>76</v>
      </c>
      <c r="J3375" s="3" t="s">
        <v>77</v>
      </c>
      <c r="K3375" s="3" t="s">
        <v>78</v>
      </c>
      <c r="L3375" s="3" t="s">
        <v>110</v>
      </c>
      <c r="M3375" s="3" t="s">
        <v>110</v>
      </c>
      <c r="N3375" s="3" t="s">
        <v>111</v>
      </c>
      <c r="O3375" s="3" t="s">
        <v>82</v>
      </c>
      <c r="P3375" s="3" t="str">
        <f>"2170811046                    "</f>
        <v xml:space="preserve">2170811046                    </v>
      </c>
      <c r="Q3375" s="3">
        <v>0</v>
      </c>
      <c r="R3375" s="3">
        <v>0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  <c r="AE3375" s="3">
        <v>0</v>
      </c>
      <c r="AF3375" s="3">
        <v>0</v>
      </c>
      <c r="AG3375" s="3">
        <v>0</v>
      </c>
      <c r="AH3375" s="3">
        <v>0</v>
      </c>
      <c r="AI3375" s="3">
        <v>0</v>
      </c>
      <c r="AJ3375" s="3">
        <v>0</v>
      </c>
      <c r="AK3375" s="3">
        <v>29.95</v>
      </c>
      <c r="AL3375" s="3">
        <v>0</v>
      </c>
      <c r="AM3375" s="3">
        <v>0</v>
      </c>
      <c r="AN3375" s="3">
        <v>0</v>
      </c>
      <c r="AO3375" s="3">
        <v>0</v>
      </c>
      <c r="AP3375" s="3">
        <v>0</v>
      </c>
      <c r="AQ3375" s="3">
        <v>0</v>
      </c>
      <c r="AR3375" s="3">
        <v>0</v>
      </c>
      <c r="AS3375" s="3">
        <v>0</v>
      </c>
      <c r="AT3375" s="3">
        <v>0</v>
      </c>
      <c r="AU3375" s="3">
        <v>0</v>
      </c>
      <c r="AV3375" s="3">
        <v>0</v>
      </c>
      <c r="AW3375" s="3">
        <v>0</v>
      </c>
      <c r="AX3375" s="3">
        <v>0</v>
      </c>
      <c r="AY3375" s="3">
        <v>0</v>
      </c>
      <c r="AZ3375" s="3">
        <v>0</v>
      </c>
      <c r="BA3375" s="3">
        <v>0</v>
      </c>
      <c r="BB3375" s="3">
        <v>0</v>
      </c>
      <c r="BC3375" s="3">
        <v>0</v>
      </c>
      <c r="BD3375" s="3">
        <v>0</v>
      </c>
      <c r="BE3375" s="3">
        <v>0</v>
      </c>
      <c r="BF3375" s="3">
        <v>0</v>
      </c>
      <c r="BG3375" s="3">
        <v>0</v>
      </c>
      <c r="BH3375" s="3">
        <v>1</v>
      </c>
      <c r="BI3375" s="3">
        <v>1</v>
      </c>
      <c r="BJ3375" s="3">
        <v>0.2</v>
      </c>
      <c r="BK3375" s="3">
        <v>1</v>
      </c>
      <c r="BL3375" s="3">
        <v>114.31</v>
      </c>
      <c r="BM3375" s="3">
        <v>17.149999999999999</v>
      </c>
      <c r="BN3375" s="3">
        <v>131.46</v>
      </c>
      <c r="BO3375" s="3">
        <v>131.46</v>
      </c>
      <c r="BQ3375" s="3" t="s">
        <v>89</v>
      </c>
      <c r="BR3375" s="3" t="s">
        <v>364</v>
      </c>
      <c r="BS3375" s="4">
        <v>44568</v>
      </c>
      <c r="BT3375" s="5">
        <v>0.43541666666666662</v>
      </c>
      <c r="BU3375" s="3" t="s">
        <v>2736</v>
      </c>
      <c r="BV3375" s="3" t="s">
        <v>105</v>
      </c>
      <c r="BY3375" s="3">
        <v>1200</v>
      </c>
      <c r="BZ3375" s="3" t="s">
        <v>165</v>
      </c>
      <c r="CA3375" s="3" t="s">
        <v>360</v>
      </c>
      <c r="CC3375" s="3" t="s">
        <v>110</v>
      </c>
      <c r="CD3375" s="3">
        <v>7646</v>
      </c>
      <c r="CE3375" s="3" t="s">
        <v>93</v>
      </c>
      <c r="CF3375" s="4">
        <v>44571</v>
      </c>
      <c r="CI3375" s="3">
        <v>1</v>
      </c>
      <c r="CJ3375" s="3">
        <v>1</v>
      </c>
      <c r="CK3375" s="3">
        <v>23</v>
      </c>
      <c r="CL3375" s="3" t="s">
        <v>87</v>
      </c>
    </row>
    <row r="3376" spans="1:90" x14ac:dyDescent="0.2">
      <c r="A3376" s="3" t="s">
        <v>72</v>
      </c>
      <c r="B3376" s="3" t="s">
        <v>73</v>
      </c>
      <c r="C3376" s="3" t="s">
        <v>74</v>
      </c>
      <c r="E3376" s="3" t="str">
        <f>"FES1162844083"</f>
        <v>FES1162844083</v>
      </c>
      <c r="F3376" s="4">
        <v>44567</v>
      </c>
      <c r="G3376" s="3">
        <v>202207</v>
      </c>
      <c r="H3376" s="3" t="s">
        <v>75</v>
      </c>
      <c r="I3376" s="3" t="s">
        <v>76</v>
      </c>
      <c r="J3376" s="3" t="s">
        <v>77</v>
      </c>
      <c r="K3376" s="3" t="s">
        <v>78</v>
      </c>
      <c r="L3376" s="3" t="s">
        <v>171</v>
      </c>
      <c r="M3376" s="3" t="s">
        <v>172</v>
      </c>
      <c r="N3376" s="3" t="s">
        <v>249</v>
      </c>
      <c r="O3376" s="3" t="s">
        <v>82</v>
      </c>
      <c r="P3376" s="3" t="str">
        <f>"2170815319                    "</f>
        <v xml:space="preserve">2170815319                    </v>
      </c>
      <c r="Q3376" s="3">
        <v>0</v>
      </c>
      <c r="R3376" s="3">
        <v>0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  <c r="AE3376" s="3">
        <v>0</v>
      </c>
      <c r="AF3376" s="3">
        <v>0</v>
      </c>
      <c r="AG3376" s="3">
        <v>0</v>
      </c>
      <c r="AH3376" s="3">
        <v>0</v>
      </c>
      <c r="AI3376" s="3">
        <v>0</v>
      </c>
      <c r="AJ3376" s="3">
        <v>0</v>
      </c>
      <c r="AK3376" s="3">
        <v>15.46</v>
      </c>
      <c r="AL3376" s="3">
        <v>0</v>
      </c>
      <c r="AM3376" s="3">
        <v>0</v>
      </c>
      <c r="AN3376" s="3">
        <v>0</v>
      </c>
      <c r="AO3376" s="3">
        <v>0</v>
      </c>
      <c r="AP3376" s="3">
        <v>0</v>
      </c>
      <c r="AQ3376" s="3">
        <v>0</v>
      </c>
      <c r="AR3376" s="3">
        <v>0</v>
      </c>
      <c r="AS3376" s="3">
        <v>0</v>
      </c>
      <c r="AT3376" s="3">
        <v>0</v>
      </c>
      <c r="AU3376" s="3">
        <v>0</v>
      </c>
      <c r="AV3376" s="3">
        <v>0</v>
      </c>
      <c r="AW3376" s="3">
        <v>0</v>
      </c>
      <c r="AX3376" s="3">
        <v>0</v>
      </c>
      <c r="AY3376" s="3">
        <v>0</v>
      </c>
      <c r="AZ3376" s="3">
        <v>0</v>
      </c>
      <c r="BA3376" s="3">
        <v>0</v>
      </c>
      <c r="BB3376" s="3">
        <v>0</v>
      </c>
      <c r="BC3376" s="3">
        <v>0</v>
      </c>
      <c r="BD3376" s="3">
        <v>0</v>
      </c>
      <c r="BE3376" s="3">
        <v>0</v>
      </c>
      <c r="BF3376" s="3">
        <v>0</v>
      </c>
      <c r="BG3376" s="3">
        <v>0</v>
      </c>
      <c r="BH3376" s="3">
        <v>1</v>
      </c>
      <c r="BI3376" s="3">
        <v>2</v>
      </c>
      <c r="BJ3376" s="3">
        <v>1.5</v>
      </c>
      <c r="BK3376" s="3">
        <v>2</v>
      </c>
      <c r="BL3376" s="3">
        <v>59</v>
      </c>
      <c r="BM3376" s="3">
        <v>8.85</v>
      </c>
      <c r="BN3376" s="3">
        <v>67.849999999999994</v>
      </c>
      <c r="BO3376" s="3">
        <v>67.849999999999994</v>
      </c>
      <c r="BQ3376" s="3" t="s">
        <v>89</v>
      </c>
      <c r="BR3376" s="3" t="s">
        <v>364</v>
      </c>
      <c r="BS3376" s="4">
        <v>44568</v>
      </c>
      <c r="BT3376" s="5">
        <v>0.51388888888888895</v>
      </c>
      <c r="BU3376" s="3" t="s">
        <v>2926</v>
      </c>
      <c r="BV3376" s="3" t="s">
        <v>87</v>
      </c>
      <c r="BW3376" s="3" t="s">
        <v>457</v>
      </c>
      <c r="BX3376" s="3" t="s">
        <v>279</v>
      </c>
      <c r="BY3376" s="3">
        <v>7540</v>
      </c>
      <c r="BZ3376" s="3" t="s">
        <v>165</v>
      </c>
      <c r="CA3376" s="3" t="s">
        <v>509</v>
      </c>
      <c r="CC3376" s="3" t="s">
        <v>172</v>
      </c>
      <c r="CD3376" s="3">
        <v>6001</v>
      </c>
      <c r="CE3376" s="3" t="s">
        <v>86</v>
      </c>
      <c r="CF3376" s="4">
        <v>44571</v>
      </c>
      <c r="CI3376" s="3">
        <v>1</v>
      </c>
      <c r="CJ3376" s="3">
        <v>1</v>
      </c>
      <c r="CK3376" s="3">
        <v>21</v>
      </c>
      <c r="CL3376" s="3" t="s">
        <v>87</v>
      </c>
    </row>
    <row r="3377" spans="1:90" x14ac:dyDescent="0.2">
      <c r="A3377" s="3" t="s">
        <v>72</v>
      </c>
      <c r="B3377" s="3" t="s">
        <v>73</v>
      </c>
      <c r="C3377" s="3" t="s">
        <v>74</v>
      </c>
      <c r="E3377" s="3" t="str">
        <f>"FES1162843668"</f>
        <v>FES1162843668</v>
      </c>
      <c r="F3377" s="4">
        <v>44567</v>
      </c>
      <c r="G3377" s="3">
        <v>202207</v>
      </c>
      <c r="H3377" s="3" t="s">
        <v>75</v>
      </c>
      <c r="I3377" s="3" t="s">
        <v>76</v>
      </c>
      <c r="J3377" s="3" t="s">
        <v>77</v>
      </c>
      <c r="K3377" s="3" t="s">
        <v>78</v>
      </c>
      <c r="L3377" s="3" t="s">
        <v>154</v>
      </c>
      <c r="M3377" s="3" t="s">
        <v>155</v>
      </c>
      <c r="N3377" s="3" t="s">
        <v>1960</v>
      </c>
      <c r="O3377" s="3" t="s">
        <v>82</v>
      </c>
      <c r="P3377" s="3" t="str">
        <f>"2170814098                    "</f>
        <v xml:space="preserve">2170814098                    </v>
      </c>
      <c r="Q3377" s="3">
        <v>0</v>
      </c>
      <c r="R3377" s="3">
        <v>0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  <c r="AE3377" s="3">
        <v>0</v>
      </c>
      <c r="AF3377" s="3">
        <v>0</v>
      </c>
      <c r="AG3377" s="3">
        <v>0</v>
      </c>
      <c r="AH3377" s="3">
        <v>0</v>
      </c>
      <c r="AI3377" s="3">
        <v>0</v>
      </c>
      <c r="AJ3377" s="3">
        <v>0</v>
      </c>
      <c r="AK3377" s="3">
        <v>12.07</v>
      </c>
      <c r="AL3377" s="3">
        <v>0</v>
      </c>
      <c r="AM3377" s="3">
        <v>0</v>
      </c>
      <c r="AN3377" s="3">
        <v>0</v>
      </c>
      <c r="AO3377" s="3">
        <v>0</v>
      </c>
      <c r="AP3377" s="3">
        <v>0</v>
      </c>
      <c r="AQ3377" s="3">
        <v>0</v>
      </c>
      <c r="AR3377" s="3">
        <v>0</v>
      </c>
      <c r="AS3377" s="3">
        <v>0</v>
      </c>
      <c r="AT3377" s="3">
        <v>0</v>
      </c>
      <c r="AU3377" s="3">
        <v>0</v>
      </c>
      <c r="AV3377" s="3">
        <v>0</v>
      </c>
      <c r="AW3377" s="3">
        <v>0</v>
      </c>
      <c r="AX3377" s="3">
        <v>0</v>
      </c>
      <c r="AY3377" s="3">
        <v>0</v>
      </c>
      <c r="AZ3377" s="3">
        <v>0</v>
      </c>
      <c r="BA3377" s="3">
        <v>0</v>
      </c>
      <c r="BB3377" s="3">
        <v>0</v>
      </c>
      <c r="BC3377" s="3">
        <v>0</v>
      </c>
      <c r="BD3377" s="3">
        <v>0</v>
      </c>
      <c r="BE3377" s="3">
        <v>0</v>
      </c>
      <c r="BF3377" s="3">
        <v>0</v>
      </c>
      <c r="BG3377" s="3">
        <v>0</v>
      </c>
      <c r="BH3377" s="3">
        <v>1</v>
      </c>
      <c r="BI3377" s="3">
        <v>1</v>
      </c>
      <c r="BJ3377" s="3">
        <v>0.9</v>
      </c>
      <c r="BK3377" s="3">
        <v>1</v>
      </c>
      <c r="BL3377" s="3">
        <v>46.08</v>
      </c>
      <c r="BM3377" s="3">
        <v>6.91</v>
      </c>
      <c r="BN3377" s="3">
        <v>52.99</v>
      </c>
      <c r="BO3377" s="3">
        <v>52.99</v>
      </c>
      <c r="BR3377" s="3" t="s">
        <v>364</v>
      </c>
      <c r="BS3377" s="4">
        <v>44568</v>
      </c>
      <c r="BT3377" s="5">
        <v>0.33888888888888885</v>
      </c>
      <c r="BU3377" s="3" t="s">
        <v>2041</v>
      </c>
      <c r="BV3377" s="3" t="s">
        <v>105</v>
      </c>
      <c r="BY3377" s="3">
        <v>4275</v>
      </c>
      <c r="BZ3377" s="3" t="s">
        <v>165</v>
      </c>
      <c r="CA3377" s="3" t="s">
        <v>708</v>
      </c>
      <c r="CC3377" s="3" t="s">
        <v>155</v>
      </c>
      <c r="CD3377" s="3">
        <v>1682</v>
      </c>
      <c r="CE3377" s="3" t="s">
        <v>86</v>
      </c>
      <c r="CF3377" s="4">
        <v>44569</v>
      </c>
      <c r="CI3377" s="3">
        <v>1</v>
      </c>
      <c r="CJ3377" s="3">
        <v>1</v>
      </c>
      <c r="CK3377" s="3">
        <v>22</v>
      </c>
      <c r="CL3377" s="3" t="s">
        <v>87</v>
      </c>
    </row>
    <row r="3378" spans="1:90" x14ac:dyDescent="0.2">
      <c r="A3378" s="3" t="s">
        <v>72</v>
      </c>
      <c r="B3378" s="3" t="s">
        <v>73</v>
      </c>
      <c r="C3378" s="3" t="s">
        <v>74</v>
      </c>
      <c r="E3378" s="3" t="str">
        <f>"FES1162843793"</f>
        <v>FES1162843793</v>
      </c>
      <c r="F3378" s="4">
        <v>44567</v>
      </c>
      <c r="G3378" s="3">
        <v>202207</v>
      </c>
      <c r="H3378" s="3" t="s">
        <v>75</v>
      </c>
      <c r="I3378" s="3" t="s">
        <v>76</v>
      </c>
      <c r="J3378" s="3" t="s">
        <v>77</v>
      </c>
      <c r="K3378" s="3" t="s">
        <v>78</v>
      </c>
      <c r="L3378" s="3" t="s">
        <v>90</v>
      </c>
      <c r="M3378" s="3" t="s">
        <v>91</v>
      </c>
      <c r="N3378" s="3" t="s">
        <v>132</v>
      </c>
      <c r="O3378" s="3" t="s">
        <v>82</v>
      </c>
      <c r="P3378" s="3" t="str">
        <f>"2170815670                    "</f>
        <v xml:space="preserve">2170815670                    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  <c r="AE3378" s="3">
        <v>0</v>
      </c>
      <c r="AF3378" s="3">
        <v>0</v>
      </c>
      <c r="AG3378" s="3">
        <v>0</v>
      </c>
      <c r="AH3378" s="3">
        <v>0</v>
      </c>
      <c r="AI3378" s="3">
        <v>0</v>
      </c>
      <c r="AJ3378" s="3">
        <v>0</v>
      </c>
      <c r="AK3378" s="3">
        <v>15.46</v>
      </c>
      <c r="AL3378" s="3">
        <v>0</v>
      </c>
      <c r="AM3378" s="3">
        <v>0</v>
      </c>
      <c r="AN3378" s="3">
        <v>0</v>
      </c>
      <c r="AO3378" s="3">
        <v>0</v>
      </c>
      <c r="AP3378" s="3">
        <v>0</v>
      </c>
      <c r="AQ3378" s="3">
        <v>0</v>
      </c>
      <c r="AR3378" s="3">
        <v>0</v>
      </c>
      <c r="AS3378" s="3">
        <v>0</v>
      </c>
      <c r="AT3378" s="3">
        <v>0</v>
      </c>
      <c r="AU3378" s="3">
        <v>0</v>
      </c>
      <c r="AV3378" s="3">
        <v>0</v>
      </c>
      <c r="AW3378" s="3">
        <v>0</v>
      </c>
      <c r="AX3378" s="3">
        <v>0</v>
      </c>
      <c r="AY3378" s="3">
        <v>0</v>
      </c>
      <c r="AZ3378" s="3">
        <v>0</v>
      </c>
      <c r="BA3378" s="3">
        <v>0</v>
      </c>
      <c r="BB3378" s="3">
        <v>0</v>
      </c>
      <c r="BC3378" s="3">
        <v>0</v>
      </c>
      <c r="BD3378" s="3">
        <v>0</v>
      </c>
      <c r="BE3378" s="3">
        <v>0</v>
      </c>
      <c r="BF3378" s="3">
        <v>0</v>
      </c>
      <c r="BG3378" s="3">
        <v>0</v>
      </c>
      <c r="BH3378" s="3">
        <v>1</v>
      </c>
      <c r="BI3378" s="3">
        <v>1</v>
      </c>
      <c r="BJ3378" s="3">
        <v>0.2</v>
      </c>
      <c r="BK3378" s="3">
        <v>1</v>
      </c>
      <c r="BL3378" s="3">
        <v>59</v>
      </c>
      <c r="BM3378" s="3">
        <v>8.85</v>
      </c>
      <c r="BN3378" s="3">
        <v>67.849999999999994</v>
      </c>
      <c r="BO3378" s="3">
        <v>67.849999999999994</v>
      </c>
      <c r="BQ3378" s="3" t="s">
        <v>83</v>
      </c>
      <c r="BR3378" s="3" t="s">
        <v>364</v>
      </c>
      <c r="BS3378" s="4">
        <v>44568</v>
      </c>
      <c r="BT3378" s="5">
        <v>0.41944444444444445</v>
      </c>
      <c r="BU3378" s="3" t="s">
        <v>2527</v>
      </c>
      <c r="BV3378" s="3" t="s">
        <v>105</v>
      </c>
      <c r="BY3378" s="3">
        <v>1200</v>
      </c>
      <c r="BZ3378" s="3" t="s">
        <v>165</v>
      </c>
      <c r="CA3378" s="3" t="s">
        <v>641</v>
      </c>
      <c r="CC3378" s="3" t="s">
        <v>91</v>
      </c>
      <c r="CD3378" s="3">
        <v>7530</v>
      </c>
      <c r="CE3378" s="3" t="s">
        <v>93</v>
      </c>
      <c r="CF3378" s="4">
        <v>44571</v>
      </c>
      <c r="CI3378" s="3">
        <v>1</v>
      </c>
      <c r="CJ3378" s="3">
        <v>1</v>
      </c>
      <c r="CK3378" s="3">
        <v>21</v>
      </c>
      <c r="CL3378" s="3" t="s">
        <v>87</v>
      </c>
    </row>
    <row r="3379" spans="1:90" x14ac:dyDescent="0.2">
      <c r="A3379" s="3" t="s">
        <v>72</v>
      </c>
      <c r="B3379" s="3" t="s">
        <v>73</v>
      </c>
      <c r="C3379" s="3" t="s">
        <v>74</v>
      </c>
      <c r="E3379" s="3" t="str">
        <f>"FES1162843961"</f>
        <v>FES1162843961</v>
      </c>
      <c r="F3379" s="4">
        <v>44567</v>
      </c>
      <c r="G3379" s="3">
        <v>202207</v>
      </c>
      <c r="H3379" s="3" t="s">
        <v>75</v>
      </c>
      <c r="I3379" s="3" t="s">
        <v>76</v>
      </c>
      <c r="J3379" s="3" t="s">
        <v>77</v>
      </c>
      <c r="K3379" s="3" t="s">
        <v>78</v>
      </c>
      <c r="L3379" s="3" t="s">
        <v>158</v>
      </c>
      <c r="M3379" s="3" t="s">
        <v>159</v>
      </c>
      <c r="N3379" s="3" t="s">
        <v>1253</v>
      </c>
      <c r="O3379" s="3" t="s">
        <v>82</v>
      </c>
      <c r="P3379" s="3" t="str">
        <f>"2170814168                    "</f>
        <v xml:space="preserve">2170814168                    </v>
      </c>
      <c r="Q3379" s="3">
        <v>0</v>
      </c>
      <c r="R3379" s="3">
        <v>0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  <c r="AE3379" s="3">
        <v>0</v>
      </c>
      <c r="AF3379" s="3">
        <v>0</v>
      </c>
      <c r="AG3379" s="3">
        <v>0</v>
      </c>
      <c r="AH3379" s="3">
        <v>0</v>
      </c>
      <c r="AI3379" s="3">
        <v>0</v>
      </c>
      <c r="AJ3379" s="3">
        <v>0</v>
      </c>
      <c r="AK3379" s="3">
        <v>12.07</v>
      </c>
      <c r="AL3379" s="3">
        <v>0</v>
      </c>
      <c r="AM3379" s="3">
        <v>0</v>
      </c>
      <c r="AN3379" s="3">
        <v>0</v>
      </c>
      <c r="AO3379" s="3">
        <v>0</v>
      </c>
      <c r="AP3379" s="3">
        <v>0</v>
      </c>
      <c r="AQ3379" s="3">
        <v>0</v>
      </c>
      <c r="AR3379" s="3">
        <v>0</v>
      </c>
      <c r="AS3379" s="3">
        <v>0</v>
      </c>
      <c r="AT3379" s="3">
        <v>0</v>
      </c>
      <c r="AU3379" s="3">
        <v>0</v>
      </c>
      <c r="AV3379" s="3">
        <v>0</v>
      </c>
      <c r="AW3379" s="3">
        <v>0</v>
      </c>
      <c r="AX3379" s="3">
        <v>0</v>
      </c>
      <c r="AY3379" s="3">
        <v>0</v>
      </c>
      <c r="AZ3379" s="3">
        <v>0</v>
      </c>
      <c r="BA3379" s="3">
        <v>0</v>
      </c>
      <c r="BB3379" s="3">
        <v>0</v>
      </c>
      <c r="BC3379" s="3">
        <v>0</v>
      </c>
      <c r="BD3379" s="3">
        <v>0</v>
      </c>
      <c r="BE3379" s="3">
        <v>0</v>
      </c>
      <c r="BF3379" s="3">
        <v>0</v>
      </c>
      <c r="BG3379" s="3">
        <v>0</v>
      </c>
      <c r="BH3379" s="3">
        <v>1</v>
      </c>
      <c r="BI3379" s="3">
        <v>2</v>
      </c>
      <c r="BJ3379" s="3">
        <v>4.0999999999999996</v>
      </c>
      <c r="BK3379" s="3">
        <v>4.5</v>
      </c>
      <c r="BL3379" s="3">
        <v>46.08</v>
      </c>
      <c r="BM3379" s="3">
        <v>6.91</v>
      </c>
      <c r="BN3379" s="3">
        <v>52.99</v>
      </c>
      <c r="BO3379" s="3">
        <v>52.99</v>
      </c>
      <c r="BQ3379" s="3" t="s">
        <v>89</v>
      </c>
      <c r="BR3379" s="3" t="s">
        <v>364</v>
      </c>
      <c r="BS3379" s="4">
        <v>44568</v>
      </c>
      <c r="BT3379" s="5">
        <v>0.34236111111111112</v>
      </c>
      <c r="BU3379" s="3" t="s">
        <v>2808</v>
      </c>
      <c r="BV3379" s="3" t="s">
        <v>105</v>
      </c>
      <c r="BY3379" s="3">
        <v>20358</v>
      </c>
      <c r="BZ3379" s="3" t="s">
        <v>165</v>
      </c>
      <c r="CA3379" s="3" t="s">
        <v>825</v>
      </c>
      <c r="CC3379" s="3" t="s">
        <v>159</v>
      </c>
      <c r="CD3379" s="3">
        <v>1459</v>
      </c>
      <c r="CE3379" s="3" t="s">
        <v>86</v>
      </c>
      <c r="CF3379" s="4">
        <v>44568</v>
      </c>
      <c r="CI3379" s="3">
        <v>1</v>
      </c>
      <c r="CJ3379" s="3">
        <v>1</v>
      </c>
      <c r="CK3379" s="3">
        <v>22</v>
      </c>
      <c r="CL3379" s="3" t="s">
        <v>87</v>
      </c>
    </row>
    <row r="3380" spans="1:90" x14ac:dyDescent="0.2">
      <c r="A3380" s="3" t="s">
        <v>72</v>
      </c>
      <c r="B3380" s="3" t="s">
        <v>73</v>
      </c>
      <c r="C3380" s="3" t="s">
        <v>74</v>
      </c>
      <c r="E3380" s="3" t="str">
        <f>"FES1162843939"</f>
        <v>FES1162843939</v>
      </c>
      <c r="F3380" s="4">
        <v>44567</v>
      </c>
      <c r="G3380" s="3">
        <v>202207</v>
      </c>
      <c r="H3380" s="3" t="s">
        <v>75</v>
      </c>
      <c r="I3380" s="3" t="s">
        <v>76</v>
      </c>
      <c r="J3380" s="3" t="s">
        <v>77</v>
      </c>
      <c r="K3380" s="3" t="s">
        <v>78</v>
      </c>
      <c r="L3380" s="3" t="s">
        <v>171</v>
      </c>
      <c r="M3380" s="3" t="s">
        <v>172</v>
      </c>
      <c r="N3380" s="3" t="s">
        <v>2978</v>
      </c>
      <c r="O3380" s="3" t="s">
        <v>82</v>
      </c>
      <c r="P3380" s="3" t="str">
        <f>"2170813703                    "</f>
        <v xml:space="preserve">2170813703                    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0</v>
      </c>
      <c r="W3380" s="3">
        <v>0</v>
      </c>
      <c r="X3380" s="3">
        <v>0</v>
      </c>
      <c r="Y3380" s="3">
        <v>0</v>
      </c>
      <c r="Z3380" s="3">
        <v>0</v>
      </c>
      <c r="AA3380" s="3">
        <v>0</v>
      </c>
      <c r="AB3380" s="3">
        <v>0</v>
      </c>
      <c r="AC3380" s="3">
        <v>0</v>
      </c>
      <c r="AD3380" s="3">
        <v>0</v>
      </c>
      <c r="AE3380" s="3">
        <v>0</v>
      </c>
      <c r="AF3380" s="3">
        <v>0</v>
      </c>
      <c r="AG3380" s="3">
        <v>0</v>
      </c>
      <c r="AH3380" s="3">
        <v>0</v>
      </c>
      <c r="AI3380" s="3">
        <v>0</v>
      </c>
      <c r="AJ3380" s="3">
        <v>0</v>
      </c>
      <c r="AK3380" s="3">
        <v>34.770000000000003</v>
      </c>
      <c r="AL3380" s="3">
        <v>0</v>
      </c>
      <c r="AM3380" s="3">
        <v>0</v>
      </c>
      <c r="AN3380" s="3">
        <v>0</v>
      </c>
      <c r="AO3380" s="3">
        <v>0</v>
      </c>
      <c r="AP3380" s="3">
        <v>0</v>
      </c>
      <c r="AQ3380" s="3">
        <v>0</v>
      </c>
      <c r="AR3380" s="3">
        <v>0</v>
      </c>
      <c r="AS3380" s="3">
        <v>0</v>
      </c>
      <c r="AT3380" s="3">
        <v>0</v>
      </c>
      <c r="AU3380" s="3">
        <v>0</v>
      </c>
      <c r="AV3380" s="3">
        <v>0</v>
      </c>
      <c r="AW3380" s="3">
        <v>0</v>
      </c>
      <c r="AX3380" s="3">
        <v>0</v>
      </c>
      <c r="AY3380" s="3">
        <v>0</v>
      </c>
      <c r="AZ3380" s="3">
        <v>0</v>
      </c>
      <c r="BA3380" s="3">
        <v>0</v>
      </c>
      <c r="BB3380" s="3">
        <v>0</v>
      </c>
      <c r="BC3380" s="3">
        <v>0</v>
      </c>
      <c r="BD3380" s="3">
        <v>0</v>
      </c>
      <c r="BE3380" s="3">
        <v>0</v>
      </c>
      <c r="BF3380" s="3">
        <v>0</v>
      </c>
      <c r="BG3380" s="3">
        <v>0</v>
      </c>
      <c r="BH3380" s="3">
        <v>1</v>
      </c>
      <c r="BI3380" s="3">
        <v>2</v>
      </c>
      <c r="BJ3380" s="3">
        <v>4.0999999999999996</v>
      </c>
      <c r="BK3380" s="3">
        <v>4.5</v>
      </c>
      <c r="BL3380" s="3">
        <v>132.71</v>
      </c>
      <c r="BM3380" s="3">
        <v>19.91</v>
      </c>
      <c r="BN3380" s="3">
        <v>152.62</v>
      </c>
      <c r="BO3380" s="3">
        <v>152.62</v>
      </c>
      <c r="BQ3380" s="3" t="s">
        <v>89</v>
      </c>
      <c r="BR3380" s="3" t="s">
        <v>364</v>
      </c>
      <c r="BS3380" s="4">
        <v>44568</v>
      </c>
      <c r="BT3380" s="5">
        <v>0.59513888888888888</v>
      </c>
      <c r="BU3380" s="3" t="s">
        <v>2979</v>
      </c>
      <c r="BV3380" s="3" t="s">
        <v>87</v>
      </c>
      <c r="BW3380" s="3" t="s">
        <v>457</v>
      </c>
      <c r="BX3380" s="3" t="s">
        <v>2542</v>
      </c>
      <c r="BY3380" s="3">
        <v>20358</v>
      </c>
      <c r="BZ3380" s="3" t="s">
        <v>165</v>
      </c>
      <c r="CA3380" s="3" t="s">
        <v>263</v>
      </c>
      <c r="CC3380" s="3" t="s">
        <v>172</v>
      </c>
      <c r="CD3380" s="3">
        <v>6012</v>
      </c>
      <c r="CE3380" s="3" t="s">
        <v>86</v>
      </c>
      <c r="CF3380" s="4">
        <v>44571</v>
      </c>
      <c r="CI3380" s="3">
        <v>1</v>
      </c>
      <c r="CJ3380" s="3">
        <v>1</v>
      </c>
      <c r="CK3380" s="3">
        <v>21</v>
      </c>
      <c r="CL3380" s="3" t="s">
        <v>87</v>
      </c>
    </row>
    <row r="3381" spans="1:90" x14ac:dyDescent="0.2">
      <c r="A3381" s="3" t="s">
        <v>72</v>
      </c>
      <c r="B3381" s="3" t="s">
        <v>73</v>
      </c>
      <c r="C3381" s="3" t="s">
        <v>74</v>
      </c>
      <c r="E3381" s="3" t="str">
        <f>"FES1162843812"</f>
        <v>FES1162843812</v>
      </c>
      <c r="F3381" s="4">
        <v>44567</v>
      </c>
      <c r="G3381" s="3">
        <v>202207</v>
      </c>
      <c r="H3381" s="3" t="s">
        <v>75</v>
      </c>
      <c r="I3381" s="3" t="s">
        <v>76</v>
      </c>
      <c r="J3381" s="3" t="s">
        <v>77</v>
      </c>
      <c r="K3381" s="3" t="s">
        <v>78</v>
      </c>
      <c r="L3381" s="3" t="s">
        <v>94</v>
      </c>
      <c r="M3381" s="3" t="s">
        <v>95</v>
      </c>
      <c r="N3381" s="3" t="s">
        <v>179</v>
      </c>
      <c r="O3381" s="3" t="s">
        <v>82</v>
      </c>
      <c r="P3381" s="3" t="str">
        <f>"2170815145                    "</f>
        <v xml:space="preserve">2170815145                    </v>
      </c>
      <c r="Q3381" s="3">
        <v>0</v>
      </c>
      <c r="R3381" s="3">
        <v>0</v>
      </c>
      <c r="S3381" s="3">
        <v>0</v>
      </c>
      <c r="T3381" s="3">
        <v>0</v>
      </c>
      <c r="U3381" s="3">
        <v>0</v>
      </c>
      <c r="V3381" s="3">
        <v>0</v>
      </c>
      <c r="W3381" s="3">
        <v>0</v>
      </c>
      <c r="X3381" s="3">
        <v>0</v>
      </c>
      <c r="Y3381" s="3">
        <v>0</v>
      </c>
      <c r="Z3381" s="3">
        <v>0</v>
      </c>
      <c r="AA3381" s="3">
        <v>0</v>
      </c>
      <c r="AB3381" s="3">
        <v>0</v>
      </c>
      <c r="AC3381" s="3">
        <v>0</v>
      </c>
      <c r="AD3381" s="3">
        <v>0</v>
      </c>
      <c r="AE3381" s="3">
        <v>0</v>
      </c>
      <c r="AF3381" s="3">
        <v>0</v>
      </c>
      <c r="AG3381" s="3">
        <v>0</v>
      </c>
      <c r="AH3381" s="3">
        <v>0</v>
      </c>
      <c r="AI3381" s="3">
        <v>0</v>
      </c>
      <c r="AJ3381" s="3">
        <v>0</v>
      </c>
      <c r="AK3381" s="3">
        <v>30.91</v>
      </c>
      <c r="AL3381" s="3">
        <v>0</v>
      </c>
      <c r="AM3381" s="3">
        <v>0</v>
      </c>
      <c r="AN3381" s="3">
        <v>0</v>
      </c>
      <c r="AO3381" s="3">
        <v>0</v>
      </c>
      <c r="AP3381" s="3">
        <v>0</v>
      </c>
      <c r="AQ3381" s="3">
        <v>0</v>
      </c>
      <c r="AR3381" s="3">
        <v>0</v>
      </c>
      <c r="AS3381" s="3">
        <v>0</v>
      </c>
      <c r="AT3381" s="3">
        <v>0</v>
      </c>
      <c r="AU3381" s="3">
        <v>0</v>
      </c>
      <c r="AV3381" s="3">
        <v>0</v>
      </c>
      <c r="AW3381" s="3">
        <v>0</v>
      </c>
      <c r="AX3381" s="3">
        <v>0</v>
      </c>
      <c r="AY3381" s="3">
        <v>0</v>
      </c>
      <c r="AZ3381" s="3">
        <v>0</v>
      </c>
      <c r="BA3381" s="3">
        <v>0</v>
      </c>
      <c r="BB3381" s="3">
        <v>0</v>
      </c>
      <c r="BC3381" s="3">
        <v>0</v>
      </c>
      <c r="BD3381" s="3">
        <v>0</v>
      </c>
      <c r="BE3381" s="3">
        <v>0</v>
      </c>
      <c r="BF3381" s="3">
        <v>0</v>
      </c>
      <c r="BG3381" s="3">
        <v>0</v>
      </c>
      <c r="BH3381" s="3">
        <v>1</v>
      </c>
      <c r="BI3381" s="3">
        <v>1</v>
      </c>
      <c r="BJ3381" s="3">
        <v>3.7</v>
      </c>
      <c r="BK3381" s="3">
        <v>4</v>
      </c>
      <c r="BL3381" s="3">
        <v>117.97</v>
      </c>
      <c r="BM3381" s="3">
        <v>17.7</v>
      </c>
      <c r="BN3381" s="3">
        <v>135.66999999999999</v>
      </c>
      <c r="BO3381" s="3">
        <v>135.66999999999999</v>
      </c>
      <c r="BQ3381" s="3" t="s">
        <v>83</v>
      </c>
      <c r="BR3381" s="3" t="s">
        <v>364</v>
      </c>
      <c r="BS3381" s="4">
        <v>44571</v>
      </c>
      <c r="BT3381" s="5">
        <v>0.40972222222222227</v>
      </c>
      <c r="BU3381" s="3" t="s">
        <v>988</v>
      </c>
      <c r="BV3381" s="3" t="s">
        <v>87</v>
      </c>
      <c r="BW3381" s="3" t="s">
        <v>453</v>
      </c>
      <c r="BX3381" s="3" t="s">
        <v>279</v>
      </c>
      <c r="BY3381" s="3">
        <v>18400</v>
      </c>
      <c r="BZ3381" s="3" t="s">
        <v>165</v>
      </c>
      <c r="CA3381" s="3" t="s">
        <v>328</v>
      </c>
      <c r="CC3381" s="3" t="s">
        <v>95</v>
      </c>
      <c r="CD3381" s="3">
        <v>3201</v>
      </c>
      <c r="CE3381" s="3" t="s">
        <v>86</v>
      </c>
      <c r="CF3381" s="4">
        <v>44572</v>
      </c>
      <c r="CI3381" s="3">
        <v>1</v>
      </c>
      <c r="CJ3381" s="3">
        <v>2</v>
      </c>
      <c r="CK3381" s="3">
        <v>21</v>
      </c>
      <c r="CL3381" s="3" t="s">
        <v>87</v>
      </c>
    </row>
    <row r="3382" spans="1:90" x14ac:dyDescent="0.2">
      <c r="A3382" s="3" t="s">
        <v>72</v>
      </c>
      <c r="B3382" s="3" t="s">
        <v>73</v>
      </c>
      <c r="C3382" s="3" t="s">
        <v>74</v>
      </c>
      <c r="E3382" s="3" t="str">
        <f>"FES1162843830"</f>
        <v>FES1162843830</v>
      </c>
      <c r="F3382" s="4">
        <v>44567</v>
      </c>
      <c r="G3382" s="3">
        <v>202207</v>
      </c>
      <c r="H3382" s="3" t="s">
        <v>75</v>
      </c>
      <c r="I3382" s="3" t="s">
        <v>76</v>
      </c>
      <c r="J3382" s="3" t="s">
        <v>77</v>
      </c>
      <c r="K3382" s="3" t="s">
        <v>78</v>
      </c>
      <c r="L3382" s="3" t="s">
        <v>79</v>
      </c>
      <c r="M3382" s="3" t="s">
        <v>80</v>
      </c>
      <c r="N3382" s="3" t="s">
        <v>1402</v>
      </c>
      <c r="O3382" s="3" t="s">
        <v>82</v>
      </c>
      <c r="P3382" s="3" t="str">
        <f>"2170815758                    "</f>
        <v xml:space="preserve">2170815758                    </v>
      </c>
      <c r="Q3382" s="3">
        <v>0</v>
      </c>
      <c r="R3382" s="3">
        <v>0</v>
      </c>
      <c r="S3382" s="3">
        <v>0</v>
      </c>
      <c r="T3382" s="3">
        <v>0</v>
      </c>
      <c r="U3382" s="3">
        <v>0</v>
      </c>
      <c r="V3382" s="3">
        <v>0</v>
      </c>
      <c r="W3382" s="3">
        <v>0</v>
      </c>
      <c r="X3382" s="3">
        <v>0</v>
      </c>
      <c r="Y3382" s="3">
        <v>0</v>
      </c>
      <c r="Z3382" s="3">
        <v>0</v>
      </c>
      <c r="AA3382" s="3">
        <v>0</v>
      </c>
      <c r="AB3382" s="3">
        <v>0</v>
      </c>
      <c r="AC3382" s="3">
        <v>0</v>
      </c>
      <c r="AD3382" s="3">
        <v>0</v>
      </c>
      <c r="AE3382" s="3">
        <v>0</v>
      </c>
      <c r="AF3382" s="3">
        <v>0</v>
      </c>
      <c r="AG3382" s="3">
        <v>0</v>
      </c>
      <c r="AH3382" s="3">
        <v>0</v>
      </c>
      <c r="AI3382" s="3">
        <v>0</v>
      </c>
      <c r="AJ3382" s="3">
        <v>0</v>
      </c>
      <c r="AK3382" s="3">
        <v>15.46</v>
      </c>
      <c r="AL3382" s="3">
        <v>0</v>
      </c>
      <c r="AM3382" s="3">
        <v>0</v>
      </c>
      <c r="AN3382" s="3">
        <v>0</v>
      </c>
      <c r="AO3382" s="3">
        <v>0</v>
      </c>
      <c r="AP3382" s="3">
        <v>0</v>
      </c>
      <c r="AQ3382" s="3">
        <v>0</v>
      </c>
      <c r="AR3382" s="3">
        <v>0</v>
      </c>
      <c r="AS3382" s="3">
        <v>0</v>
      </c>
      <c r="AT3382" s="3">
        <v>0</v>
      </c>
      <c r="AU3382" s="3">
        <v>0</v>
      </c>
      <c r="AV3382" s="3">
        <v>0</v>
      </c>
      <c r="AW3382" s="3">
        <v>0</v>
      </c>
      <c r="AX3382" s="3">
        <v>0</v>
      </c>
      <c r="AY3382" s="3">
        <v>0</v>
      </c>
      <c r="AZ3382" s="3">
        <v>0</v>
      </c>
      <c r="BA3382" s="3">
        <v>0</v>
      </c>
      <c r="BB3382" s="3">
        <v>0</v>
      </c>
      <c r="BC3382" s="3">
        <v>0</v>
      </c>
      <c r="BD3382" s="3">
        <v>0</v>
      </c>
      <c r="BE3382" s="3">
        <v>0</v>
      </c>
      <c r="BF3382" s="3">
        <v>0</v>
      </c>
      <c r="BG3382" s="3">
        <v>0</v>
      </c>
      <c r="BH3382" s="3">
        <v>1</v>
      </c>
      <c r="BI3382" s="3">
        <v>1</v>
      </c>
      <c r="BJ3382" s="3">
        <v>0.2</v>
      </c>
      <c r="BK3382" s="3">
        <v>1</v>
      </c>
      <c r="BL3382" s="3">
        <v>59</v>
      </c>
      <c r="BM3382" s="3">
        <v>8.85</v>
      </c>
      <c r="BN3382" s="3">
        <v>67.849999999999994</v>
      </c>
      <c r="BO3382" s="3">
        <v>67.849999999999994</v>
      </c>
      <c r="BR3382" s="3" t="s">
        <v>364</v>
      </c>
      <c r="BS3382" s="4">
        <v>44572</v>
      </c>
      <c r="BT3382" s="5">
        <v>0.55347222222222225</v>
      </c>
      <c r="BU3382" s="3" t="s">
        <v>2980</v>
      </c>
      <c r="BV3382" s="3" t="s">
        <v>87</v>
      </c>
      <c r="BW3382" s="3" t="s">
        <v>493</v>
      </c>
      <c r="BX3382" s="3" t="s">
        <v>758</v>
      </c>
      <c r="BY3382" s="3">
        <v>1200</v>
      </c>
      <c r="BZ3382" s="3" t="s">
        <v>165</v>
      </c>
      <c r="CA3382" s="3" t="s">
        <v>2981</v>
      </c>
      <c r="CC3382" s="3" t="s">
        <v>80</v>
      </c>
      <c r="CD3382" s="3">
        <v>127</v>
      </c>
      <c r="CE3382" s="3" t="s">
        <v>93</v>
      </c>
      <c r="CF3382" s="4">
        <v>44575</v>
      </c>
      <c r="CI3382" s="3">
        <v>1</v>
      </c>
      <c r="CJ3382" s="3">
        <v>3</v>
      </c>
      <c r="CK3382" s="3">
        <v>21</v>
      </c>
      <c r="CL3382" s="3" t="s">
        <v>87</v>
      </c>
    </row>
    <row r="3383" spans="1:90" x14ac:dyDescent="0.2">
      <c r="A3383" s="3" t="s">
        <v>72</v>
      </c>
      <c r="B3383" s="3" t="s">
        <v>73</v>
      </c>
      <c r="C3383" s="3" t="s">
        <v>74</v>
      </c>
      <c r="E3383" s="3" t="str">
        <f>"FES1162843822"</f>
        <v>FES1162843822</v>
      </c>
      <c r="F3383" s="4">
        <v>44567</v>
      </c>
      <c r="G3383" s="3">
        <v>202207</v>
      </c>
      <c r="H3383" s="3" t="s">
        <v>75</v>
      </c>
      <c r="I3383" s="3" t="s">
        <v>76</v>
      </c>
      <c r="J3383" s="3" t="s">
        <v>77</v>
      </c>
      <c r="K3383" s="3" t="s">
        <v>78</v>
      </c>
      <c r="L3383" s="3" t="s">
        <v>107</v>
      </c>
      <c r="M3383" s="3" t="s">
        <v>108</v>
      </c>
      <c r="N3383" s="3" t="s">
        <v>582</v>
      </c>
      <c r="O3383" s="3" t="s">
        <v>82</v>
      </c>
      <c r="P3383" s="3" t="str">
        <f>"2170815743                    "</f>
        <v xml:space="preserve">2170815743                    </v>
      </c>
      <c r="Q3383" s="3">
        <v>0</v>
      </c>
      <c r="R3383" s="3">
        <v>0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  <c r="AE3383" s="3">
        <v>0</v>
      </c>
      <c r="AF3383" s="3">
        <v>0</v>
      </c>
      <c r="AG3383" s="3">
        <v>0</v>
      </c>
      <c r="AH3383" s="3">
        <v>0</v>
      </c>
      <c r="AI3383" s="3">
        <v>0</v>
      </c>
      <c r="AJ3383" s="3">
        <v>0</v>
      </c>
      <c r="AK3383" s="3">
        <v>29.95</v>
      </c>
      <c r="AL3383" s="3">
        <v>0</v>
      </c>
      <c r="AM3383" s="3">
        <v>0</v>
      </c>
      <c r="AN3383" s="3">
        <v>0</v>
      </c>
      <c r="AO3383" s="3">
        <v>0</v>
      </c>
      <c r="AP3383" s="3">
        <v>0</v>
      </c>
      <c r="AQ3383" s="3">
        <v>0</v>
      </c>
      <c r="AR3383" s="3">
        <v>0</v>
      </c>
      <c r="AS3383" s="3">
        <v>0</v>
      </c>
      <c r="AT3383" s="3">
        <v>0</v>
      </c>
      <c r="AU3383" s="3">
        <v>0</v>
      </c>
      <c r="AV3383" s="3">
        <v>0</v>
      </c>
      <c r="AW3383" s="3">
        <v>0</v>
      </c>
      <c r="AX3383" s="3">
        <v>0</v>
      </c>
      <c r="AY3383" s="3">
        <v>0</v>
      </c>
      <c r="AZ3383" s="3">
        <v>0</v>
      </c>
      <c r="BA3383" s="3">
        <v>0</v>
      </c>
      <c r="BB3383" s="3">
        <v>0</v>
      </c>
      <c r="BC3383" s="3">
        <v>0</v>
      </c>
      <c r="BD3383" s="3">
        <v>0</v>
      </c>
      <c r="BE3383" s="3">
        <v>0</v>
      </c>
      <c r="BF3383" s="3">
        <v>0</v>
      </c>
      <c r="BG3383" s="3">
        <v>0</v>
      </c>
      <c r="BH3383" s="3">
        <v>1</v>
      </c>
      <c r="BI3383" s="3">
        <v>1</v>
      </c>
      <c r="BJ3383" s="3">
        <v>0.2</v>
      </c>
      <c r="BK3383" s="3">
        <v>1</v>
      </c>
      <c r="BL3383" s="3">
        <v>114.31</v>
      </c>
      <c r="BM3383" s="3">
        <v>17.149999999999999</v>
      </c>
      <c r="BN3383" s="3">
        <v>131.46</v>
      </c>
      <c r="BO3383" s="3">
        <v>131.46</v>
      </c>
      <c r="BQ3383" s="3" t="s">
        <v>126</v>
      </c>
      <c r="BR3383" s="3" t="s">
        <v>364</v>
      </c>
      <c r="BS3383" s="4">
        <v>44568</v>
      </c>
      <c r="BT3383" s="5">
        <v>0.62847222222222221</v>
      </c>
      <c r="BU3383" s="3" t="s">
        <v>583</v>
      </c>
      <c r="BV3383" s="3" t="s">
        <v>105</v>
      </c>
      <c r="BY3383" s="3">
        <v>1200</v>
      </c>
      <c r="BZ3383" s="3" t="s">
        <v>165</v>
      </c>
      <c r="CA3383" s="3" t="s">
        <v>394</v>
      </c>
      <c r="CC3383" s="3" t="s">
        <v>108</v>
      </c>
      <c r="CD3383" s="3">
        <v>6850</v>
      </c>
      <c r="CE3383" s="3" t="s">
        <v>93</v>
      </c>
      <c r="CF3383" s="4">
        <v>44571</v>
      </c>
      <c r="CI3383" s="3">
        <v>2</v>
      </c>
      <c r="CJ3383" s="3">
        <v>1</v>
      </c>
      <c r="CK3383" s="3">
        <v>23</v>
      </c>
      <c r="CL3383" s="3" t="s">
        <v>87</v>
      </c>
    </row>
    <row r="3384" spans="1:90" x14ac:dyDescent="0.2">
      <c r="A3384" s="3" t="s">
        <v>72</v>
      </c>
      <c r="B3384" s="3" t="s">
        <v>73</v>
      </c>
      <c r="C3384" s="3" t="s">
        <v>74</v>
      </c>
      <c r="E3384" s="3" t="str">
        <f>"FES1162843825"</f>
        <v>FES1162843825</v>
      </c>
      <c r="F3384" s="4">
        <v>44567</v>
      </c>
      <c r="G3384" s="3">
        <v>202207</v>
      </c>
      <c r="H3384" s="3" t="s">
        <v>75</v>
      </c>
      <c r="I3384" s="3" t="s">
        <v>76</v>
      </c>
      <c r="J3384" s="3" t="s">
        <v>77</v>
      </c>
      <c r="K3384" s="3" t="s">
        <v>78</v>
      </c>
      <c r="L3384" s="3" t="s">
        <v>90</v>
      </c>
      <c r="M3384" s="3" t="s">
        <v>91</v>
      </c>
      <c r="N3384" s="3" t="s">
        <v>2982</v>
      </c>
      <c r="O3384" s="3" t="s">
        <v>82</v>
      </c>
      <c r="P3384" s="3" t="str">
        <f>"2170815750                    "</f>
        <v xml:space="preserve">2170815750                    </v>
      </c>
      <c r="Q3384" s="3">
        <v>0</v>
      </c>
      <c r="R3384" s="3">
        <v>0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  <c r="AE3384" s="3">
        <v>0</v>
      </c>
      <c r="AF3384" s="3">
        <v>0</v>
      </c>
      <c r="AG3384" s="3">
        <v>0</v>
      </c>
      <c r="AH3384" s="3">
        <v>0</v>
      </c>
      <c r="AI3384" s="3">
        <v>0</v>
      </c>
      <c r="AJ3384" s="3">
        <v>0</v>
      </c>
      <c r="AK3384" s="3">
        <v>15.46</v>
      </c>
      <c r="AL3384" s="3">
        <v>0</v>
      </c>
      <c r="AM3384" s="3">
        <v>0</v>
      </c>
      <c r="AN3384" s="3">
        <v>0</v>
      </c>
      <c r="AO3384" s="3">
        <v>0</v>
      </c>
      <c r="AP3384" s="3">
        <v>0</v>
      </c>
      <c r="AQ3384" s="3">
        <v>0</v>
      </c>
      <c r="AR3384" s="3">
        <v>0</v>
      </c>
      <c r="AS3384" s="3">
        <v>0</v>
      </c>
      <c r="AT3384" s="3">
        <v>0</v>
      </c>
      <c r="AU3384" s="3">
        <v>0</v>
      </c>
      <c r="AV3384" s="3">
        <v>0</v>
      </c>
      <c r="AW3384" s="3">
        <v>0</v>
      </c>
      <c r="AX3384" s="3">
        <v>0</v>
      </c>
      <c r="AY3384" s="3">
        <v>0</v>
      </c>
      <c r="AZ3384" s="3">
        <v>0</v>
      </c>
      <c r="BA3384" s="3">
        <v>0</v>
      </c>
      <c r="BB3384" s="3">
        <v>0</v>
      </c>
      <c r="BC3384" s="3">
        <v>0</v>
      </c>
      <c r="BD3384" s="3">
        <v>0</v>
      </c>
      <c r="BE3384" s="3">
        <v>0</v>
      </c>
      <c r="BF3384" s="3">
        <v>0</v>
      </c>
      <c r="BG3384" s="3">
        <v>0</v>
      </c>
      <c r="BH3384" s="3">
        <v>1</v>
      </c>
      <c r="BI3384" s="3">
        <v>1</v>
      </c>
      <c r="BJ3384" s="3">
        <v>1.1000000000000001</v>
      </c>
      <c r="BK3384" s="3">
        <v>1.5</v>
      </c>
      <c r="BL3384" s="3">
        <v>59</v>
      </c>
      <c r="BM3384" s="3">
        <v>8.85</v>
      </c>
      <c r="BN3384" s="3">
        <v>67.849999999999994</v>
      </c>
      <c r="BO3384" s="3">
        <v>67.849999999999994</v>
      </c>
      <c r="BR3384" s="3" t="s">
        <v>364</v>
      </c>
      <c r="BS3384" s="4">
        <v>44568</v>
      </c>
      <c r="BT3384" s="5">
        <v>0.4201388888888889</v>
      </c>
      <c r="BU3384" s="3" t="s">
        <v>2983</v>
      </c>
      <c r="BV3384" s="3" t="s">
        <v>105</v>
      </c>
      <c r="BY3384" s="3">
        <v>5320</v>
      </c>
      <c r="BZ3384" s="3" t="s">
        <v>165</v>
      </c>
      <c r="CA3384" s="3" t="s">
        <v>1112</v>
      </c>
      <c r="CC3384" s="3" t="s">
        <v>91</v>
      </c>
      <c r="CD3384" s="3">
        <v>7404</v>
      </c>
      <c r="CE3384" s="3" t="s">
        <v>86</v>
      </c>
      <c r="CF3384" s="4">
        <v>44571</v>
      </c>
      <c r="CI3384" s="3">
        <v>1</v>
      </c>
      <c r="CJ3384" s="3">
        <v>1</v>
      </c>
      <c r="CK3384" s="3">
        <v>21</v>
      </c>
      <c r="CL3384" s="3" t="s">
        <v>87</v>
      </c>
    </row>
    <row r="3385" spans="1:90" x14ac:dyDescent="0.2">
      <c r="A3385" s="3" t="s">
        <v>72</v>
      </c>
      <c r="B3385" s="3" t="s">
        <v>73</v>
      </c>
      <c r="C3385" s="3" t="s">
        <v>74</v>
      </c>
      <c r="E3385" s="3" t="str">
        <f>"FES1162843803"</f>
        <v>FES1162843803</v>
      </c>
      <c r="F3385" s="4">
        <v>44567</v>
      </c>
      <c r="G3385" s="3">
        <v>202207</v>
      </c>
      <c r="H3385" s="3" t="s">
        <v>75</v>
      </c>
      <c r="I3385" s="3" t="s">
        <v>76</v>
      </c>
      <c r="J3385" s="3" t="s">
        <v>77</v>
      </c>
      <c r="K3385" s="3" t="s">
        <v>78</v>
      </c>
      <c r="L3385" s="3" t="s">
        <v>79</v>
      </c>
      <c r="M3385" s="3" t="s">
        <v>80</v>
      </c>
      <c r="N3385" s="3" t="s">
        <v>81</v>
      </c>
      <c r="O3385" s="3" t="s">
        <v>82</v>
      </c>
      <c r="P3385" s="3" t="str">
        <f>"2170815648                    "</f>
        <v xml:space="preserve">2170815648                    </v>
      </c>
      <c r="Q3385" s="3">
        <v>0</v>
      </c>
      <c r="R3385" s="3">
        <v>0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  <c r="AE3385" s="3">
        <v>0</v>
      </c>
      <c r="AF3385" s="3">
        <v>0</v>
      </c>
      <c r="AG3385" s="3">
        <v>0</v>
      </c>
      <c r="AH3385" s="3">
        <v>0</v>
      </c>
      <c r="AI3385" s="3">
        <v>0</v>
      </c>
      <c r="AJ3385" s="3">
        <v>0</v>
      </c>
      <c r="AK3385" s="3">
        <v>23.18</v>
      </c>
      <c r="AL3385" s="3">
        <v>0</v>
      </c>
      <c r="AM3385" s="3">
        <v>0</v>
      </c>
      <c r="AN3385" s="3">
        <v>0</v>
      </c>
      <c r="AO3385" s="3">
        <v>0</v>
      </c>
      <c r="AP3385" s="3">
        <v>0</v>
      </c>
      <c r="AQ3385" s="3">
        <v>0</v>
      </c>
      <c r="AR3385" s="3">
        <v>0</v>
      </c>
      <c r="AS3385" s="3">
        <v>0</v>
      </c>
      <c r="AT3385" s="3">
        <v>0</v>
      </c>
      <c r="AU3385" s="3">
        <v>0</v>
      </c>
      <c r="AV3385" s="3">
        <v>0</v>
      </c>
      <c r="AW3385" s="3">
        <v>0</v>
      </c>
      <c r="AX3385" s="3">
        <v>0</v>
      </c>
      <c r="AY3385" s="3">
        <v>0</v>
      </c>
      <c r="AZ3385" s="3">
        <v>0</v>
      </c>
      <c r="BA3385" s="3">
        <v>0</v>
      </c>
      <c r="BB3385" s="3">
        <v>0</v>
      </c>
      <c r="BC3385" s="3">
        <v>0</v>
      </c>
      <c r="BD3385" s="3">
        <v>0</v>
      </c>
      <c r="BE3385" s="3">
        <v>0</v>
      </c>
      <c r="BF3385" s="3">
        <v>0</v>
      </c>
      <c r="BG3385" s="3">
        <v>0</v>
      </c>
      <c r="BH3385" s="3">
        <v>1</v>
      </c>
      <c r="BI3385" s="3">
        <v>3</v>
      </c>
      <c r="BJ3385" s="3">
        <v>1.5</v>
      </c>
      <c r="BK3385" s="3">
        <v>3</v>
      </c>
      <c r="BL3385" s="3">
        <v>88.48</v>
      </c>
      <c r="BM3385" s="3">
        <v>13.27</v>
      </c>
      <c r="BN3385" s="3">
        <v>101.75</v>
      </c>
      <c r="BO3385" s="3">
        <v>101.75</v>
      </c>
      <c r="BQ3385" s="3" t="s">
        <v>83</v>
      </c>
      <c r="BR3385" s="3" t="s">
        <v>364</v>
      </c>
      <c r="BS3385" s="4">
        <v>44568</v>
      </c>
      <c r="BT3385" s="5">
        <v>0.4291666666666667</v>
      </c>
      <c r="BU3385" s="3" t="s">
        <v>2823</v>
      </c>
      <c r="BV3385" s="3" t="s">
        <v>105</v>
      </c>
      <c r="BY3385" s="3">
        <v>7540</v>
      </c>
      <c r="BZ3385" s="3" t="s">
        <v>165</v>
      </c>
      <c r="CA3385" s="3" t="s">
        <v>1622</v>
      </c>
      <c r="CC3385" s="3" t="s">
        <v>80</v>
      </c>
      <c r="CD3385" s="3">
        <v>200</v>
      </c>
      <c r="CE3385" s="3" t="s">
        <v>86</v>
      </c>
      <c r="CF3385" s="4">
        <v>44568</v>
      </c>
      <c r="CI3385" s="3">
        <v>1</v>
      </c>
      <c r="CJ3385" s="3">
        <v>1</v>
      </c>
      <c r="CK3385" s="3">
        <v>21</v>
      </c>
      <c r="CL3385" s="3" t="s">
        <v>87</v>
      </c>
    </row>
    <row r="3386" spans="1:90" x14ac:dyDescent="0.2">
      <c r="A3386" s="3" t="s">
        <v>72</v>
      </c>
      <c r="B3386" s="3" t="s">
        <v>73</v>
      </c>
      <c r="C3386" s="3" t="s">
        <v>74</v>
      </c>
      <c r="E3386" s="3" t="str">
        <f>"FES1162843878"</f>
        <v>FES1162843878</v>
      </c>
      <c r="F3386" s="4">
        <v>44567</v>
      </c>
      <c r="G3386" s="3">
        <v>202207</v>
      </c>
      <c r="H3386" s="3" t="s">
        <v>75</v>
      </c>
      <c r="I3386" s="3" t="s">
        <v>76</v>
      </c>
      <c r="J3386" s="3" t="s">
        <v>77</v>
      </c>
      <c r="K3386" s="3" t="s">
        <v>78</v>
      </c>
      <c r="L3386" s="3" t="s">
        <v>335</v>
      </c>
      <c r="M3386" s="3" t="s">
        <v>336</v>
      </c>
      <c r="N3386" s="3" t="s">
        <v>337</v>
      </c>
      <c r="O3386" s="3" t="s">
        <v>82</v>
      </c>
      <c r="P3386" s="3" t="str">
        <f>"2170815797                    "</f>
        <v xml:space="preserve">2170815797                    </v>
      </c>
      <c r="Q3386" s="3">
        <v>0</v>
      </c>
      <c r="R3386" s="3">
        <v>0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  <c r="AE3386" s="3">
        <v>0</v>
      </c>
      <c r="AF3386" s="3">
        <v>0</v>
      </c>
      <c r="AG3386" s="3">
        <v>0</v>
      </c>
      <c r="AH3386" s="3">
        <v>0</v>
      </c>
      <c r="AI3386" s="3">
        <v>0</v>
      </c>
      <c r="AJ3386" s="3">
        <v>0</v>
      </c>
      <c r="AK3386" s="3">
        <v>15.46</v>
      </c>
      <c r="AL3386" s="3">
        <v>0</v>
      </c>
      <c r="AM3386" s="3">
        <v>0</v>
      </c>
      <c r="AN3386" s="3">
        <v>0</v>
      </c>
      <c r="AO3386" s="3">
        <v>0</v>
      </c>
      <c r="AP3386" s="3">
        <v>0</v>
      </c>
      <c r="AQ3386" s="3">
        <v>0</v>
      </c>
      <c r="AR3386" s="3">
        <v>0</v>
      </c>
      <c r="AS3386" s="3">
        <v>0</v>
      </c>
      <c r="AT3386" s="3">
        <v>0</v>
      </c>
      <c r="AU3386" s="3">
        <v>0</v>
      </c>
      <c r="AV3386" s="3">
        <v>0</v>
      </c>
      <c r="AW3386" s="3">
        <v>0</v>
      </c>
      <c r="AX3386" s="3">
        <v>0</v>
      </c>
      <c r="AY3386" s="3">
        <v>0</v>
      </c>
      <c r="AZ3386" s="3">
        <v>0</v>
      </c>
      <c r="BA3386" s="3">
        <v>0</v>
      </c>
      <c r="BB3386" s="3">
        <v>0</v>
      </c>
      <c r="BC3386" s="3">
        <v>0</v>
      </c>
      <c r="BD3386" s="3">
        <v>0</v>
      </c>
      <c r="BE3386" s="3">
        <v>0</v>
      </c>
      <c r="BF3386" s="3">
        <v>0</v>
      </c>
      <c r="BG3386" s="3">
        <v>0</v>
      </c>
      <c r="BH3386" s="3">
        <v>1</v>
      </c>
      <c r="BI3386" s="3">
        <v>1</v>
      </c>
      <c r="BJ3386" s="3">
        <v>0.2</v>
      </c>
      <c r="BK3386" s="3">
        <v>1</v>
      </c>
      <c r="BL3386" s="3">
        <v>59</v>
      </c>
      <c r="BM3386" s="3">
        <v>8.85</v>
      </c>
      <c r="BN3386" s="3">
        <v>67.849999999999994</v>
      </c>
      <c r="BO3386" s="3">
        <v>67.849999999999994</v>
      </c>
      <c r="BQ3386" s="3" t="s">
        <v>89</v>
      </c>
      <c r="BR3386" s="3" t="s">
        <v>364</v>
      </c>
      <c r="BS3386" s="4">
        <v>44568</v>
      </c>
      <c r="BT3386" s="5">
        <v>0.63263888888888886</v>
      </c>
      <c r="BU3386" s="3" t="s">
        <v>338</v>
      </c>
      <c r="BV3386" s="3" t="s">
        <v>87</v>
      </c>
      <c r="BW3386" s="3" t="s">
        <v>579</v>
      </c>
      <c r="BX3386" s="3" t="s">
        <v>2578</v>
      </c>
      <c r="BY3386" s="3">
        <v>1200</v>
      </c>
      <c r="BZ3386" s="3" t="s">
        <v>165</v>
      </c>
      <c r="CA3386" s="3" t="s">
        <v>339</v>
      </c>
      <c r="CC3386" s="3" t="s">
        <v>336</v>
      </c>
      <c r="CD3386" s="3">
        <v>4133</v>
      </c>
      <c r="CE3386" s="3" t="s">
        <v>93</v>
      </c>
      <c r="CF3386" s="4">
        <v>44571</v>
      </c>
      <c r="CI3386" s="3">
        <v>1</v>
      </c>
      <c r="CJ3386" s="3">
        <v>1</v>
      </c>
      <c r="CK3386" s="3">
        <v>21</v>
      </c>
      <c r="CL3386" s="3" t="s">
        <v>87</v>
      </c>
    </row>
    <row r="3387" spans="1:90" x14ac:dyDescent="0.2">
      <c r="A3387" s="3" t="s">
        <v>72</v>
      </c>
      <c r="B3387" s="3" t="s">
        <v>73</v>
      </c>
      <c r="C3387" s="3" t="s">
        <v>74</v>
      </c>
      <c r="E3387" s="3" t="str">
        <f>"FES1162843739"</f>
        <v>FES1162843739</v>
      </c>
      <c r="F3387" s="4">
        <v>44567</v>
      </c>
      <c r="G3387" s="3">
        <v>202207</v>
      </c>
      <c r="H3387" s="3" t="s">
        <v>75</v>
      </c>
      <c r="I3387" s="3" t="s">
        <v>76</v>
      </c>
      <c r="J3387" s="3" t="s">
        <v>77</v>
      </c>
      <c r="K3387" s="3" t="s">
        <v>78</v>
      </c>
      <c r="L3387" s="3" t="s">
        <v>75</v>
      </c>
      <c r="M3387" s="3" t="s">
        <v>76</v>
      </c>
      <c r="N3387" s="3" t="s">
        <v>1393</v>
      </c>
      <c r="O3387" s="3" t="s">
        <v>82</v>
      </c>
      <c r="P3387" s="3" t="str">
        <f>"2170813774                    "</f>
        <v xml:space="preserve">2170813774                    </v>
      </c>
      <c r="Q3387" s="3">
        <v>0</v>
      </c>
      <c r="R3387" s="3">
        <v>0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  <c r="AE3387" s="3">
        <v>0</v>
      </c>
      <c r="AF3387" s="3">
        <v>0</v>
      </c>
      <c r="AG3387" s="3">
        <v>0</v>
      </c>
      <c r="AH3387" s="3">
        <v>0</v>
      </c>
      <c r="AI3387" s="3">
        <v>0</v>
      </c>
      <c r="AJ3387" s="3">
        <v>0</v>
      </c>
      <c r="AK3387" s="3">
        <v>12.07</v>
      </c>
      <c r="AL3387" s="3">
        <v>0</v>
      </c>
      <c r="AM3387" s="3">
        <v>0</v>
      </c>
      <c r="AN3387" s="3">
        <v>0</v>
      </c>
      <c r="AO3387" s="3">
        <v>0</v>
      </c>
      <c r="AP3387" s="3">
        <v>0</v>
      </c>
      <c r="AQ3387" s="3">
        <v>0</v>
      </c>
      <c r="AR3387" s="3">
        <v>0</v>
      </c>
      <c r="AS3387" s="3">
        <v>0</v>
      </c>
      <c r="AT3387" s="3">
        <v>0</v>
      </c>
      <c r="AU3387" s="3">
        <v>0</v>
      </c>
      <c r="AV3387" s="3">
        <v>0</v>
      </c>
      <c r="AW3387" s="3">
        <v>0</v>
      </c>
      <c r="AX3387" s="3">
        <v>0</v>
      </c>
      <c r="AY3387" s="3">
        <v>0</v>
      </c>
      <c r="AZ3387" s="3">
        <v>0</v>
      </c>
      <c r="BA3387" s="3">
        <v>0</v>
      </c>
      <c r="BB3387" s="3">
        <v>0</v>
      </c>
      <c r="BC3387" s="3">
        <v>0</v>
      </c>
      <c r="BD3387" s="3">
        <v>0</v>
      </c>
      <c r="BE3387" s="3">
        <v>0</v>
      </c>
      <c r="BF3387" s="3">
        <v>0</v>
      </c>
      <c r="BG3387" s="3">
        <v>0</v>
      </c>
      <c r="BH3387" s="3">
        <v>1</v>
      </c>
      <c r="BI3387" s="3">
        <v>1</v>
      </c>
      <c r="BJ3387" s="3">
        <v>0.2</v>
      </c>
      <c r="BK3387" s="3">
        <v>1</v>
      </c>
      <c r="BL3387" s="3">
        <v>46.08</v>
      </c>
      <c r="BM3387" s="3">
        <v>6.91</v>
      </c>
      <c r="BN3387" s="3">
        <v>52.99</v>
      </c>
      <c r="BO3387" s="3">
        <v>52.99</v>
      </c>
      <c r="BQ3387" s="3" t="s">
        <v>83</v>
      </c>
      <c r="BR3387" s="3" t="s">
        <v>364</v>
      </c>
      <c r="BS3387" s="4">
        <v>44568</v>
      </c>
      <c r="BT3387" s="5">
        <v>0.33611111111111108</v>
      </c>
      <c r="BU3387" s="3" t="s">
        <v>2984</v>
      </c>
      <c r="BV3387" s="3" t="s">
        <v>105</v>
      </c>
      <c r="BY3387" s="3">
        <v>1200</v>
      </c>
      <c r="BZ3387" s="3" t="s">
        <v>165</v>
      </c>
      <c r="CA3387" s="3" t="s">
        <v>1779</v>
      </c>
      <c r="CC3387" s="3" t="s">
        <v>76</v>
      </c>
      <c r="CD3387" s="3">
        <v>1665</v>
      </c>
      <c r="CE3387" s="3" t="s">
        <v>93</v>
      </c>
      <c r="CF3387" s="4">
        <v>44569</v>
      </c>
      <c r="CI3387" s="3">
        <v>1</v>
      </c>
      <c r="CJ3387" s="3">
        <v>1</v>
      </c>
      <c r="CK3387" s="3">
        <v>22</v>
      </c>
      <c r="CL3387" s="3" t="s">
        <v>87</v>
      </c>
    </row>
    <row r="3388" spans="1:90" x14ac:dyDescent="0.2">
      <c r="A3388" s="3" t="s">
        <v>72</v>
      </c>
      <c r="B3388" s="3" t="s">
        <v>73</v>
      </c>
      <c r="C3388" s="3" t="s">
        <v>74</v>
      </c>
      <c r="E3388" s="3" t="str">
        <f>"FES1162843691"</f>
        <v>FES1162843691</v>
      </c>
      <c r="F3388" s="4">
        <v>44567</v>
      </c>
      <c r="G3388" s="3">
        <v>202207</v>
      </c>
      <c r="H3388" s="3" t="s">
        <v>75</v>
      </c>
      <c r="I3388" s="3" t="s">
        <v>76</v>
      </c>
      <c r="J3388" s="3" t="s">
        <v>77</v>
      </c>
      <c r="K3388" s="3" t="s">
        <v>78</v>
      </c>
      <c r="L3388" s="3" t="s">
        <v>110</v>
      </c>
      <c r="M3388" s="3" t="s">
        <v>110</v>
      </c>
      <c r="N3388" s="3" t="s">
        <v>146</v>
      </c>
      <c r="O3388" s="3" t="s">
        <v>82</v>
      </c>
      <c r="P3388" s="3" t="str">
        <f>"2170814438                    "</f>
        <v xml:space="preserve">2170814438                    </v>
      </c>
      <c r="Q3388" s="3">
        <v>0</v>
      </c>
      <c r="R3388" s="3">
        <v>0</v>
      </c>
      <c r="S3388" s="3">
        <v>0</v>
      </c>
      <c r="T3388" s="3">
        <v>0</v>
      </c>
      <c r="U3388" s="3">
        <v>0</v>
      </c>
      <c r="V3388" s="3">
        <v>0</v>
      </c>
      <c r="W3388" s="3">
        <v>0</v>
      </c>
      <c r="X3388" s="3">
        <v>0</v>
      </c>
      <c r="Y3388" s="3">
        <v>0</v>
      </c>
      <c r="Z3388" s="3">
        <v>0</v>
      </c>
      <c r="AA3388" s="3">
        <v>0</v>
      </c>
      <c r="AB3388" s="3">
        <v>0</v>
      </c>
      <c r="AC3388" s="3">
        <v>0</v>
      </c>
      <c r="AD3388" s="3">
        <v>0</v>
      </c>
      <c r="AE3388" s="3">
        <v>0</v>
      </c>
      <c r="AF3388" s="3">
        <v>0</v>
      </c>
      <c r="AG3388" s="3">
        <v>0</v>
      </c>
      <c r="AH3388" s="3">
        <v>0</v>
      </c>
      <c r="AI3388" s="3">
        <v>0</v>
      </c>
      <c r="AJ3388" s="3">
        <v>0</v>
      </c>
      <c r="AK3388" s="3">
        <v>29.95</v>
      </c>
      <c r="AL3388" s="3">
        <v>0</v>
      </c>
      <c r="AM3388" s="3">
        <v>0</v>
      </c>
      <c r="AN3388" s="3">
        <v>0</v>
      </c>
      <c r="AO3388" s="3">
        <v>0</v>
      </c>
      <c r="AP3388" s="3">
        <v>0</v>
      </c>
      <c r="AQ3388" s="3">
        <v>0</v>
      </c>
      <c r="AR3388" s="3">
        <v>0</v>
      </c>
      <c r="AS3388" s="3">
        <v>0</v>
      </c>
      <c r="AT3388" s="3">
        <v>0</v>
      </c>
      <c r="AU3388" s="3">
        <v>0</v>
      </c>
      <c r="AV3388" s="3">
        <v>0</v>
      </c>
      <c r="AW3388" s="3">
        <v>0</v>
      </c>
      <c r="AX3388" s="3">
        <v>0</v>
      </c>
      <c r="AY3388" s="3">
        <v>0</v>
      </c>
      <c r="AZ3388" s="3">
        <v>0</v>
      </c>
      <c r="BA3388" s="3">
        <v>0</v>
      </c>
      <c r="BB3388" s="3">
        <v>0</v>
      </c>
      <c r="BC3388" s="3">
        <v>0</v>
      </c>
      <c r="BD3388" s="3">
        <v>0</v>
      </c>
      <c r="BE3388" s="3">
        <v>0</v>
      </c>
      <c r="BF3388" s="3">
        <v>0</v>
      </c>
      <c r="BG3388" s="3">
        <v>0</v>
      </c>
      <c r="BH3388" s="3">
        <v>1</v>
      </c>
      <c r="BI3388" s="3">
        <v>1</v>
      </c>
      <c r="BJ3388" s="3">
        <v>1.1000000000000001</v>
      </c>
      <c r="BK3388" s="3">
        <v>1.5</v>
      </c>
      <c r="BL3388" s="3">
        <v>114.31</v>
      </c>
      <c r="BM3388" s="3">
        <v>17.149999999999999</v>
      </c>
      <c r="BN3388" s="3">
        <v>131.46</v>
      </c>
      <c r="BO3388" s="3">
        <v>131.46</v>
      </c>
      <c r="BQ3388" s="3" t="s">
        <v>89</v>
      </c>
      <c r="BR3388" s="3" t="s">
        <v>364</v>
      </c>
      <c r="BS3388" s="4">
        <v>44568</v>
      </c>
      <c r="BT3388" s="5">
        <v>0.69374999999999998</v>
      </c>
      <c r="BU3388" s="3" t="s">
        <v>2560</v>
      </c>
      <c r="BV3388" s="3" t="s">
        <v>87</v>
      </c>
      <c r="BW3388" s="3" t="s">
        <v>353</v>
      </c>
      <c r="BX3388" s="3" t="s">
        <v>354</v>
      </c>
      <c r="BY3388" s="3">
        <v>5320</v>
      </c>
      <c r="BZ3388" s="3" t="s">
        <v>165</v>
      </c>
      <c r="CA3388" s="3" t="s">
        <v>360</v>
      </c>
      <c r="CC3388" s="3" t="s">
        <v>110</v>
      </c>
      <c r="CD3388" s="3">
        <v>7646</v>
      </c>
      <c r="CE3388" s="3" t="s">
        <v>86</v>
      </c>
      <c r="CF3388" s="4">
        <v>44571</v>
      </c>
      <c r="CI3388" s="3">
        <v>1</v>
      </c>
      <c r="CJ3388" s="3">
        <v>1</v>
      </c>
      <c r="CK3388" s="3">
        <v>23</v>
      </c>
      <c r="CL3388" s="3" t="s">
        <v>87</v>
      </c>
    </row>
    <row r="3389" spans="1:90" x14ac:dyDescent="0.2">
      <c r="A3389" s="3" t="s">
        <v>72</v>
      </c>
      <c r="B3389" s="3" t="s">
        <v>73</v>
      </c>
      <c r="C3389" s="3" t="s">
        <v>74</v>
      </c>
      <c r="E3389" s="3" t="str">
        <f>"FES1162843776"</f>
        <v>FES1162843776</v>
      </c>
      <c r="F3389" s="4">
        <v>44567</v>
      </c>
      <c r="G3389" s="3">
        <v>202207</v>
      </c>
      <c r="H3389" s="3" t="s">
        <v>75</v>
      </c>
      <c r="I3389" s="3" t="s">
        <v>76</v>
      </c>
      <c r="J3389" s="3" t="s">
        <v>77</v>
      </c>
      <c r="K3389" s="3" t="s">
        <v>78</v>
      </c>
      <c r="L3389" s="3" t="s">
        <v>90</v>
      </c>
      <c r="M3389" s="3" t="s">
        <v>91</v>
      </c>
      <c r="N3389" s="3" t="s">
        <v>132</v>
      </c>
      <c r="O3389" s="3" t="s">
        <v>82</v>
      </c>
      <c r="P3389" s="3" t="str">
        <f>"2170815541                    "</f>
        <v xml:space="preserve">2170815541                    </v>
      </c>
      <c r="Q3389" s="3">
        <v>0</v>
      </c>
      <c r="R3389" s="3">
        <v>0</v>
      </c>
      <c r="S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  <c r="Y3389" s="3">
        <v>0</v>
      </c>
      <c r="Z3389" s="3">
        <v>0</v>
      </c>
      <c r="AA3389" s="3">
        <v>0</v>
      </c>
      <c r="AB3389" s="3">
        <v>0</v>
      </c>
      <c r="AC3389" s="3">
        <v>0</v>
      </c>
      <c r="AD3389" s="3">
        <v>0</v>
      </c>
      <c r="AE3389" s="3">
        <v>0</v>
      </c>
      <c r="AF3389" s="3">
        <v>0</v>
      </c>
      <c r="AG3389" s="3">
        <v>0</v>
      </c>
      <c r="AH3389" s="3">
        <v>0</v>
      </c>
      <c r="AI3389" s="3">
        <v>0</v>
      </c>
      <c r="AJ3389" s="3">
        <v>0</v>
      </c>
      <c r="AK3389" s="3">
        <v>15.46</v>
      </c>
      <c r="AL3389" s="3">
        <v>0</v>
      </c>
      <c r="AM3389" s="3">
        <v>0</v>
      </c>
      <c r="AN3389" s="3">
        <v>0</v>
      </c>
      <c r="AO3389" s="3">
        <v>0</v>
      </c>
      <c r="AP3389" s="3">
        <v>0</v>
      </c>
      <c r="AQ3389" s="3">
        <v>0</v>
      </c>
      <c r="AR3389" s="3">
        <v>0</v>
      </c>
      <c r="AS3389" s="3">
        <v>0</v>
      </c>
      <c r="AT3389" s="3">
        <v>0</v>
      </c>
      <c r="AU3389" s="3">
        <v>0</v>
      </c>
      <c r="AV3389" s="3">
        <v>0</v>
      </c>
      <c r="AW3389" s="3">
        <v>0</v>
      </c>
      <c r="AX3389" s="3">
        <v>0</v>
      </c>
      <c r="AY3389" s="3">
        <v>0</v>
      </c>
      <c r="AZ3389" s="3">
        <v>0</v>
      </c>
      <c r="BA3389" s="3">
        <v>0</v>
      </c>
      <c r="BB3389" s="3">
        <v>0</v>
      </c>
      <c r="BC3389" s="3">
        <v>0</v>
      </c>
      <c r="BD3389" s="3">
        <v>0</v>
      </c>
      <c r="BE3389" s="3">
        <v>0</v>
      </c>
      <c r="BF3389" s="3">
        <v>0</v>
      </c>
      <c r="BG3389" s="3">
        <v>0</v>
      </c>
      <c r="BH3389" s="3">
        <v>1</v>
      </c>
      <c r="BI3389" s="3">
        <v>1</v>
      </c>
      <c r="BJ3389" s="3">
        <v>0.2</v>
      </c>
      <c r="BK3389" s="3">
        <v>1</v>
      </c>
      <c r="BL3389" s="3">
        <v>59</v>
      </c>
      <c r="BM3389" s="3">
        <v>8.85</v>
      </c>
      <c r="BN3389" s="3">
        <v>67.849999999999994</v>
      </c>
      <c r="BO3389" s="3">
        <v>67.849999999999994</v>
      </c>
      <c r="BQ3389" s="3" t="s">
        <v>83</v>
      </c>
      <c r="BR3389" s="3" t="s">
        <v>364</v>
      </c>
      <c r="BS3389" s="4">
        <v>44568</v>
      </c>
      <c r="BT3389" s="5">
        <v>0.41944444444444445</v>
      </c>
      <c r="BU3389" s="3" t="s">
        <v>2527</v>
      </c>
      <c r="BV3389" s="3" t="s">
        <v>105</v>
      </c>
      <c r="BY3389" s="3">
        <v>1200</v>
      </c>
      <c r="BZ3389" s="3" t="s">
        <v>165</v>
      </c>
      <c r="CA3389" s="3" t="s">
        <v>641</v>
      </c>
      <c r="CC3389" s="3" t="s">
        <v>91</v>
      </c>
      <c r="CD3389" s="3">
        <v>7530</v>
      </c>
      <c r="CE3389" s="3" t="s">
        <v>93</v>
      </c>
      <c r="CF3389" s="4">
        <v>44571</v>
      </c>
      <c r="CI3389" s="3">
        <v>1</v>
      </c>
      <c r="CJ3389" s="3">
        <v>1</v>
      </c>
      <c r="CK3389" s="3">
        <v>21</v>
      </c>
      <c r="CL3389" s="3" t="s">
        <v>87</v>
      </c>
    </row>
    <row r="3390" spans="1:90" x14ac:dyDescent="0.2">
      <c r="A3390" s="3" t="s">
        <v>72</v>
      </c>
      <c r="B3390" s="3" t="s">
        <v>73</v>
      </c>
      <c r="C3390" s="3" t="s">
        <v>74</v>
      </c>
      <c r="E3390" s="3" t="str">
        <f>"FES1162843732"</f>
        <v>FES1162843732</v>
      </c>
      <c r="F3390" s="4">
        <v>44567</v>
      </c>
      <c r="G3390" s="3">
        <v>202207</v>
      </c>
      <c r="H3390" s="3" t="s">
        <v>75</v>
      </c>
      <c r="I3390" s="3" t="s">
        <v>76</v>
      </c>
      <c r="J3390" s="3" t="s">
        <v>77</v>
      </c>
      <c r="K3390" s="3" t="s">
        <v>78</v>
      </c>
      <c r="L3390" s="3" t="s">
        <v>138</v>
      </c>
      <c r="M3390" s="3" t="s">
        <v>139</v>
      </c>
      <c r="N3390" s="3" t="s">
        <v>558</v>
      </c>
      <c r="O3390" s="3" t="s">
        <v>82</v>
      </c>
      <c r="P3390" s="3" t="str">
        <f>"2170813582                    "</f>
        <v xml:space="preserve">2170813582                    </v>
      </c>
      <c r="Q3390" s="3">
        <v>0</v>
      </c>
      <c r="R3390" s="3">
        <v>0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  <c r="AE3390" s="3">
        <v>0</v>
      </c>
      <c r="AF3390" s="3">
        <v>0</v>
      </c>
      <c r="AG3390" s="3">
        <v>0</v>
      </c>
      <c r="AH3390" s="3">
        <v>0</v>
      </c>
      <c r="AI3390" s="3">
        <v>0</v>
      </c>
      <c r="AJ3390" s="3">
        <v>0</v>
      </c>
      <c r="AK3390" s="3">
        <v>15.46</v>
      </c>
      <c r="AL3390" s="3">
        <v>0</v>
      </c>
      <c r="AM3390" s="3">
        <v>0</v>
      </c>
      <c r="AN3390" s="3">
        <v>0</v>
      </c>
      <c r="AO3390" s="3">
        <v>0</v>
      </c>
      <c r="AP3390" s="3">
        <v>0</v>
      </c>
      <c r="AQ3390" s="3">
        <v>0</v>
      </c>
      <c r="AR3390" s="3">
        <v>0</v>
      </c>
      <c r="AS3390" s="3">
        <v>0</v>
      </c>
      <c r="AT3390" s="3">
        <v>0</v>
      </c>
      <c r="AU3390" s="3">
        <v>0</v>
      </c>
      <c r="AV3390" s="3">
        <v>0</v>
      </c>
      <c r="AW3390" s="3">
        <v>0</v>
      </c>
      <c r="AX3390" s="3">
        <v>0</v>
      </c>
      <c r="AY3390" s="3">
        <v>0</v>
      </c>
      <c r="AZ3390" s="3">
        <v>0</v>
      </c>
      <c r="BA3390" s="3">
        <v>0</v>
      </c>
      <c r="BB3390" s="3">
        <v>0</v>
      </c>
      <c r="BC3390" s="3">
        <v>0</v>
      </c>
      <c r="BD3390" s="3">
        <v>0</v>
      </c>
      <c r="BE3390" s="3">
        <v>0</v>
      </c>
      <c r="BF3390" s="3">
        <v>0</v>
      </c>
      <c r="BG3390" s="3">
        <v>0</v>
      </c>
      <c r="BH3390" s="3">
        <v>1</v>
      </c>
      <c r="BI3390" s="3">
        <v>1</v>
      </c>
      <c r="BJ3390" s="3">
        <v>0.2</v>
      </c>
      <c r="BK3390" s="3">
        <v>1</v>
      </c>
      <c r="BL3390" s="3">
        <v>59</v>
      </c>
      <c r="BM3390" s="3">
        <v>8.85</v>
      </c>
      <c r="BN3390" s="3">
        <v>67.849999999999994</v>
      </c>
      <c r="BO3390" s="3">
        <v>67.849999999999994</v>
      </c>
      <c r="BR3390" s="3" t="s">
        <v>364</v>
      </c>
      <c r="BS3390" s="4">
        <v>44568</v>
      </c>
      <c r="BT3390" s="5">
        <v>0.44305555555555554</v>
      </c>
      <c r="BU3390" s="3" t="s">
        <v>2985</v>
      </c>
      <c r="BV3390" s="3" t="s">
        <v>105</v>
      </c>
      <c r="BY3390" s="3">
        <v>1200</v>
      </c>
      <c r="BZ3390" s="3" t="s">
        <v>165</v>
      </c>
      <c r="CA3390" s="3" t="s">
        <v>240</v>
      </c>
      <c r="CC3390" s="3" t="s">
        <v>139</v>
      </c>
      <c r="CD3390" s="3">
        <v>3610</v>
      </c>
      <c r="CE3390" s="3" t="s">
        <v>93</v>
      </c>
      <c r="CF3390" s="4">
        <v>44568</v>
      </c>
      <c r="CI3390" s="3">
        <v>1</v>
      </c>
      <c r="CJ3390" s="3">
        <v>1</v>
      </c>
      <c r="CK3390" s="3">
        <v>21</v>
      </c>
      <c r="CL3390" s="3" t="s">
        <v>87</v>
      </c>
    </row>
    <row r="3391" spans="1:90" x14ac:dyDescent="0.2">
      <c r="A3391" s="3" t="s">
        <v>72</v>
      </c>
      <c r="B3391" s="3" t="s">
        <v>73</v>
      </c>
      <c r="C3391" s="3" t="s">
        <v>74</v>
      </c>
      <c r="E3391" s="3" t="str">
        <f>"FES1162843772"</f>
        <v>FES1162843772</v>
      </c>
      <c r="F3391" s="4">
        <v>44567</v>
      </c>
      <c r="G3391" s="3">
        <v>202207</v>
      </c>
      <c r="H3391" s="3" t="s">
        <v>75</v>
      </c>
      <c r="I3391" s="3" t="s">
        <v>76</v>
      </c>
      <c r="J3391" s="3" t="s">
        <v>77</v>
      </c>
      <c r="K3391" s="3" t="s">
        <v>78</v>
      </c>
      <c r="L3391" s="3" t="s">
        <v>1119</v>
      </c>
      <c r="M3391" s="3" t="s">
        <v>1120</v>
      </c>
      <c r="N3391" s="3" t="s">
        <v>1121</v>
      </c>
      <c r="O3391" s="3" t="s">
        <v>82</v>
      </c>
      <c r="P3391" s="3" t="str">
        <f>"2170843772                    "</f>
        <v xml:space="preserve">2170843772                    </v>
      </c>
      <c r="Q3391" s="3">
        <v>0</v>
      </c>
      <c r="R3391" s="3">
        <v>0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  <c r="AE3391" s="3">
        <v>0</v>
      </c>
      <c r="AF3391" s="3">
        <v>0</v>
      </c>
      <c r="AG3391" s="3">
        <v>0</v>
      </c>
      <c r="AH3391" s="3">
        <v>0</v>
      </c>
      <c r="AI3391" s="3">
        <v>0</v>
      </c>
      <c r="AJ3391" s="3">
        <v>0</v>
      </c>
      <c r="AK3391" s="3">
        <v>29.95</v>
      </c>
      <c r="AL3391" s="3">
        <v>0</v>
      </c>
      <c r="AM3391" s="3">
        <v>0</v>
      </c>
      <c r="AN3391" s="3">
        <v>0</v>
      </c>
      <c r="AO3391" s="3">
        <v>0</v>
      </c>
      <c r="AP3391" s="3">
        <v>0</v>
      </c>
      <c r="AQ3391" s="3">
        <v>0</v>
      </c>
      <c r="AR3391" s="3">
        <v>0</v>
      </c>
      <c r="AS3391" s="3">
        <v>0</v>
      </c>
      <c r="AT3391" s="3">
        <v>0</v>
      </c>
      <c r="AU3391" s="3">
        <v>0</v>
      </c>
      <c r="AV3391" s="3">
        <v>0</v>
      </c>
      <c r="AW3391" s="3">
        <v>0</v>
      </c>
      <c r="AX3391" s="3">
        <v>0</v>
      </c>
      <c r="AY3391" s="3">
        <v>0</v>
      </c>
      <c r="AZ3391" s="3">
        <v>0</v>
      </c>
      <c r="BA3391" s="3">
        <v>0</v>
      </c>
      <c r="BB3391" s="3">
        <v>0</v>
      </c>
      <c r="BC3391" s="3">
        <v>0</v>
      </c>
      <c r="BD3391" s="3">
        <v>0</v>
      </c>
      <c r="BE3391" s="3">
        <v>0</v>
      </c>
      <c r="BF3391" s="3">
        <v>0</v>
      </c>
      <c r="BG3391" s="3">
        <v>0</v>
      </c>
      <c r="BH3391" s="3">
        <v>1</v>
      </c>
      <c r="BI3391" s="3">
        <v>1</v>
      </c>
      <c r="BJ3391" s="3">
        <v>0.2</v>
      </c>
      <c r="BK3391" s="3">
        <v>1</v>
      </c>
      <c r="BL3391" s="3">
        <v>114.31</v>
      </c>
      <c r="BM3391" s="3">
        <v>17.149999999999999</v>
      </c>
      <c r="BN3391" s="3">
        <v>131.46</v>
      </c>
      <c r="BO3391" s="3">
        <v>131.46</v>
      </c>
      <c r="BR3391" s="3" t="s">
        <v>364</v>
      </c>
      <c r="BS3391" s="4">
        <v>44568</v>
      </c>
      <c r="BT3391" s="5">
        <v>0.53055555555555556</v>
      </c>
      <c r="BU3391" s="3" t="s">
        <v>559</v>
      </c>
      <c r="BV3391" s="3" t="s">
        <v>105</v>
      </c>
      <c r="BY3391" s="3">
        <v>1200</v>
      </c>
      <c r="BZ3391" s="3" t="s">
        <v>165</v>
      </c>
      <c r="CA3391" s="3" t="s">
        <v>809</v>
      </c>
      <c r="CC3391" s="3" t="s">
        <v>1120</v>
      </c>
      <c r="CD3391" s="3">
        <v>4380</v>
      </c>
      <c r="CE3391" s="3" t="s">
        <v>93</v>
      </c>
      <c r="CF3391" s="4">
        <v>44568</v>
      </c>
      <c r="CI3391" s="3">
        <v>1</v>
      </c>
      <c r="CJ3391" s="3">
        <v>1</v>
      </c>
      <c r="CK3391" s="3">
        <v>23</v>
      </c>
      <c r="CL3391" s="3" t="s">
        <v>87</v>
      </c>
    </row>
    <row r="3392" spans="1:90" x14ac:dyDescent="0.2">
      <c r="A3392" s="3" t="s">
        <v>72</v>
      </c>
      <c r="B3392" s="3" t="s">
        <v>73</v>
      </c>
      <c r="C3392" s="3" t="s">
        <v>74</v>
      </c>
      <c r="E3392" s="3" t="str">
        <f>"FES1162843929"</f>
        <v>FES1162843929</v>
      </c>
      <c r="F3392" s="4">
        <v>44567</v>
      </c>
      <c r="G3392" s="3">
        <v>202207</v>
      </c>
      <c r="H3392" s="3" t="s">
        <v>75</v>
      </c>
      <c r="I3392" s="3" t="s">
        <v>76</v>
      </c>
      <c r="J3392" s="3" t="s">
        <v>77</v>
      </c>
      <c r="K3392" s="3" t="s">
        <v>78</v>
      </c>
      <c r="L3392" s="3" t="s">
        <v>90</v>
      </c>
      <c r="M3392" s="3" t="s">
        <v>91</v>
      </c>
      <c r="N3392" s="3" t="s">
        <v>1092</v>
      </c>
      <c r="O3392" s="3" t="s">
        <v>82</v>
      </c>
      <c r="P3392" s="3" t="str">
        <f>"2170813546                    "</f>
        <v xml:space="preserve">2170813546                    </v>
      </c>
      <c r="Q3392" s="3">
        <v>0</v>
      </c>
      <c r="R3392" s="3">
        <v>0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  <c r="AE3392" s="3">
        <v>0</v>
      </c>
      <c r="AF3392" s="3">
        <v>0</v>
      </c>
      <c r="AG3392" s="3">
        <v>0</v>
      </c>
      <c r="AH3392" s="3">
        <v>0</v>
      </c>
      <c r="AI3392" s="3">
        <v>0</v>
      </c>
      <c r="AJ3392" s="3">
        <v>0</v>
      </c>
      <c r="AK3392" s="3">
        <v>15.46</v>
      </c>
      <c r="AL3392" s="3">
        <v>0</v>
      </c>
      <c r="AM3392" s="3">
        <v>0</v>
      </c>
      <c r="AN3392" s="3">
        <v>0</v>
      </c>
      <c r="AO3392" s="3">
        <v>0</v>
      </c>
      <c r="AP3392" s="3">
        <v>0</v>
      </c>
      <c r="AQ3392" s="3">
        <v>0</v>
      </c>
      <c r="AR3392" s="3">
        <v>0</v>
      </c>
      <c r="AS3392" s="3">
        <v>0</v>
      </c>
      <c r="AT3392" s="3">
        <v>0</v>
      </c>
      <c r="AU3392" s="3">
        <v>0</v>
      </c>
      <c r="AV3392" s="3">
        <v>0</v>
      </c>
      <c r="AW3392" s="3">
        <v>0</v>
      </c>
      <c r="AX3392" s="3">
        <v>0</v>
      </c>
      <c r="AY3392" s="3">
        <v>0</v>
      </c>
      <c r="AZ3392" s="3">
        <v>0</v>
      </c>
      <c r="BA3392" s="3">
        <v>0</v>
      </c>
      <c r="BB3392" s="3">
        <v>0</v>
      </c>
      <c r="BC3392" s="3">
        <v>0</v>
      </c>
      <c r="BD3392" s="3">
        <v>0</v>
      </c>
      <c r="BE3392" s="3">
        <v>0</v>
      </c>
      <c r="BF3392" s="3">
        <v>0</v>
      </c>
      <c r="BG3392" s="3">
        <v>0</v>
      </c>
      <c r="BH3392" s="3">
        <v>1</v>
      </c>
      <c r="BI3392" s="3">
        <v>1</v>
      </c>
      <c r="BJ3392" s="3">
        <v>0.2</v>
      </c>
      <c r="BK3392" s="3">
        <v>1</v>
      </c>
      <c r="BL3392" s="3">
        <v>59</v>
      </c>
      <c r="BM3392" s="3">
        <v>8.85</v>
      </c>
      <c r="BN3392" s="3">
        <v>67.849999999999994</v>
      </c>
      <c r="BO3392" s="3">
        <v>67.849999999999994</v>
      </c>
      <c r="BQ3392" s="3" t="s">
        <v>89</v>
      </c>
      <c r="BR3392" s="3" t="s">
        <v>364</v>
      </c>
      <c r="BS3392" s="4">
        <v>44568</v>
      </c>
      <c r="BT3392" s="5">
        <v>0.3840277777777778</v>
      </c>
      <c r="BU3392" s="3" t="s">
        <v>2986</v>
      </c>
      <c r="BV3392" s="3" t="s">
        <v>105</v>
      </c>
      <c r="BY3392" s="3">
        <v>1200</v>
      </c>
      <c r="BZ3392" s="3" t="s">
        <v>165</v>
      </c>
      <c r="CA3392" s="3" t="s">
        <v>1094</v>
      </c>
      <c r="CC3392" s="3" t="s">
        <v>91</v>
      </c>
      <c r="CD3392" s="3">
        <v>7764</v>
      </c>
      <c r="CE3392" s="3" t="s">
        <v>93</v>
      </c>
      <c r="CF3392" s="4">
        <v>44571</v>
      </c>
      <c r="CI3392" s="3">
        <v>1</v>
      </c>
      <c r="CJ3392" s="3">
        <v>1</v>
      </c>
      <c r="CK3392" s="3">
        <v>21</v>
      </c>
      <c r="CL3392" s="3" t="s">
        <v>87</v>
      </c>
    </row>
    <row r="3393" spans="1:90" x14ac:dyDescent="0.2">
      <c r="A3393" s="3" t="s">
        <v>72</v>
      </c>
      <c r="B3393" s="3" t="s">
        <v>73</v>
      </c>
      <c r="C3393" s="3" t="s">
        <v>74</v>
      </c>
      <c r="E3393" s="3" t="str">
        <f>"FES1162843968"</f>
        <v>FES1162843968</v>
      </c>
      <c r="F3393" s="4">
        <v>44567</v>
      </c>
      <c r="G3393" s="3">
        <v>202207</v>
      </c>
      <c r="H3393" s="3" t="s">
        <v>75</v>
      </c>
      <c r="I3393" s="3" t="s">
        <v>76</v>
      </c>
      <c r="J3393" s="3" t="s">
        <v>77</v>
      </c>
      <c r="K3393" s="3" t="s">
        <v>78</v>
      </c>
      <c r="L3393" s="3" t="s">
        <v>335</v>
      </c>
      <c r="M3393" s="3" t="s">
        <v>336</v>
      </c>
      <c r="N3393" s="3" t="s">
        <v>1197</v>
      </c>
      <c r="O3393" s="3" t="s">
        <v>82</v>
      </c>
      <c r="P3393" s="3" t="str">
        <f>"2170814328                    "</f>
        <v xml:space="preserve">2170814328                    </v>
      </c>
      <c r="Q3393" s="3">
        <v>0</v>
      </c>
      <c r="R3393" s="3">
        <v>0</v>
      </c>
      <c r="S3393" s="3">
        <v>0</v>
      </c>
      <c r="T3393" s="3">
        <v>0</v>
      </c>
      <c r="U3393" s="3">
        <v>0</v>
      </c>
      <c r="V3393" s="3">
        <v>0</v>
      </c>
      <c r="W3393" s="3">
        <v>0</v>
      </c>
      <c r="X3393" s="3">
        <v>0</v>
      </c>
      <c r="Y3393" s="3">
        <v>0</v>
      </c>
      <c r="Z3393" s="3">
        <v>0</v>
      </c>
      <c r="AA3393" s="3">
        <v>0</v>
      </c>
      <c r="AB3393" s="3">
        <v>0</v>
      </c>
      <c r="AC3393" s="3">
        <v>0</v>
      </c>
      <c r="AD3393" s="3">
        <v>0</v>
      </c>
      <c r="AE3393" s="3">
        <v>0</v>
      </c>
      <c r="AF3393" s="3">
        <v>0</v>
      </c>
      <c r="AG3393" s="3">
        <v>0</v>
      </c>
      <c r="AH3393" s="3">
        <v>0</v>
      </c>
      <c r="AI3393" s="3">
        <v>0</v>
      </c>
      <c r="AJ3393" s="3">
        <v>0</v>
      </c>
      <c r="AK3393" s="3">
        <v>15.46</v>
      </c>
      <c r="AL3393" s="3">
        <v>0</v>
      </c>
      <c r="AM3393" s="3">
        <v>0</v>
      </c>
      <c r="AN3393" s="3">
        <v>0</v>
      </c>
      <c r="AO3393" s="3">
        <v>0</v>
      </c>
      <c r="AP3393" s="3">
        <v>0</v>
      </c>
      <c r="AQ3393" s="3">
        <v>0</v>
      </c>
      <c r="AR3393" s="3">
        <v>0</v>
      </c>
      <c r="AS3393" s="3">
        <v>0</v>
      </c>
      <c r="AT3393" s="3">
        <v>0</v>
      </c>
      <c r="AU3393" s="3">
        <v>0</v>
      </c>
      <c r="AV3393" s="3">
        <v>0</v>
      </c>
      <c r="AW3393" s="3">
        <v>0</v>
      </c>
      <c r="AX3393" s="3">
        <v>0</v>
      </c>
      <c r="AY3393" s="3">
        <v>0</v>
      </c>
      <c r="AZ3393" s="3">
        <v>0</v>
      </c>
      <c r="BA3393" s="3">
        <v>0</v>
      </c>
      <c r="BB3393" s="3">
        <v>0</v>
      </c>
      <c r="BC3393" s="3">
        <v>0</v>
      </c>
      <c r="BD3393" s="3">
        <v>0</v>
      </c>
      <c r="BE3393" s="3">
        <v>0</v>
      </c>
      <c r="BF3393" s="3">
        <v>0</v>
      </c>
      <c r="BG3393" s="3">
        <v>0</v>
      </c>
      <c r="BH3393" s="3">
        <v>1</v>
      </c>
      <c r="BI3393" s="3">
        <v>1</v>
      </c>
      <c r="BJ3393" s="3">
        <v>0.2</v>
      </c>
      <c r="BK3393" s="3">
        <v>1</v>
      </c>
      <c r="BL3393" s="3">
        <v>59</v>
      </c>
      <c r="BM3393" s="3">
        <v>8.85</v>
      </c>
      <c r="BN3393" s="3">
        <v>67.849999999999994</v>
      </c>
      <c r="BO3393" s="3">
        <v>67.849999999999994</v>
      </c>
      <c r="BR3393" s="3" t="s">
        <v>364</v>
      </c>
      <c r="BS3393" s="4">
        <v>44568</v>
      </c>
      <c r="BT3393" s="5">
        <v>0.59652777777777777</v>
      </c>
      <c r="BU3393" s="3" t="s">
        <v>2987</v>
      </c>
      <c r="BV3393" s="3" t="s">
        <v>87</v>
      </c>
      <c r="BW3393" s="3" t="s">
        <v>579</v>
      </c>
      <c r="BX3393" s="3" t="s">
        <v>2578</v>
      </c>
      <c r="BY3393" s="3">
        <v>1200</v>
      </c>
      <c r="BZ3393" s="3" t="s">
        <v>165</v>
      </c>
      <c r="CA3393" s="3" t="s">
        <v>339</v>
      </c>
      <c r="CC3393" s="3" t="s">
        <v>336</v>
      </c>
      <c r="CD3393" s="3">
        <v>4133</v>
      </c>
      <c r="CE3393" s="3" t="s">
        <v>93</v>
      </c>
      <c r="CF3393" s="4">
        <v>44571</v>
      </c>
      <c r="CI3393" s="3">
        <v>1</v>
      </c>
      <c r="CJ3393" s="3">
        <v>1</v>
      </c>
      <c r="CK3393" s="3">
        <v>21</v>
      </c>
      <c r="CL3393" s="3" t="s">
        <v>87</v>
      </c>
    </row>
    <row r="3394" spans="1:90" x14ac:dyDescent="0.2">
      <c r="A3394" s="3" t="s">
        <v>72</v>
      </c>
      <c r="B3394" s="3" t="s">
        <v>73</v>
      </c>
      <c r="C3394" s="3" t="s">
        <v>74</v>
      </c>
      <c r="E3394" s="3" t="str">
        <f>"FES1162844054"</f>
        <v>FES1162844054</v>
      </c>
      <c r="F3394" s="4">
        <v>44567</v>
      </c>
      <c r="G3394" s="3">
        <v>202207</v>
      </c>
      <c r="H3394" s="3" t="s">
        <v>75</v>
      </c>
      <c r="I3394" s="3" t="s">
        <v>76</v>
      </c>
      <c r="J3394" s="3" t="s">
        <v>77</v>
      </c>
      <c r="K3394" s="3" t="s">
        <v>78</v>
      </c>
      <c r="L3394" s="3" t="s">
        <v>101</v>
      </c>
      <c r="M3394" s="3" t="s">
        <v>102</v>
      </c>
      <c r="N3394" s="3" t="s">
        <v>1870</v>
      </c>
      <c r="O3394" s="3" t="s">
        <v>82</v>
      </c>
      <c r="P3394" s="3" t="str">
        <f>"2170815867                    "</f>
        <v xml:space="preserve">2170815867                    </v>
      </c>
      <c r="Q3394" s="3">
        <v>0</v>
      </c>
      <c r="R3394" s="3">
        <v>0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  <c r="AE3394" s="3">
        <v>0</v>
      </c>
      <c r="AF3394" s="3">
        <v>0</v>
      </c>
      <c r="AG3394" s="3">
        <v>0</v>
      </c>
      <c r="AH3394" s="3">
        <v>0</v>
      </c>
      <c r="AI3394" s="3">
        <v>0</v>
      </c>
      <c r="AJ3394" s="3">
        <v>0</v>
      </c>
      <c r="AK3394" s="3">
        <v>15.46</v>
      </c>
      <c r="AL3394" s="3">
        <v>0</v>
      </c>
      <c r="AM3394" s="3">
        <v>0</v>
      </c>
      <c r="AN3394" s="3">
        <v>0</v>
      </c>
      <c r="AO3394" s="3">
        <v>0</v>
      </c>
      <c r="AP3394" s="3">
        <v>0</v>
      </c>
      <c r="AQ3394" s="3">
        <v>0</v>
      </c>
      <c r="AR3394" s="3">
        <v>0</v>
      </c>
      <c r="AS3394" s="3">
        <v>0</v>
      </c>
      <c r="AT3394" s="3">
        <v>0</v>
      </c>
      <c r="AU3394" s="3">
        <v>0</v>
      </c>
      <c r="AV3394" s="3">
        <v>0</v>
      </c>
      <c r="AW3394" s="3">
        <v>0</v>
      </c>
      <c r="AX3394" s="3">
        <v>0</v>
      </c>
      <c r="AY3394" s="3">
        <v>0</v>
      </c>
      <c r="AZ3394" s="3">
        <v>0</v>
      </c>
      <c r="BA3394" s="3">
        <v>0</v>
      </c>
      <c r="BB3394" s="3">
        <v>0</v>
      </c>
      <c r="BC3394" s="3">
        <v>0</v>
      </c>
      <c r="BD3394" s="3">
        <v>0</v>
      </c>
      <c r="BE3394" s="3">
        <v>0</v>
      </c>
      <c r="BF3394" s="3">
        <v>0</v>
      </c>
      <c r="BG3394" s="3">
        <v>0</v>
      </c>
      <c r="BH3394" s="3">
        <v>1</v>
      </c>
      <c r="BI3394" s="3">
        <v>1</v>
      </c>
      <c r="BJ3394" s="3">
        <v>0.2</v>
      </c>
      <c r="BK3394" s="3">
        <v>1</v>
      </c>
      <c r="BL3394" s="3">
        <v>59</v>
      </c>
      <c r="BM3394" s="3">
        <v>8.85</v>
      </c>
      <c r="BN3394" s="3">
        <v>67.849999999999994</v>
      </c>
      <c r="BO3394" s="3">
        <v>67.849999999999994</v>
      </c>
      <c r="BQ3394" s="3" t="s">
        <v>1871</v>
      </c>
      <c r="BR3394" s="3" t="s">
        <v>364</v>
      </c>
      <c r="BS3394" s="4">
        <v>44568</v>
      </c>
      <c r="BT3394" s="5">
        <v>0.4694444444444445</v>
      </c>
      <c r="BU3394" s="3" t="s">
        <v>1872</v>
      </c>
      <c r="BV3394" s="3" t="s">
        <v>87</v>
      </c>
      <c r="BW3394" s="3" t="s">
        <v>579</v>
      </c>
      <c r="BX3394" s="3" t="s">
        <v>2578</v>
      </c>
      <c r="BY3394" s="3">
        <v>1200</v>
      </c>
      <c r="BZ3394" s="3" t="s">
        <v>165</v>
      </c>
      <c r="CA3394" s="3" t="s">
        <v>280</v>
      </c>
      <c r="CC3394" s="3" t="s">
        <v>102</v>
      </c>
      <c r="CD3394" s="3">
        <v>4001</v>
      </c>
      <c r="CE3394" s="3" t="s">
        <v>93</v>
      </c>
      <c r="CF3394" s="4">
        <v>44568</v>
      </c>
      <c r="CI3394" s="3">
        <v>1</v>
      </c>
      <c r="CJ3394" s="3">
        <v>1</v>
      </c>
      <c r="CK3394" s="3">
        <v>21</v>
      </c>
      <c r="CL3394" s="3" t="s">
        <v>87</v>
      </c>
    </row>
    <row r="3395" spans="1:90" x14ac:dyDescent="0.2">
      <c r="A3395" s="3" t="s">
        <v>72</v>
      </c>
      <c r="B3395" s="3" t="s">
        <v>73</v>
      </c>
      <c r="C3395" s="3" t="s">
        <v>74</v>
      </c>
      <c r="E3395" s="3" t="str">
        <f>"FES1162843835"</f>
        <v>FES1162843835</v>
      </c>
      <c r="F3395" s="4">
        <v>44567</v>
      </c>
      <c r="G3395" s="3">
        <v>202207</v>
      </c>
      <c r="H3395" s="3" t="s">
        <v>75</v>
      </c>
      <c r="I3395" s="3" t="s">
        <v>76</v>
      </c>
      <c r="J3395" s="3" t="s">
        <v>77</v>
      </c>
      <c r="K3395" s="3" t="s">
        <v>78</v>
      </c>
      <c r="L3395" s="3" t="s">
        <v>101</v>
      </c>
      <c r="M3395" s="3" t="s">
        <v>102</v>
      </c>
      <c r="N3395" s="3" t="s">
        <v>526</v>
      </c>
      <c r="O3395" s="3" t="s">
        <v>82</v>
      </c>
      <c r="P3395" s="3" t="str">
        <f>"2170815764                    "</f>
        <v xml:space="preserve">2170815764                    </v>
      </c>
      <c r="Q3395" s="3">
        <v>0</v>
      </c>
      <c r="R3395" s="3">
        <v>0</v>
      </c>
      <c r="S3395" s="3">
        <v>0</v>
      </c>
      <c r="T3395" s="3">
        <v>0</v>
      </c>
      <c r="U3395" s="3">
        <v>0</v>
      </c>
      <c r="V3395" s="3">
        <v>0</v>
      </c>
      <c r="W3395" s="3">
        <v>0</v>
      </c>
      <c r="X3395" s="3">
        <v>0</v>
      </c>
      <c r="Y3395" s="3">
        <v>0</v>
      </c>
      <c r="Z3395" s="3">
        <v>0</v>
      </c>
      <c r="AA3395" s="3">
        <v>0</v>
      </c>
      <c r="AB3395" s="3">
        <v>0</v>
      </c>
      <c r="AC3395" s="3">
        <v>0</v>
      </c>
      <c r="AD3395" s="3">
        <v>0</v>
      </c>
      <c r="AE3395" s="3">
        <v>0</v>
      </c>
      <c r="AF3395" s="3">
        <v>0</v>
      </c>
      <c r="AG3395" s="3">
        <v>0</v>
      </c>
      <c r="AH3395" s="3">
        <v>0</v>
      </c>
      <c r="AI3395" s="3">
        <v>0</v>
      </c>
      <c r="AJ3395" s="3">
        <v>0</v>
      </c>
      <c r="AK3395" s="3">
        <v>15.46</v>
      </c>
      <c r="AL3395" s="3">
        <v>0</v>
      </c>
      <c r="AM3395" s="3">
        <v>0</v>
      </c>
      <c r="AN3395" s="3">
        <v>0</v>
      </c>
      <c r="AO3395" s="3">
        <v>0</v>
      </c>
      <c r="AP3395" s="3">
        <v>0</v>
      </c>
      <c r="AQ3395" s="3">
        <v>0</v>
      </c>
      <c r="AR3395" s="3">
        <v>0</v>
      </c>
      <c r="AS3395" s="3">
        <v>0</v>
      </c>
      <c r="AT3395" s="3">
        <v>0</v>
      </c>
      <c r="AU3395" s="3">
        <v>0</v>
      </c>
      <c r="AV3395" s="3">
        <v>0</v>
      </c>
      <c r="AW3395" s="3">
        <v>0</v>
      </c>
      <c r="AX3395" s="3">
        <v>0</v>
      </c>
      <c r="AY3395" s="3">
        <v>0</v>
      </c>
      <c r="AZ3395" s="3">
        <v>0</v>
      </c>
      <c r="BA3395" s="3">
        <v>0</v>
      </c>
      <c r="BB3395" s="3">
        <v>0</v>
      </c>
      <c r="BC3395" s="3">
        <v>0</v>
      </c>
      <c r="BD3395" s="3">
        <v>0</v>
      </c>
      <c r="BE3395" s="3">
        <v>0</v>
      </c>
      <c r="BF3395" s="3">
        <v>0</v>
      </c>
      <c r="BG3395" s="3">
        <v>0</v>
      </c>
      <c r="BH3395" s="3">
        <v>1</v>
      </c>
      <c r="BI3395" s="3">
        <v>1</v>
      </c>
      <c r="BJ3395" s="3">
        <v>0.2</v>
      </c>
      <c r="BK3395" s="3">
        <v>1</v>
      </c>
      <c r="BL3395" s="3">
        <v>59</v>
      </c>
      <c r="BM3395" s="3">
        <v>8.85</v>
      </c>
      <c r="BN3395" s="3">
        <v>67.849999999999994</v>
      </c>
      <c r="BO3395" s="3">
        <v>67.849999999999994</v>
      </c>
      <c r="BQ3395" s="3" t="s">
        <v>89</v>
      </c>
      <c r="BR3395" s="3" t="s">
        <v>364</v>
      </c>
      <c r="BS3395" s="4">
        <v>44568</v>
      </c>
      <c r="BT3395" s="5">
        <v>0.50347222222222221</v>
      </c>
      <c r="BU3395" s="3" t="s">
        <v>2988</v>
      </c>
      <c r="BV3395" s="3" t="s">
        <v>87</v>
      </c>
      <c r="BW3395" s="3" t="s">
        <v>579</v>
      </c>
      <c r="BX3395" s="3" t="s">
        <v>2578</v>
      </c>
      <c r="BY3395" s="3">
        <v>1200</v>
      </c>
      <c r="BZ3395" s="3" t="s">
        <v>165</v>
      </c>
      <c r="CA3395" s="3" t="s">
        <v>339</v>
      </c>
      <c r="CC3395" s="3" t="s">
        <v>102</v>
      </c>
      <c r="CD3395" s="3">
        <v>4001</v>
      </c>
      <c r="CE3395" s="3" t="s">
        <v>93</v>
      </c>
      <c r="CF3395" s="4">
        <v>44571</v>
      </c>
      <c r="CI3395" s="3">
        <v>1</v>
      </c>
      <c r="CJ3395" s="3">
        <v>1</v>
      </c>
      <c r="CK3395" s="3">
        <v>21</v>
      </c>
      <c r="CL3395" s="3" t="s">
        <v>87</v>
      </c>
    </row>
    <row r="3396" spans="1:90" x14ac:dyDescent="0.2">
      <c r="A3396" s="3" t="s">
        <v>72</v>
      </c>
      <c r="B3396" s="3" t="s">
        <v>73</v>
      </c>
      <c r="C3396" s="3" t="s">
        <v>74</v>
      </c>
      <c r="E3396" s="3" t="str">
        <f>"FES1162844035"</f>
        <v>FES1162844035</v>
      </c>
      <c r="F3396" s="4">
        <v>44567</v>
      </c>
      <c r="G3396" s="3">
        <v>202207</v>
      </c>
      <c r="H3396" s="3" t="s">
        <v>75</v>
      </c>
      <c r="I3396" s="3" t="s">
        <v>76</v>
      </c>
      <c r="J3396" s="3" t="s">
        <v>77</v>
      </c>
      <c r="K3396" s="3" t="s">
        <v>78</v>
      </c>
      <c r="L3396" s="3" t="s">
        <v>90</v>
      </c>
      <c r="M3396" s="3" t="s">
        <v>91</v>
      </c>
      <c r="N3396" s="3" t="s">
        <v>114</v>
      </c>
      <c r="O3396" s="3" t="s">
        <v>82</v>
      </c>
      <c r="P3396" s="3" t="str">
        <f>"2170815631                    "</f>
        <v xml:space="preserve">2170815631                    </v>
      </c>
      <c r="Q3396" s="3">
        <v>0</v>
      </c>
      <c r="R3396" s="3">
        <v>0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  <c r="AE3396" s="3">
        <v>0</v>
      </c>
      <c r="AF3396" s="3">
        <v>0</v>
      </c>
      <c r="AG3396" s="3">
        <v>0</v>
      </c>
      <c r="AH3396" s="3">
        <v>0</v>
      </c>
      <c r="AI3396" s="3">
        <v>0</v>
      </c>
      <c r="AJ3396" s="3">
        <v>0</v>
      </c>
      <c r="AK3396" s="3">
        <v>15.46</v>
      </c>
      <c r="AL3396" s="3">
        <v>0</v>
      </c>
      <c r="AM3396" s="3">
        <v>0</v>
      </c>
      <c r="AN3396" s="3">
        <v>0</v>
      </c>
      <c r="AO3396" s="3">
        <v>0</v>
      </c>
      <c r="AP3396" s="3">
        <v>0</v>
      </c>
      <c r="AQ3396" s="3">
        <v>0</v>
      </c>
      <c r="AR3396" s="3">
        <v>0</v>
      </c>
      <c r="AS3396" s="3">
        <v>0</v>
      </c>
      <c r="AT3396" s="3">
        <v>0</v>
      </c>
      <c r="AU3396" s="3">
        <v>0</v>
      </c>
      <c r="AV3396" s="3">
        <v>0</v>
      </c>
      <c r="AW3396" s="3">
        <v>0</v>
      </c>
      <c r="AX3396" s="3">
        <v>0</v>
      </c>
      <c r="AY3396" s="3">
        <v>0</v>
      </c>
      <c r="AZ3396" s="3">
        <v>0</v>
      </c>
      <c r="BA3396" s="3">
        <v>0</v>
      </c>
      <c r="BB3396" s="3">
        <v>0</v>
      </c>
      <c r="BC3396" s="3">
        <v>0</v>
      </c>
      <c r="BD3396" s="3">
        <v>0</v>
      </c>
      <c r="BE3396" s="3">
        <v>0</v>
      </c>
      <c r="BF3396" s="3">
        <v>0</v>
      </c>
      <c r="BG3396" s="3">
        <v>0</v>
      </c>
      <c r="BH3396" s="3">
        <v>1</v>
      </c>
      <c r="BI3396" s="3">
        <v>2</v>
      </c>
      <c r="BJ3396" s="3">
        <v>1.5</v>
      </c>
      <c r="BK3396" s="3">
        <v>2</v>
      </c>
      <c r="BL3396" s="3">
        <v>59</v>
      </c>
      <c r="BM3396" s="3">
        <v>8.85</v>
      </c>
      <c r="BN3396" s="3">
        <v>67.849999999999994</v>
      </c>
      <c r="BO3396" s="3">
        <v>67.849999999999994</v>
      </c>
      <c r="BQ3396" s="3" t="s">
        <v>89</v>
      </c>
      <c r="BR3396" s="3" t="s">
        <v>364</v>
      </c>
      <c r="BS3396" s="4">
        <v>44568</v>
      </c>
      <c r="BT3396" s="5">
        <v>0.34513888888888888</v>
      </c>
      <c r="BU3396" s="3" t="s">
        <v>2989</v>
      </c>
      <c r="BV3396" s="3" t="s">
        <v>105</v>
      </c>
      <c r="BY3396" s="3">
        <v>7540</v>
      </c>
      <c r="BZ3396" s="3" t="s">
        <v>165</v>
      </c>
      <c r="CA3396" s="3" t="s">
        <v>289</v>
      </c>
      <c r="CC3396" s="3" t="s">
        <v>91</v>
      </c>
      <c r="CD3396" s="3">
        <v>7441</v>
      </c>
      <c r="CE3396" s="3" t="s">
        <v>86</v>
      </c>
      <c r="CF3396" s="4">
        <v>44571</v>
      </c>
      <c r="CI3396" s="3">
        <v>1</v>
      </c>
      <c r="CJ3396" s="3">
        <v>1</v>
      </c>
      <c r="CK3396" s="3">
        <v>21</v>
      </c>
      <c r="CL3396" s="3" t="s">
        <v>87</v>
      </c>
    </row>
    <row r="3397" spans="1:90" x14ac:dyDescent="0.2">
      <c r="A3397" s="3" t="s">
        <v>72</v>
      </c>
      <c r="B3397" s="3" t="s">
        <v>73</v>
      </c>
      <c r="C3397" s="3" t="s">
        <v>74</v>
      </c>
      <c r="E3397" s="3" t="str">
        <f>"FES11628438025"</f>
        <v>FES11628438025</v>
      </c>
      <c r="F3397" s="4">
        <v>44567</v>
      </c>
      <c r="G3397" s="3">
        <v>202207</v>
      </c>
      <c r="H3397" s="3" t="s">
        <v>75</v>
      </c>
      <c r="I3397" s="3" t="s">
        <v>76</v>
      </c>
      <c r="J3397" s="3" t="s">
        <v>77</v>
      </c>
      <c r="K3397" s="3" t="s">
        <v>78</v>
      </c>
      <c r="L3397" s="3" t="s">
        <v>79</v>
      </c>
      <c r="M3397" s="3" t="s">
        <v>80</v>
      </c>
      <c r="N3397" s="3" t="s">
        <v>337</v>
      </c>
      <c r="O3397" s="3" t="s">
        <v>82</v>
      </c>
      <c r="P3397" s="3" t="str">
        <f>"2170812719                    "</f>
        <v xml:space="preserve">2170812719                    </v>
      </c>
      <c r="Q3397" s="3">
        <v>0</v>
      </c>
      <c r="R3397" s="3">
        <v>0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  <c r="AE3397" s="3">
        <v>0</v>
      </c>
      <c r="AF3397" s="3">
        <v>0</v>
      </c>
      <c r="AG3397" s="3">
        <v>0</v>
      </c>
      <c r="AH3397" s="3">
        <v>0</v>
      </c>
      <c r="AI3397" s="3">
        <v>0</v>
      </c>
      <c r="AJ3397" s="3">
        <v>0</v>
      </c>
      <c r="AK3397" s="3">
        <v>15.46</v>
      </c>
      <c r="AL3397" s="3">
        <v>0</v>
      </c>
      <c r="AM3397" s="3">
        <v>0</v>
      </c>
      <c r="AN3397" s="3">
        <v>0</v>
      </c>
      <c r="AO3397" s="3">
        <v>0</v>
      </c>
      <c r="AP3397" s="3">
        <v>0</v>
      </c>
      <c r="AQ3397" s="3">
        <v>0</v>
      </c>
      <c r="AR3397" s="3">
        <v>0</v>
      </c>
      <c r="AS3397" s="3">
        <v>0</v>
      </c>
      <c r="AT3397" s="3">
        <v>0</v>
      </c>
      <c r="AU3397" s="3">
        <v>0</v>
      </c>
      <c r="AV3397" s="3">
        <v>0</v>
      </c>
      <c r="AW3397" s="3">
        <v>0</v>
      </c>
      <c r="AX3397" s="3">
        <v>0</v>
      </c>
      <c r="AY3397" s="3">
        <v>0</v>
      </c>
      <c r="AZ3397" s="3">
        <v>0</v>
      </c>
      <c r="BA3397" s="3">
        <v>0</v>
      </c>
      <c r="BB3397" s="3">
        <v>0</v>
      </c>
      <c r="BC3397" s="3">
        <v>0</v>
      </c>
      <c r="BD3397" s="3">
        <v>0</v>
      </c>
      <c r="BE3397" s="3">
        <v>0</v>
      </c>
      <c r="BF3397" s="3">
        <v>0</v>
      </c>
      <c r="BG3397" s="3">
        <v>0</v>
      </c>
      <c r="BH3397" s="3">
        <v>1</v>
      </c>
      <c r="BI3397" s="3">
        <v>1</v>
      </c>
      <c r="BJ3397" s="3">
        <v>0.2</v>
      </c>
      <c r="BK3397" s="3">
        <v>1</v>
      </c>
      <c r="BL3397" s="3">
        <v>59</v>
      </c>
      <c r="BM3397" s="3">
        <v>8.85</v>
      </c>
      <c r="BN3397" s="3">
        <v>67.849999999999994</v>
      </c>
      <c r="BO3397" s="3">
        <v>67.849999999999994</v>
      </c>
      <c r="BQ3397" s="3" t="s">
        <v>89</v>
      </c>
      <c r="BR3397" s="3" t="s">
        <v>364</v>
      </c>
      <c r="BS3397" s="4">
        <v>44568</v>
      </c>
      <c r="BT3397" s="5">
        <v>0.43611111111111112</v>
      </c>
      <c r="BU3397" s="3" t="s">
        <v>2990</v>
      </c>
      <c r="BV3397" s="3" t="s">
        <v>105</v>
      </c>
      <c r="BY3397" s="3">
        <v>1200</v>
      </c>
      <c r="BZ3397" s="3" t="s">
        <v>165</v>
      </c>
      <c r="CA3397" s="3" t="s">
        <v>1622</v>
      </c>
      <c r="CC3397" s="3" t="s">
        <v>80</v>
      </c>
      <c r="CD3397" s="3">
        <v>200</v>
      </c>
      <c r="CE3397" s="3" t="s">
        <v>93</v>
      </c>
      <c r="CF3397" s="4">
        <v>44568</v>
      </c>
      <c r="CI3397" s="3">
        <v>1</v>
      </c>
      <c r="CJ3397" s="3">
        <v>1</v>
      </c>
      <c r="CK3397" s="3">
        <v>21</v>
      </c>
      <c r="CL3397" s="3" t="s">
        <v>87</v>
      </c>
    </row>
    <row r="3398" spans="1:90" x14ac:dyDescent="0.2">
      <c r="A3398" s="3" t="s">
        <v>72</v>
      </c>
      <c r="B3398" s="3" t="s">
        <v>73</v>
      </c>
      <c r="C3398" s="3" t="s">
        <v>74</v>
      </c>
      <c r="E3398" s="3" t="str">
        <f>"FES1162843887"</f>
        <v>FES1162843887</v>
      </c>
      <c r="F3398" s="4">
        <v>44567</v>
      </c>
      <c r="G3398" s="3">
        <v>202207</v>
      </c>
      <c r="H3398" s="3" t="s">
        <v>75</v>
      </c>
      <c r="I3398" s="3" t="s">
        <v>76</v>
      </c>
      <c r="J3398" s="3" t="s">
        <v>77</v>
      </c>
      <c r="K3398" s="3" t="s">
        <v>78</v>
      </c>
      <c r="L3398" s="3" t="s">
        <v>142</v>
      </c>
      <c r="M3398" s="3" t="s">
        <v>143</v>
      </c>
      <c r="N3398" s="3" t="s">
        <v>337</v>
      </c>
      <c r="O3398" s="3" t="s">
        <v>82</v>
      </c>
      <c r="P3398" s="3" t="str">
        <f>"2170815805                    "</f>
        <v xml:space="preserve">2170815805                    </v>
      </c>
      <c r="Q3398" s="3">
        <v>0</v>
      </c>
      <c r="R3398" s="3">
        <v>0</v>
      </c>
      <c r="S3398" s="3">
        <v>0</v>
      </c>
      <c r="T3398" s="3">
        <v>0</v>
      </c>
      <c r="U3398" s="3">
        <v>0</v>
      </c>
      <c r="V3398" s="3">
        <v>0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0</v>
      </c>
      <c r="AC3398" s="3">
        <v>0</v>
      </c>
      <c r="AD3398" s="3">
        <v>0</v>
      </c>
      <c r="AE3398" s="3">
        <v>0</v>
      </c>
      <c r="AF3398" s="3">
        <v>0</v>
      </c>
      <c r="AG3398" s="3">
        <v>0</v>
      </c>
      <c r="AH3398" s="3">
        <v>0</v>
      </c>
      <c r="AI3398" s="3">
        <v>0</v>
      </c>
      <c r="AJ3398" s="3">
        <v>0</v>
      </c>
      <c r="AK3398" s="3">
        <v>12.07</v>
      </c>
      <c r="AL3398" s="3">
        <v>0</v>
      </c>
      <c r="AM3398" s="3">
        <v>0</v>
      </c>
      <c r="AN3398" s="3">
        <v>0</v>
      </c>
      <c r="AO3398" s="3">
        <v>0</v>
      </c>
      <c r="AP3398" s="3">
        <v>0</v>
      </c>
      <c r="AQ3398" s="3">
        <v>0</v>
      </c>
      <c r="AR3398" s="3">
        <v>0</v>
      </c>
      <c r="AS3398" s="3">
        <v>0</v>
      </c>
      <c r="AT3398" s="3">
        <v>0</v>
      </c>
      <c r="AU3398" s="3">
        <v>0</v>
      </c>
      <c r="AV3398" s="3">
        <v>0</v>
      </c>
      <c r="AW3398" s="3">
        <v>0</v>
      </c>
      <c r="AX3398" s="3">
        <v>0</v>
      </c>
      <c r="AY3398" s="3">
        <v>0</v>
      </c>
      <c r="AZ3398" s="3">
        <v>0</v>
      </c>
      <c r="BA3398" s="3">
        <v>0</v>
      </c>
      <c r="BB3398" s="3">
        <v>0</v>
      </c>
      <c r="BC3398" s="3">
        <v>0</v>
      </c>
      <c r="BD3398" s="3">
        <v>0</v>
      </c>
      <c r="BE3398" s="3">
        <v>0</v>
      </c>
      <c r="BF3398" s="3">
        <v>0</v>
      </c>
      <c r="BG3398" s="3">
        <v>0</v>
      </c>
      <c r="BH3398" s="3">
        <v>1</v>
      </c>
      <c r="BI3398" s="3">
        <v>1</v>
      </c>
      <c r="BJ3398" s="3">
        <v>0.2</v>
      </c>
      <c r="BK3398" s="3">
        <v>1</v>
      </c>
      <c r="BL3398" s="3">
        <v>46.08</v>
      </c>
      <c r="BM3398" s="3">
        <v>6.91</v>
      </c>
      <c r="BN3398" s="3">
        <v>52.99</v>
      </c>
      <c r="BO3398" s="3">
        <v>52.99</v>
      </c>
      <c r="BQ3398" s="3" t="s">
        <v>89</v>
      </c>
      <c r="BR3398" s="3" t="s">
        <v>364</v>
      </c>
      <c r="BS3398" s="4">
        <v>44568</v>
      </c>
      <c r="BT3398" s="5">
        <v>0.36944444444444446</v>
      </c>
      <c r="BU3398" s="3" t="s">
        <v>2913</v>
      </c>
      <c r="BV3398" s="3" t="s">
        <v>105</v>
      </c>
      <c r="BY3398" s="3">
        <v>1200</v>
      </c>
      <c r="BZ3398" s="3" t="s">
        <v>165</v>
      </c>
      <c r="CA3398" s="3" t="s">
        <v>1624</v>
      </c>
      <c r="CC3398" s="3" t="s">
        <v>143</v>
      </c>
      <c r="CD3398" s="3">
        <v>1451</v>
      </c>
      <c r="CE3398" s="3" t="s">
        <v>93</v>
      </c>
      <c r="CF3398" s="4">
        <v>44568</v>
      </c>
      <c r="CI3398" s="3">
        <v>1</v>
      </c>
      <c r="CJ3398" s="3">
        <v>1</v>
      </c>
      <c r="CK3398" s="3">
        <v>22</v>
      </c>
      <c r="CL3398" s="3" t="s">
        <v>87</v>
      </c>
    </row>
    <row r="3399" spans="1:90" x14ac:dyDescent="0.2">
      <c r="A3399" s="3" t="s">
        <v>72</v>
      </c>
      <c r="B3399" s="3" t="s">
        <v>73</v>
      </c>
      <c r="C3399" s="3" t="s">
        <v>74</v>
      </c>
      <c r="E3399" s="3" t="str">
        <f>"FES1162844015"</f>
        <v>FES1162844015</v>
      </c>
      <c r="F3399" s="4">
        <v>44567</v>
      </c>
      <c r="G3399" s="3">
        <v>202207</v>
      </c>
      <c r="H3399" s="3" t="s">
        <v>75</v>
      </c>
      <c r="I3399" s="3" t="s">
        <v>76</v>
      </c>
      <c r="J3399" s="3" t="s">
        <v>77</v>
      </c>
      <c r="K3399" s="3" t="s">
        <v>78</v>
      </c>
      <c r="L3399" s="3" t="s">
        <v>281</v>
      </c>
      <c r="M3399" s="3" t="s">
        <v>282</v>
      </c>
      <c r="N3399" s="3" t="s">
        <v>927</v>
      </c>
      <c r="O3399" s="3" t="s">
        <v>82</v>
      </c>
      <c r="P3399" s="3" t="str">
        <f>"2170815824                    "</f>
        <v xml:space="preserve">2170815824                    </v>
      </c>
      <c r="Q3399" s="3">
        <v>0</v>
      </c>
      <c r="R3399" s="3">
        <v>0</v>
      </c>
      <c r="S3399" s="3">
        <v>0</v>
      </c>
      <c r="T3399" s="3">
        <v>0</v>
      </c>
      <c r="U3399" s="3">
        <v>0</v>
      </c>
      <c r="V3399" s="3">
        <v>0</v>
      </c>
      <c r="W3399" s="3">
        <v>0</v>
      </c>
      <c r="X3399" s="3">
        <v>0</v>
      </c>
      <c r="Y3399" s="3">
        <v>0</v>
      </c>
      <c r="Z3399" s="3">
        <v>0</v>
      </c>
      <c r="AA3399" s="3">
        <v>0</v>
      </c>
      <c r="AB3399" s="3">
        <v>0</v>
      </c>
      <c r="AC3399" s="3">
        <v>0</v>
      </c>
      <c r="AD3399" s="3">
        <v>0</v>
      </c>
      <c r="AE3399" s="3">
        <v>0</v>
      </c>
      <c r="AF3399" s="3">
        <v>0</v>
      </c>
      <c r="AG3399" s="3">
        <v>0</v>
      </c>
      <c r="AH3399" s="3">
        <v>0</v>
      </c>
      <c r="AI3399" s="3">
        <v>0</v>
      </c>
      <c r="AJ3399" s="3">
        <v>0</v>
      </c>
      <c r="AK3399" s="3">
        <v>29.95</v>
      </c>
      <c r="AL3399" s="3">
        <v>0</v>
      </c>
      <c r="AM3399" s="3">
        <v>0</v>
      </c>
      <c r="AN3399" s="3">
        <v>0</v>
      </c>
      <c r="AO3399" s="3">
        <v>0</v>
      </c>
      <c r="AP3399" s="3">
        <v>0</v>
      </c>
      <c r="AQ3399" s="3">
        <v>0</v>
      </c>
      <c r="AR3399" s="3">
        <v>0</v>
      </c>
      <c r="AS3399" s="3">
        <v>0</v>
      </c>
      <c r="AT3399" s="3">
        <v>0</v>
      </c>
      <c r="AU3399" s="3">
        <v>0</v>
      </c>
      <c r="AV3399" s="3">
        <v>0</v>
      </c>
      <c r="AW3399" s="3">
        <v>0</v>
      </c>
      <c r="AX3399" s="3">
        <v>0</v>
      </c>
      <c r="AY3399" s="3">
        <v>0</v>
      </c>
      <c r="AZ3399" s="3">
        <v>0</v>
      </c>
      <c r="BA3399" s="3">
        <v>0</v>
      </c>
      <c r="BB3399" s="3">
        <v>0</v>
      </c>
      <c r="BC3399" s="3">
        <v>0</v>
      </c>
      <c r="BD3399" s="3">
        <v>0</v>
      </c>
      <c r="BE3399" s="3">
        <v>0</v>
      </c>
      <c r="BF3399" s="3">
        <v>0</v>
      </c>
      <c r="BG3399" s="3">
        <v>0</v>
      </c>
      <c r="BH3399" s="3">
        <v>1</v>
      </c>
      <c r="BI3399" s="3">
        <v>1</v>
      </c>
      <c r="BJ3399" s="3">
        <v>0.2</v>
      </c>
      <c r="BK3399" s="3">
        <v>1</v>
      </c>
      <c r="BL3399" s="3">
        <v>114.31</v>
      </c>
      <c r="BM3399" s="3">
        <v>17.149999999999999</v>
      </c>
      <c r="BN3399" s="3">
        <v>131.46</v>
      </c>
      <c r="BO3399" s="3">
        <v>131.46</v>
      </c>
      <c r="BQ3399" s="3" t="s">
        <v>83</v>
      </c>
      <c r="BR3399" s="3" t="s">
        <v>364</v>
      </c>
      <c r="BS3399" s="4">
        <v>44571</v>
      </c>
      <c r="BT3399" s="5">
        <v>0.5625</v>
      </c>
      <c r="BU3399" s="3" t="s">
        <v>2907</v>
      </c>
      <c r="BV3399" s="3" t="s">
        <v>105</v>
      </c>
      <c r="BY3399" s="3">
        <v>1200</v>
      </c>
      <c r="BZ3399" s="3" t="s">
        <v>165</v>
      </c>
      <c r="CA3399" s="3" t="s">
        <v>328</v>
      </c>
      <c r="CC3399" s="3" t="s">
        <v>282</v>
      </c>
      <c r="CD3399" s="3">
        <v>3236</v>
      </c>
      <c r="CE3399" s="3" t="s">
        <v>93</v>
      </c>
      <c r="CF3399" s="4">
        <v>44572</v>
      </c>
      <c r="CI3399" s="3">
        <v>5</v>
      </c>
      <c r="CJ3399" s="3">
        <v>2</v>
      </c>
      <c r="CK3399" s="3">
        <v>23</v>
      </c>
      <c r="CL3399" s="3" t="s">
        <v>87</v>
      </c>
    </row>
    <row r="3400" spans="1:90" x14ac:dyDescent="0.2">
      <c r="A3400" s="3" t="s">
        <v>72</v>
      </c>
      <c r="B3400" s="3" t="s">
        <v>73</v>
      </c>
      <c r="C3400" s="3" t="s">
        <v>74</v>
      </c>
      <c r="E3400" s="3" t="str">
        <f>"FES1162844009"</f>
        <v>FES1162844009</v>
      </c>
      <c r="F3400" s="4">
        <v>44567</v>
      </c>
      <c r="G3400" s="3">
        <v>202207</v>
      </c>
      <c r="H3400" s="3" t="s">
        <v>75</v>
      </c>
      <c r="I3400" s="3" t="s">
        <v>76</v>
      </c>
      <c r="J3400" s="3" t="s">
        <v>77</v>
      </c>
      <c r="K3400" s="3" t="s">
        <v>78</v>
      </c>
      <c r="L3400" s="3" t="s">
        <v>90</v>
      </c>
      <c r="M3400" s="3" t="s">
        <v>91</v>
      </c>
      <c r="N3400" s="3" t="s">
        <v>630</v>
      </c>
      <c r="O3400" s="3" t="s">
        <v>82</v>
      </c>
      <c r="P3400" s="3" t="str">
        <f>"2170815813                    "</f>
        <v xml:space="preserve">2170815813                    </v>
      </c>
      <c r="Q3400" s="3">
        <v>0</v>
      </c>
      <c r="R3400" s="3">
        <v>0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  <c r="AE3400" s="3">
        <v>0</v>
      </c>
      <c r="AF3400" s="3">
        <v>0</v>
      </c>
      <c r="AG3400" s="3">
        <v>0</v>
      </c>
      <c r="AH3400" s="3">
        <v>0</v>
      </c>
      <c r="AI3400" s="3">
        <v>0</v>
      </c>
      <c r="AJ3400" s="3">
        <v>0</v>
      </c>
      <c r="AK3400" s="3">
        <v>15.46</v>
      </c>
      <c r="AL3400" s="3">
        <v>0</v>
      </c>
      <c r="AM3400" s="3">
        <v>0</v>
      </c>
      <c r="AN3400" s="3">
        <v>0</v>
      </c>
      <c r="AO3400" s="3">
        <v>0</v>
      </c>
      <c r="AP3400" s="3">
        <v>0</v>
      </c>
      <c r="AQ3400" s="3">
        <v>0</v>
      </c>
      <c r="AR3400" s="3">
        <v>0</v>
      </c>
      <c r="AS3400" s="3">
        <v>0</v>
      </c>
      <c r="AT3400" s="3">
        <v>0</v>
      </c>
      <c r="AU3400" s="3">
        <v>0</v>
      </c>
      <c r="AV3400" s="3">
        <v>0</v>
      </c>
      <c r="AW3400" s="3">
        <v>0</v>
      </c>
      <c r="AX3400" s="3">
        <v>0</v>
      </c>
      <c r="AY3400" s="3">
        <v>0</v>
      </c>
      <c r="AZ3400" s="3">
        <v>0</v>
      </c>
      <c r="BA3400" s="3">
        <v>0</v>
      </c>
      <c r="BB3400" s="3">
        <v>0</v>
      </c>
      <c r="BC3400" s="3">
        <v>0</v>
      </c>
      <c r="BD3400" s="3">
        <v>0</v>
      </c>
      <c r="BE3400" s="3">
        <v>0</v>
      </c>
      <c r="BF3400" s="3">
        <v>0</v>
      </c>
      <c r="BG3400" s="3">
        <v>0</v>
      </c>
      <c r="BH3400" s="3">
        <v>1</v>
      </c>
      <c r="BI3400" s="3">
        <v>1</v>
      </c>
      <c r="BJ3400" s="3">
        <v>0.2</v>
      </c>
      <c r="BK3400" s="3">
        <v>1</v>
      </c>
      <c r="BL3400" s="3">
        <v>59</v>
      </c>
      <c r="BM3400" s="3">
        <v>8.85</v>
      </c>
      <c r="BN3400" s="3">
        <v>67.849999999999994</v>
      </c>
      <c r="BO3400" s="3">
        <v>67.849999999999994</v>
      </c>
      <c r="BQ3400" s="3" t="s">
        <v>89</v>
      </c>
      <c r="BR3400" s="3" t="s">
        <v>364</v>
      </c>
      <c r="BS3400" s="4">
        <v>44568</v>
      </c>
      <c r="BT3400" s="5">
        <v>0.39027777777777778</v>
      </c>
      <c r="BU3400" s="3" t="s">
        <v>631</v>
      </c>
      <c r="BV3400" s="3" t="s">
        <v>105</v>
      </c>
      <c r="BY3400" s="3">
        <v>1200</v>
      </c>
      <c r="BZ3400" s="3" t="s">
        <v>165</v>
      </c>
      <c r="CA3400" s="3" t="s">
        <v>2345</v>
      </c>
      <c r="CC3400" s="3" t="s">
        <v>91</v>
      </c>
      <c r="CD3400" s="3">
        <v>7780</v>
      </c>
      <c r="CE3400" s="3" t="s">
        <v>93</v>
      </c>
      <c r="CF3400" s="4">
        <v>44571</v>
      </c>
      <c r="CI3400" s="3">
        <v>1</v>
      </c>
      <c r="CJ3400" s="3">
        <v>1</v>
      </c>
      <c r="CK3400" s="3">
        <v>21</v>
      </c>
      <c r="CL3400" s="3" t="s">
        <v>87</v>
      </c>
    </row>
    <row r="3401" spans="1:90" x14ac:dyDescent="0.2">
      <c r="A3401" s="3" t="s">
        <v>72</v>
      </c>
      <c r="B3401" s="3" t="s">
        <v>73</v>
      </c>
      <c r="C3401" s="3" t="s">
        <v>74</v>
      </c>
      <c r="E3401" s="3" t="str">
        <f>"FES1162843735"</f>
        <v>FES1162843735</v>
      </c>
      <c r="F3401" s="4">
        <v>44567</v>
      </c>
      <c r="G3401" s="3">
        <v>202207</v>
      </c>
      <c r="H3401" s="3" t="s">
        <v>75</v>
      </c>
      <c r="I3401" s="3" t="s">
        <v>76</v>
      </c>
      <c r="J3401" s="3" t="s">
        <v>77</v>
      </c>
      <c r="K3401" s="3" t="s">
        <v>78</v>
      </c>
      <c r="L3401" s="3" t="s">
        <v>101</v>
      </c>
      <c r="M3401" s="3" t="s">
        <v>102</v>
      </c>
      <c r="N3401" s="3" t="s">
        <v>272</v>
      </c>
      <c r="O3401" s="3" t="s">
        <v>82</v>
      </c>
      <c r="P3401" s="3" t="str">
        <f>"2170813663                    "</f>
        <v xml:space="preserve">2170813663                    </v>
      </c>
      <c r="Q3401" s="3">
        <v>0</v>
      </c>
      <c r="R3401" s="3">
        <v>0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  <c r="AE3401" s="3">
        <v>0</v>
      </c>
      <c r="AF3401" s="3">
        <v>0</v>
      </c>
      <c r="AG3401" s="3">
        <v>0</v>
      </c>
      <c r="AH3401" s="3">
        <v>0</v>
      </c>
      <c r="AI3401" s="3">
        <v>0</v>
      </c>
      <c r="AJ3401" s="3">
        <v>0</v>
      </c>
      <c r="AK3401" s="3">
        <v>15.46</v>
      </c>
      <c r="AL3401" s="3">
        <v>0</v>
      </c>
      <c r="AM3401" s="3">
        <v>0</v>
      </c>
      <c r="AN3401" s="3">
        <v>0</v>
      </c>
      <c r="AO3401" s="3">
        <v>0</v>
      </c>
      <c r="AP3401" s="3">
        <v>0</v>
      </c>
      <c r="AQ3401" s="3">
        <v>0</v>
      </c>
      <c r="AR3401" s="3">
        <v>0</v>
      </c>
      <c r="AS3401" s="3">
        <v>0</v>
      </c>
      <c r="AT3401" s="3">
        <v>0</v>
      </c>
      <c r="AU3401" s="3">
        <v>0</v>
      </c>
      <c r="AV3401" s="3">
        <v>0</v>
      </c>
      <c r="AW3401" s="3">
        <v>0</v>
      </c>
      <c r="AX3401" s="3">
        <v>0</v>
      </c>
      <c r="AY3401" s="3">
        <v>0</v>
      </c>
      <c r="AZ3401" s="3">
        <v>0</v>
      </c>
      <c r="BA3401" s="3">
        <v>0</v>
      </c>
      <c r="BB3401" s="3">
        <v>0</v>
      </c>
      <c r="BC3401" s="3">
        <v>0</v>
      </c>
      <c r="BD3401" s="3">
        <v>0</v>
      </c>
      <c r="BE3401" s="3">
        <v>0</v>
      </c>
      <c r="BF3401" s="3">
        <v>0</v>
      </c>
      <c r="BG3401" s="3">
        <v>0</v>
      </c>
      <c r="BH3401" s="3">
        <v>1</v>
      </c>
      <c r="BI3401" s="3">
        <v>1</v>
      </c>
      <c r="BJ3401" s="3">
        <v>0.2</v>
      </c>
      <c r="BK3401" s="3">
        <v>1</v>
      </c>
      <c r="BL3401" s="3">
        <v>59</v>
      </c>
      <c r="BM3401" s="3">
        <v>8.85</v>
      </c>
      <c r="BN3401" s="3">
        <v>67.849999999999994</v>
      </c>
      <c r="BO3401" s="3">
        <v>67.849999999999994</v>
      </c>
      <c r="BQ3401" s="3" t="s">
        <v>273</v>
      </c>
      <c r="BR3401" s="3" t="s">
        <v>364</v>
      </c>
      <c r="BS3401" s="4">
        <v>44568</v>
      </c>
      <c r="BT3401" s="5">
        <v>0.42499999999999999</v>
      </c>
      <c r="BU3401" s="3" t="s">
        <v>2147</v>
      </c>
      <c r="BV3401" s="3" t="s">
        <v>105</v>
      </c>
      <c r="BY3401" s="3">
        <v>1200</v>
      </c>
      <c r="BZ3401" s="3" t="s">
        <v>165</v>
      </c>
      <c r="CA3401" s="3" t="s">
        <v>2148</v>
      </c>
      <c r="CC3401" s="3" t="s">
        <v>102</v>
      </c>
      <c r="CD3401" s="3">
        <v>4000</v>
      </c>
      <c r="CE3401" s="3" t="s">
        <v>93</v>
      </c>
      <c r="CF3401" s="4">
        <v>44568</v>
      </c>
      <c r="CI3401" s="3">
        <v>1</v>
      </c>
      <c r="CJ3401" s="3">
        <v>1</v>
      </c>
      <c r="CK3401" s="3">
        <v>21</v>
      </c>
      <c r="CL3401" s="3" t="s">
        <v>87</v>
      </c>
    </row>
    <row r="3402" spans="1:90" x14ac:dyDescent="0.2">
      <c r="A3402" s="3" t="s">
        <v>72</v>
      </c>
      <c r="B3402" s="3" t="s">
        <v>73</v>
      </c>
      <c r="C3402" s="3" t="s">
        <v>74</v>
      </c>
      <c r="E3402" s="3" t="str">
        <f>"FES1162844062"</f>
        <v>FES1162844062</v>
      </c>
      <c r="F3402" s="4">
        <v>44567</v>
      </c>
      <c r="G3402" s="3">
        <v>202207</v>
      </c>
      <c r="H3402" s="3" t="s">
        <v>75</v>
      </c>
      <c r="I3402" s="3" t="s">
        <v>76</v>
      </c>
      <c r="J3402" s="3" t="s">
        <v>77</v>
      </c>
      <c r="K3402" s="3" t="s">
        <v>78</v>
      </c>
      <c r="L3402" s="3" t="s">
        <v>1179</v>
      </c>
      <c r="M3402" s="3" t="s">
        <v>1180</v>
      </c>
      <c r="N3402" s="3" t="s">
        <v>1497</v>
      </c>
      <c r="O3402" s="3" t="s">
        <v>82</v>
      </c>
      <c r="P3402" s="3" t="str">
        <f>"217815879                     "</f>
        <v xml:space="preserve">217815879                     </v>
      </c>
      <c r="Q3402" s="3">
        <v>0</v>
      </c>
      <c r="R3402" s="3">
        <v>0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  <c r="AE3402" s="3">
        <v>0</v>
      </c>
      <c r="AF3402" s="3">
        <v>0</v>
      </c>
      <c r="AG3402" s="3">
        <v>0</v>
      </c>
      <c r="AH3402" s="3">
        <v>0</v>
      </c>
      <c r="AI3402" s="3">
        <v>0</v>
      </c>
      <c r="AJ3402" s="3">
        <v>0</v>
      </c>
      <c r="AK3402" s="3">
        <v>29.95</v>
      </c>
      <c r="AL3402" s="3">
        <v>0</v>
      </c>
      <c r="AM3402" s="3">
        <v>0</v>
      </c>
      <c r="AN3402" s="3">
        <v>0</v>
      </c>
      <c r="AO3402" s="3">
        <v>0</v>
      </c>
      <c r="AP3402" s="3">
        <v>0</v>
      </c>
      <c r="AQ3402" s="3">
        <v>15</v>
      </c>
      <c r="AR3402" s="3">
        <v>0</v>
      </c>
      <c r="AS3402" s="3">
        <v>0</v>
      </c>
      <c r="AT3402" s="3">
        <v>0</v>
      </c>
      <c r="AU3402" s="3">
        <v>0</v>
      </c>
      <c r="AV3402" s="3">
        <v>0</v>
      </c>
      <c r="AW3402" s="3">
        <v>0</v>
      </c>
      <c r="AX3402" s="3">
        <v>0</v>
      </c>
      <c r="AY3402" s="3">
        <v>0</v>
      </c>
      <c r="AZ3402" s="3">
        <v>0</v>
      </c>
      <c r="BA3402" s="3">
        <v>0</v>
      </c>
      <c r="BB3402" s="3">
        <v>0</v>
      </c>
      <c r="BC3402" s="3">
        <v>0</v>
      </c>
      <c r="BD3402" s="3">
        <v>0</v>
      </c>
      <c r="BE3402" s="3">
        <v>0</v>
      </c>
      <c r="BF3402" s="3">
        <v>0</v>
      </c>
      <c r="BG3402" s="3">
        <v>0</v>
      </c>
      <c r="BH3402" s="3">
        <v>1</v>
      </c>
      <c r="BI3402" s="3">
        <v>1</v>
      </c>
      <c r="BJ3402" s="3">
        <v>0.2</v>
      </c>
      <c r="BK3402" s="3">
        <v>1</v>
      </c>
      <c r="BL3402" s="3">
        <v>129.31</v>
      </c>
      <c r="BM3402" s="3">
        <v>19.399999999999999</v>
      </c>
      <c r="BN3402" s="3">
        <v>148.71</v>
      </c>
      <c r="BO3402" s="3">
        <v>148.71</v>
      </c>
      <c r="BQ3402" s="3" t="s">
        <v>89</v>
      </c>
      <c r="BR3402" s="3" t="s">
        <v>364</v>
      </c>
      <c r="BS3402" s="4">
        <v>44568</v>
      </c>
      <c r="BT3402" s="5">
        <v>0.53472222222222221</v>
      </c>
      <c r="BU3402" s="3" t="s">
        <v>2929</v>
      </c>
      <c r="BV3402" s="3" t="s">
        <v>105</v>
      </c>
      <c r="BY3402" s="3">
        <v>1200</v>
      </c>
      <c r="BZ3402" s="3" t="s">
        <v>446</v>
      </c>
      <c r="CA3402" s="3" t="s">
        <v>2427</v>
      </c>
      <c r="CC3402" s="3" t="s">
        <v>1180</v>
      </c>
      <c r="CD3402" s="3">
        <v>407</v>
      </c>
      <c r="CE3402" s="3" t="s">
        <v>93</v>
      </c>
      <c r="CF3402" s="4">
        <v>44568</v>
      </c>
      <c r="CI3402" s="3">
        <v>1</v>
      </c>
      <c r="CJ3402" s="3">
        <v>1</v>
      </c>
      <c r="CK3402" s="3">
        <v>23</v>
      </c>
      <c r="CL3402" s="3" t="s">
        <v>87</v>
      </c>
    </row>
    <row r="3403" spans="1:90" x14ac:dyDescent="0.2">
      <c r="A3403" s="3" t="s">
        <v>72</v>
      </c>
      <c r="B3403" s="3" t="s">
        <v>73</v>
      </c>
      <c r="C3403" s="3" t="s">
        <v>74</v>
      </c>
      <c r="E3403" s="3" t="str">
        <f>"FES1162843775"</f>
        <v>FES1162843775</v>
      </c>
      <c r="F3403" s="4">
        <v>44567</v>
      </c>
      <c r="G3403" s="3">
        <v>202207</v>
      </c>
      <c r="H3403" s="3" t="s">
        <v>75</v>
      </c>
      <c r="I3403" s="3" t="s">
        <v>76</v>
      </c>
      <c r="J3403" s="3" t="s">
        <v>77</v>
      </c>
      <c r="K3403" s="3" t="s">
        <v>78</v>
      </c>
      <c r="L3403" s="3" t="s">
        <v>107</v>
      </c>
      <c r="M3403" s="3" t="s">
        <v>108</v>
      </c>
      <c r="N3403" s="3" t="s">
        <v>582</v>
      </c>
      <c r="O3403" s="3" t="s">
        <v>82</v>
      </c>
      <c r="P3403" s="3" t="str">
        <f>"2170815507                    "</f>
        <v xml:space="preserve">2170815507                    </v>
      </c>
      <c r="Q3403" s="3">
        <v>0</v>
      </c>
      <c r="R3403" s="3">
        <v>0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  <c r="AE3403" s="3">
        <v>0</v>
      </c>
      <c r="AF3403" s="3">
        <v>0</v>
      </c>
      <c r="AG3403" s="3">
        <v>0</v>
      </c>
      <c r="AH3403" s="3">
        <v>0</v>
      </c>
      <c r="AI3403" s="3">
        <v>0</v>
      </c>
      <c r="AJ3403" s="3">
        <v>0</v>
      </c>
      <c r="AK3403" s="3">
        <v>29.95</v>
      </c>
      <c r="AL3403" s="3">
        <v>0</v>
      </c>
      <c r="AM3403" s="3">
        <v>0</v>
      </c>
      <c r="AN3403" s="3">
        <v>0</v>
      </c>
      <c r="AO3403" s="3">
        <v>0</v>
      </c>
      <c r="AP3403" s="3">
        <v>0</v>
      </c>
      <c r="AQ3403" s="3">
        <v>0</v>
      </c>
      <c r="AR3403" s="3">
        <v>0</v>
      </c>
      <c r="AS3403" s="3">
        <v>0</v>
      </c>
      <c r="AT3403" s="3">
        <v>0</v>
      </c>
      <c r="AU3403" s="3">
        <v>0</v>
      </c>
      <c r="AV3403" s="3">
        <v>0</v>
      </c>
      <c r="AW3403" s="3">
        <v>0</v>
      </c>
      <c r="AX3403" s="3">
        <v>0</v>
      </c>
      <c r="AY3403" s="3">
        <v>0</v>
      </c>
      <c r="AZ3403" s="3">
        <v>0</v>
      </c>
      <c r="BA3403" s="3">
        <v>0</v>
      </c>
      <c r="BB3403" s="3">
        <v>0</v>
      </c>
      <c r="BC3403" s="3">
        <v>0</v>
      </c>
      <c r="BD3403" s="3">
        <v>0</v>
      </c>
      <c r="BE3403" s="3">
        <v>0</v>
      </c>
      <c r="BF3403" s="3">
        <v>0</v>
      </c>
      <c r="BG3403" s="3">
        <v>0</v>
      </c>
      <c r="BH3403" s="3">
        <v>1</v>
      </c>
      <c r="BI3403" s="3">
        <v>1</v>
      </c>
      <c r="BJ3403" s="3">
        <v>0.2</v>
      </c>
      <c r="BK3403" s="3">
        <v>1</v>
      </c>
      <c r="BL3403" s="3">
        <v>114.31</v>
      </c>
      <c r="BM3403" s="3">
        <v>17.149999999999999</v>
      </c>
      <c r="BN3403" s="3">
        <v>131.46</v>
      </c>
      <c r="BO3403" s="3">
        <v>131.46</v>
      </c>
      <c r="BQ3403" s="3" t="s">
        <v>126</v>
      </c>
      <c r="BR3403" s="3" t="s">
        <v>364</v>
      </c>
      <c r="BS3403" s="4">
        <v>44568</v>
      </c>
      <c r="BT3403" s="5">
        <v>0.62847222222222221</v>
      </c>
      <c r="BU3403" s="3" t="s">
        <v>583</v>
      </c>
      <c r="BV3403" s="3" t="s">
        <v>105</v>
      </c>
      <c r="BY3403" s="3">
        <v>1200</v>
      </c>
      <c r="BZ3403" s="3" t="s">
        <v>165</v>
      </c>
      <c r="CA3403" s="3" t="s">
        <v>394</v>
      </c>
      <c r="CC3403" s="3" t="s">
        <v>108</v>
      </c>
      <c r="CD3403" s="3">
        <v>6850</v>
      </c>
      <c r="CE3403" s="3" t="s">
        <v>93</v>
      </c>
      <c r="CF3403" s="4">
        <v>44571</v>
      </c>
      <c r="CI3403" s="3">
        <v>2</v>
      </c>
      <c r="CJ3403" s="3">
        <v>1</v>
      </c>
      <c r="CK3403" s="3">
        <v>23</v>
      </c>
      <c r="CL3403" s="3" t="s">
        <v>87</v>
      </c>
    </row>
    <row r="3404" spans="1:90" x14ac:dyDescent="0.2">
      <c r="A3404" s="3" t="s">
        <v>72</v>
      </c>
      <c r="B3404" s="3" t="s">
        <v>73</v>
      </c>
      <c r="C3404" s="3" t="s">
        <v>74</v>
      </c>
      <c r="E3404" s="3" t="str">
        <f>"FES1162844013"</f>
        <v>FES1162844013</v>
      </c>
      <c r="F3404" s="4">
        <v>44567</v>
      </c>
      <c r="G3404" s="3">
        <v>202207</v>
      </c>
      <c r="H3404" s="3" t="s">
        <v>75</v>
      </c>
      <c r="I3404" s="3" t="s">
        <v>76</v>
      </c>
      <c r="J3404" s="3" t="s">
        <v>77</v>
      </c>
      <c r="K3404" s="3" t="s">
        <v>78</v>
      </c>
      <c r="L3404" s="3" t="s">
        <v>167</v>
      </c>
      <c r="M3404" s="3" t="s">
        <v>168</v>
      </c>
      <c r="N3404" s="3" t="s">
        <v>247</v>
      </c>
      <c r="O3404" s="3" t="s">
        <v>82</v>
      </c>
      <c r="P3404" s="3" t="str">
        <f>"2170815822                    "</f>
        <v xml:space="preserve">2170815822                    </v>
      </c>
      <c r="Q3404" s="3">
        <v>0</v>
      </c>
      <c r="R3404" s="3">
        <v>0</v>
      </c>
      <c r="S3404" s="3">
        <v>0</v>
      </c>
      <c r="T3404" s="3">
        <v>0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0</v>
      </c>
      <c r="AA3404" s="3">
        <v>0</v>
      </c>
      <c r="AB3404" s="3">
        <v>0</v>
      </c>
      <c r="AC3404" s="3">
        <v>0</v>
      </c>
      <c r="AD3404" s="3">
        <v>0</v>
      </c>
      <c r="AE3404" s="3">
        <v>0</v>
      </c>
      <c r="AF3404" s="3">
        <v>0</v>
      </c>
      <c r="AG3404" s="3">
        <v>0</v>
      </c>
      <c r="AH3404" s="3">
        <v>0</v>
      </c>
      <c r="AI3404" s="3">
        <v>0</v>
      </c>
      <c r="AJ3404" s="3">
        <v>0</v>
      </c>
      <c r="AK3404" s="3">
        <v>15.46</v>
      </c>
      <c r="AL3404" s="3">
        <v>0</v>
      </c>
      <c r="AM3404" s="3">
        <v>0</v>
      </c>
      <c r="AN3404" s="3">
        <v>0</v>
      </c>
      <c r="AO3404" s="3">
        <v>0</v>
      </c>
      <c r="AP3404" s="3">
        <v>0</v>
      </c>
      <c r="AQ3404" s="3">
        <v>0</v>
      </c>
      <c r="AR3404" s="3">
        <v>0</v>
      </c>
      <c r="AS3404" s="3">
        <v>0</v>
      </c>
      <c r="AT3404" s="3">
        <v>0</v>
      </c>
      <c r="AU3404" s="3">
        <v>0</v>
      </c>
      <c r="AV3404" s="3">
        <v>0</v>
      </c>
      <c r="AW3404" s="3">
        <v>0</v>
      </c>
      <c r="AX3404" s="3">
        <v>0</v>
      </c>
      <c r="AY3404" s="3">
        <v>0</v>
      </c>
      <c r="AZ3404" s="3">
        <v>0</v>
      </c>
      <c r="BA3404" s="3">
        <v>0</v>
      </c>
      <c r="BB3404" s="3">
        <v>0</v>
      </c>
      <c r="BC3404" s="3">
        <v>0</v>
      </c>
      <c r="BD3404" s="3">
        <v>0</v>
      </c>
      <c r="BE3404" s="3">
        <v>0</v>
      </c>
      <c r="BF3404" s="3">
        <v>0</v>
      </c>
      <c r="BG3404" s="3">
        <v>0</v>
      </c>
      <c r="BH3404" s="3">
        <v>1</v>
      </c>
      <c r="BI3404" s="3">
        <v>1</v>
      </c>
      <c r="BJ3404" s="3">
        <v>0.2</v>
      </c>
      <c r="BK3404" s="3">
        <v>1</v>
      </c>
      <c r="BL3404" s="3">
        <v>59</v>
      </c>
      <c r="BM3404" s="3">
        <v>8.85</v>
      </c>
      <c r="BN3404" s="3">
        <v>67.849999999999994</v>
      </c>
      <c r="BO3404" s="3">
        <v>67.849999999999994</v>
      </c>
      <c r="BQ3404" s="3" t="s">
        <v>89</v>
      </c>
      <c r="BR3404" s="3" t="s">
        <v>364</v>
      </c>
      <c r="BS3404" s="4">
        <v>44568</v>
      </c>
      <c r="BT3404" s="5">
        <v>0.54722222222222217</v>
      </c>
      <c r="BU3404" s="3" t="s">
        <v>2644</v>
      </c>
      <c r="BV3404" s="3" t="s">
        <v>87</v>
      </c>
      <c r="BW3404" s="3" t="s">
        <v>457</v>
      </c>
      <c r="BX3404" s="3" t="s">
        <v>279</v>
      </c>
      <c r="BY3404" s="3">
        <v>1200</v>
      </c>
      <c r="BZ3404" s="3" t="s">
        <v>165</v>
      </c>
      <c r="CA3404" s="3" t="s">
        <v>553</v>
      </c>
      <c r="CC3404" s="3" t="s">
        <v>168</v>
      </c>
      <c r="CD3404" s="3">
        <v>6229</v>
      </c>
      <c r="CE3404" s="3" t="s">
        <v>93</v>
      </c>
      <c r="CF3404" s="4">
        <v>44571</v>
      </c>
      <c r="CI3404" s="3">
        <v>1</v>
      </c>
      <c r="CJ3404" s="3">
        <v>1</v>
      </c>
      <c r="CK3404" s="3">
        <v>21</v>
      </c>
      <c r="CL3404" s="3" t="s">
        <v>87</v>
      </c>
    </row>
    <row r="3405" spans="1:90" x14ac:dyDescent="0.2">
      <c r="A3405" s="3" t="s">
        <v>72</v>
      </c>
      <c r="B3405" s="3" t="s">
        <v>73</v>
      </c>
      <c r="C3405" s="3" t="s">
        <v>74</v>
      </c>
      <c r="E3405" s="3" t="str">
        <f>"FES1162843740"</f>
        <v>FES1162843740</v>
      </c>
      <c r="F3405" s="4">
        <v>44567</v>
      </c>
      <c r="G3405" s="3">
        <v>202207</v>
      </c>
      <c r="H3405" s="3" t="s">
        <v>75</v>
      </c>
      <c r="I3405" s="3" t="s">
        <v>76</v>
      </c>
      <c r="J3405" s="3" t="s">
        <v>77</v>
      </c>
      <c r="K3405" s="3" t="s">
        <v>78</v>
      </c>
      <c r="L3405" s="3" t="s">
        <v>129</v>
      </c>
      <c r="M3405" s="3" t="s">
        <v>130</v>
      </c>
      <c r="N3405" s="3" t="s">
        <v>404</v>
      </c>
      <c r="O3405" s="3" t="s">
        <v>82</v>
      </c>
      <c r="P3405" s="3" t="str">
        <f>"2170813802                    "</f>
        <v xml:space="preserve">2170813802                    </v>
      </c>
      <c r="Q3405" s="3">
        <v>0</v>
      </c>
      <c r="R3405" s="3">
        <v>0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  <c r="AE3405" s="3">
        <v>0</v>
      </c>
      <c r="AF3405" s="3">
        <v>0</v>
      </c>
      <c r="AG3405" s="3">
        <v>0</v>
      </c>
      <c r="AH3405" s="3">
        <v>0</v>
      </c>
      <c r="AI3405" s="3">
        <v>0</v>
      </c>
      <c r="AJ3405" s="3">
        <v>0</v>
      </c>
      <c r="AK3405" s="3">
        <v>29.95</v>
      </c>
      <c r="AL3405" s="3">
        <v>0</v>
      </c>
      <c r="AM3405" s="3">
        <v>0</v>
      </c>
      <c r="AN3405" s="3">
        <v>0</v>
      </c>
      <c r="AO3405" s="3">
        <v>0</v>
      </c>
      <c r="AP3405" s="3">
        <v>0</v>
      </c>
      <c r="AQ3405" s="3">
        <v>0</v>
      </c>
      <c r="AR3405" s="3">
        <v>0</v>
      </c>
      <c r="AS3405" s="3">
        <v>0</v>
      </c>
      <c r="AT3405" s="3">
        <v>0</v>
      </c>
      <c r="AU3405" s="3">
        <v>0</v>
      </c>
      <c r="AV3405" s="3">
        <v>0</v>
      </c>
      <c r="AW3405" s="3">
        <v>0</v>
      </c>
      <c r="AX3405" s="3">
        <v>0</v>
      </c>
      <c r="AY3405" s="3">
        <v>0</v>
      </c>
      <c r="AZ3405" s="3">
        <v>0</v>
      </c>
      <c r="BA3405" s="3">
        <v>0</v>
      </c>
      <c r="BB3405" s="3">
        <v>0</v>
      </c>
      <c r="BC3405" s="3">
        <v>0</v>
      </c>
      <c r="BD3405" s="3">
        <v>0</v>
      </c>
      <c r="BE3405" s="3">
        <v>0</v>
      </c>
      <c r="BF3405" s="3">
        <v>0</v>
      </c>
      <c r="BG3405" s="3">
        <v>0</v>
      </c>
      <c r="BH3405" s="3">
        <v>1</v>
      </c>
      <c r="BI3405" s="3">
        <v>1</v>
      </c>
      <c r="BJ3405" s="3">
        <v>0.2</v>
      </c>
      <c r="BK3405" s="3">
        <v>1</v>
      </c>
      <c r="BL3405" s="3">
        <v>114.31</v>
      </c>
      <c r="BM3405" s="3">
        <v>17.149999999999999</v>
      </c>
      <c r="BN3405" s="3">
        <v>131.46</v>
      </c>
      <c r="BO3405" s="3">
        <v>131.46</v>
      </c>
      <c r="BQ3405" s="3" t="s">
        <v>83</v>
      </c>
      <c r="BR3405" s="3" t="s">
        <v>364</v>
      </c>
      <c r="BS3405" s="4">
        <v>44568</v>
      </c>
      <c r="BT3405" s="5">
        <v>0.60416666666666663</v>
      </c>
      <c r="BU3405" s="3" t="s">
        <v>2991</v>
      </c>
      <c r="BV3405" s="3" t="s">
        <v>105</v>
      </c>
      <c r="BY3405" s="3">
        <v>1200</v>
      </c>
      <c r="BZ3405" s="3" t="s">
        <v>165</v>
      </c>
      <c r="CA3405" s="3" t="s">
        <v>2992</v>
      </c>
      <c r="CC3405" s="3" t="s">
        <v>130</v>
      </c>
      <c r="CD3405" s="3">
        <v>3370</v>
      </c>
      <c r="CE3405" s="3" t="s">
        <v>93</v>
      </c>
      <c r="CF3405" s="4">
        <v>44572</v>
      </c>
      <c r="CI3405" s="3">
        <v>2</v>
      </c>
      <c r="CJ3405" s="3">
        <v>1</v>
      </c>
      <c r="CK3405" s="3">
        <v>23</v>
      </c>
      <c r="CL3405" s="3" t="s">
        <v>87</v>
      </c>
    </row>
    <row r="3406" spans="1:90" x14ac:dyDescent="0.2">
      <c r="A3406" s="3" t="s">
        <v>72</v>
      </c>
      <c r="B3406" s="3" t="s">
        <v>73</v>
      </c>
      <c r="C3406" s="3" t="s">
        <v>74</v>
      </c>
      <c r="E3406" s="3" t="str">
        <f>"FES1162843987"</f>
        <v>FES1162843987</v>
      </c>
      <c r="F3406" s="4">
        <v>44567</v>
      </c>
      <c r="G3406" s="3">
        <v>202207</v>
      </c>
      <c r="H3406" s="3" t="s">
        <v>75</v>
      </c>
      <c r="I3406" s="3" t="s">
        <v>76</v>
      </c>
      <c r="J3406" s="3" t="s">
        <v>77</v>
      </c>
      <c r="K3406" s="3" t="s">
        <v>78</v>
      </c>
      <c r="L3406" s="3" t="s">
        <v>1119</v>
      </c>
      <c r="M3406" s="3" t="s">
        <v>1120</v>
      </c>
      <c r="N3406" s="3" t="s">
        <v>1121</v>
      </c>
      <c r="O3406" s="3" t="s">
        <v>82</v>
      </c>
      <c r="P3406" s="3" t="str">
        <f>"2170815336                    "</f>
        <v xml:space="preserve">2170815336                    </v>
      </c>
      <c r="Q3406" s="3">
        <v>0</v>
      </c>
      <c r="R3406" s="3">
        <v>0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  <c r="AE3406" s="3">
        <v>0</v>
      </c>
      <c r="AF3406" s="3">
        <v>0</v>
      </c>
      <c r="AG3406" s="3">
        <v>0</v>
      </c>
      <c r="AH3406" s="3">
        <v>0</v>
      </c>
      <c r="AI3406" s="3">
        <v>0</v>
      </c>
      <c r="AJ3406" s="3">
        <v>0</v>
      </c>
      <c r="AK3406" s="3">
        <v>29.95</v>
      </c>
      <c r="AL3406" s="3">
        <v>0</v>
      </c>
      <c r="AM3406" s="3">
        <v>0</v>
      </c>
      <c r="AN3406" s="3">
        <v>0</v>
      </c>
      <c r="AO3406" s="3">
        <v>0</v>
      </c>
      <c r="AP3406" s="3">
        <v>0</v>
      </c>
      <c r="AQ3406" s="3">
        <v>0</v>
      </c>
      <c r="AR3406" s="3">
        <v>0</v>
      </c>
      <c r="AS3406" s="3">
        <v>0</v>
      </c>
      <c r="AT3406" s="3">
        <v>0</v>
      </c>
      <c r="AU3406" s="3">
        <v>0</v>
      </c>
      <c r="AV3406" s="3">
        <v>0</v>
      </c>
      <c r="AW3406" s="3">
        <v>0</v>
      </c>
      <c r="AX3406" s="3">
        <v>0</v>
      </c>
      <c r="AY3406" s="3">
        <v>0</v>
      </c>
      <c r="AZ3406" s="3">
        <v>0</v>
      </c>
      <c r="BA3406" s="3">
        <v>0</v>
      </c>
      <c r="BB3406" s="3">
        <v>0</v>
      </c>
      <c r="BC3406" s="3">
        <v>0</v>
      </c>
      <c r="BD3406" s="3">
        <v>0</v>
      </c>
      <c r="BE3406" s="3">
        <v>0</v>
      </c>
      <c r="BF3406" s="3">
        <v>0</v>
      </c>
      <c r="BG3406" s="3">
        <v>0</v>
      </c>
      <c r="BH3406" s="3">
        <v>1</v>
      </c>
      <c r="BI3406" s="3">
        <v>1</v>
      </c>
      <c r="BJ3406" s="3">
        <v>0.2</v>
      </c>
      <c r="BK3406" s="3">
        <v>1</v>
      </c>
      <c r="BL3406" s="3">
        <v>114.31</v>
      </c>
      <c r="BM3406" s="3">
        <v>17.149999999999999</v>
      </c>
      <c r="BN3406" s="3">
        <v>131.46</v>
      </c>
      <c r="BO3406" s="3">
        <v>131.46</v>
      </c>
      <c r="BR3406" s="3" t="s">
        <v>364</v>
      </c>
      <c r="BS3406" s="4">
        <v>44568</v>
      </c>
      <c r="BT3406" s="5">
        <v>0.53055555555555556</v>
      </c>
      <c r="BU3406" s="3" t="s">
        <v>559</v>
      </c>
      <c r="BV3406" s="3" t="s">
        <v>105</v>
      </c>
      <c r="BY3406" s="3">
        <v>1200</v>
      </c>
      <c r="BZ3406" s="3" t="s">
        <v>165</v>
      </c>
      <c r="CA3406" s="3" t="s">
        <v>809</v>
      </c>
      <c r="CC3406" s="3" t="s">
        <v>1120</v>
      </c>
      <c r="CD3406" s="3">
        <v>4380</v>
      </c>
      <c r="CE3406" s="3" t="s">
        <v>93</v>
      </c>
      <c r="CF3406" s="4">
        <v>44568</v>
      </c>
      <c r="CI3406" s="3">
        <v>1</v>
      </c>
      <c r="CJ3406" s="3">
        <v>1</v>
      </c>
      <c r="CK3406" s="3">
        <v>23</v>
      </c>
      <c r="CL3406" s="3" t="s">
        <v>87</v>
      </c>
    </row>
    <row r="3407" spans="1:90" x14ac:dyDescent="0.2">
      <c r="A3407" s="3" t="s">
        <v>72</v>
      </c>
      <c r="B3407" s="3" t="s">
        <v>73</v>
      </c>
      <c r="C3407" s="3" t="s">
        <v>74</v>
      </c>
      <c r="E3407" s="3" t="str">
        <f>"FES1162843938"</f>
        <v>FES1162843938</v>
      </c>
      <c r="F3407" s="4">
        <v>44567</v>
      </c>
      <c r="G3407" s="3">
        <v>202207</v>
      </c>
      <c r="H3407" s="3" t="s">
        <v>75</v>
      </c>
      <c r="I3407" s="3" t="s">
        <v>76</v>
      </c>
      <c r="J3407" s="3" t="s">
        <v>77</v>
      </c>
      <c r="K3407" s="3" t="s">
        <v>78</v>
      </c>
      <c r="L3407" s="3" t="s">
        <v>154</v>
      </c>
      <c r="M3407" s="3" t="s">
        <v>155</v>
      </c>
      <c r="N3407" s="3" t="s">
        <v>156</v>
      </c>
      <c r="O3407" s="3" t="s">
        <v>82</v>
      </c>
      <c r="P3407" s="3" t="str">
        <f>"2170813693                    "</f>
        <v xml:space="preserve">2170813693                    </v>
      </c>
      <c r="Q3407" s="3">
        <v>0</v>
      </c>
      <c r="R3407" s="3">
        <v>0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  <c r="AE3407" s="3">
        <v>0</v>
      </c>
      <c r="AF3407" s="3">
        <v>0</v>
      </c>
      <c r="AG3407" s="3">
        <v>0</v>
      </c>
      <c r="AH3407" s="3">
        <v>0</v>
      </c>
      <c r="AI3407" s="3">
        <v>0</v>
      </c>
      <c r="AJ3407" s="3">
        <v>0</v>
      </c>
      <c r="AK3407" s="3">
        <v>12.07</v>
      </c>
      <c r="AL3407" s="3">
        <v>0</v>
      </c>
      <c r="AM3407" s="3">
        <v>0</v>
      </c>
      <c r="AN3407" s="3">
        <v>0</v>
      </c>
      <c r="AO3407" s="3">
        <v>0</v>
      </c>
      <c r="AP3407" s="3">
        <v>0</v>
      </c>
      <c r="AQ3407" s="3">
        <v>0</v>
      </c>
      <c r="AR3407" s="3">
        <v>0</v>
      </c>
      <c r="AS3407" s="3">
        <v>0</v>
      </c>
      <c r="AT3407" s="3">
        <v>0</v>
      </c>
      <c r="AU3407" s="3">
        <v>0</v>
      </c>
      <c r="AV3407" s="3">
        <v>0</v>
      </c>
      <c r="AW3407" s="3">
        <v>0</v>
      </c>
      <c r="AX3407" s="3">
        <v>0</v>
      </c>
      <c r="AY3407" s="3">
        <v>0</v>
      </c>
      <c r="AZ3407" s="3">
        <v>0</v>
      </c>
      <c r="BA3407" s="3">
        <v>0</v>
      </c>
      <c r="BB3407" s="3">
        <v>0</v>
      </c>
      <c r="BC3407" s="3">
        <v>0</v>
      </c>
      <c r="BD3407" s="3">
        <v>0</v>
      </c>
      <c r="BE3407" s="3">
        <v>0</v>
      </c>
      <c r="BF3407" s="3">
        <v>0</v>
      </c>
      <c r="BG3407" s="3">
        <v>0</v>
      </c>
      <c r="BH3407" s="3">
        <v>1</v>
      </c>
      <c r="BI3407" s="3">
        <v>1</v>
      </c>
      <c r="BJ3407" s="3">
        <v>0.2</v>
      </c>
      <c r="BK3407" s="3">
        <v>1</v>
      </c>
      <c r="BL3407" s="3">
        <v>46.08</v>
      </c>
      <c r="BM3407" s="3">
        <v>6.91</v>
      </c>
      <c r="BN3407" s="3">
        <v>52.99</v>
      </c>
      <c r="BO3407" s="3">
        <v>52.99</v>
      </c>
      <c r="BQ3407" s="3" t="s">
        <v>83</v>
      </c>
      <c r="BR3407" s="3" t="s">
        <v>364</v>
      </c>
      <c r="BS3407" s="4">
        <v>44571</v>
      </c>
      <c r="BT3407" s="5">
        <v>0.35625000000000001</v>
      </c>
      <c r="BU3407" s="3" t="s">
        <v>2914</v>
      </c>
      <c r="BV3407" s="3" t="s">
        <v>87</v>
      </c>
      <c r="BW3407" s="3" t="s">
        <v>493</v>
      </c>
      <c r="BX3407" s="3" t="s">
        <v>723</v>
      </c>
      <c r="BY3407" s="3">
        <v>1200</v>
      </c>
      <c r="BZ3407" s="3" t="s">
        <v>165</v>
      </c>
      <c r="CA3407" s="3" t="s">
        <v>708</v>
      </c>
      <c r="CC3407" s="3" t="s">
        <v>155</v>
      </c>
      <c r="CD3407" s="3">
        <v>1682</v>
      </c>
      <c r="CE3407" s="3" t="s">
        <v>93</v>
      </c>
      <c r="CF3407" s="4">
        <v>44572</v>
      </c>
      <c r="CI3407" s="3">
        <v>1</v>
      </c>
      <c r="CJ3407" s="3">
        <v>2</v>
      </c>
      <c r="CK3407" s="3">
        <v>22</v>
      </c>
      <c r="CL3407" s="3" t="s">
        <v>87</v>
      </c>
    </row>
    <row r="3408" spans="1:90" x14ac:dyDescent="0.2">
      <c r="A3408" s="3" t="s">
        <v>72</v>
      </c>
      <c r="B3408" s="3" t="s">
        <v>73</v>
      </c>
      <c r="C3408" s="3" t="s">
        <v>74</v>
      </c>
      <c r="E3408" s="3" t="str">
        <f>"FES1162843900"</f>
        <v>FES1162843900</v>
      </c>
      <c r="F3408" s="4">
        <v>44567</v>
      </c>
      <c r="G3408" s="3">
        <v>202207</v>
      </c>
      <c r="H3408" s="3" t="s">
        <v>75</v>
      </c>
      <c r="I3408" s="3" t="s">
        <v>76</v>
      </c>
      <c r="J3408" s="3" t="s">
        <v>77</v>
      </c>
      <c r="K3408" s="3" t="s">
        <v>78</v>
      </c>
      <c r="L3408" s="3" t="s">
        <v>171</v>
      </c>
      <c r="M3408" s="3" t="s">
        <v>172</v>
      </c>
      <c r="N3408" s="3" t="s">
        <v>2993</v>
      </c>
      <c r="O3408" s="3" t="s">
        <v>82</v>
      </c>
      <c r="P3408" s="3" t="str">
        <f>"2170807631                    "</f>
        <v xml:space="preserve">2170807631                    </v>
      </c>
      <c r="Q3408" s="3">
        <v>0</v>
      </c>
      <c r="R3408" s="3">
        <v>0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  <c r="AE3408" s="3">
        <v>0</v>
      </c>
      <c r="AF3408" s="3">
        <v>0</v>
      </c>
      <c r="AG3408" s="3">
        <v>0</v>
      </c>
      <c r="AH3408" s="3">
        <v>0</v>
      </c>
      <c r="AI3408" s="3">
        <v>0</v>
      </c>
      <c r="AJ3408" s="3">
        <v>0</v>
      </c>
      <c r="AK3408" s="3">
        <v>15.46</v>
      </c>
      <c r="AL3408" s="3">
        <v>0</v>
      </c>
      <c r="AM3408" s="3">
        <v>0</v>
      </c>
      <c r="AN3408" s="3">
        <v>0</v>
      </c>
      <c r="AO3408" s="3">
        <v>0</v>
      </c>
      <c r="AP3408" s="3">
        <v>0</v>
      </c>
      <c r="AQ3408" s="3">
        <v>0</v>
      </c>
      <c r="AR3408" s="3">
        <v>0</v>
      </c>
      <c r="AS3408" s="3">
        <v>0</v>
      </c>
      <c r="AT3408" s="3">
        <v>0</v>
      </c>
      <c r="AU3408" s="3">
        <v>0</v>
      </c>
      <c r="AV3408" s="3">
        <v>0</v>
      </c>
      <c r="AW3408" s="3">
        <v>0</v>
      </c>
      <c r="AX3408" s="3">
        <v>0</v>
      </c>
      <c r="AY3408" s="3">
        <v>0</v>
      </c>
      <c r="AZ3408" s="3">
        <v>0</v>
      </c>
      <c r="BA3408" s="3">
        <v>0</v>
      </c>
      <c r="BB3408" s="3">
        <v>0</v>
      </c>
      <c r="BC3408" s="3">
        <v>0</v>
      </c>
      <c r="BD3408" s="3">
        <v>0</v>
      </c>
      <c r="BE3408" s="3">
        <v>0</v>
      </c>
      <c r="BF3408" s="3">
        <v>0</v>
      </c>
      <c r="BG3408" s="3">
        <v>0</v>
      </c>
      <c r="BH3408" s="3">
        <v>1</v>
      </c>
      <c r="BI3408" s="3">
        <v>1</v>
      </c>
      <c r="BJ3408" s="3">
        <v>0.2</v>
      </c>
      <c r="BK3408" s="3">
        <v>1</v>
      </c>
      <c r="BL3408" s="3">
        <v>59</v>
      </c>
      <c r="BM3408" s="3">
        <v>8.85</v>
      </c>
      <c r="BN3408" s="3">
        <v>67.849999999999994</v>
      </c>
      <c r="BO3408" s="3">
        <v>67.849999999999994</v>
      </c>
      <c r="BR3408" s="3" t="s">
        <v>364</v>
      </c>
      <c r="BS3408" s="4">
        <v>44568</v>
      </c>
      <c r="BT3408" s="5">
        <v>0.61458333333333337</v>
      </c>
      <c r="BU3408" s="3" t="s">
        <v>2994</v>
      </c>
      <c r="BV3408" s="3" t="s">
        <v>87</v>
      </c>
      <c r="BW3408" s="3" t="s">
        <v>457</v>
      </c>
      <c r="BX3408" s="3" t="s">
        <v>2542</v>
      </c>
      <c r="BY3408" s="3">
        <v>1200</v>
      </c>
      <c r="BZ3408" s="3" t="s">
        <v>165</v>
      </c>
      <c r="CA3408" s="3" t="s">
        <v>263</v>
      </c>
      <c r="CC3408" s="3" t="s">
        <v>172</v>
      </c>
      <c r="CD3408" s="3">
        <v>6000</v>
      </c>
      <c r="CE3408" s="3" t="s">
        <v>93</v>
      </c>
      <c r="CF3408" s="4">
        <v>44571</v>
      </c>
      <c r="CI3408" s="3">
        <v>1</v>
      </c>
      <c r="CJ3408" s="3">
        <v>1</v>
      </c>
      <c r="CK3408" s="3">
        <v>21</v>
      </c>
      <c r="CL3408" s="3" t="s">
        <v>87</v>
      </c>
    </row>
    <row r="3409" spans="1:90" x14ac:dyDescent="0.2">
      <c r="A3409" s="3" t="s">
        <v>72</v>
      </c>
      <c r="B3409" s="3" t="s">
        <v>73</v>
      </c>
      <c r="C3409" s="3" t="s">
        <v>74</v>
      </c>
      <c r="E3409" s="3" t="str">
        <f>"FES1162844045"</f>
        <v>FES1162844045</v>
      </c>
      <c r="F3409" s="4">
        <v>44567</v>
      </c>
      <c r="G3409" s="3">
        <v>202207</v>
      </c>
      <c r="H3409" s="3" t="s">
        <v>75</v>
      </c>
      <c r="I3409" s="3" t="s">
        <v>76</v>
      </c>
      <c r="J3409" s="3" t="s">
        <v>77</v>
      </c>
      <c r="K3409" s="3" t="s">
        <v>78</v>
      </c>
      <c r="L3409" s="3" t="s">
        <v>90</v>
      </c>
      <c r="M3409" s="3" t="s">
        <v>91</v>
      </c>
      <c r="N3409" s="3" t="s">
        <v>157</v>
      </c>
      <c r="O3409" s="3" t="s">
        <v>82</v>
      </c>
      <c r="P3409" s="3" t="str">
        <f>"2170815854                    "</f>
        <v xml:space="preserve">2170815854                    </v>
      </c>
      <c r="Q3409" s="3">
        <v>0</v>
      </c>
      <c r="R3409" s="3">
        <v>0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  <c r="AE3409" s="3">
        <v>0</v>
      </c>
      <c r="AF3409" s="3">
        <v>0</v>
      </c>
      <c r="AG3409" s="3">
        <v>0</v>
      </c>
      <c r="AH3409" s="3">
        <v>0</v>
      </c>
      <c r="AI3409" s="3">
        <v>0</v>
      </c>
      <c r="AJ3409" s="3">
        <v>0</v>
      </c>
      <c r="AK3409" s="3">
        <v>15.46</v>
      </c>
      <c r="AL3409" s="3">
        <v>0</v>
      </c>
      <c r="AM3409" s="3">
        <v>0</v>
      </c>
      <c r="AN3409" s="3">
        <v>0</v>
      </c>
      <c r="AO3409" s="3">
        <v>0</v>
      </c>
      <c r="AP3409" s="3">
        <v>0</v>
      </c>
      <c r="AQ3409" s="3">
        <v>0</v>
      </c>
      <c r="AR3409" s="3">
        <v>0</v>
      </c>
      <c r="AS3409" s="3">
        <v>0</v>
      </c>
      <c r="AT3409" s="3">
        <v>0</v>
      </c>
      <c r="AU3409" s="3">
        <v>0</v>
      </c>
      <c r="AV3409" s="3">
        <v>0</v>
      </c>
      <c r="AW3409" s="3">
        <v>0</v>
      </c>
      <c r="AX3409" s="3">
        <v>0</v>
      </c>
      <c r="AY3409" s="3">
        <v>0</v>
      </c>
      <c r="AZ3409" s="3">
        <v>0</v>
      </c>
      <c r="BA3409" s="3">
        <v>0</v>
      </c>
      <c r="BB3409" s="3">
        <v>0</v>
      </c>
      <c r="BC3409" s="3">
        <v>0</v>
      </c>
      <c r="BD3409" s="3">
        <v>0</v>
      </c>
      <c r="BE3409" s="3">
        <v>0</v>
      </c>
      <c r="BF3409" s="3">
        <v>0</v>
      </c>
      <c r="BG3409" s="3">
        <v>0</v>
      </c>
      <c r="BH3409" s="3">
        <v>1</v>
      </c>
      <c r="BI3409" s="3">
        <v>1</v>
      </c>
      <c r="BJ3409" s="3">
        <v>0.2</v>
      </c>
      <c r="BK3409" s="3">
        <v>1</v>
      </c>
      <c r="BL3409" s="3">
        <v>59</v>
      </c>
      <c r="BM3409" s="3">
        <v>8.85</v>
      </c>
      <c r="BN3409" s="3">
        <v>67.849999999999994</v>
      </c>
      <c r="BO3409" s="3">
        <v>67.849999999999994</v>
      </c>
      <c r="BQ3409" s="3" t="s">
        <v>89</v>
      </c>
      <c r="BR3409" s="3" t="s">
        <v>364</v>
      </c>
      <c r="BS3409" s="4">
        <v>44568</v>
      </c>
      <c r="BT3409" s="5">
        <v>0.33958333333333335</v>
      </c>
      <c r="BU3409" s="3" t="s">
        <v>1825</v>
      </c>
      <c r="BV3409" s="3" t="s">
        <v>105</v>
      </c>
      <c r="BY3409" s="3">
        <v>1200</v>
      </c>
      <c r="BZ3409" s="3" t="s">
        <v>165</v>
      </c>
      <c r="CA3409" s="3" t="s">
        <v>289</v>
      </c>
      <c r="CC3409" s="3" t="s">
        <v>91</v>
      </c>
      <c r="CD3409" s="3">
        <v>7441</v>
      </c>
      <c r="CE3409" s="3" t="s">
        <v>93</v>
      </c>
      <c r="CF3409" s="4">
        <v>44571</v>
      </c>
      <c r="CI3409" s="3">
        <v>1</v>
      </c>
      <c r="CJ3409" s="3">
        <v>1</v>
      </c>
      <c r="CK3409" s="3">
        <v>21</v>
      </c>
      <c r="CL3409" s="3" t="s">
        <v>87</v>
      </c>
    </row>
    <row r="3410" spans="1:90" x14ac:dyDescent="0.2">
      <c r="A3410" s="3" t="s">
        <v>72</v>
      </c>
      <c r="B3410" s="3" t="s">
        <v>73</v>
      </c>
      <c r="C3410" s="3" t="s">
        <v>74</v>
      </c>
      <c r="E3410" s="3" t="str">
        <f>"FES1162844012"</f>
        <v>FES1162844012</v>
      </c>
      <c r="F3410" s="4">
        <v>44567</v>
      </c>
      <c r="G3410" s="3">
        <v>202207</v>
      </c>
      <c r="H3410" s="3" t="s">
        <v>75</v>
      </c>
      <c r="I3410" s="3" t="s">
        <v>76</v>
      </c>
      <c r="J3410" s="3" t="s">
        <v>77</v>
      </c>
      <c r="K3410" s="3" t="s">
        <v>78</v>
      </c>
      <c r="L3410" s="3" t="s">
        <v>101</v>
      </c>
      <c r="M3410" s="3" t="s">
        <v>102</v>
      </c>
      <c r="N3410" s="3" t="s">
        <v>2339</v>
      </c>
      <c r="O3410" s="3" t="s">
        <v>82</v>
      </c>
      <c r="P3410" s="3" t="str">
        <f>"2170815821                    "</f>
        <v xml:space="preserve">2170815821                    </v>
      </c>
      <c r="Q3410" s="3">
        <v>0</v>
      </c>
      <c r="R3410" s="3">
        <v>0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  <c r="AE3410" s="3">
        <v>0</v>
      </c>
      <c r="AF3410" s="3">
        <v>0</v>
      </c>
      <c r="AG3410" s="3">
        <v>0</v>
      </c>
      <c r="AH3410" s="3">
        <v>0</v>
      </c>
      <c r="AI3410" s="3">
        <v>0</v>
      </c>
      <c r="AJ3410" s="3">
        <v>0</v>
      </c>
      <c r="AK3410" s="3">
        <v>15.46</v>
      </c>
      <c r="AL3410" s="3">
        <v>0</v>
      </c>
      <c r="AM3410" s="3">
        <v>0</v>
      </c>
      <c r="AN3410" s="3">
        <v>0</v>
      </c>
      <c r="AO3410" s="3">
        <v>0</v>
      </c>
      <c r="AP3410" s="3">
        <v>0</v>
      </c>
      <c r="AQ3410" s="3">
        <v>0</v>
      </c>
      <c r="AR3410" s="3">
        <v>0</v>
      </c>
      <c r="AS3410" s="3">
        <v>0</v>
      </c>
      <c r="AT3410" s="3">
        <v>0</v>
      </c>
      <c r="AU3410" s="3">
        <v>0</v>
      </c>
      <c r="AV3410" s="3">
        <v>0</v>
      </c>
      <c r="AW3410" s="3">
        <v>0</v>
      </c>
      <c r="AX3410" s="3">
        <v>0</v>
      </c>
      <c r="AY3410" s="3">
        <v>0</v>
      </c>
      <c r="AZ3410" s="3">
        <v>0</v>
      </c>
      <c r="BA3410" s="3">
        <v>0</v>
      </c>
      <c r="BB3410" s="3">
        <v>0</v>
      </c>
      <c r="BC3410" s="3">
        <v>0</v>
      </c>
      <c r="BD3410" s="3">
        <v>0</v>
      </c>
      <c r="BE3410" s="3">
        <v>0</v>
      </c>
      <c r="BF3410" s="3">
        <v>0</v>
      </c>
      <c r="BG3410" s="3">
        <v>0</v>
      </c>
      <c r="BH3410" s="3">
        <v>1</v>
      </c>
      <c r="BI3410" s="3">
        <v>1</v>
      </c>
      <c r="BJ3410" s="3">
        <v>0.2</v>
      </c>
      <c r="BK3410" s="3">
        <v>1</v>
      </c>
      <c r="BL3410" s="3">
        <v>59</v>
      </c>
      <c r="BM3410" s="3">
        <v>8.85</v>
      </c>
      <c r="BN3410" s="3">
        <v>67.849999999999994</v>
      </c>
      <c r="BO3410" s="3">
        <v>67.849999999999994</v>
      </c>
      <c r="BQ3410" s="3" t="s">
        <v>750</v>
      </c>
      <c r="BR3410" s="3" t="s">
        <v>364</v>
      </c>
      <c r="BS3410" s="4">
        <v>44568</v>
      </c>
      <c r="BT3410" s="5">
        <v>0.41666666666666669</v>
      </c>
      <c r="BU3410" s="3" t="s">
        <v>2995</v>
      </c>
      <c r="BV3410" s="3" t="s">
        <v>105</v>
      </c>
      <c r="BY3410" s="3">
        <v>1200</v>
      </c>
      <c r="BZ3410" s="3" t="s">
        <v>165</v>
      </c>
      <c r="CC3410" s="3" t="s">
        <v>102</v>
      </c>
      <c r="CD3410" s="3">
        <v>4001</v>
      </c>
      <c r="CE3410" s="3" t="s">
        <v>93</v>
      </c>
      <c r="CF3410" s="4">
        <v>44568</v>
      </c>
      <c r="CI3410" s="3">
        <v>1</v>
      </c>
      <c r="CJ3410" s="3">
        <v>1</v>
      </c>
      <c r="CK3410" s="3">
        <v>21</v>
      </c>
      <c r="CL3410" s="3" t="s">
        <v>87</v>
      </c>
    </row>
    <row r="3411" spans="1:90" x14ac:dyDescent="0.2">
      <c r="A3411" s="3" t="s">
        <v>72</v>
      </c>
      <c r="B3411" s="3" t="s">
        <v>73</v>
      </c>
      <c r="C3411" s="3" t="s">
        <v>74</v>
      </c>
      <c r="E3411" s="3" t="str">
        <f>"FES1162843827"</f>
        <v>FES1162843827</v>
      </c>
      <c r="F3411" s="4">
        <v>44567</v>
      </c>
      <c r="G3411" s="3">
        <v>202207</v>
      </c>
      <c r="H3411" s="3" t="s">
        <v>75</v>
      </c>
      <c r="I3411" s="3" t="s">
        <v>76</v>
      </c>
      <c r="J3411" s="3" t="s">
        <v>77</v>
      </c>
      <c r="K3411" s="3" t="s">
        <v>78</v>
      </c>
      <c r="L3411" s="3" t="s">
        <v>142</v>
      </c>
      <c r="M3411" s="3" t="s">
        <v>143</v>
      </c>
      <c r="N3411" s="3" t="s">
        <v>1041</v>
      </c>
      <c r="O3411" s="3" t="s">
        <v>82</v>
      </c>
      <c r="P3411" s="3" t="str">
        <f>"2170815754                    "</f>
        <v xml:space="preserve">2170815754                    </v>
      </c>
      <c r="Q3411" s="3">
        <v>0</v>
      </c>
      <c r="R3411" s="3">
        <v>0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  <c r="AE3411" s="3">
        <v>0</v>
      </c>
      <c r="AF3411" s="3">
        <v>0</v>
      </c>
      <c r="AG3411" s="3">
        <v>0</v>
      </c>
      <c r="AH3411" s="3">
        <v>0</v>
      </c>
      <c r="AI3411" s="3">
        <v>0</v>
      </c>
      <c r="AJ3411" s="3">
        <v>0</v>
      </c>
      <c r="AK3411" s="3">
        <v>12.07</v>
      </c>
      <c r="AL3411" s="3">
        <v>0</v>
      </c>
      <c r="AM3411" s="3">
        <v>0</v>
      </c>
      <c r="AN3411" s="3">
        <v>0</v>
      </c>
      <c r="AO3411" s="3">
        <v>0</v>
      </c>
      <c r="AP3411" s="3">
        <v>0</v>
      </c>
      <c r="AQ3411" s="3">
        <v>0</v>
      </c>
      <c r="AR3411" s="3">
        <v>0</v>
      </c>
      <c r="AS3411" s="3">
        <v>0</v>
      </c>
      <c r="AT3411" s="3">
        <v>0</v>
      </c>
      <c r="AU3411" s="3">
        <v>0</v>
      </c>
      <c r="AV3411" s="3">
        <v>0</v>
      </c>
      <c r="AW3411" s="3">
        <v>0</v>
      </c>
      <c r="AX3411" s="3">
        <v>0</v>
      </c>
      <c r="AY3411" s="3">
        <v>0</v>
      </c>
      <c r="AZ3411" s="3">
        <v>0</v>
      </c>
      <c r="BA3411" s="3">
        <v>0</v>
      </c>
      <c r="BB3411" s="3">
        <v>0</v>
      </c>
      <c r="BC3411" s="3">
        <v>0</v>
      </c>
      <c r="BD3411" s="3">
        <v>0</v>
      </c>
      <c r="BE3411" s="3">
        <v>0</v>
      </c>
      <c r="BF3411" s="3">
        <v>0</v>
      </c>
      <c r="BG3411" s="3">
        <v>0</v>
      </c>
      <c r="BH3411" s="3">
        <v>1</v>
      </c>
      <c r="BI3411" s="3">
        <v>1</v>
      </c>
      <c r="BJ3411" s="3">
        <v>0.2</v>
      </c>
      <c r="BK3411" s="3">
        <v>1</v>
      </c>
      <c r="BL3411" s="3">
        <v>46.08</v>
      </c>
      <c r="BM3411" s="3">
        <v>6.91</v>
      </c>
      <c r="BN3411" s="3">
        <v>52.99</v>
      </c>
      <c r="BO3411" s="3">
        <v>52.99</v>
      </c>
      <c r="BQ3411" s="3" t="s">
        <v>1042</v>
      </c>
      <c r="BR3411" s="3" t="s">
        <v>364</v>
      </c>
      <c r="BS3411" s="4">
        <v>44568</v>
      </c>
      <c r="BT3411" s="5">
        <v>0.37847222222222227</v>
      </c>
      <c r="BU3411" s="3" t="s">
        <v>2996</v>
      </c>
      <c r="BV3411" s="3" t="s">
        <v>105</v>
      </c>
      <c r="BY3411" s="3">
        <v>1200</v>
      </c>
      <c r="BZ3411" s="3" t="s">
        <v>165</v>
      </c>
      <c r="CA3411" s="3" t="s">
        <v>1624</v>
      </c>
      <c r="CC3411" s="3" t="s">
        <v>143</v>
      </c>
      <c r="CD3411" s="3">
        <v>1451</v>
      </c>
      <c r="CE3411" s="3" t="s">
        <v>93</v>
      </c>
      <c r="CF3411" s="4">
        <v>44568</v>
      </c>
      <c r="CI3411" s="3">
        <v>1</v>
      </c>
      <c r="CJ3411" s="3">
        <v>1</v>
      </c>
      <c r="CK3411" s="3">
        <v>22</v>
      </c>
      <c r="CL3411" s="3" t="s">
        <v>87</v>
      </c>
    </row>
    <row r="3412" spans="1:90" x14ac:dyDescent="0.2">
      <c r="A3412" s="3" t="s">
        <v>72</v>
      </c>
      <c r="B3412" s="3" t="s">
        <v>73</v>
      </c>
      <c r="C3412" s="3" t="s">
        <v>74</v>
      </c>
      <c r="E3412" s="3" t="str">
        <f>"FES1162843716"</f>
        <v>FES1162843716</v>
      </c>
      <c r="F3412" s="4">
        <v>44567</v>
      </c>
      <c r="G3412" s="3">
        <v>202207</v>
      </c>
      <c r="H3412" s="3" t="s">
        <v>75</v>
      </c>
      <c r="I3412" s="3" t="s">
        <v>76</v>
      </c>
      <c r="J3412" s="3" t="s">
        <v>77</v>
      </c>
      <c r="K3412" s="3" t="s">
        <v>78</v>
      </c>
      <c r="L3412" s="3" t="s">
        <v>171</v>
      </c>
      <c r="M3412" s="3" t="s">
        <v>172</v>
      </c>
      <c r="N3412" s="3" t="s">
        <v>329</v>
      </c>
      <c r="O3412" s="3" t="s">
        <v>82</v>
      </c>
      <c r="P3412" s="3" t="str">
        <f>"2170807447                    "</f>
        <v xml:space="preserve">2170807447                    </v>
      </c>
      <c r="Q3412" s="3">
        <v>0</v>
      </c>
      <c r="R3412" s="3">
        <v>0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  <c r="AE3412" s="3">
        <v>0</v>
      </c>
      <c r="AF3412" s="3">
        <v>0</v>
      </c>
      <c r="AG3412" s="3">
        <v>0</v>
      </c>
      <c r="AH3412" s="3">
        <v>0</v>
      </c>
      <c r="AI3412" s="3">
        <v>0</v>
      </c>
      <c r="AJ3412" s="3">
        <v>0</v>
      </c>
      <c r="AK3412" s="3">
        <v>34.770000000000003</v>
      </c>
      <c r="AL3412" s="3">
        <v>0</v>
      </c>
      <c r="AM3412" s="3">
        <v>0</v>
      </c>
      <c r="AN3412" s="3">
        <v>0</v>
      </c>
      <c r="AO3412" s="3">
        <v>0</v>
      </c>
      <c r="AP3412" s="3">
        <v>0</v>
      </c>
      <c r="AQ3412" s="3">
        <v>0</v>
      </c>
      <c r="AR3412" s="3">
        <v>0</v>
      </c>
      <c r="AS3412" s="3">
        <v>0</v>
      </c>
      <c r="AT3412" s="3">
        <v>0</v>
      </c>
      <c r="AU3412" s="3">
        <v>0</v>
      </c>
      <c r="AV3412" s="3">
        <v>0</v>
      </c>
      <c r="AW3412" s="3">
        <v>0</v>
      </c>
      <c r="AX3412" s="3">
        <v>0</v>
      </c>
      <c r="AY3412" s="3">
        <v>0</v>
      </c>
      <c r="AZ3412" s="3">
        <v>0</v>
      </c>
      <c r="BA3412" s="3">
        <v>0</v>
      </c>
      <c r="BB3412" s="3">
        <v>0</v>
      </c>
      <c r="BC3412" s="3">
        <v>0</v>
      </c>
      <c r="BD3412" s="3">
        <v>0</v>
      </c>
      <c r="BE3412" s="3">
        <v>0</v>
      </c>
      <c r="BF3412" s="3">
        <v>0</v>
      </c>
      <c r="BG3412" s="3">
        <v>0</v>
      </c>
      <c r="BH3412" s="3">
        <v>1</v>
      </c>
      <c r="BI3412" s="3">
        <v>3</v>
      </c>
      <c r="BJ3412" s="3">
        <v>4.0999999999999996</v>
      </c>
      <c r="BK3412" s="3">
        <v>4.5</v>
      </c>
      <c r="BL3412" s="3">
        <v>132.71</v>
      </c>
      <c r="BM3412" s="3">
        <v>19.91</v>
      </c>
      <c r="BN3412" s="3">
        <v>152.62</v>
      </c>
      <c r="BO3412" s="3">
        <v>152.62</v>
      </c>
      <c r="BQ3412" s="3" t="s">
        <v>83</v>
      </c>
      <c r="BR3412" s="3" t="s">
        <v>364</v>
      </c>
      <c r="BS3412" s="4">
        <v>44568</v>
      </c>
      <c r="BT3412" s="5">
        <v>0.32430555555555557</v>
      </c>
      <c r="BU3412" s="3" t="s">
        <v>2635</v>
      </c>
      <c r="BV3412" s="3" t="s">
        <v>105</v>
      </c>
      <c r="BY3412" s="3">
        <v>20358</v>
      </c>
      <c r="BZ3412" s="3" t="s">
        <v>165</v>
      </c>
      <c r="CA3412" s="3" t="s">
        <v>331</v>
      </c>
      <c r="CC3412" s="3" t="s">
        <v>172</v>
      </c>
      <c r="CD3412" s="3">
        <v>6001</v>
      </c>
      <c r="CE3412" s="3" t="s">
        <v>86</v>
      </c>
      <c r="CF3412" s="4">
        <v>44571</v>
      </c>
      <c r="CI3412" s="3">
        <v>1</v>
      </c>
      <c r="CJ3412" s="3">
        <v>1</v>
      </c>
      <c r="CK3412" s="3">
        <v>21</v>
      </c>
      <c r="CL3412" s="3" t="s">
        <v>87</v>
      </c>
    </row>
    <row r="3413" spans="1:90" x14ac:dyDescent="0.2">
      <c r="A3413" s="3" t="s">
        <v>72</v>
      </c>
      <c r="B3413" s="3" t="s">
        <v>73</v>
      </c>
      <c r="C3413" s="3" t="s">
        <v>74</v>
      </c>
      <c r="E3413" s="3" t="str">
        <f>"FES1162843664"</f>
        <v>FES1162843664</v>
      </c>
      <c r="F3413" s="4">
        <v>44567</v>
      </c>
      <c r="G3413" s="3">
        <v>202207</v>
      </c>
      <c r="H3413" s="3" t="s">
        <v>75</v>
      </c>
      <c r="I3413" s="3" t="s">
        <v>76</v>
      </c>
      <c r="J3413" s="3" t="s">
        <v>77</v>
      </c>
      <c r="K3413" s="3" t="s">
        <v>78</v>
      </c>
      <c r="L3413" s="3" t="s">
        <v>101</v>
      </c>
      <c r="M3413" s="3" t="s">
        <v>102</v>
      </c>
      <c r="N3413" s="3" t="s">
        <v>526</v>
      </c>
      <c r="O3413" s="3" t="s">
        <v>82</v>
      </c>
      <c r="P3413" s="3" t="str">
        <f>"2170814041                    "</f>
        <v xml:space="preserve">2170814041                    </v>
      </c>
      <c r="Q3413" s="3">
        <v>0</v>
      </c>
      <c r="R3413" s="3">
        <v>0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  <c r="AE3413" s="3">
        <v>0</v>
      </c>
      <c r="AF3413" s="3">
        <v>0</v>
      </c>
      <c r="AG3413" s="3">
        <v>0</v>
      </c>
      <c r="AH3413" s="3">
        <v>0</v>
      </c>
      <c r="AI3413" s="3">
        <v>0</v>
      </c>
      <c r="AJ3413" s="3">
        <v>0</v>
      </c>
      <c r="AK3413" s="3">
        <v>34.770000000000003</v>
      </c>
      <c r="AL3413" s="3">
        <v>0</v>
      </c>
      <c r="AM3413" s="3">
        <v>0</v>
      </c>
      <c r="AN3413" s="3">
        <v>0</v>
      </c>
      <c r="AO3413" s="3">
        <v>0</v>
      </c>
      <c r="AP3413" s="3">
        <v>0</v>
      </c>
      <c r="AQ3413" s="3">
        <v>0</v>
      </c>
      <c r="AR3413" s="3">
        <v>0</v>
      </c>
      <c r="AS3413" s="3">
        <v>0</v>
      </c>
      <c r="AT3413" s="3">
        <v>0</v>
      </c>
      <c r="AU3413" s="3">
        <v>0</v>
      </c>
      <c r="AV3413" s="3">
        <v>0</v>
      </c>
      <c r="AW3413" s="3">
        <v>0</v>
      </c>
      <c r="AX3413" s="3">
        <v>0</v>
      </c>
      <c r="AY3413" s="3">
        <v>0</v>
      </c>
      <c r="AZ3413" s="3">
        <v>0</v>
      </c>
      <c r="BA3413" s="3">
        <v>0</v>
      </c>
      <c r="BB3413" s="3">
        <v>0</v>
      </c>
      <c r="BC3413" s="3">
        <v>0</v>
      </c>
      <c r="BD3413" s="3">
        <v>0</v>
      </c>
      <c r="BE3413" s="3">
        <v>0</v>
      </c>
      <c r="BF3413" s="3">
        <v>0</v>
      </c>
      <c r="BG3413" s="3">
        <v>0</v>
      </c>
      <c r="BH3413" s="3">
        <v>1</v>
      </c>
      <c r="BI3413" s="3">
        <v>3</v>
      </c>
      <c r="BJ3413" s="3">
        <v>4.0999999999999996</v>
      </c>
      <c r="BK3413" s="3">
        <v>4.5</v>
      </c>
      <c r="BL3413" s="3">
        <v>132.71</v>
      </c>
      <c r="BM3413" s="3">
        <v>19.91</v>
      </c>
      <c r="BN3413" s="3">
        <v>152.62</v>
      </c>
      <c r="BO3413" s="3">
        <v>152.62</v>
      </c>
      <c r="BQ3413" s="3" t="s">
        <v>89</v>
      </c>
      <c r="BR3413" s="3" t="s">
        <v>364</v>
      </c>
      <c r="BS3413" s="4">
        <v>44568</v>
      </c>
      <c r="BT3413" s="5">
        <v>0.50347222222222221</v>
      </c>
      <c r="BU3413" s="3" t="s">
        <v>2988</v>
      </c>
      <c r="BV3413" s="3" t="s">
        <v>87</v>
      </c>
      <c r="BW3413" s="3" t="s">
        <v>579</v>
      </c>
      <c r="BX3413" s="3" t="s">
        <v>2578</v>
      </c>
      <c r="BY3413" s="3">
        <v>20358</v>
      </c>
      <c r="BZ3413" s="3" t="s">
        <v>165</v>
      </c>
      <c r="CA3413" s="3" t="s">
        <v>339</v>
      </c>
      <c r="CC3413" s="3" t="s">
        <v>102</v>
      </c>
      <c r="CD3413" s="3">
        <v>4001</v>
      </c>
      <c r="CE3413" s="3" t="s">
        <v>86</v>
      </c>
      <c r="CF3413" s="4">
        <v>44571</v>
      </c>
      <c r="CI3413" s="3">
        <v>1</v>
      </c>
      <c r="CJ3413" s="3">
        <v>1</v>
      </c>
      <c r="CK3413" s="3">
        <v>21</v>
      </c>
      <c r="CL3413" s="3" t="s">
        <v>87</v>
      </c>
    </row>
    <row r="3414" spans="1:90" x14ac:dyDescent="0.2">
      <c r="A3414" s="3" t="s">
        <v>72</v>
      </c>
      <c r="B3414" s="3" t="s">
        <v>73</v>
      </c>
      <c r="C3414" s="3" t="s">
        <v>74</v>
      </c>
      <c r="E3414" s="3" t="str">
        <f>"FES1162843851"</f>
        <v>FES1162843851</v>
      </c>
      <c r="F3414" s="4">
        <v>44567</v>
      </c>
      <c r="G3414" s="3">
        <v>202207</v>
      </c>
      <c r="H3414" s="3" t="s">
        <v>75</v>
      </c>
      <c r="I3414" s="3" t="s">
        <v>76</v>
      </c>
      <c r="J3414" s="3" t="s">
        <v>77</v>
      </c>
      <c r="K3414" s="3" t="s">
        <v>78</v>
      </c>
      <c r="L3414" s="3" t="s">
        <v>731</v>
      </c>
      <c r="M3414" s="3" t="s">
        <v>732</v>
      </c>
      <c r="N3414" s="3" t="s">
        <v>883</v>
      </c>
      <c r="O3414" s="3" t="s">
        <v>82</v>
      </c>
      <c r="P3414" s="3" t="str">
        <f>"2170815583                    "</f>
        <v xml:space="preserve">2170815583                    </v>
      </c>
      <c r="Q3414" s="3">
        <v>0</v>
      </c>
      <c r="R3414" s="3">
        <v>0</v>
      </c>
      <c r="S3414" s="3">
        <v>0</v>
      </c>
      <c r="T3414" s="3">
        <v>0</v>
      </c>
      <c r="U3414" s="3">
        <v>0</v>
      </c>
      <c r="V3414" s="3">
        <v>0</v>
      </c>
      <c r="W3414" s="3">
        <v>0</v>
      </c>
      <c r="X3414" s="3">
        <v>0</v>
      </c>
      <c r="Y3414" s="3">
        <v>0</v>
      </c>
      <c r="Z3414" s="3">
        <v>0</v>
      </c>
      <c r="AA3414" s="3">
        <v>0</v>
      </c>
      <c r="AB3414" s="3">
        <v>0</v>
      </c>
      <c r="AC3414" s="3">
        <v>0</v>
      </c>
      <c r="AD3414" s="3">
        <v>0</v>
      </c>
      <c r="AE3414" s="3">
        <v>0</v>
      </c>
      <c r="AF3414" s="3">
        <v>0</v>
      </c>
      <c r="AG3414" s="3">
        <v>0</v>
      </c>
      <c r="AH3414" s="3">
        <v>0</v>
      </c>
      <c r="AI3414" s="3">
        <v>0</v>
      </c>
      <c r="AJ3414" s="3">
        <v>0</v>
      </c>
      <c r="AK3414" s="3">
        <v>29.95</v>
      </c>
      <c r="AL3414" s="3">
        <v>0</v>
      </c>
      <c r="AM3414" s="3">
        <v>0</v>
      </c>
      <c r="AN3414" s="3">
        <v>0</v>
      </c>
      <c r="AO3414" s="3">
        <v>0</v>
      </c>
      <c r="AP3414" s="3">
        <v>0</v>
      </c>
      <c r="AQ3414" s="3">
        <v>0</v>
      </c>
      <c r="AR3414" s="3">
        <v>0</v>
      </c>
      <c r="AS3414" s="3">
        <v>0</v>
      </c>
      <c r="AT3414" s="3">
        <v>0</v>
      </c>
      <c r="AU3414" s="3">
        <v>0</v>
      </c>
      <c r="AV3414" s="3">
        <v>0</v>
      </c>
      <c r="AW3414" s="3">
        <v>0</v>
      </c>
      <c r="AX3414" s="3">
        <v>0</v>
      </c>
      <c r="AY3414" s="3">
        <v>0</v>
      </c>
      <c r="AZ3414" s="3">
        <v>0</v>
      </c>
      <c r="BA3414" s="3">
        <v>0</v>
      </c>
      <c r="BB3414" s="3">
        <v>0</v>
      </c>
      <c r="BC3414" s="3">
        <v>0</v>
      </c>
      <c r="BD3414" s="3">
        <v>0</v>
      </c>
      <c r="BE3414" s="3">
        <v>0</v>
      </c>
      <c r="BF3414" s="3">
        <v>0</v>
      </c>
      <c r="BG3414" s="3">
        <v>0</v>
      </c>
      <c r="BH3414" s="3">
        <v>1</v>
      </c>
      <c r="BI3414" s="3">
        <v>1</v>
      </c>
      <c r="BJ3414" s="3">
        <v>0.2</v>
      </c>
      <c r="BK3414" s="3">
        <v>1</v>
      </c>
      <c r="BL3414" s="3">
        <v>114.31</v>
      </c>
      <c r="BM3414" s="3">
        <v>17.149999999999999</v>
      </c>
      <c r="BN3414" s="3">
        <v>131.46</v>
      </c>
      <c r="BO3414" s="3">
        <v>131.46</v>
      </c>
      <c r="BQ3414" s="3" t="s">
        <v>273</v>
      </c>
      <c r="BR3414" s="3" t="s">
        <v>364</v>
      </c>
      <c r="BS3414" s="4">
        <v>44568</v>
      </c>
      <c r="BT3414" s="5">
        <v>0.47222222222222227</v>
      </c>
      <c r="BU3414" s="3" t="s">
        <v>2997</v>
      </c>
      <c r="BV3414" s="3" t="s">
        <v>105</v>
      </c>
      <c r="BY3414" s="3">
        <v>1200</v>
      </c>
      <c r="BZ3414" s="3" t="s">
        <v>165</v>
      </c>
      <c r="CC3414" s="3" t="s">
        <v>732</v>
      </c>
      <c r="CD3414" s="3">
        <v>3280</v>
      </c>
      <c r="CE3414" s="3" t="s">
        <v>93</v>
      </c>
      <c r="CF3414" s="4">
        <v>44572</v>
      </c>
      <c r="CI3414" s="3">
        <v>1</v>
      </c>
      <c r="CJ3414" s="3">
        <v>1</v>
      </c>
      <c r="CK3414" s="3">
        <v>23</v>
      </c>
      <c r="CL3414" s="3" t="s">
        <v>87</v>
      </c>
    </row>
    <row r="3415" spans="1:90" x14ac:dyDescent="0.2">
      <c r="A3415" s="3" t="s">
        <v>72</v>
      </c>
      <c r="B3415" s="3" t="s">
        <v>73</v>
      </c>
      <c r="C3415" s="3" t="s">
        <v>74</v>
      </c>
      <c r="E3415" s="3" t="str">
        <f>"FES1162843795"</f>
        <v>FES1162843795</v>
      </c>
      <c r="F3415" s="4">
        <v>44567</v>
      </c>
      <c r="G3415" s="3">
        <v>202207</v>
      </c>
      <c r="H3415" s="3" t="s">
        <v>75</v>
      </c>
      <c r="I3415" s="3" t="s">
        <v>76</v>
      </c>
      <c r="J3415" s="3" t="s">
        <v>77</v>
      </c>
      <c r="K3415" s="3" t="s">
        <v>78</v>
      </c>
      <c r="L3415" s="3" t="s">
        <v>97</v>
      </c>
      <c r="M3415" s="3" t="s">
        <v>98</v>
      </c>
      <c r="N3415" s="3" t="s">
        <v>943</v>
      </c>
      <c r="O3415" s="3" t="s">
        <v>82</v>
      </c>
      <c r="P3415" s="3" t="str">
        <f>"2170815729                    "</f>
        <v xml:space="preserve">2170815729                    </v>
      </c>
      <c r="Q3415" s="3">
        <v>0</v>
      </c>
      <c r="R3415" s="3">
        <v>0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  <c r="AE3415" s="3">
        <v>0</v>
      </c>
      <c r="AF3415" s="3">
        <v>0</v>
      </c>
      <c r="AG3415" s="3">
        <v>0</v>
      </c>
      <c r="AH3415" s="3">
        <v>0</v>
      </c>
      <c r="AI3415" s="3">
        <v>0</v>
      </c>
      <c r="AJ3415" s="3">
        <v>0</v>
      </c>
      <c r="AK3415" s="3">
        <v>12.07</v>
      </c>
      <c r="AL3415" s="3">
        <v>0</v>
      </c>
      <c r="AM3415" s="3">
        <v>0</v>
      </c>
      <c r="AN3415" s="3">
        <v>0</v>
      </c>
      <c r="AO3415" s="3">
        <v>0</v>
      </c>
      <c r="AP3415" s="3">
        <v>0</v>
      </c>
      <c r="AQ3415" s="3">
        <v>0</v>
      </c>
      <c r="AR3415" s="3">
        <v>0</v>
      </c>
      <c r="AS3415" s="3">
        <v>0</v>
      </c>
      <c r="AT3415" s="3">
        <v>0</v>
      </c>
      <c r="AU3415" s="3">
        <v>0</v>
      </c>
      <c r="AV3415" s="3">
        <v>0</v>
      </c>
      <c r="AW3415" s="3">
        <v>0</v>
      </c>
      <c r="AX3415" s="3">
        <v>0</v>
      </c>
      <c r="AY3415" s="3">
        <v>0</v>
      </c>
      <c r="AZ3415" s="3">
        <v>0</v>
      </c>
      <c r="BA3415" s="3">
        <v>0</v>
      </c>
      <c r="BB3415" s="3">
        <v>0</v>
      </c>
      <c r="BC3415" s="3">
        <v>0</v>
      </c>
      <c r="BD3415" s="3">
        <v>0</v>
      </c>
      <c r="BE3415" s="3">
        <v>0</v>
      </c>
      <c r="BF3415" s="3">
        <v>0</v>
      </c>
      <c r="BG3415" s="3">
        <v>0</v>
      </c>
      <c r="BH3415" s="3">
        <v>1</v>
      </c>
      <c r="BI3415" s="3">
        <v>1</v>
      </c>
      <c r="BJ3415" s="3">
        <v>0.2</v>
      </c>
      <c r="BK3415" s="3">
        <v>1</v>
      </c>
      <c r="BL3415" s="3">
        <v>46.08</v>
      </c>
      <c r="BM3415" s="3">
        <v>6.91</v>
      </c>
      <c r="BN3415" s="3">
        <v>52.99</v>
      </c>
      <c r="BO3415" s="3">
        <v>52.99</v>
      </c>
      <c r="BQ3415" s="3" t="s">
        <v>89</v>
      </c>
      <c r="BR3415" s="3" t="s">
        <v>364</v>
      </c>
      <c r="BS3415" s="4">
        <v>44568</v>
      </c>
      <c r="BT3415" s="5">
        <v>0.55208333333333337</v>
      </c>
      <c r="BU3415" s="3" t="s">
        <v>2998</v>
      </c>
      <c r="BV3415" s="3" t="s">
        <v>87</v>
      </c>
      <c r="BW3415" s="3" t="s">
        <v>353</v>
      </c>
      <c r="BX3415" s="3" t="s">
        <v>377</v>
      </c>
      <c r="BY3415" s="3">
        <v>1200</v>
      </c>
      <c r="BZ3415" s="3" t="s">
        <v>165</v>
      </c>
      <c r="CA3415" s="3" t="s">
        <v>952</v>
      </c>
      <c r="CC3415" s="3" t="s">
        <v>98</v>
      </c>
      <c r="CD3415" s="3">
        <v>2013</v>
      </c>
      <c r="CE3415" s="3" t="s">
        <v>93</v>
      </c>
      <c r="CF3415" s="4">
        <v>44568</v>
      </c>
      <c r="CI3415" s="3">
        <v>1</v>
      </c>
      <c r="CJ3415" s="3">
        <v>1</v>
      </c>
      <c r="CK3415" s="3">
        <v>22</v>
      </c>
      <c r="CL3415" s="3" t="s">
        <v>87</v>
      </c>
    </row>
    <row r="3416" spans="1:90" x14ac:dyDescent="0.2">
      <c r="A3416" s="3" t="s">
        <v>72</v>
      </c>
      <c r="B3416" s="3" t="s">
        <v>73</v>
      </c>
      <c r="C3416" s="3" t="s">
        <v>74</v>
      </c>
      <c r="E3416" s="3" t="str">
        <f>"FES1162843966"</f>
        <v>FES1162843966</v>
      </c>
      <c r="F3416" s="4">
        <v>44567</v>
      </c>
      <c r="G3416" s="3">
        <v>202207</v>
      </c>
      <c r="H3416" s="3" t="s">
        <v>75</v>
      </c>
      <c r="I3416" s="3" t="s">
        <v>76</v>
      </c>
      <c r="J3416" s="3" t="s">
        <v>77</v>
      </c>
      <c r="K3416" s="3" t="s">
        <v>78</v>
      </c>
      <c r="L3416" s="3" t="s">
        <v>171</v>
      </c>
      <c r="M3416" s="3" t="s">
        <v>172</v>
      </c>
      <c r="N3416" s="3" t="s">
        <v>539</v>
      </c>
      <c r="O3416" s="3" t="s">
        <v>82</v>
      </c>
      <c r="P3416" s="3" t="str">
        <f>"2170814398                    "</f>
        <v xml:space="preserve">2170814398                    </v>
      </c>
      <c r="Q3416" s="3">
        <v>0</v>
      </c>
      <c r="R3416" s="3">
        <v>0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  <c r="AE3416" s="3">
        <v>0</v>
      </c>
      <c r="AF3416" s="3">
        <v>0</v>
      </c>
      <c r="AG3416" s="3">
        <v>0</v>
      </c>
      <c r="AH3416" s="3">
        <v>0</v>
      </c>
      <c r="AI3416" s="3">
        <v>0</v>
      </c>
      <c r="AJ3416" s="3">
        <v>0</v>
      </c>
      <c r="AK3416" s="3">
        <v>15.46</v>
      </c>
      <c r="AL3416" s="3">
        <v>0</v>
      </c>
      <c r="AM3416" s="3">
        <v>0</v>
      </c>
      <c r="AN3416" s="3">
        <v>0</v>
      </c>
      <c r="AO3416" s="3">
        <v>0</v>
      </c>
      <c r="AP3416" s="3">
        <v>0</v>
      </c>
      <c r="AQ3416" s="3">
        <v>0</v>
      </c>
      <c r="AR3416" s="3">
        <v>0</v>
      </c>
      <c r="AS3416" s="3">
        <v>0</v>
      </c>
      <c r="AT3416" s="3">
        <v>0</v>
      </c>
      <c r="AU3416" s="3">
        <v>0</v>
      </c>
      <c r="AV3416" s="3">
        <v>0</v>
      </c>
      <c r="AW3416" s="3">
        <v>0</v>
      </c>
      <c r="AX3416" s="3">
        <v>0</v>
      </c>
      <c r="AY3416" s="3">
        <v>0</v>
      </c>
      <c r="AZ3416" s="3">
        <v>0</v>
      </c>
      <c r="BA3416" s="3">
        <v>0</v>
      </c>
      <c r="BB3416" s="3">
        <v>0</v>
      </c>
      <c r="BC3416" s="3">
        <v>0</v>
      </c>
      <c r="BD3416" s="3">
        <v>0</v>
      </c>
      <c r="BE3416" s="3">
        <v>0</v>
      </c>
      <c r="BF3416" s="3">
        <v>0</v>
      </c>
      <c r="BG3416" s="3">
        <v>0</v>
      </c>
      <c r="BH3416" s="3">
        <v>1</v>
      </c>
      <c r="BI3416" s="3">
        <v>1</v>
      </c>
      <c r="BJ3416" s="3">
        <v>0.2</v>
      </c>
      <c r="BK3416" s="3">
        <v>1</v>
      </c>
      <c r="BL3416" s="3">
        <v>59</v>
      </c>
      <c r="BM3416" s="3">
        <v>8.85</v>
      </c>
      <c r="BN3416" s="3">
        <v>67.849999999999994</v>
      </c>
      <c r="BO3416" s="3">
        <v>67.849999999999994</v>
      </c>
      <c r="BQ3416" s="3" t="s">
        <v>83</v>
      </c>
      <c r="BR3416" s="3" t="s">
        <v>364</v>
      </c>
      <c r="BS3416" s="4">
        <v>44568</v>
      </c>
      <c r="BT3416" s="5">
        <v>0.60277777777777775</v>
      </c>
      <c r="BU3416" s="3" t="s">
        <v>1193</v>
      </c>
      <c r="BV3416" s="3" t="s">
        <v>87</v>
      </c>
      <c r="BW3416" s="3" t="s">
        <v>457</v>
      </c>
      <c r="BX3416" s="3" t="s">
        <v>2542</v>
      </c>
      <c r="BY3416" s="3">
        <v>1200</v>
      </c>
      <c r="BZ3416" s="3" t="s">
        <v>165</v>
      </c>
      <c r="CA3416" s="3" t="s">
        <v>263</v>
      </c>
      <c r="CC3416" s="3" t="s">
        <v>172</v>
      </c>
      <c r="CD3416" s="3">
        <v>6012</v>
      </c>
      <c r="CE3416" s="3" t="s">
        <v>93</v>
      </c>
      <c r="CF3416" s="4">
        <v>44571</v>
      </c>
      <c r="CI3416" s="3">
        <v>1</v>
      </c>
      <c r="CJ3416" s="3">
        <v>1</v>
      </c>
      <c r="CK3416" s="3">
        <v>21</v>
      </c>
      <c r="CL3416" s="3" t="s">
        <v>87</v>
      </c>
    </row>
    <row r="3417" spans="1:90" x14ac:dyDescent="0.2">
      <c r="A3417" s="3" t="s">
        <v>72</v>
      </c>
      <c r="B3417" s="3" t="s">
        <v>73</v>
      </c>
      <c r="C3417" s="3" t="s">
        <v>74</v>
      </c>
      <c r="E3417" s="3" t="str">
        <f>"FES1162843859"</f>
        <v>FES1162843859</v>
      </c>
      <c r="F3417" s="4">
        <v>44567</v>
      </c>
      <c r="G3417" s="3">
        <v>202207</v>
      </c>
      <c r="H3417" s="3" t="s">
        <v>75</v>
      </c>
      <c r="I3417" s="3" t="s">
        <v>76</v>
      </c>
      <c r="J3417" s="3" t="s">
        <v>77</v>
      </c>
      <c r="K3417" s="3" t="s">
        <v>78</v>
      </c>
      <c r="L3417" s="3" t="s">
        <v>171</v>
      </c>
      <c r="M3417" s="3" t="s">
        <v>172</v>
      </c>
      <c r="N3417" s="3" t="s">
        <v>329</v>
      </c>
      <c r="O3417" s="3" t="s">
        <v>82</v>
      </c>
      <c r="P3417" s="3" t="str">
        <f>"2170812275                    "</f>
        <v xml:space="preserve">2170812275                    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  <c r="AE3417" s="3">
        <v>0</v>
      </c>
      <c r="AF3417" s="3">
        <v>0</v>
      </c>
      <c r="AG3417" s="3">
        <v>0</v>
      </c>
      <c r="AH3417" s="3">
        <v>0</v>
      </c>
      <c r="AI3417" s="3">
        <v>0</v>
      </c>
      <c r="AJ3417" s="3">
        <v>0</v>
      </c>
      <c r="AK3417" s="3">
        <v>15.46</v>
      </c>
      <c r="AL3417" s="3">
        <v>0</v>
      </c>
      <c r="AM3417" s="3">
        <v>0</v>
      </c>
      <c r="AN3417" s="3">
        <v>0</v>
      </c>
      <c r="AO3417" s="3">
        <v>0</v>
      </c>
      <c r="AP3417" s="3">
        <v>0</v>
      </c>
      <c r="AQ3417" s="3">
        <v>0</v>
      </c>
      <c r="AR3417" s="3">
        <v>0</v>
      </c>
      <c r="AS3417" s="3">
        <v>0</v>
      </c>
      <c r="AT3417" s="3">
        <v>0</v>
      </c>
      <c r="AU3417" s="3">
        <v>0</v>
      </c>
      <c r="AV3417" s="3">
        <v>0</v>
      </c>
      <c r="AW3417" s="3">
        <v>0</v>
      </c>
      <c r="AX3417" s="3">
        <v>0</v>
      </c>
      <c r="AY3417" s="3">
        <v>0</v>
      </c>
      <c r="AZ3417" s="3">
        <v>0</v>
      </c>
      <c r="BA3417" s="3">
        <v>0</v>
      </c>
      <c r="BB3417" s="3">
        <v>0</v>
      </c>
      <c r="BC3417" s="3">
        <v>0</v>
      </c>
      <c r="BD3417" s="3">
        <v>0</v>
      </c>
      <c r="BE3417" s="3">
        <v>0</v>
      </c>
      <c r="BF3417" s="3">
        <v>0</v>
      </c>
      <c r="BG3417" s="3">
        <v>0</v>
      </c>
      <c r="BH3417" s="3">
        <v>1</v>
      </c>
      <c r="BI3417" s="3">
        <v>1</v>
      </c>
      <c r="BJ3417" s="3">
        <v>0.2</v>
      </c>
      <c r="BK3417" s="3">
        <v>1</v>
      </c>
      <c r="BL3417" s="3">
        <v>59</v>
      </c>
      <c r="BM3417" s="3">
        <v>8.85</v>
      </c>
      <c r="BN3417" s="3">
        <v>67.849999999999994</v>
      </c>
      <c r="BO3417" s="3">
        <v>67.849999999999994</v>
      </c>
      <c r="BQ3417" s="3" t="s">
        <v>83</v>
      </c>
      <c r="BR3417" s="3" t="s">
        <v>364</v>
      </c>
      <c r="BS3417" s="4">
        <v>44568</v>
      </c>
      <c r="BT3417" s="5">
        <v>0.32430555555555557</v>
      </c>
      <c r="BU3417" s="3" t="s">
        <v>2635</v>
      </c>
      <c r="BV3417" s="3" t="s">
        <v>105</v>
      </c>
      <c r="BY3417" s="3">
        <v>1200</v>
      </c>
      <c r="BZ3417" s="3" t="s">
        <v>165</v>
      </c>
      <c r="CA3417" s="3" t="s">
        <v>331</v>
      </c>
      <c r="CC3417" s="3" t="s">
        <v>172</v>
      </c>
      <c r="CD3417" s="3">
        <v>6001</v>
      </c>
      <c r="CE3417" s="3" t="s">
        <v>93</v>
      </c>
      <c r="CF3417" s="4">
        <v>44571</v>
      </c>
      <c r="CI3417" s="3">
        <v>1</v>
      </c>
      <c r="CJ3417" s="3">
        <v>1</v>
      </c>
      <c r="CK3417" s="3">
        <v>21</v>
      </c>
      <c r="CL3417" s="3" t="s">
        <v>87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sdrascd7-IEHAZMA130276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2022-01-31T09:17:24Z</dcterms:created>
  <dcterms:modified xsi:type="dcterms:W3CDTF">2022-01-31T09:18:13Z</dcterms:modified>
</cp:coreProperties>
</file>